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embeddings/oleObject2.bin" ContentType="application/vnd.openxmlformats-officedocument.oleObject"/>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24226"/>
  <mc:AlternateContent xmlns:mc="http://schemas.openxmlformats.org/markup-compatibility/2006">
    <mc:Choice Requires="x15">
      <x15ac:absPath xmlns:x15ac="http://schemas.microsoft.com/office/spreadsheetml/2010/11/ac" url="C:\Users\ElenaGorokhova\Dropbox\Projects\BEACON, D2P and NEFCO\iBOX\report\final output to Interreg\"/>
    </mc:Choice>
  </mc:AlternateContent>
  <xr:revisionPtr revIDLastSave="0" documentId="13_ncr:1_{066B757A-CFAA-49B6-990D-3C52A0AFBB12}" xr6:coauthVersionLast="47" xr6:coauthVersionMax="47" xr10:uidLastSave="{00000000-0000-0000-0000-000000000000}"/>
  <bookViews>
    <workbookView xWindow="-120" yWindow="-120" windowWidth="24240" windowHeight="13020" tabRatio="773" xr2:uid="{00000000-000D-0000-FFFF-FFFF00000000}"/>
  </bookViews>
  <sheets>
    <sheet name="readme" sheetId="30" r:id="rId1"/>
    <sheet name="Stations" sheetId="1" r:id="rId2"/>
    <sheet name="Assessment Units" sheetId="39" r:id="rId3"/>
    <sheet name="Species" sheetId="41" r:id="rId4"/>
    <sheet name="Sex" sheetId="43" r:id="rId5"/>
    <sheet name="Tissues" sheetId="42" r:id="rId6"/>
    <sheet name="BE rationale" sheetId="40" r:id="rId7"/>
    <sheet name="TV" sheetId="38" r:id="rId8"/>
    <sheet name="GoR_Assessment" sheetId="61" r:id="rId9"/>
    <sheet name="BS_Assessment" sheetId="34" r:id="rId10"/>
    <sheet name="GoR_BAC exceedance" sheetId="58" r:id="rId11"/>
    <sheet name="BS_BAC exceedance" sheetId="37" r:id="rId12"/>
    <sheet name="BoS Data summary" sheetId="7" r:id="rId13"/>
    <sheet name="GoR Data summary" sheetId="46" r:id="rId14"/>
    <sheet name="GoR Data_PE, PF" sheetId="59" r:id="rId15"/>
    <sheet name="GoR Raw Data_Ma_Biomarkers" sheetId="53" r:id="rId16"/>
    <sheet name="GoR Raw Data_Mb_Biomarkers" sheetId="55" r:id="rId17"/>
    <sheet name="GoR Raw Data_Poro_Biomarkers" sheetId="56" r:id="rId18"/>
    <sheet name="BoS Raw Data_PE, PF" sheetId="47" r:id="rId19"/>
    <sheet name="BoS Raw Data_Ma_Biomarkers" sheetId="49" r:id="rId20"/>
    <sheet name="BoS Raw Data_FishBiomarkers" sheetId="48" r:id="rId21"/>
  </sheets>
  <externalReferences>
    <externalReference r:id="rId22"/>
    <externalReference r:id="rId23"/>
    <externalReference r:id="rId24"/>
  </externalReferences>
  <definedNames>
    <definedName name="_xlnm._FilterDatabase" localSheetId="12" hidden="1">'BoS Data summary'!$A$1:$AF$12</definedName>
    <definedName name="_xlnm._FilterDatabase" localSheetId="20" hidden="1">'BoS Raw Data_FishBiomarkers'!$A$2:$L$122</definedName>
    <definedName name="_xlnm._FilterDatabase" localSheetId="14" hidden="1">'GoR Data_PE, PF'!$A$2:$F$548</definedName>
    <definedName name="_xlnm._FilterDatabase" localSheetId="15" hidden="1">'GoR Raw Data_Ma_Biomarkers'!$B$2:$G$694</definedName>
    <definedName name="_xlnm._FilterDatabase" localSheetId="17" hidden="1">'GoR Raw Data_Poro_Biomarkers'!#REF!</definedName>
    <definedName name="_xlnm._FilterDatabase" localSheetId="7" hidden="1">TV!$A$1:$H$44</definedName>
    <definedName name="_xlnm.Extract" localSheetId="17">'GoR Raw Data_Poro_Biomarkers'!#REF!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1" i="38" l="1"/>
  <c r="H28" i="38"/>
  <c r="H30" i="38"/>
  <c r="H18" i="38"/>
  <c r="H20" i="38"/>
  <c r="H21" i="38"/>
  <c r="H22" i="38"/>
  <c r="H23" i="38"/>
  <c r="H24" i="38"/>
  <c r="H25" i="38"/>
  <c r="H17" i="38"/>
  <c r="H27" i="38"/>
  <c r="H26" i="38"/>
  <c r="H14" i="38"/>
  <c r="H13" i="38"/>
  <c r="A13" i="38"/>
  <c r="K4" i="61"/>
  <c r="M4" i="61"/>
  <c r="O4" i="61"/>
  <c r="K5" i="61"/>
  <c r="M5" i="61"/>
  <c r="O5" i="61"/>
  <c r="K6" i="61"/>
  <c r="M6" i="61"/>
  <c r="O6" i="61"/>
  <c r="K7" i="61"/>
  <c r="M7" i="61"/>
  <c r="O7" i="61"/>
  <c r="K8" i="61"/>
  <c r="M8" i="61"/>
  <c r="O8" i="61"/>
  <c r="K9" i="61"/>
  <c r="M9" i="61"/>
  <c r="O9" i="61"/>
  <c r="K10" i="61"/>
  <c r="M10" i="61"/>
  <c r="O10" i="61"/>
  <c r="K11" i="61"/>
  <c r="M11" i="61"/>
  <c r="O11" i="61"/>
  <c r="K12" i="61"/>
  <c r="M12" i="61"/>
  <c r="O12" i="61"/>
  <c r="K13" i="61"/>
  <c r="M13" i="61"/>
  <c r="O13" i="61"/>
  <c r="K14" i="61"/>
  <c r="M14" i="61"/>
  <c r="K15" i="61"/>
  <c r="M15" i="61"/>
  <c r="O15" i="61"/>
  <c r="K16" i="61"/>
  <c r="M16" i="61"/>
  <c r="K17" i="61"/>
  <c r="M17" i="61"/>
  <c r="O17" i="61"/>
  <c r="K18" i="61"/>
  <c r="M18" i="61"/>
  <c r="K19" i="61"/>
  <c r="M19" i="61"/>
  <c r="O19" i="61"/>
  <c r="K20" i="61"/>
  <c r="M20" i="61"/>
  <c r="O20" i="61"/>
  <c r="K21" i="61"/>
  <c r="M21" i="61"/>
  <c r="O21" i="61"/>
  <c r="K22" i="61"/>
  <c r="M22" i="61"/>
  <c r="O22" i="61"/>
  <c r="K23" i="61"/>
  <c r="M23" i="61"/>
  <c r="O23" i="61"/>
  <c r="K24" i="61"/>
  <c r="M24" i="61"/>
  <c r="O24" i="61"/>
  <c r="K25" i="61"/>
  <c r="M25" i="61"/>
  <c r="O25" i="61"/>
  <c r="K26" i="61"/>
  <c r="M26" i="61"/>
  <c r="O26" i="61"/>
  <c r="K27" i="61"/>
  <c r="M27" i="61"/>
  <c r="O27" i="61"/>
  <c r="K28" i="61"/>
  <c r="M28" i="61"/>
  <c r="O28" i="61"/>
  <c r="K29" i="61"/>
  <c r="M29" i="61"/>
  <c r="O29" i="61"/>
  <c r="K30" i="61"/>
  <c r="M30" i="61"/>
  <c r="O30" i="61"/>
  <c r="K31" i="61"/>
  <c r="M31" i="61"/>
  <c r="O31" i="61"/>
  <c r="K32" i="61"/>
  <c r="M32" i="61"/>
  <c r="O32" i="61"/>
  <c r="K33" i="61"/>
  <c r="M33" i="61"/>
  <c r="O33" i="61"/>
  <c r="K34" i="61"/>
  <c r="M34" i="61"/>
  <c r="O34" i="61"/>
  <c r="K35" i="61"/>
  <c r="M35" i="61"/>
  <c r="O35" i="61"/>
  <c r="K36" i="61"/>
  <c r="M36" i="61"/>
  <c r="O36" i="61"/>
  <c r="K37" i="61"/>
  <c r="M37" i="61"/>
  <c r="O37" i="61"/>
  <c r="K38" i="61"/>
  <c r="M38" i="61"/>
  <c r="O38" i="61"/>
  <c r="K39" i="61"/>
  <c r="M39" i="61"/>
  <c r="O39" i="61"/>
  <c r="O3" i="61"/>
  <c r="M3" i="61"/>
  <c r="K3" i="61"/>
  <c r="K12" i="58"/>
  <c r="K18" i="58"/>
  <c r="I21" i="58" a="1"/>
  <c r="I21" i="58" s="1"/>
  <c r="K21" i="58"/>
  <c r="I22" i="58" a="1"/>
  <c r="I22" i="58" s="1"/>
  <c r="K22" i="58"/>
  <c r="I23" i="58" a="1"/>
  <c r="I23" i="58" s="1"/>
  <c r="K23" i="58"/>
  <c r="I24" i="58" a="1"/>
  <c r="I24" i="58" s="1"/>
  <c r="K24" i="58"/>
  <c r="I25" i="58" a="1"/>
  <c r="I25" i="58" s="1"/>
  <c r="K25" i="58"/>
  <c r="I26" i="58" a="1"/>
  <c r="I26" i="58" s="1"/>
  <c r="K26" i="58"/>
  <c r="I27" i="58" a="1"/>
  <c r="I27" i="58" s="1"/>
  <c r="K27" i="58"/>
  <c r="I28" i="58" a="1"/>
  <c r="I28" i="58" s="1"/>
  <c r="K28" i="58"/>
  <c r="I29" i="58" a="1"/>
  <c r="I29" i="58" s="1"/>
  <c r="K29" i="58"/>
  <c r="I30" i="58" a="1"/>
  <c r="I30" i="58" s="1"/>
  <c r="K30" i="58"/>
  <c r="K34" i="58"/>
  <c r="I38" i="58" a="1"/>
  <c r="I38" i="58" s="1"/>
  <c r="B39" i="61"/>
  <c r="O1" i="61"/>
  <c r="N1" i="61"/>
  <c r="M1" i="61"/>
  <c r="L1" i="61"/>
  <c r="K1" i="61"/>
  <c r="J1" i="61"/>
  <c r="H1" i="61"/>
  <c r="G1" i="61"/>
  <c r="F1" i="61"/>
  <c r="E1" i="61"/>
  <c r="B1" i="61"/>
  <c r="A1" i="61"/>
  <c r="Q32" i="58"/>
  <c r="R32" i="58"/>
  <c r="Q33" i="58"/>
  <c r="R33" i="58"/>
  <c r="Q34" i="58"/>
  <c r="R34" i="58"/>
  <c r="Q35" i="58"/>
  <c r="I35" i="58" s="1" a="1"/>
  <c r="I35" i="58" s="1"/>
  <c r="R35" i="58"/>
  <c r="Q36" i="58"/>
  <c r="K36" i="58" s="1"/>
  <c r="R36" i="58"/>
  <c r="Q37" i="58"/>
  <c r="K37" i="58" s="1"/>
  <c r="R37" i="58"/>
  <c r="Q38" i="58"/>
  <c r="R38" i="58"/>
  <c r="R31" i="58"/>
  <c r="Q31" i="58"/>
  <c r="K31" i="58" s="1"/>
  <c r="O20" i="58"/>
  <c r="K20" i="58" s="1"/>
  <c r="O3" i="58"/>
  <c r="P3" i="58"/>
  <c r="O4" i="58"/>
  <c r="P4" i="58"/>
  <c r="O5" i="58"/>
  <c r="I5" i="58" s="1" a="1"/>
  <c r="I5" i="58" s="1"/>
  <c r="P5" i="58"/>
  <c r="K5" i="58" s="1"/>
  <c r="M5" i="58" s="1"/>
  <c r="O6" i="58"/>
  <c r="I6" i="58" s="1" a="1"/>
  <c r="I6" i="58" s="1"/>
  <c r="P6" i="58"/>
  <c r="O7" i="58"/>
  <c r="K7" i="58" s="1"/>
  <c r="P7" i="58"/>
  <c r="O8" i="58"/>
  <c r="P8" i="58"/>
  <c r="O9" i="58"/>
  <c r="P9" i="58"/>
  <c r="O10" i="58"/>
  <c r="P10" i="58"/>
  <c r="O11" i="58"/>
  <c r="P11" i="58"/>
  <c r="O12" i="58"/>
  <c r="I12" i="58" s="1" a="1"/>
  <c r="I12" i="58" s="1"/>
  <c r="P12" i="58"/>
  <c r="O13" i="58"/>
  <c r="I13" i="58" s="1" a="1"/>
  <c r="I13" i="58" s="1"/>
  <c r="P13" i="58"/>
  <c r="K13" i="58" s="1"/>
  <c r="O14" i="58"/>
  <c r="I14" i="58" s="1" a="1"/>
  <c r="I14" i="58" s="1"/>
  <c r="P14" i="58"/>
  <c r="O15" i="58"/>
  <c r="K15" i="58" s="1"/>
  <c r="P15" i="58"/>
  <c r="O16" i="58"/>
  <c r="P16" i="58"/>
  <c r="O17" i="58"/>
  <c r="P17" i="58"/>
  <c r="O18" i="58"/>
  <c r="P18" i="58"/>
  <c r="O19" i="58"/>
  <c r="I19" i="58" s="1" a="1"/>
  <c r="I19" i="58" s="1"/>
  <c r="P19" i="58"/>
  <c r="P20" i="58"/>
  <c r="Q1" i="58"/>
  <c r="R1" i="58"/>
  <c r="P1" i="58"/>
  <c r="O1" i="58"/>
  <c r="F17" i="46"/>
  <c r="F19" i="46"/>
  <c r="F16" i="46"/>
  <c r="F14" i="46"/>
  <c r="F15" i="46"/>
  <c r="F18" i="46"/>
  <c r="F3" i="46"/>
  <c r="C14" i="46"/>
  <c r="H13" i="46"/>
  <c r="G13" i="46"/>
  <c r="H12" i="46"/>
  <c r="G12" i="46"/>
  <c r="H9" i="46"/>
  <c r="G9" i="46"/>
  <c r="C9" i="46"/>
  <c r="G8" i="46"/>
  <c r="G4" i="46"/>
  <c r="H4" i="46"/>
  <c r="G5" i="46"/>
  <c r="H5" i="46"/>
  <c r="G6" i="46"/>
  <c r="H6" i="46"/>
  <c r="G7" i="46"/>
  <c r="H7" i="46"/>
  <c r="H8" i="46"/>
  <c r="G10" i="46"/>
  <c r="H10" i="46"/>
  <c r="G11" i="46"/>
  <c r="H11" i="46"/>
  <c r="G15" i="46"/>
  <c r="H15" i="46"/>
  <c r="G17" i="46"/>
  <c r="H17" i="46"/>
  <c r="G19" i="46"/>
  <c r="H19" i="46"/>
  <c r="G20" i="46"/>
  <c r="H20" i="46"/>
  <c r="G21" i="46"/>
  <c r="H21" i="46"/>
  <c r="G45" i="46"/>
  <c r="H45" i="46"/>
  <c r="G46" i="46"/>
  <c r="H46" i="46"/>
  <c r="G47" i="46"/>
  <c r="H47" i="46"/>
  <c r="G48" i="46"/>
  <c r="H48" i="46"/>
  <c r="G49" i="46"/>
  <c r="H49" i="46"/>
  <c r="G50" i="46"/>
  <c r="H50" i="46"/>
  <c r="G51" i="46"/>
  <c r="H51" i="46"/>
  <c r="G52" i="46"/>
  <c r="H52" i="46"/>
  <c r="H3" i="46"/>
  <c r="H3" i="7"/>
  <c r="G3" i="46"/>
  <c r="G3" i="7"/>
  <c r="M4" i="59"/>
  <c r="M5" i="59"/>
  <c r="M6" i="59"/>
  <c r="M7" i="59"/>
  <c r="M8" i="59"/>
  <c r="M9" i="59"/>
  <c r="M10" i="59"/>
  <c r="M11" i="59"/>
  <c r="M12" i="59"/>
  <c r="M13" i="59"/>
  <c r="M14" i="59"/>
  <c r="M15" i="59"/>
  <c r="M16" i="59"/>
  <c r="M17" i="59"/>
  <c r="M18" i="59"/>
  <c r="M19" i="59"/>
  <c r="M20" i="59"/>
  <c r="M21" i="59"/>
  <c r="M22" i="59"/>
  <c r="M23" i="59"/>
  <c r="M24" i="59"/>
  <c r="M25" i="59"/>
  <c r="M26" i="59"/>
  <c r="M27" i="59"/>
  <c r="M28" i="59"/>
  <c r="M29" i="59"/>
  <c r="M30" i="59"/>
  <c r="M31" i="59"/>
  <c r="M32" i="59"/>
  <c r="M33" i="59"/>
  <c r="M34" i="59"/>
  <c r="M35" i="59"/>
  <c r="M36" i="59"/>
  <c r="N4" i="59"/>
  <c r="N5" i="59"/>
  <c r="N6" i="59"/>
  <c r="N7" i="59"/>
  <c r="N8" i="59"/>
  <c r="N9" i="59"/>
  <c r="N10" i="59"/>
  <c r="N11" i="59"/>
  <c r="N12" i="59"/>
  <c r="N13" i="59"/>
  <c r="N14" i="59"/>
  <c r="N15" i="59"/>
  <c r="N16" i="59"/>
  <c r="N17" i="59"/>
  <c r="N18" i="59"/>
  <c r="N19" i="59"/>
  <c r="N20" i="59"/>
  <c r="N21" i="59"/>
  <c r="N22" i="59"/>
  <c r="N23" i="59"/>
  <c r="N24" i="59"/>
  <c r="N25" i="59"/>
  <c r="N26" i="59"/>
  <c r="N27" i="59"/>
  <c r="N28" i="59"/>
  <c r="N29" i="59"/>
  <c r="N30" i="59"/>
  <c r="N31" i="59"/>
  <c r="N32" i="59"/>
  <c r="N33" i="59"/>
  <c r="N34" i="59"/>
  <c r="N35" i="59"/>
  <c r="N36" i="59"/>
  <c r="N3" i="59"/>
  <c r="M3" i="59" s="1"/>
  <c r="L17" i="59"/>
  <c r="L25" i="59"/>
  <c r="L33" i="59"/>
  <c r="K4" i="59"/>
  <c r="K5" i="59"/>
  <c r="K6" i="59"/>
  <c r="K7" i="59"/>
  <c r="K8" i="59"/>
  <c r="K9" i="59"/>
  <c r="K10" i="59"/>
  <c r="K11" i="59"/>
  <c r="K12" i="59"/>
  <c r="L12" i="59" s="1"/>
  <c r="K13" i="59"/>
  <c r="L13" i="59" s="1"/>
  <c r="K14" i="59"/>
  <c r="L14" i="59" s="1"/>
  <c r="K15" i="59"/>
  <c r="L15" i="59" s="1"/>
  <c r="K16" i="59"/>
  <c r="L16" i="59" s="1"/>
  <c r="K17" i="59"/>
  <c r="K18" i="59"/>
  <c r="L18" i="59" s="1"/>
  <c r="K19" i="59"/>
  <c r="K20" i="59"/>
  <c r="L20" i="59" s="1"/>
  <c r="K21" i="59"/>
  <c r="L21" i="59" s="1"/>
  <c r="K22" i="59"/>
  <c r="L22" i="59" s="1"/>
  <c r="K23" i="59"/>
  <c r="L23" i="59" s="1"/>
  <c r="K24" i="59"/>
  <c r="L24" i="59" s="1"/>
  <c r="K25" i="59"/>
  <c r="K26" i="59"/>
  <c r="L26" i="59" s="1"/>
  <c r="K27" i="59"/>
  <c r="K28" i="59"/>
  <c r="L28" i="59" s="1"/>
  <c r="K29" i="59"/>
  <c r="L29" i="59" s="1"/>
  <c r="K30" i="59"/>
  <c r="L30" i="59" s="1"/>
  <c r="K31" i="59"/>
  <c r="L31" i="59" s="1"/>
  <c r="K32" i="59"/>
  <c r="L32" i="59" s="1"/>
  <c r="K33" i="59"/>
  <c r="K34" i="59"/>
  <c r="L34" i="59" s="1"/>
  <c r="K35" i="59"/>
  <c r="K36" i="59"/>
  <c r="L36" i="59" s="1"/>
  <c r="K3" i="59"/>
  <c r="J11" i="59"/>
  <c r="L11" i="59" s="1"/>
  <c r="J12" i="59"/>
  <c r="J13" i="59"/>
  <c r="J14" i="59"/>
  <c r="J15" i="59"/>
  <c r="J16" i="59"/>
  <c r="J17" i="59"/>
  <c r="J18" i="59"/>
  <c r="J19" i="59"/>
  <c r="L19" i="59" s="1"/>
  <c r="J20" i="59"/>
  <c r="J21" i="59"/>
  <c r="J22" i="59"/>
  <c r="J23" i="59"/>
  <c r="J24" i="59"/>
  <c r="J25" i="59"/>
  <c r="J26" i="59"/>
  <c r="J27" i="59"/>
  <c r="L27" i="59" s="1"/>
  <c r="J28" i="59"/>
  <c r="J29" i="59"/>
  <c r="J30" i="59"/>
  <c r="J31" i="59"/>
  <c r="J32" i="59"/>
  <c r="J33" i="59"/>
  <c r="J34" i="59"/>
  <c r="J35" i="59"/>
  <c r="L35" i="59" s="1"/>
  <c r="J36" i="59"/>
  <c r="J5" i="59"/>
  <c r="J6" i="59"/>
  <c r="J7" i="59"/>
  <c r="J8" i="59"/>
  <c r="J9" i="59"/>
  <c r="J10" i="59"/>
  <c r="J3" i="59"/>
  <c r="J4" i="59"/>
  <c r="Q3" i="53"/>
  <c r="F19" i="7"/>
  <c r="F18" i="7"/>
  <c r="F17" i="7"/>
  <c r="F16" i="7"/>
  <c r="F15" i="7"/>
  <c r="F14" i="7"/>
  <c r="F13" i="7"/>
  <c r="F12" i="7"/>
  <c r="F11" i="7"/>
  <c r="F10" i="7"/>
  <c r="F9" i="7"/>
  <c r="F8" i="7"/>
  <c r="F7" i="7"/>
  <c r="F6" i="7"/>
  <c r="F5" i="7"/>
  <c r="F4" i="7"/>
  <c r="F3" i="7"/>
  <c r="AF33" i="58"/>
  <c r="AF34" i="58"/>
  <c r="AF35" i="58"/>
  <c r="AD32" i="58"/>
  <c r="AE32" i="58"/>
  <c r="AD33" i="58"/>
  <c r="AE33" i="58"/>
  <c r="AD34" i="58"/>
  <c r="AE34" i="58"/>
  <c r="AD35" i="58"/>
  <c r="AE35" i="58"/>
  <c r="AD36" i="58"/>
  <c r="AE36" i="58"/>
  <c r="AD37" i="58"/>
  <c r="AE37" i="58"/>
  <c r="AD38" i="58"/>
  <c r="AE38" i="58"/>
  <c r="AE31" i="58"/>
  <c r="AD31" i="58"/>
  <c r="Y9" i="58"/>
  <c r="Z9" i="58"/>
  <c r="AA9" i="58"/>
  <c r="Y8" i="58"/>
  <c r="Z8" i="58"/>
  <c r="AA8" i="58"/>
  <c r="Y5" i="58"/>
  <c r="Z5" i="58"/>
  <c r="AA5" i="58"/>
  <c r="Y11" i="58"/>
  <c r="Z11" i="58"/>
  <c r="AA11" i="58"/>
  <c r="Y4" i="58"/>
  <c r="Z4" i="58"/>
  <c r="AA4" i="58"/>
  <c r="Y7" i="58"/>
  <c r="Z7" i="58"/>
  <c r="AA7" i="58"/>
  <c r="Y2" i="58"/>
  <c r="Z2" i="58"/>
  <c r="AA2" i="58"/>
  <c r="Y6" i="58"/>
  <c r="Z6" i="58"/>
  <c r="AA6" i="58"/>
  <c r="Y21" i="58"/>
  <c r="Z21" i="58"/>
  <c r="AA21" i="58"/>
  <c r="Y16" i="58"/>
  <c r="Z16" i="58"/>
  <c r="AA16" i="58"/>
  <c r="Y22" i="58"/>
  <c r="Z22" i="58"/>
  <c r="AA22" i="58"/>
  <c r="Y23" i="58"/>
  <c r="Z23" i="58"/>
  <c r="AA23" i="58"/>
  <c r="Y17" i="58"/>
  <c r="Z17" i="58"/>
  <c r="AA17" i="58"/>
  <c r="Y24" i="58"/>
  <c r="Z24" i="58"/>
  <c r="AA24" i="58"/>
  <c r="Y19" i="58"/>
  <c r="Z19" i="58"/>
  <c r="AA19" i="58"/>
  <c r="Y20" i="58"/>
  <c r="Z20" i="58"/>
  <c r="AA20" i="58"/>
  <c r="Y25" i="58"/>
  <c r="Z25" i="58"/>
  <c r="AA25" i="58"/>
  <c r="Y26" i="58"/>
  <c r="Z26" i="58"/>
  <c r="AA26" i="58"/>
  <c r="Y27" i="58"/>
  <c r="Z27" i="58"/>
  <c r="AA27" i="58"/>
  <c r="Y28" i="58"/>
  <c r="Z28" i="58"/>
  <c r="AA28" i="58"/>
  <c r="Y29" i="58"/>
  <c r="Z29" i="58"/>
  <c r="AA29" i="58"/>
  <c r="Y30" i="58"/>
  <c r="Z30" i="58"/>
  <c r="AA30" i="58"/>
  <c r="AA3" i="58"/>
  <c r="Z3" i="58"/>
  <c r="Y3" i="58"/>
  <c r="X3" i="58"/>
  <c r="W17" i="58"/>
  <c r="W18" i="58"/>
  <c r="W19" i="58"/>
  <c r="W20" i="58"/>
  <c r="A34" i="58"/>
  <c r="C34" i="58"/>
  <c r="E35" i="61" s="1"/>
  <c r="A35" i="58"/>
  <c r="C35" i="58"/>
  <c r="E36" i="61" s="1"/>
  <c r="A36" i="58"/>
  <c r="C36" i="58"/>
  <c r="E37" i="61" s="1"/>
  <c r="A37" i="58"/>
  <c r="C37" i="58"/>
  <c r="E38" i="61" s="1"/>
  <c r="A38" i="58"/>
  <c r="C38" i="58"/>
  <c r="E39" i="61" s="1"/>
  <c r="A26" i="58"/>
  <c r="B26" i="58"/>
  <c r="B26" i="61" s="1"/>
  <c r="C26" i="58"/>
  <c r="E27" i="61" s="1"/>
  <c r="A27" i="58"/>
  <c r="B27" i="58"/>
  <c r="B27" i="61" s="1"/>
  <c r="C27" i="58"/>
  <c r="E28" i="61" s="1"/>
  <c r="A28" i="58"/>
  <c r="B28" i="58"/>
  <c r="B28" i="61" s="1"/>
  <c r="C28" i="58"/>
  <c r="E29" i="61" s="1"/>
  <c r="A29" i="58"/>
  <c r="B29" i="58"/>
  <c r="B29" i="61" s="1"/>
  <c r="C29" i="58"/>
  <c r="E30" i="61" s="1"/>
  <c r="A30" i="58"/>
  <c r="B30" i="58"/>
  <c r="B30" i="61" s="1"/>
  <c r="C30" i="58"/>
  <c r="E31" i="61" s="1"/>
  <c r="A31" i="58"/>
  <c r="B31" i="58"/>
  <c r="B31" i="61" s="1"/>
  <c r="C31" i="58"/>
  <c r="E32" i="61" s="1"/>
  <c r="A32" i="58"/>
  <c r="B32" i="58"/>
  <c r="B32" i="61" s="1"/>
  <c r="C32" i="58"/>
  <c r="E33" i="61" s="1"/>
  <c r="A33" i="58"/>
  <c r="C33" i="58"/>
  <c r="E34" i="61" s="1"/>
  <c r="A21" i="58"/>
  <c r="B21" i="58"/>
  <c r="B22" i="61" s="1"/>
  <c r="C21" i="58"/>
  <c r="E22" i="61" s="1"/>
  <c r="A22" i="58"/>
  <c r="B22" i="58"/>
  <c r="C22" i="58"/>
  <c r="E23" i="61" s="1"/>
  <c r="A23" i="58"/>
  <c r="B23" i="58"/>
  <c r="B23" i="61" s="1"/>
  <c r="C23" i="58"/>
  <c r="E24" i="61" s="1"/>
  <c r="A24" i="58"/>
  <c r="B24" i="58"/>
  <c r="B24" i="61" s="1"/>
  <c r="C24" i="58"/>
  <c r="E25" i="61" s="1"/>
  <c r="A25" i="58"/>
  <c r="B25" i="58"/>
  <c r="B25" i="61" s="1"/>
  <c r="C25" i="58"/>
  <c r="E26" i="61" s="1"/>
  <c r="P2" i="58"/>
  <c r="O2" i="58"/>
  <c r="I2" i="58" s="1" a="1"/>
  <c r="I2" i="58" s="1"/>
  <c r="W10" i="58"/>
  <c r="W1" i="58"/>
  <c r="T10" i="58"/>
  <c r="U10" i="58"/>
  <c r="V10" i="58"/>
  <c r="V17" i="58"/>
  <c r="S18" i="58"/>
  <c r="V18" i="58"/>
  <c r="S19" i="58"/>
  <c r="V19" i="58"/>
  <c r="AD19" i="37"/>
  <c r="AD20" i="37"/>
  <c r="AD21" i="37"/>
  <c r="AD18" i="37"/>
  <c r="AF1" i="58"/>
  <c r="AE1" i="58"/>
  <c r="AA1" i="58"/>
  <c r="AD1" i="58"/>
  <c r="Z1" i="58"/>
  <c r="V1" i="58"/>
  <c r="U1" i="58"/>
  <c r="A18" i="58"/>
  <c r="B18" i="58"/>
  <c r="B19" i="61" s="1"/>
  <c r="A19" i="58"/>
  <c r="B19" i="58"/>
  <c r="B20" i="61" s="1"/>
  <c r="A20" i="58"/>
  <c r="B20" i="58"/>
  <c r="B21" i="61" s="1"/>
  <c r="C3" i="58"/>
  <c r="C4" i="58"/>
  <c r="C5" i="58"/>
  <c r="C6" i="58"/>
  <c r="C7" i="58"/>
  <c r="C8" i="58"/>
  <c r="C9" i="58"/>
  <c r="E10" i="61" s="1"/>
  <c r="C10" i="58"/>
  <c r="C11" i="58"/>
  <c r="C12" i="58"/>
  <c r="C13" i="58"/>
  <c r="C14" i="58"/>
  <c r="C15" i="58"/>
  <c r="C16" i="58"/>
  <c r="C17" i="58"/>
  <c r="E18" i="61" s="1"/>
  <c r="C18" i="58"/>
  <c r="C19" i="58"/>
  <c r="C20" i="58"/>
  <c r="C2" i="58"/>
  <c r="B3" i="58"/>
  <c r="B4" i="61" s="1"/>
  <c r="B4" i="58"/>
  <c r="B5" i="61" s="1"/>
  <c r="B5" i="58"/>
  <c r="B6" i="61" s="1"/>
  <c r="B6" i="58"/>
  <c r="B7" i="61" s="1"/>
  <c r="B7" i="58"/>
  <c r="B8" i="61" s="1"/>
  <c r="B8" i="58"/>
  <c r="B9" i="61" s="1"/>
  <c r="B9" i="58"/>
  <c r="B10" i="61" s="1"/>
  <c r="B10" i="58"/>
  <c r="B11" i="61" s="1"/>
  <c r="B11" i="58"/>
  <c r="B12" i="61" s="1"/>
  <c r="B12" i="58"/>
  <c r="B13" i="61" s="1"/>
  <c r="B13" i="58"/>
  <c r="B14" i="61" s="1"/>
  <c r="B14" i="58"/>
  <c r="B15" i="61" s="1"/>
  <c r="B15" i="58"/>
  <c r="B16" i="61" s="1"/>
  <c r="B16" i="58"/>
  <c r="B17" i="61" s="1"/>
  <c r="B17" i="58"/>
  <c r="B33" i="58" s="1"/>
  <c r="B33" i="61" s="1"/>
  <c r="B2" i="58"/>
  <c r="B3" i="61" s="1"/>
  <c r="A9" i="58"/>
  <c r="A10" i="58"/>
  <c r="A11" i="58"/>
  <c r="A12" i="58"/>
  <c r="A13" i="58"/>
  <c r="A14" i="58"/>
  <c r="A15" i="58"/>
  <c r="A16" i="58"/>
  <c r="A17" i="58"/>
  <c r="A3" i="58"/>
  <c r="A4" i="58"/>
  <c r="A5" i="58"/>
  <c r="A6" i="58"/>
  <c r="A7" i="58"/>
  <c r="A8" i="58"/>
  <c r="A2" i="58"/>
  <c r="B45" i="46"/>
  <c r="B46" i="46" s="1"/>
  <c r="B47" i="46" s="1"/>
  <c r="B48" i="46" s="1"/>
  <c r="B49" i="46" s="1"/>
  <c r="B50" i="46" s="1"/>
  <c r="B51" i="46" s="1"/>
  <c r="B52" i="46" s="1"/>
  <c r="D47" i="46"/>
  <c r="D48" i="46" s="1"/>
  <c r="D49" i="46" s="1"/>
  <c r="D50" i="46" s="1"/>
  <c r="D51" i="46" s="1"/>
  <c r="D52" i="46" s="1"/>
  <c r="E47" i="46"/>
  <c r="E48" i="46"/>
  <c r="E49" i="46"/>
  <c r="E50" i="46" s="1"/>
  <c r="E51" i="46" s="1"/>
  <c r="E52" i="46" s="1"/>
  <c r="E46" i="46"/>
  <c r="F46" i="46"/>
  <c r="F47" i="46" s="1"/>
  <c r="F48" i="46" s="1"/>
  <c r="F49" i="46" s="1"/>
  <c r="F50" i="46" s="1"/>
  <c r="F51" i="46" s="1"/>
  <c r="F52" i="46" s="1"/>
  <c r="D46" i="46"/>
  <c r="F45" i="46"/>
  <c r="E45" i="46"/>
  <c r="D45" i="46"/>
  <c r="C46" i="46"/>
  <c r="Q46" i="46" s="1"/>
  <c r="C47" i="46"/>
  <c r="N47" i="46" s="1"/>
  <c r="C48" i="46"/>
  <c r="N48" i="46" s="1"/>
  <c r="C49" i="46"/>
  <c r="I49" i="46" s="1"/>
  <c r="C50" i="46"/>
  <c r="I50" i="46" s="1"/>
  <c r="C51" i="46"/>
  <c r="Q51" i="46" s="1"/>
  <c r="C52" i="46"/>
  <c r="C45" i="46"/>
  <c r="N45" i="46" s="1"/>
  <c r="P10" i="56"/>
  <c r="S10" i="56" s="1"/>
  <c r="N10" i="56" a="1"/>
  <c r="N10" i="56" s="1"/>
  <c r="M10" i="56" a="1"/>
  <c r="M10" i="56" s="1"/>
  <c r="O52" i="46" s="1"/>
  <c r="L10" i="56" a="1"/>
  <c r="L10" i="56" s="1"/>
  <c r="K10" i="56" a="1"/>
  <c r="K10" i="56" s="1"/>
  <c r="J10" i="56" a="1"/>
  <c r="J10" i="56" s="1"/>
  <c r="P9" i="56"/>
  <c r="S9" i="56" s="1"/>
  <c r="N9" i="56" a="1"/>
  <c r="N9" i="56" s="1"/>
  <c r="M9" i="56" a="1"/>
  <c r="M9" i="56" s="1"/>
  <c r="L9" i="56" a="1"/>
  <c r="L9" i="56" s="1"/>
  <c r="K9" i="56" a="1"/>
  <c r="K9" i="56" s="1"/>
  <c r="J9" i="56" a="1"/>
  <c r="J9" i="56" s="1"/>
  <c r="P8" i="56"/>
  <c r="S8" i="56" s="1"/>
  <c r="N8" i="56" a="1"/>
  <c r="N8" i="56" s="1"/>
  <c r="M8" i="56" a="1"/>
  <c r="M8" i="56" s="1"/>
  <c r="O50" i="46" s="1"/>
  <c r="L8" i="56" a="1"/>
  <c r="L8" i="56" s="1"/>
  <c r="K8" i="56" a="1"/>
  <c r="K8" i="56" s="1"/>
  <c r="J8" i="56" a="1"/>
  <c r="J8" i="56" s="1"/>
  <c r="P7" i="56"/>
  <c r="S7" i="56" s="1"/>
  <c r="L7" i="56" a="1"/>
  <c r="L7" i="56" s="1"/>
  <c r="K7" i="56" a="1"/>
  <c r="K7" i="56" s="1"/>
  <c r="K49" i="46" s="1"/>
  <c r="J7" i="56" a="1"/>
  <c r="J7" i="56" s="1"/>
  <c r="P6" i="56"/>
  <c r="S6" i="56" s="1"/>
  <c r="L6" i="56" a="1"/>
  <c r="L6" i="56" s="1"/>
  <c r="M48" i="46" s="1"/>
  <c r="K6" i="56" a="1"/>
  <c r="K6" i="56" s="1"/>
  <c r="J6" i="56" a="1"/>
  <c r="J6" i="56" s="1"/>
  <c r="P5" i="56"/>
  <c r="S5" i="56" s="1"/>
  <c r="L5" i="56" a="1"/>
  <c r="L5" i="56" s="1"/>
  <c r="M47" i="46" s="1"/>
  <c r="K5" i="56" a="1"/>
  <c r="K5" i="56" s="1"/>
  <c r="J5" i="56" a="1"/>
  <c r="J5" i="56" s="1"/>
  <c r="I47" i="46" s="1"/>
  <c r="P4" i="56"/>
  <c r="S4" i="56" s="1"/>
  <c r="N4" i="56" a="1"/>
  <c r="N4" i="56" s="1"/>
  <c r="M4" i="56" a="1"/>
  <c r="M4" i="56" s="1"/>
  <c r="L4" i="56" a="1"/>
  <c r="L4" i="56" s="1"/>
  <c r="M46" i="46" s="1"/>
  <c r="K4" i="56" a="1"/>
  <c r="K4" i="56" s="1"/>
  <c r="J4" i="56" a="1"/>
  <c r="J4" i="56" s="1"/>
  <c r="I46" i="46" s="1"/>
  <c r="P3" i="56"/>
  <c r="S3" i="56" s="1"/>
  <c r="N3" i="56" a="1"/>
  <c r="N3" i="56" s="1"/>
  <c r="M3" i="56" a="1"/>
  <c r="M3" i="56" s="1"/>
  <c r="O45" i="46" s="1"/>
  <c r="L3" i="56" a="1"/>
  <c r="L3" i="56" s="1"/>
  <c r="K3" i="56" a="1"/>
  <c r="K3" i="56" s="1"/>
  <c r="K45" i="46" s="1"/>
  <c r="J3" i="56" a="1"/>
  <c r="J3" i="56" s="1"/>
  <c r="N2" i="56"/>
  <c r="U2" i="56" s="1"/>
  <c r="M2" i="56"/>
  <c r="T2" i="56" s="1"/>
  <c r="L2" i="56"/>
  <c r="S2" i="56" s="1"/>
  <c r="K2" i="56"/>
  <c r="R2" i="56" s="1"/>
  <c r="J2" i="56"/>
  <c r="Q2" i="56" s="1"/>
  <c r="D24" i="46"/>
  <c r="E24" i="46"/>
  <c r="E25" i="46" s="1"/>
  <c r="E26" i="46" s="1"/>
  <c r="E27" i="46" s="1"/>
  <c r="E28" i="46" s="1"/>
  <c r="E29" i="46" s="1"/>
  <c r="E30" i="46" s="1"/>
  <c r="E31" i="46" s="1"/>
  <c r="E32" i="46" s="1"/>
  <c r="E33" i="46" s="1"/>
  <c r="E34" i="46" s="1"/>
  <c r="E35" i="46" s="1"/>
  <c r="E36" i="46" s="1"/>
  <c r="E37" i="46" s="1"/>
  <c r="E38" i="46" s="1"/>
  <c r="E39" i="46" s="1"/>
  <c r="E40" i="46" s="1"/>
  <c r="E41" i="46" s="1"/>
  <c r="E42" i="46" s="1"/>
  <c r="E43" i="46" s="1"/>
  <c r="E44" i="46" s="1"/>
  <c r="F24" i="46"/>
  <c r="F25" i="46" s="1"/>
  <c r="F26" i="46" s="1"/>
  <c r="F27" i="46" s="1"/>
  <c r="F28" i="46" s="1"/>
  <c r="F29" i="46" s="1"/>
  <c r="F30" i="46" s="1"/>
  <c r="F31" i="46" s="1"/>
  <c r="F32" i="46" s="1"/>
  <c r="F33" i="46" s="1"/>
  <c r="F34" i="46" s="1"/>
  <c r="F35" i="46" s="1"/>
  <c r="F36" i="46" s="1"/>
  <c r="F37" i="46" s="1"/>
  <c r="F38" i="46" s="1"/>
  <c r="F39" i="46" s="1"/>
  <c r="F40" i="46" s="1"/>
  <c r="F41" i="46" s="1"/>
  <c r="F42" i="46" s="1"/>
  <c r="F43" i="46" s="1"/>
  <c r="F44" i="46" s="1"/>
  <c r="D25" i="46"/>
  <c r="D26" i="46" s="1"/>
  <c r="D27" i="46" s="1"/>
  <c r="D28" i="46" s="1"/>
  <c r="D29" i="46" s="1"/>
  <c r="D30" i="46" s="1"/>
  <c r="D31" i="46" s="1"/>
  <c r="D32" i="46" s="1"/>
  <c r="D33" i="46" s="1"/>
  <c r="D34" i="46" s="1"/>
  <c r="D35" i="46" s="1"/>
  <c r="D36" i="46" s="1"/>
  <c r="D37" i="46" s="1"/>
  <c r="D38" i="46" s="1"/>
  <c r="D39" i="46" s="1"/>
  <c r="D40" i="46" s="1"/>
  <c r="D41" i="46" s="1"/>
  <c r="D42" i="46" s="1"/>
  <c r="D43" i="46" s="1"/>
  <c r="D44" i="46" s="1"/>
  <c r="F23" i="46"/>
  <c r="E23" i="46"/>
  <c r="F22" i="46"/>
  <c r="E22" i="46"/>
  <c r="D23" i="46"/>
  <c r="D22" i="46"/>
  <c r="C23" i="46"/>
  <c r="C24" i="46"/>
  <c r="C25" i="46"/>
  <c r="C26" i="46"/>
  <c r="C27" i="46"/>
  <c r="C28" i="46"/>
  <c r="C29" i="46"/>
  <c r="C30" i="46"/>
  <c r="C31" i="46"/>
  <c r="C32" i="46"/>
  <c r="C33" i="46"/>
  <c r="C34" i="46"/>
  <c r="I34" i="46" s="1"/>
  <c r="C35" i="46"/>
  <c r="I35" i="46" s="1"/>
  <c r="C36" i="46"/>
  <c r="I36" i="46" s="1"/>
  <c r="C37" i="46"/>
  <c r="C38" i="46"/>
  <c r="K38" i="46" s="1"/>
  <c r="C39" i="46"/>
  <c r="K39" i="46" s="1"/>
  <c r="C40" i="46"/>
  <c r="K40" i="46" s="1"/>
  <c r="C41" i="46"/>
  <c r="K41" i="46" s="1"/>
  <c r="C42" i="46"/>
  <c r="K42" i="46" s="1"/>
  <c r="C43" i="46"/>
  <c r="K43" i="46" s="1"/>
  <c r="C44" i="46"/>
  <c r="K44" i="46" s="1"/>
  <c r="C22" i="46"/>
  <c r="N22" i="46" s="1"/>
  <c r="B36" i="46"/>
  <c r="B37" i="46" s="1"/>
  <c r="B38" i="46" s="1"/>
  <c r="B39" i="46" s="1"/>
  <c r="B40" i="46" s="1"/>
  <c r="B41" i="46" s="1"/>
  <c r="B42" i="46" s="1"/>
  <c r="B43" i="46" s="1"/>
  <c r="B44" i="46" s="1"/>
  <c r="B23" i="46"/>
  <c r="B24" i="46" s="1"/>
  <c r="B25" i="46" s="1"/>
  <c r="B26" i="46" s="1"/>
  <c r="B27" i="46" s="1"/>
  <c r="B28" i="46" s="1"/>
  <c r="B29" i="46" s="1"/>
  <c r="B30" i="46" s="1"/>
  <c r="B31" i="46" s="1"/>
  <c r="B32" i="46" s="1"/>
  <c r="B33" i="46" s="1"/>
  <c r="B34" i="46" s="1"/>
  <c r="B35" i="46" s="1"/>
  <c r="K11" i="55" a="1"/>
  <c r="K11" i="55" s="1"/>
  <c r="L11" i="55" a="1"/>
  <c r="L11" i="55" s="1"/>
  <c r="M11" i="55" a="1"/>
  <c r="M11" i="55" s="1"/>
  <c r="O30" i="46" s="1"/>
  <c r="J19" i="55" a="1"/>
  <c r="J19" i="55" s="1"/>
  <c r="J20" i="55" a="1"/>
  <c r="J20" i="55" s="1"/>
  <c r="M18" i="55" a="1"/>
  <c r="M18" i="55" s="1"/>
  <c r="M19" i="55" a="1"/>
  <c r="M19" i="55" s="1"/>
  <c r="M20" i="55" a="1"/>
  <c r="M20" i="55" s="1"/>
  <c r="P22" i="55"/>
  <c r="Q22" i="55" s="1"/>
  <c r="P23" i="55"/>
  <c r="S23" i="55" s="1"/>
  <c r="R23" i="55"/>
  <c r="P24" i="55"/>
  <c r="Q24" i="55" s="1"/>
  <c r="P25" i="55"/>
  <c r="Q25" i="55" s="1"/>
  <c r="J22" i="55" a="1"/>
  <c r="J22" i="55" s="1"/>
  <c r="K22" i="55" a="1"/>
  <c r="K22" i="55" s="1"/>
  <c r="L22" i="55" a="1"/>
  <c r="L22" i="55" s="1"/>
  <c r="M22" i="55" a="1"/>
  <c r="M22" i="55" s="1"/>
  <c r="J23" i="55" a="1"/>
  <c r="J23" i="55" s="1"/>
  <c r="K23" i="55" a="1"/>
  <c r="K23" i="55" s="1"/>
  <c r="L23" i="55" a="1"/>
  <c r="L23" i="55" s="1"/>
  <c r="M23" i="55" a="1"/>
  <c r="M23" i="55" s="1"/>
  <c r="J24" i="55" a="1"/>
  <c r="J24" i="55" s="1"/>
  <c r="K24" i="55" a="1"/>
  <c r="K24" i="55" s="1"/>
  <c r="L24" i="55" a="1"/>
  <c r="L24" i="55" s="1"/>
  <c r="M24" i="55" a="1"/>
  <c r="M24" i="55" s="1"/>
  <c r="J25" i="55" a="1"/>
  <c r="J25" i="55" s="1"/>
  <c r="K25" i="55" a="1"/>
  <c r="K25" i="55" s="1"/>
  <c r="L25" i="55" a="1"/>
  <c r="L25" i="55" s="1"/>
  <c r="M25" i="55" a="1"/>
  <c r="M25" i="55" s="1"/>
  <c r="P21" i="55"/>
  <c r="M21" i="55" a="1"/>
  <c r="M21" i="55" s="1"/>
  <c r="L21" i="55" a="1"/>
  <c r="L21" i="55" s="1"/>
  <c r="K21" i="55" a="1"/>
  <c r="K21" i="55" s="1"/>
  <c r="J21" i="55" a="1"/>
  <c r="J21" i="55" s="1"/>
  <c r="P20" i="55"/>
  <c r="S20" i="55" s="1"/>
  <c r="L20" i="55" a="1"/>
  <c r="L20" i="55" s="1"/>
  <c r="K20" i="55" a="1"/>
  <c r="K20" i="55" s="1"/>
  <c r="P19" i="55"/>
  <c r="L19" i="55" a="1"/>
  <c r="L19" i="55" s="1"/>
  <c r="K19" i="55" a="1"/>
  <c r="K19" i="55" s="1"/>
  <c r="P18" i="55"/>
  <c r="L18" i="55" a="1"/>
  <c r="L18" i="55" s="1"/>
  <c r="J18" i="55" a="1"/>
  <c r="J18" i="55" s="1"/>
  <c r="P17" i="55"/>
  <c r="S17" i="55" s="1"/>
  <c r="M17" i="55" a="1"/>
  <c r="M17" i="55" s="1"/>
  <c r="L17" i="55" a="1"/>
  <c r="L17" i="55" s="1"/>
  <c r="J17" i="55" a="1"/>
  <c r="J17" i="55" s="1"/>
  <c r="P16" i="55"/>
  <c r="S16" i="55" s="1"/>
  <c r="M16" i="55" a="1"/>
  <c r="M16" i="55" s="1"/>
  <c r="L16" i="55" a="1"/>
  <c r="L16" i="55" s="1"/>
  <c r="K16" i="55" a="1"/>
  <c r="K16" i="55" s="1"/>
  <c r="J16" i="55" a="1"/>
  <c r="J16" i="55" s="1"/>
  <c r="P15" i="55"/>
  <c r="S15" i="55" s="1"/>
  <c r="M15" i="55" a="1"/>
  <c r="M15" i="55" s="1"/>
  <c r="L15" i="55" a="1"/>
  <c r="L15" i="55" s="1"/>
  <c r="J15" i="55" a="1"/>
  <c r="J15" i="55" s="1"/>
  <c r="P14" i="55"/>
  <c r="S14" i="55" s="1"/>
  <c r="M14" i="55" a="1"/>
  <c r="M14" i="55" s="1"/>
  <c r="O33" i="46" s="1"/>
  <c r="L14" i="55" a="1"/>
  <c r="L14" i="55" s="1"/>
  <c r="K14" i="55" a="1"/>
  <c r="K14" i="55" s="1"/>
  <c r="J14" i="55" a="1"/>
  <c r="J14" i="55" s="1"/>
  <c r="P13" i="55"/>
  <c r="S13" i="55" s="1"/>
  <c r="M13" i="55" a="1"/>
  <c r="M13" i="55" s="1"/>
  <c r="O32" i="46" s="1"/>
  <c r="L13" i="55" a="1"/>
  <c r="L13" i="55" s="1"/>
  <c r="K13" i="55" a="1"/>
  <c r="K13" i="55" s="1"/>
  <c r="J13" i="55" a="1"/>
  <c r="J13" i="55" s="1"/>
  <c r="P12" i="55"/>
  <c r="S12" i="55" s="1"/>
  <c r="M12" i="55" a="1"/>
  <c r="M12" i="55" s="1"/>
  <c r="O31" i="46" s="1"/>
  <c r="L12" i="55" a="1"/>
  <c r="L12" i="55" s="1"/>
  <c r="K12" i="55" a="1"/>
  <c r="K12" i="55" s="1"/>
  <c r="J12" i="55" a="1"/>
  <c r="J12" i="55" s="1"/>
  <c r="P11" i="55"/>
  <c r="S11" i="55" s="1"/>
  <c r="J11" i="55" a="1"/>
  <c r="J11" i="55" s="1"/>
  <c r="P10" i="55"/>
  <c r="S10" i="55" s="1"/>
  <c r="M10" i="55" a="1"/>
  <c r="M10" i="55" s="1"/>
  <c r="L10" i="55" a="1"/>
  <c r="L10" i="55" s="1"/>
  <c r="K10" i="55" a="1"/>
  <c r="K10" i="55" s="1"/>
  <c r="J10" i="55" a="1"/>
  <c r="J10" i="55" s="1"/>
  <c r="P9" i="55"/>
  <c r="S9" i="55" s="1"/>
  <c r="M9" i="55" a="1"/>
  <c r="M9" i="55" s="1"/>
  <c r="O28" i="46" s="1"/>
  <c r="L9" i="55" a="1"/>
  <c r="L9" i="55" s="1"/>
  <c r="K9" i="55" a="1"/>
  <c r="K9" i="55" s="1"/>
  <c r="J9" i="55" a="1"/>
  <c r="J9" i="55" s="1"/>
  <c r="P8" i="55"/>
  <c r="S8" i="55" s="1"/>
  <c r="M8" i="55" a="1"/>
  <c r="M8" i="55" s="1"/>
  <c r="O27" i="46" s="1"/>
  <c r="L8" i="55" a="1"/>
  <c r="L8" i="55" s="1"/>
  <c r="K8" i="55" a="1"/>
  <c r="K8" i="55" s="1"/>
  <c r="J8" i="55" a="1"/>
  <c r="J8" i="55" s="1"/>
  <c r="P7" i="55"/>
  <c r="S7" i="55" s="1"/>
  <c r="M7" i="55" a="1"/>
  <c r="M7" i="55" s="1"/>
  <c r="O26" i="46" s="1"/>
  <c r="L7" i="55" a="1"/>
  <c r="L7" i="55" s="1"/>
  <c r="K7" i="55" a="1"/>
  <c r="K7" i="55" s="1"/>
  <c r="J7" i="55" a="1"/>
  <c r="J7" i="55" s="1"/>
  <c r="P6" i="55"/>
  <c r="S6" i="55" s="1"/>
  <c r="M6" i="55" a="1"/>
  <c r="M6" i="55" s="1"/>
  <c r="O25" i="46" s="1"/>
  <c r="L6" i="55" a="1"/>
  <c r="L6" i="55" s="1"/>
  <c r="K6" i="55" a="1"/>
  <c r="K6" i="55" s="1"/>
  <c r="J6" i="55" a="1"/>
  <c r="J6" i="55" s="1"/>
  <c r="P5" i="55"/>
  <c r="S5" i="55" s="1"/>
  <c r="M5" i="55" a="1"/>
  <c r="M5" i="55" s="1"/>
  <c r="O24" i="46" s="1"/>
  <c r="L5" i="55" a="1"/>
  <c r="L5" i="55" s="1"/>
  <c r="K5" i="55" a="1"/>
  <c r="K5" i="55" s="1"/>
  <c r="J5" i="55" a="1"/>
  <c r="J5" i="55" s="1"/>
  <c r="P4" i="55"/>
  <c r="S4" i="55" s="1"/>
  <c r="M4" i="55" a="1"/>
  <c r="M4" i="55" s="1"/>
  <c r="O23" i="46" s="1"/>
  <c r="L4" i="55" a="1"/>
  <c r="L4" i="55" s="1"/>
  <c r="K4" i="55" a="1"/>
  <c r="K4" i="55" s="1"/>
  <c r="J4" i="55" a="1"/>
  <c r="J4" i="55" s="1"/>
  <c r="P3" i="55"/>
  <c r="S3" i="55" s="1"/>
  <c r="M3" i="55" a="1"/>
  <c r="M3" i="55" s="1"/>
  <c r="L3" i="55" a="1"/>
  <c r="L3" i="55" s="1"/>
  <c r="K3" i="55" a="1"/>
  <c r="K3" i="55" s="1"/>
  <c r="J3" i="55" a="1"/>
  <c r="J3" i="55" s="1"/>
  <c r="M2" i="55"/>
  <c r="T2" i="55" s="1"/>
  <c r="L2" i="55"/>
  <c r="S2" i="55" s="1"/>
  <c r="K2" i="55"/>
  <c r="R2" i="55" s="1"/>
  <c r="J2" i="55"/>
  <c r="Q2" i="55" s="1"/>
  <c r="Q2" i="46"/>
  <c r="P2" i="46"/>
  <c r="R2" i="46" s="1"/>
  <c r="O2" i="46"/>
  <c r="Q1" i="46"/>
  <c r="R1" i="46" s="1"/>
  <c r="O1" i="46"/>
  <c r="P1" i="46" s="1"/>
  <c r="N2" i="46"/>
  <c r="M2" i="46"/>
  <c r="N1" i="46"/>
  <c r="M1" i="46"/>
  <c r="L2" i="46"/>
  <c r="I2" i="46"/>
  <c r="K2" i="46"/>
  <c r="K1" i="46"/>
  <c r="L1" i="46" s="1"/>
  <c r="K3" i="7"/>
  <c r="B3" i="46"/>
  <c r="B4" i="46" s="1"/>
  <c r="B5" i="46" s="1"/>
  <c r="B6" i="46" s="1"/>
  <c r="B7" i="46" s="1"/>
  <c r="B8" i="46" s="1"/>
  <c r="B9" i="46" s="1"/>
  <c r="B10" i="46" s="1"/>
  <c r="B11" i="46" s="1"/>
  <c r="B12" i="46" s="1"/>
  <c r="B13" i="46" s="1"/>
  <c r="B14" i="46" s="1"/>
  <c r="B15" i="46" s="1"/>
  <c r="B16" i="46" s="1"/>
  <c r="B17" i="46" s="1"/>
  <c r="B18" i="46" s="1"/>
  <c r="B19" i="46" s="1"/>
  <c r="B20" i="46" s="1"/>
  <c r="B21" i="46" s="1"/>
  <c r="B22" i="46" s="1"/>
  <c r="B1" i="46"/>
  <c r="J2" i="46"/>
  <c r="H2" i="46"/>
  <c r="F4" i="46"/>
  <c r="F5" i="46" s="1"/>
  <c r="F6" i="46" s="1"/>
  <c r="F7" i="46" s="1"/>
  <c r="F8" i="46" s="1"/>
  <c r="F9" i="46" s="1"/>
  <c r="F10" i="46" s="1"/>
  <c r="F11" i="46" s="1"/>
  <c r="F12" i="46" s="1"/>
  <c r="F13" i="46" s="1"/>
  <c r="E3" i="46"/>
  <c r="E4" i="46" s="1"/>
  <c r="E5" i="46" s="1"/>
  <c r="E6" i="46" s="1"/>
  <c r="E7" i="46" s="1"/>
  <c r="E8" i="46" s="1"/>
  <c r="E9" i="46" s="1"/>
  <c r="E10" i="46" s="1"/>
  <c r="E11" i="46" s="1"/>
  <c r="E12" i="46" s="1"/>
  <c r="E13" i="46" s="1"/>
  <c r="E14" i="46" s="1"/>
  <c r="E15" i="46" s="1"/>
  <c r="E16" i="46" s="1"/>
  <c r="E17" i="46" s="1"/>
  <c r="E18" i="46" s="1"/>
  <c r="E19" i="46" s="1"/>
  <c r="E20" i="46" s="1"/>
  <c r="E21" i="46" s="1"/>
  <c r="F1" i="46"/>
  <c r="E1" i="46"/>
  <c r="G2" i="46"/>
  <c r="I1" i="46"/>
  <c r="J1" i="46" s="1"/>
  <c r="D3" i="46"/>
  <c r="D4" i="46" s="1"/>
  <c r="D5" i="46" s="1"/>
  <c r="D6" i="46" s="1"/>
  <c r="D7" i="46" s="1"/>
  <c r="D8" i="46" s="1"/>
  <c r="D9" i="46" s="1"/>
  <c r="D10" i="46" s="1"/>
  <c r="D11" i="46" s="1"/>
  <c r="D12" i="46" s="1"/>
  <c r="D13" i="46" s="1"/>
  <c r="D14" i="46" s="1"/>
  <c r="D15" i="46" s="1"/>
  <c r="D16" i="46" s="1"/>
  <c r="D17" i="46" s="1"/>
  <c r="D18" i="46" s="1"/>
  <c r="D19" i="46" s="1"/>
  <c r="D20" i="46" s="1"/>
  <c r="D21" i="46" s="1"/>
  <c r="C4" i="46"/>
  <c r="C5" i="46"/>
  <c r="I5" i="46" s="1"/>
  <c r="C6" i="46"/>
  <c r="C7" i="46"/>
  <c r="C8" i="46"/>
  <c r="I8" i="46" s="1"/>
  <c r="C10" i="46"/>
  <c r="C11" i="46"/>
  <c r="C12" i="46"/>
  <c r="K12" i="46" s="1"/>
  <c r="T11" i="58" s="1"/>
  <c r="C13" i="46"/>
  <c r="Q13" i="46" s="1"/>
  <c r="W12" i="58" s="1"/>
  <c r="K14" i="46"/>
  <c r="T13" i="58" s="1"/>
  <c r="C15" i="46"/>
  <c r="C16" i="46"/>
  <c r="C17" i="46"/>
  <c r="C18" i="46"/>
  <c r="C19" i="46"/>
  <c r="C20" i="46"/>
  <c r="K20" i="46" s="1"/>
  <c r="T19" i="58" s="1"/>
  <c r="C21" i="46"/>
  <c r="C3" i="46"/>
  <c r="U10" i="53"/>
  <c r="U11" i="53"/>
  <c r="U18" i="53"/>
  <c r="U19" i="53"/>
  <c r="S5" i="53"/>
  <c r="S13" i="53"/>
  <c r="S17" i="53"/>
  <c r="S21" i="53"/>
  <c r="R5" i="53"/>
  <c r="R6" i="53"/>
  <c r="R10" i="53"/>
  <c r="R13" i="53"/>
  <c r="R14" i="53"/>
  <c r="R17" i="53"/>
  <c r="R18" i="53"/>
  <c r="R21" i="53"/>
  <c r="Q5" i="53"/>
  <c r="Q6" i="53"/>
  <c r="Q10" i="53"/>
  <c r="Q13" i="53"/>
  <c r="Q14" i="53"/>
  <c r="Q17" i="53"/>
  <c r="Q18" i="53"/>
  <c r="Q21" i="53"/>
  <c r="P4" i="53"/>
  <c r="T4" i="53" s="1"/>
  <c r="P5" i="53"/>
  <c r="T5" i="53" s="1"/>
  <c r="P6" i="53"/>
  <c r="T6" i="53" s="1"/>
  <c r="P7" i="53"/>
  <c r="R7" i="53" s="1"/>
  <c r="P8" i="53"/>
  <c r="U8" i="53" s="1"/>
  <c r="P9" i="53"/>
  <c r="U9" i="53" s="1"/>
  <c r="P10" i="53"/>
  <c r="S10" i="53" s="1"/>
  <c r="P11" i="53"/>
  <c r="S11" i="53" s="1"/>
  <c r="P12" i="53"/>
  <c r="T12" i="53" s="1"/>
  <c r="P13" i="53"/>
  <c r="T13" i="53" s="1"/>
  <c r="P14" i="53"/>
  <c r="T14" i="53" s="1"/>
  <c r="P15" i="53"/>
  <c r="R15" i="53" s="1"/>
  <c r="P16" i="53"/>
  <c r="U16" i="53" s="1"/>
  <c r="P17" i="53"/>
  <c r="U17" i="53" s="1"/>
  <c r="P18" i="53"/>
  <c r="S18" i="53" s="1"/>
  <c r="P19" i="53"/>
  <c r="S19" i="53" s="1"/>
  <c r="P20" i="53"/>
  <c r="T20" i="53" s="1"/>
  <c r="P21" i="53"/>
  <c r="T21" i="53" s="1"/>
  <c r="P3" i="53"/>
  <c r="S3" i="53" s="1"/>
  <c r="N4" i="53" a="1"/>
  <c r="N4" i="53" s="1"/>
  <c r="N5" i="53" a="1"/>
  <c r="N5" i="53" s="1"/>
  <c r="N6" i="53" a="1"/>
  <c r="N6" i="53" s="1"/>
  <c r="N7" i="53" a="1"/>
  <c r="N7" i="53" s="1"/>
  <c r="N8" i="53" a="1"/>
  <c r="N8" i="53" s="1"/>
  <c r="N9" i="53" a="1"/>
  <c r="N9" i="53" s="1"/>
  <c r="N10" i="53" a="1"/>
  <c r="N10" i="53" s="1"/>
  <c r="N12" i="53" a="1"/>
  <c r="N12" i="53" s="1"/>
  <c r="N13" i="53" a="1"/>
  <c r="N13" i="53" s="1"/>
  <c r="N14" i="53" a="1"/>
  <c r="N14" i="53" s="1"/>
  <c r="N15" i="53" a="1"/>
  <c r="N15" i="53" s="1"/>
  <c r="N16" i="53" a="1"/>
  <c r="N16" i="53" s="1"/>
  <c r="N17" i="53" a="1"/>
  <c r="N17" i="53" s="1"/>
  <c r="N3" i="53" a="1"/>
  <c r="N3" i="53" s="1"/>
  <c r="M4" i="53" a="1"/>
  <c r="M4" i="53" s="1"/>
  <c r="M5" i="53" a="1"/>
  <c r="M5" i="53" s="1"/>
  <c r="M6" i="53" a="1"/>
  <c r="M6" i="53" s="1"/>
  <c r="M7" i="53" a="1"/>
  <c r="M7" i="53" s="1"/>
  <c r="M8" i="53" a="1"/>
  <c r="M8" i="53" s="1"/>
  <c r="M9" i="53" a="1"/>
  <c r="M9" i="53" s="1"/>
  <c r="M10" i="53" a="1"/>
  <c r="M10" i="53" s="1"/>
  <c r="M12" i="53" a="1"/>
  <c r="M12" i="53" s="1"/>
  <c r="M13" i="53" a="1"/>
  <c r="M13" i="53" s="1"/>
  <c r="M14" i="53" a="1"/>
  <c r="M14" i="53" s="1"/>
  <c r="M15" i="53" a="1"/>
  <c r="M15" i="53" s="1"/>
  <c r="M16" i="53" a="1"/>
  <c r="M16" i="53" s="1"/>
  <c r="M17" i="53" a="1"/>
  <c r="M17" i="53" s="1"/>
  <c r="M21" i="53" a="1"/>
  <c r="M21" i="53" s="1"/>
  <c r="M3" i="53" a="1"/>
  <c r="M3" i="53" s="1"/>
  <c r="L4" i="53" a="1"/>
  <c r="L4" i="53" s="1"/>
  <c r="M4" i="46" s="1"/>
  <c r="U3" i="58" s="1"/>
  <c r="L5" i="53" a="1"/>
  <c r="L5" i="53" s="1"/>
  <c r="L6" i="53" a="1"/>
  <c r="L6" i="53" s="1"/>
  <c r="L7" i="53" a="1"/>
  <c r="L7" i="53" s="1"/>
  <c r="L8" i="53" a="1"/>
  <c r="L8" i="53" s="1"/>
  <c r="L9" i="53" a="1"/>
  <c r="L9" i="53" s="1"/>
  <c r="L10" i="53" a="1"/>
  <c r="L10" i="53" s="1"/>
  <c r="L12" i="53" a="1"/>
  <c r="L12" i="53" s="1"/>
  <c r="L13" i="53" a="1"/>
  <c r="L13" i="53" s="1"/>
  <c r="L14" i="53" a="1"/>
  <c r="L14" i="53" s="1"/>
  <c r="L15" i="53" a="1"/>
  <c r="L15" i="53" s="1"/>
  <c r="L16" i="53" a="1"/>
  <c r="L16" i="53" s="1"/>
  <c r="L17" i="53" a="1"/>
  <c r="L17" i="53" s="1"/>
  <c r="L18" i="53" a="1"/>
  <c r="L18" i="53" s="1"/>
  <c r="L19" i="53" a="1"/>
  <c r="L19" i="53" s="1"/>
  <c r="L20" i="53" a="1"/>
  <c r="L20" i="53" s="1"/>
  <c r="L21" i="53" a="1"/>
  <c r="L21" i="53" s="1"/>
  <c r="L3" i="53" a="1"/>
  <c r="L3" i="53" s="1"/>
  <c r="K4" i="53" a="1"/>
  <c r="K4" i="53" s="1"/>
  <c r="K5" i="53" a="1"/>
  <c r="K5" i="53" s="1"/>
  <c r="K6" i="53" a="1"/>
  <c r="K6" i="53" s="1"/>
  <c r="K7" i="53" a="1"/>
  <c r="K7" i="53" s="1"/>
  <c r="K8" i="53" a="1"/>
  <c r="K8" i="53" s="1"/>
  <c r="K9" i="53" a="1"/>
  <c r="K9" i="53" s="1"/>
  <c r="K10" i="53" a="1"/>
  <c r="K10" i="53" s="1"/>
  <c r="K12" i="53" a="1"/>
  <c r="K12" i="53" s="1"/>
  <c r="K13" i="53" a="1"/>
  <c r="K13" i="53" s="1"/>
  <c r="K14" i="53" a="1"/>
  <c r="K14" i="53" s="1"/>
  <c r="K15" i="53" a="1"/>
  <c r="K15" i="53" s="1"/>
  <c r="K16" i="53" a="1"/>
  <c r="K16" i="53" s="1"/>
  <c r="K17" i="53" a="1"/>
  <c r="K17" i="53" s="1"/>
  <c r="K18" i="53" a="1"/>
  <c r="K18" i="53" s="1"/>
  <c r="K19" i="53" a="1"/>
  <c r="K19" i="53" s="1"/>
  <c r="K20" i="53" a="1"/>
  <c r="K20" i="53" s="1"/>
  <c r="K21" i="53" a="1"/>
  <c r="K21" i="53" s="1"/>
  <c r="K3" i="53" a="1"/>
  <c r="K3" i="53" s="1"/>
  <c r="J7" i="53" a="1"/>
  <c r="J7" i="53" s="1"/>
  <c r="J8" i="53" a="1"/>
  <c r="J8" i="53" s="1"/>
  <c r="J9" i="53" a="1"/>
  <c r="J9" i="53" s="1"/>
  <c r="J10" i="53" a="1"/>
  <c r="J10" i="53" s="1"/>
  <c r="J11" i="53" a="1"/>
  <c r="J11" i="53" s="1"/>
  <c r="J12" i="53" a="1"/>
  <c r="J12" i="53" s="1"/>
  <c r="J13" i="53" a="1"/>
  <c r="J13" i="53" s="1"/>
  <c r="J14" i="53" a="1"/>
  <c r="J14" i="53" s="1"/>
  <c r="J15" i="53" a="1"/>
  <c r="J15" i="53" s="1"/>
  <c r="I15" i="46" s="1"/>
  <c r="J16" i="53" a="1"/>
  <c r="J16" i="53" s="1"/>
  <c r="J17" i="53" a="1"/>
  <c r="J17" i="53" s="1"/>
  <c r="J18" i="53" a="1"/>
  <c r="J18" i="53" s="1"/>
  <c r="J21" i="53" a="1"/>
  <c r="J21" i="53" s="1"/>
  <c r="J4" i="53" a="1"/>
  <c r="J4" i="53" s="1"/>
  <c r="I4" i="46" s="1"/>
  <c r="J5" i="53" a="1"/>
  <c r="J5" i="53" s="1"/>
  <c r="J6" i="53" a="1"/>
  <c r="J6" i="53" s="1"/>
  <c r="J3" i="53" a="1"/>
  <c r="J3" i="53" s="1"/>
  <c r="N2" i="53"/>
  <c r="U2" i="53" s="1"/>
  <c r="M2" i="53"/>
  <c r="T2" i="53" s="1"/>
  <c r="L2" i="53"/>
  <c r="S2" i="53" s="1"/>
  <c r="K2" i="53"/>
  <c r="R2" i="53" s="1"/>
  <c r="J2" i="53"/>
  <c r="Q2" i="53" s="1"/>
  <c r="G10" i="38"/>
  <c r="X8" i="58" s="1"/>
  <c r="X29" i="58" l="1"/>
  <c r="H29" i="58" s="1" a="1"/>
  <c r="H29" i="58" s="1"/>
  <c r="J30" i="61" s="1"/>
  <c r="X27" i="58"/>
  <c r="F27" i="58" s="1" a="1"/>
  <c r="F27" i="58" s="1"/>
  <c r="G28" i="61" s="1"/>
  <c r="X25" i="58"/>
  <c r="X19" i="58"/>
  <c r="X17" i="58"/>
  <c r="X22" i="58"/>
  <c r="F22" i="58" s="1" a="1"/>
  <c r="F22" i="58" s="1"/>
  <c r="G23" i="61" s="1"/>
  <c r="X21" i="58"/>
  <c r="X2" i="58"/>
  <c r="X4" i="58"/>
  <c r="X5" i="58"/>
  <c r="X9" i="58"/>
  <c r="J28" i="58"/>
  <c r="L29" i="61" s="1"/>
  <c r="J23" i="58"/>
  <c r="L24" i="61" s="1"/>
  <c r="X30" i="58"/>
  <c r="J30" i="58" s="1"/>
  <c r="L31" i="61" s="1"/>
  <c r="X28" i="58"/>
  <c r="F28" i="58" s="1" a="1"/>
  <c r="F28" i="58" s="1"/>
  <c r="G29" i="61" s="1"/>
  <c r="X26" i="58"/>
  <c r="F26" i="58" s="1" a="1"/>
  <c r="F26" i="58" s="1"/>
  <c r="X20" i="58"/>
  <c r="X24" i="58"/>
  <c r="H24" i="58" s="1" a="1"/>
  <c r="H24" i="58" s="1"/>
  <c r="J25" i="61" s="1"/>
  <c r="X23" i="58"/>
  <c r="G23" i="58" s="1"/>
  <c r="H24" i="61" s="1"/>
  <c r="X16" i="58"/>
  <c r="X6" i="58"/>
  <c r="X7" i="58"/>
  <c r="X11" i="58"/>
  <c r="M6" i="58"/>
  <c r="M37" i="58"/>
  <c r="M12" i="58"/>
  <c r="K2" i="58"/>
  <c r="I36" i="58" a="1"/>
  <c r="I36" i="58" s="1"/>
  <c r="K32" i="58"/>
  <c r="H30" i="58" a="1"/>
  <c r="H30" i="58" s="1"/>
  <c r="J31" i="61" s="1"/>
  <c r="G29" i="58"/>
  <c r="H30" i="61" s="1"/>
  <c r="G24" i="58"/>
  <c r="H25" i="61" s="1"/>
  <c r="F23" i="58" a="1"/>
  <c r="F23" i="58" s="1"/>
  <c r="J21" i="58"/>
  <c r="I20" i="58" a="1"/>
  <c r="I20" i="58" s="1"/>
  <c r="M20" i="58" s="1"/>
  <c r="K16" i="58"/>
  <c r="K8" i="58"/>
  <c r="K38" i="58"/>
  <c r="K33" i="58"/>
  <c r="I31" i="58" a="1"/>
  <c r="I31" i="58" s="1"/>
  <c r="G30" i="58"/>
  <c r="H31" i="61" s="1"/>
  <c r="F29" i="58" a="1"/>
  <c r="F29" i="58" s="1"/>
  <c r="G30" i="61" s="1"/>
  <c r="J27" i="58"/>
  <c r="L28" i="61" s="1"/>
  <c r="H25" i="58" a="1"/>
  <c r="H25" i="58" s="1"/>
  <c r="J26" i="61" s="1"/>
  <c r="F24" i="58" a="1"/>
  <c r="F24" i="58" s="1"/>
  <c r="K17" i="58"/>
  <c r="I15" i="58" a="1"/>
  <c r="I15" i="58" s="1"/>
  <c r="K9" i="58"/>
  <c r="M9" i="58" s="1"/>
  <c r="I7" i="58" a="1"/>
  <c r="I7" i="58" s="1"/>
  <c r="M7" i="58" s="1"/>
  <c r="K3" i="58"/>
  <c r="I37" i="58" a="1"/>
  <c r="I37" i="58" s="1"/>
  <c r="I32" i="58" a="1"/>
  <c r="I32" i="58" s="1"/>
  <c r="F30" i="58" a="1"/>
  <c r="F30" i="58" s="1"/>
  <c r="G25" i="58"/>
  <c r="J22" i="58"/>
  <c r="L23" i="61" s="1"/>
  <c r="F19" i="58" a="1"/>
  <c r="F19" i="58" s="1"/>
  <c r="G20" i="61" s="1"/>
  <c r="I16" i="58" a="1"/>
  <c r="I16" i="58" s="1"/>
  <c r="K11" i="58"/>
  <c r="K10" i="58"/>
  <c r="I8" i="58" a="1"/>
  <c r="I8" i="58" s="1"/>
  <c r="M8" i="58" s="1"/>
  <c r="K4" i="58"/>
  <c r="K35" i="58"/>
  <c r="I33" i="58" a="1"/>
  <c r="I33" i="58" s="1"/>
  <c r="J29" i="58"/>
  <c r="H27" i="58" a="1"/>
  <c r="H27" i="58" s="1"/>
  <c r="J28" i="61" s="1"/>
  <c r="H22" i="58" a="1"/>
  <c r="H22" i="58" s="1"/>
  <c r="G21" i="58"/>
  <c r="K19" i="58"/>
  <c r="M19" i="58" s="1"/>
  <c r="I17" i="58" a="1"/>
  <c r="I17" i="58" s="1"/>
  <c r="I9" i="58" a="1"/>
  <c r="I9" i="58" s="1"/>
  <c r="I4" i="58" a="1"/>
  <c r="I4" i="58" s="1"/>
  <c r="I3" i="58" a="1"/>
  <c r="I3" i="58" s="1"/>
  <c r="I34" i="58" a="1"/>
  <c r="I34" i="58" s="1"/>
  <c r="H28" i="58" a="1"/>
  <c r="H28" i="58" s="1"/>
  <c r="G27" i="58"/>
  <c r="J24" i="58"/>
  <c r="L25" i="61" s="1"/>
  <c r="G22" i="58"/>
  <c r="I18" i="58" a="1"/>
  <c r="I18" i="58" s="1"/>
  <c r="M18" i="58" s="1"/>
  <c r="K14" i="58"/>
  <c r="M14" i="58" s="1"/>
  <c r="I11" i="58" a="1"/>
  <c r="I11" i="58" s="1"/>
  <c r="I10" i="58" a="1"/>
  <c r="I10" i="58" s="1"/>
  <c r="K6" i="58"/>
  <c r="G28" i="58"/>
  <c r="H23" i="58" a="1"/>
  <c r="H23" i="58" s="1"/>
  <c r="M36" i="58"/>
  <c r="M32" i="58"/>
  <c r="M16" i="58"/>
  <c r="M38" i="58"/>
  <c r="M34" i="58"/>
  <c r="L30" i="58"/>
  <c r="N31" i="61" s="1"/>
  <c r="E8" i="61"/>
  <c r="E11" i="61"/>
  <c r="E15" i="61"/>
  <c r="E16" i="61"/>
  <c r="E19" i="61"/>
  <c r="E7" i="61"/>
  <c r="E14" i="61"/>
  <c r="E6" i="61"/>
  <c r="E3" i="61"/>
  <c r="E12" i="61"/>
  <c r="E20" i="61"/>
  <c r="E4" i="61"/>
  <c r="E5" i="61"/>
  <c r="E9" i="61"/>
  <c r="E13" i="61"/>
  <c r="E17" i="61"/>
  <c r="E21" i="61"/>
  <c r="B18" i="61"/>
  <c r="B38" i="58"/>
  <c r="B38" i="61" s="1"/>
  <c r="B37" i="58"/>
  <c r="B37" i="61" s="1"/>
  <c r="B36" i="58"/>
  <c r="B36" i="61" s="1"/>
  <c r="B35" i="58"/>
  <c r="B35" i="61" s="1"/>
  <c r="B34" i="58"/>
  <c r="B34" i="61" s="1"/>
  <c r="F20" i="46"/>
  <c r="F21" i="46" s="1"/>
  <c r="S9" i="53"/>
  <c r="N9" i="46" s="1"/>
  <c r="Q9" i="53"/>
  <c r="J9" i="46" s="1"/>
  <c r="R9" i="53"/>
  <c r="L9" i="46" s="1"/>
  <c r="L10" i="59"/>
  <c r="L6" i="59"/>
  <c r="L8" i="59"/>
  <c r="L5" i="59"/>
  <c r="L9" i="59"/>
  <c r="L4" i="59"/>
  <c r="L7" i="59"/>
  <c r="L3" i="59"/>
  <c r="S1" i="58"/>
  <c r="Y1" i="58"/>
  <c r="AC1" i="58"/>
  <c r="T1" i="58"/>
  <c r="X1" i="58"/>
  <c r="AB1" i="58"/>
  <c r="P6" i="46"/>
  <c r="S16" i="53"/>
  <c r="S8" i="53"/>
  <c r="T19" i="53"/>
  <c r="T11" i="53"/>
  <c r="T3" i="53"/>
  <c r="U15" i="53"/>
  <c r="U7" i="53"/>
  <c r="M18" i="46"/>
  <c r="U17" i="58" s="1"/>
  <c r="N10" i="46"/>
  <c r="P21" i="46"/>
  <c r="M14" i="46"/>
  <c r="U13" i="58" s="1"/>
  <c r="P12" i="46"/>
  <c r="Q7" i="46"/>
  <c r="W6" i="58" s="1"/>
  <c r="M5" i="46"/>
  <c r="U4" i="58" s="1"/>
  <c r="Q20" i="53"/>
  <c r="Q12" i="53"/>
  <c r="Q4" i="53"/>
  <c r="J4" i="46" s="1"/>
  <c r="R20" i="53"/>
  <c r="R12" i="53"/>
  <c r="R4" i="53"/>
  <c r="L4" i="46" s="1"/>
  <c r="S15" i="53"/>
  <c r="N15" i="46" s="1"/>
  <c r="S7" i="53"/>
  <c r="T18" i="53"/>
  <c r="T10" i="53"/>
  <c r="U3" i="53"/>
  <c r="U14" i="53"/>
  <c r="R14" i="46" s="1"/>
  <c r="U6" i="53"/>
  <c r="Q17" i="46"/>
  <c r="W16" i="58" s="1"/>
  <c r="M9" i="46"/>
  <c r="U8" i="58" s="1"/>
  <c r="I7" i="46"/>
  <c r="O21" i="46"/>
  <c r="V20" i="58" s="1"/>
  <c r="K19" i="46"/>
  <c r="T18" i="58" s="1"/>
  <c r="G18" i="58" s="1"/>
  <c r="H19" i="61" s="1"/>
  <c r="L14" i="46"/>
  <c r="O12" i="46"/>
  <c r="V11" i="58" s="1"/>
  <c r="L5" i="46"/>
  <c r="Q19" i="53"/>
  <c r="J19" i="46" s="1"/>
  <c r="Q11" i="53"/>
  <c r="J11" i="46" s="1"/>
  <c r="R19" i="53"/>
  <c r="L19" i="46" s="1"/>
  <c r="R11" i="53"/>
  <c r="L11" i="46" s="1"/>
  <c r="R3" i="53"/>
  <c r="S14" i="53"/>
  <c r="S6" i="53"/>
  <c r="T17" i="53"/>
  <c r="P17" i="46" s="1"/>
  <c r="T9" i="53"/>
  <c r="P9" i="46" s="1"/>
  <c r="U21" i="53"/>
  <c r="R21" i="46" s="1"/>
  <c r="U13" i="53"/>
  <c r="U5" i="53"/>
  <c r="L8" i="46"/>
  <c r="I6" i="46"/>
  <c r="N21" i="46"/>
  <c r="Q6" i="46"/>
  <c r="W5" i="58" s="1"/>
  <c r="O4" i="46"/>
  <c r="V3" i="58" s="1"/>
  <c r="T16" i="53"/>
  <c r="P16" i="46" s="1"/>
  <c r="T8" i="53"/>
  <c r="U20" i="53"/>
  <c r="R20" i="46" s="1"/>
  <c r="U12" i="53"/>
  <c r="R12" i="46" s="1"/>
  <c r="U4" i="53"/>
  <c r="R4" i="46" s="1"/>
  <c r="O15" i="46"/>
  <c r="V14" i="58" s="1"/>
  <c r="K7" i="46"/>
  <c r="T6" i="58" s="1"/>
  <c r="I16" i="46"/>
  <c r="P20" i="46"/>
  <c r="O16" i="46"/>
  <c r="V15" i="58" s="1"/>
  <c r="P11" i="46"/>
  <c r="S20" i="53"/>
  <c r="N20" i="46" s="1"/>
  <c r="S12" i="53"/>
  <c r="S4" i="53"/>
  <c r="N4" i="46" s="1"/>
  <c r="T15" i="53"/>
  <c r="T7" i="53"/>
  <c r="P7" i="46" s="1"/>
  <c r="M3" i="46"/>
  <c r="U2" i="58" s="1"/>
  <c r="N14" i="46"/>
  <c r="K6" i="46"/>
  <c r="T5" i="58" s="1"/>
  <c r="N16" i="46"/>
  <c r="P13" i="46"/>
  <c r="N11" i="46"/>
  <c r="O6" i="46"/>
  <c r="V5" i="58" s="1"/>
  <c r="Q16" i="53"/>
  <c r="Q8" i="53"/>
  <c r="R16" i="53"/>
  <c r="L16" i="46" s="1"/>
  <c r="R8" i="53"/>
  <c r="K21" i="46"/>
  <c r="T20" i="58" s="1"/>
  <c r="M13" i="46"/>
  <c r="U12" i="58" s="1"/>
  <c r="Q5" i="46"/>
  <c r="W4" i="58" s="1"/>
  <c r="I14" i="46"/>
  <c r="S13" i="58" s="1"/>
  <c r="K3" i="46"/>
  <c r="T2" i="58" s="1"/>
  <c r="M20" i="46"/>
  <c r="U19" i="58" s="1"/>
  <c r="L13" i="46"/>
  <c r="P5" i="46"/>
  <c r="R19" i="46"/>
  <c r="Q15" i="53"/>
  <c r="Q7" i="53"/>
  <c r="I13" i="46"/>
  <c r="S12" i="58" s="1"/>
  <c r="G12" i="58" s="1"/>
  <c r="H13" i="61" s="1"/>
  <c r="O3" i="46"/>
  <c r="V2" i="58" s="1"/>
  <c r="L20" i="46"/>
  <c r="M15" i="46"/>
  <c r="U14" i="58" s="1"/>
  <c r="K13" i="46"/>
  <c r="T12" i="58" s="1"/>
  <c r="O5" i="46"/>
  <c r="V4" i="58" s="1"/>
  <c r="K4" i="46"/>
  <c r="T3" i="58" s="1"/>
  <c r="R18" i="46"/>
  <c r="M19" i="46"/>
  <c r="U18" i="58" s="1"/>
  <c r="I11" i="46"/>
  <c r="I12" i="46"/>
  <c r="Q3" i="46"/>
  <c r="W2" i="58" s="1"/>
  <c r="L15" i="46"/>
  <c r="Q12" i="46"/>
  <c r="W11" i="58" s="1"/>
  <c r="K8" i="46"/>
  <c r="T7" i="58" s="1"/>
  <c r="N5" i="46"/>
  <c r="R11" i="46"/>
  <c r="O51" i="46"/>
  <c r="N49" i="46"/>
  <c r="I45" i="46"/>
  <c r="N52" i="46"/>
  <c r="N51" i="46"/>
  <c r="N50" i="46"/>
  <c r="M49" i="46"/>
  <c r="K47" i="46"/>
  <c r="K46" i="46"/>
  <c r="Q50" i="46"/>
  <c r="M52" i="46"/>
  <c r="M51" i="46"/>
  <c r="M50" i="46"/>
  <c r="K48" i="46"/>
  <c r="Q45" i="46"/>
  <c r="K52" i="46"/>
  <c r="K51" i="46"/>
  <c r="K50" i="46"/>
  <c r="I48" i="46"/>
  <c r="M45" i="46"/>
  <c r="O46" i="46"/>
  <c r="Q52" i="46"/>
  <c r="I52" i="46"/>
  <c r="I51" i="46"/>
  <c r="N46" i="46"/>
  <c r="P23" i="46"/>
  <c r="R24" i="55"/>
  <c r="O22" i="46"/>
  <c r="J44" i="46"/>
  <c r="J43" i="46"/>
  <c r="J41" i="46"/>
  <c r="I37" i="46"/>
  <c r="O29" i="46"/>
  <c r="T14" i="55"/>
  <c r="P33" i="46" s="1"/>
  <c r="I44" i="46"/>
  <c r="I43" i="46"/>
  <c r="I42" i="46"/>
  <c r="I41" i="46"/>
  <c r="I40" i="46"/>
  <c r="I39" i="46"/>
  <c r="I38" i="46"/>
  <c r="O35" i="46"/>
  <c r="O34" i="46"/>
  <c r="N33" i="46"/>
  <c r="N32" i="46"/>
  <c r="N31" i="46"/>
  <c r="N30" i="46"/>
  <c r="N29" i="46"/>
  <c r="N28" i="46"/>
  <c r="N27" i="46"/>
  <c r="N26" i="46"/>
  <c r="N25" i="46"/>
  <c r="N24" i="46"/>
  <c r="N23" i="46"/>
  <c r="I22" i="46"/>
  <c r="P40" i="46"/>
  <c r="O36" i="46"/>
  <c r="N35" i="46"/>
  <c r="N34" i="46"/>
  <c r="M33" i="46"/>
  <c r="M32" i="46"/>
  <c r="M31" i="46"/>
  <c r="M30" i="46"/>
  <c r="M29" i="46"/>
  <c r="M28" i="46"/>
  <c r="M27" i="46"/>
  <c r="M26" i="46"/>
  <c r="M25" i="46"/>
  <c r="M24" i="46"/>
  <c r="M23" i="46"/>
  <c r="O44" i="46"/>
  <c r="O43" i="46"/>
  <c r="O42" i="46"/>
  <c r="O41" i="46"/>
  <c r="O40" i="46"/>
  <c r="O39" i="46"/>
  <c r="O38" i="46"/>
  <c r="O37" i="46"/>
  <c r="N36" i="46"/>
  <c r="M35" i="46"/>
  <c r="M34" i="46"/>
  <c r="L23" i="46"/>
  <c r="T22" i="55"/>
  <c r="P41" i="46" s="1"/>
  <c r="K22" i="46"/>
  <c r="N42" i="46"/>
  <c r="N39" i="46"/>
  <c r="M36" i="46"/>
  <c r="K33" i="46"/>
  <c r="K32" i="46"/>
  <c r="K31" i="46"/>
  <c r="K30" i="46"/>
  <c r="K29" i="46"/>
  <c r="K28" i="46"/>
  <c r="K27" i="46"/>
  <c r="K26" i="46"/>
  <c r="K25" i="46"/>
  <c r="K24" i="46"/>
  <c r="K23" i="46"/>
  <c r="T3" i="55"/>
  <c r="P22" i="46" s="1"/>
  <c r="M44" i="46"/>
  <c r="M43" i="46"/>
  <c r="M42" i="46"/>
  <c r="M41" i="46"/>
  <c r="M40" i="46"/>
  <c r="M39" i="46"/>
  <c r="M38" i="46"/>
  <c r="M37" i="46"/>
  <c r="K35" i="46"/>
  <c r="T24" i="55"/>
  <c r="P43" i="46" s="1"/>
  <c r="M22" i="46"/>
  <c r="L43" i="46"/>
  <c r="L42" i="46"/>
  <c r="L39" i="46"/>
  <c r="I33" i="46"/>
  <c r="I32" i="46"/>
  <c r="I31" i="46"/>
  <c r="I30" i="46"/>
  <c r="I29" i="46"/>
  <c r="I28" i="46"/>
  <c r="I27" i="46"/>
  <c r="I26" i="46"/>
  <c r="I25" i="46"/>
  <c r="I24" i="46"/>
  <c r="I23" i="46"/>
  <c r="S24" i="55"/>
  <c r="N43" i="46" s="1"/>
  <c r="R3" i="56"/>
  <c r="L45" i="46" s="1"/>
  <c r="R4" i="56"/>
  <c r="L46" i="46" s="1"/>
  <c r="R5" i="56"/>
  <c r="L47" i="46" s="1"/>
  <c r="R6" i="56"/>
  <c r="L48" i="46" s="1"/>
  <c r="R7" i="56"/>
  <c r="L49" i="46" s="1"/>
  <c r="R8" i="56"/>
  <c r="L50" i="46" s="1"/>
  <c r="R9" i="56"/>
  <c r="L51" i="46" s="1"/>
  <c r="R10" i="56"/>
  <c r="L52" i="46" s="1"/>
  <c r="T3" i="56"/>
  <c r="P45" i="46" s="1"/>
  <c r="T4" i="56"/>
  <c r="P46" i="46" s="1"/>
  <c r="T5" i="56"/>
  <c r="P47" i="46" s="1"/>
  <c r="T6" i="56"/>
  <c r="P48" i="46" s="1"/>
  <c r="T7" i="56"/>
  <c r="P49" i="46" s="1"/>
  <c r="T8" i="56"/>
  <c r="P50" i="46" s="1"/>
  <c r="T9" i="56"/>
  <c r="P51" i="46" s="1"/>
  <c r="T10" i="56"/>
  <c r="P52" i="46" s="1"/>
  <c r="U3" i="56"/>
  <c r="R45" i="46" s="1"/>
  <c r="U4" i="56"/>
  <c r="R46" i="46" s="1"/>
  <c r="U5" i="56"/>
  <c r="R47" i="46" s="1"/>
  <c r="U6" i="56"/>
  <c r="R48" i="46" s="1"/>
  <c r="U7" i="56"/>
  <c r="R49" i="46" s="1"/>
  <c r="U8" i="56"/>
  <c r="R50" i="46" s="1"/>
  <c r="U9" i="56"/>
  <c r="R51" i="46" s="1"/>
  <c r="U10" i="56"/>
  <c r="R52" i="46" s="1"/>
  <c r="Q3" i="56"/>
  <c r="J45" i="46" s="1"/>
  <c r="Q4" i="56"/>
  <c r="J46" i="46" s="1"/>
  <c r="Q5" i="56"/>
  <c r="J47" i="46" s="1"/>
  <c r="Q6" i="56"/>
  <c r="J48" i="46" s="1"/>
  <c r="Q7" i="56"/>
  <c r="J49" i="46" s="1"/>
  <c r="Q8" i="56"/>
  <c r="J50" i="46" s="1"/>
  <c r="Q9" i="56"/>
  <c r="J51" i="46" s="1"/>
  <c r="Q10" i="56"/>
  <c r="J52" i="46" s="1"/>
  <c r="Q23" i="55"/>
  <c r="J42" i="46" s="1"/>
  <c r="T25" i="55"/>
  <c r="P44" i="46" s="1"/>
  <c r="S22" i="55"/>
  <c r="N41" i="46" s="1"/>
  <c r="S25" i="55"/>
  <c r="N44" i="46" s="1"/>
  <c r="R22" i="55"/>
  <c r="L41" i="46" s="1"/>
  <c r="R25" i="55"/>
  <c r="L44" i="46" s="1"/>
  <c r="T23" i="55"/>
  <c r="P42" i="46" s="1"/>
  <c r="T5" i="55"/>
  <c r="P24" i="46" s="1"/>
  <c r="R3" i="55"/>
  <c r="L22" i="46" s="1"/>
  <c r="T4" i="55"/>
  <c r="T11" i="55"/>
  <c r="P30" i="46" s="1"/>
  <c r="T13" i="55"/>
  <c r="P32" i="46" s="1"/>
  <c r="R16" i="55"/>
  <c r="L35" i="46" s="1"/>
  <c r="R5" i="55"/>
  <c r="L24" i="46" s="1"/>
  <c r="T6" i="55"/>
  <c r="P25" i="46" s="1"/>
  <c r="T12" i="55"/>
  <c r="P31" i="46" s="1"/>
  <c r="T7" i="55"/>
  <c r="P26" i="46" s="1"/>
  <c r="R12" i="55"/>
  <c r="L31" i="46" s="1"/>
  <c r="R13" i="55"/>
  <c r="L32" i="46" s="1"/>
  <c r="R14" i="55"/>
  <c r="L33" i="46" s="1"/>
  <c r="T15" i="55"/>
  <c r="P34" i="46" s="1"/>
  <c r="T16" i="55"/>
  <c r="P35" i="46" s="1"/>
  <c r="R9" i="55"/>
  <c r="L28" i="46" s="1"/>
  <c r="T10" i="55"/>
  <c r="P29" i="46" s="1"/>
  <c r="S21" i="55"/>
  <c r="N40" i="46" s="1"/>
  <c r="R7" i="55"/>
  <c r="L26" i="46" s="1"/>
  <c r="T8" i="55"/>
  <c r="P27" i="46" s="1"/>
  <c r="T9" i="55"/>
  <c r="P28" i="46" s="1"/>
  <c r="T21" i="55"/>
  <c r="T17" i="55"/>
  <c r="P36" i="46" s="1"/>
  <c r="T20" i="55"/>
  <c r="P39" i="46" s="1"/>
  <c r="Q18" i="55"/>
  <c r="J37" i="46" s="1"/>
  <c r="R18" i="55"/>
  <c r="L37" i="46" s="1"/>
  <c r="S18" i="55"/>
  <c r="N37" i="46" s="1"/>
  <c r="Q19" i="55"/>
  <c r="J38" i="46" s="1"/>
  <c r="Q21" i="55"/>
  <c r="J40" i="46" s="1"/>
  <c r="R21" i="55"/>
  <c r="L40" i="46" s="1"/>
  <c r="T18" i="55"/>
  <c r="P37" i="46" s="1"/>
  <c r="R19" i="55"/>
  <c r="L38" i="46" s="1"/>
  <c r="Q3" i="55"/>
  <c r="J22" i="46" s="1"/>
  <c r="Q4" i="55"/>
  <c r="J23" i="46" s="1"/>
  <c r="Q5" i="55"/>
  <c r="J24" i="46" s="1"/>
  <c r="Q6" i="55"/>
  <c r="J25" i="46" s="1"/>
  <c r="Q7" i="55"/>
  <c r="J26" i="46" s="1"/>
  <c r="Q8" i="55"/>
  <c r="J27" i="46" s="1"/>
  <c r="Q9" i="55"/>
  <c r="J28" i="46" s="1"/>
  <c r="Q10" i="55"/>
  <c r="J29" i="46" s="1"/>
  <c r="Q11" i="55"/>
  <c r="J30" i="46" s="1"/>
  <c r="Q12" i="55"/>
  <c r="J31" i="46" s="1"/>
  <c r="Q13" i="55"/>
  <c r="J32" i="46" s="1"/>
  <c r="Q14" i="55"/>
  <c r="J33" i="46" s="1"/>
  <c r="Q15" i="55"/>
  <c r="J34" i="46" s="1"/>
  <c r="Q16" i="55"/>
  <c r="J35" i="46" s="1"/>
  <c r="Q17" i="55"/>
  <c r="J36" i="46" s="1"/>
  <c r="S19" i="55"/>
  <c r="N38" i="46" s="1"/>
  <c r="Q20" i="55"/>
  <c r="J39" i="46" s="1"/>
  <c r="R17" i="55"/>
  <c r="L36" i="46" s="1"/>
  <c r="T19" i="55"/>
  <c r="P38" i="46" s="1"/>
  <c r="R20" i="55"/>
  <c r="R4" i="55"/>
  <c r="R6" i="55"/>
  <c r="L25" i="46" s="1"/>
  <c r="R8" i="55"/>
  <c r="L27" i="46" s="1"/>
  <c r="R10" i="55"/>
  <c r="L29" i="46" s="1"/>
  <c r="R11" i="55"/>
  <c r="L30" i="46" s="1"/>
  <c r="R15" i="55"/>
  <c r="L34" i="46" s="1"/>
  <c r="O17" i="46"/>
  <c r="V16" i="58" s="1"/>
  <c r="K9" i="46"/>
  <c r="T8" i="58" s="1"/>
  <c r="M17" i="46"/>
  <c r="U16" i="58" s="1"/>
  <c r="Q9" i="46"/>
  <c r="W8" i="58" s="1"/>
  <c r="P8" i="46"/>
  <c r="O7" i="46"/>
  <c r="V6" i="58" s="1"/>
  <c r="N6" i="46"/>
  <c r="R16" i="46"/>
  <c r="R8" i="46"/>
  <c r="R7" i="46"/>
  <c r="I21" i="46"/>
  <c r="J14" i="46"/>
  <c r="J6" i="46"/>
  <c r="I3" i="46"/>
  <c r="N3" i="46"/>
  <c r="M21" i="46"/>
  <c r="U20" i="58" s="1"/>
  <c r="P19" i="46"/>
  <c r="L18" i="46"/>
  <c r="K17" i="46"/>
  <c r="T16" i="58" s="1"/>
  <c r="Q15" i="46"/>
  <c r="W14" i="58" s="1"/>
  <c r="P14" i="46"/>
  <c r="O13" i="46"/>
  <c r="V12" i="58" s="1"/>
  <c r="N12" i="46"/>
  <c r="P10" i="46"/>
  <c r="O9" i="46"/>
  <c r="V8" i="58" s="1"/>
  <c r="N8" i="46"/>
  <c r="M7" i="46"/>
  <c r="U6" i="58" s="1"/>
  <c r="L6" i="46"/>
  <c r="K5" i="46"/>
  <c r="T4" i="58" s="1"/>
  <c r="R3" i="46"/>
  <c r="R6" i="46"/>
  <c r="J10" i="46"/>
  <c r="L10" i="46"/>
  <c r="P18" i="46"/>
  <c r="N17" i="46"/>
  <c r="M16" i="46"/>
  <c r="U15" i="58" s="1"/>
  <c r="R17" i="46"/>
  <c r="J8" i="46"/>
  <c r="N18" i="46"/>
  <c r="K15" i="46"/>
  <c r="T14" i="58" s="1"/>
  <c r="Q10" i="46"/>
  <c r="W9" i="58" s="1"/>
  <c r="O8" i="46"/>
  <c r="V7" i="58" s="1"/>
  <c r="N7" i="46"/>
  <c r="M6" i="46"/>
  <c r="U5" i="58" s="1"/>
  <c r="R15" i="46"/>
  <c r="I18" i="46"/>
  <c r="I10" i="46"/>
  <c r="J21" i="46"/>
  <c r="J13" i="46"/>
  <c r="J5" i="46"/>
  <c r="J3" i="46"/>
  <c r="P3" i="46"/>
  <c r="L21" i="46"/>
  <c r="N19" i="46"/>
  <c r="K18" i="46"/>
  <c r="T17" i="58" s="1"/>
  <c r="Q16" i="46"/>
  <c r="W15" i="58" s="1"/>
  <c r="P15" i="46"/>
  <c r="O14" i="46"/>
  <c r="V13" i="58" s="1"/>
  <c r="N13" i="46"/>
  <c r="M12" i="46"/>
  <c r="U11" i="58" s="1"/>
  <c r="O10" i="46"/>
  <c r="V9" i="58" s="1"/>
  <c r="M8" i="46"/>
  <c r="U7" i="58" s="1"/>
  <c r="L7" i="46"/>
  <c r="Q4" i="46"/>
  <c r="W3" i="58" s="1"/>
  <c r="R13" i="46"/>
  <c r="R5" i="46"/>
  <c r="M10" i="46"/>
  <c r="U9" i="58" s="1"/>
  <c r="J18" i="46"/>
  <c r="R10" i="46"/>
  <c r="J17" i="46"/>
  <c r="K10" i="46"/>
  <c r="T9" i="58" s="1"/>
  <c r="Q8" i="46"/>
  <c r="W7" i="58" s="1"/>
  <c r="R9" i="46"/>
  <c r="J16" i="46"/>
  <c r="J15" i="46"/>
  <c r="J7" i="46"/>
  <c r="L3" i="46"/>
  <c r="L17" i="46"/>
  <c r="K16" i="46"/>
  <c r="T15" i="58" s="1"/>
  <c r="Q14" i="46"/>
  <c r="W13" i="58" s="1"/>
  <c r="I17" i="46"/>
  <c r="I9" i="46"/>
  <c r="S8" i="58" s="1"/>
  <c r="J20" i="46"/>
  <c r="J12" i="46"/>
  <c r="L12" i="46"/>
  <c r="P4" i="46"/>
  <c r="G9" i="38"/>
  <c r="S3" i="58" s="1"/>
  <c r="E28" i="58" l="1"/>
  <c r="F29" i="61" s="1"/>
  <c r="H29" i="61"/>
  <c r="I29" i="61" s="1"/>
  <c r="F7" i="58" a="1"/>
  <c r="F7" i="58" s="1"/>
  <c r="G8" i="61" s="1"/>
  <c r="J3" i="58"/>
  <c r="L4" i="61" s="1"/>
  <c r="S5" i="58"/>
  <c r="G5" i="58" s="1"/>
  <c r="H6" i="61" s="1"/>
  <c r="I6" i="61" s="1"/>
  <c r="E27" i="58"/>
  <c r="F28" i="61" s="1"/>
  <c r="H28" i="61"/>
  <c r="I28" i="61" s="1"/>
  <c r="L22" i="61"/>
  <c r="F21" i="58" a="1"/>
  <c r="F21" i="58" s="1"/>
  <c r="G22" i="61" s="1"/>
  <c r="H21" i="58" a="1"/>
  <c r="H21" i="58" s="1"/>
  <c r="J22" i="61" s="1"/>
  <c r="G27" i="61"/>
  <c r="E23" i="58"/>
  <c r="F24" i="61" s="1"/>
  <c r="G24" i="61"/>
  <c r="S7" i="58"/>
  <c r="S17" i="58"/>
  <c r="G17" i="58" s="1"/>
  <c r="H18" i="61" s="1"/>
  <c r="S2" i="58"/>
  <c r="G2" i="58" s="1"/>
  <c r="H3" i="61" s="1"/>
  <c r="S14" i="58"/>
  <c r="J14" i="58" s="1"/>
  <c r="L15" i="61" s="1"/>
  <c r="E22" i="58"/>
  <c r="F23" i="61" s="1"/>
  <c r="H23" i="61"/>
  <c r="I23" i="61" s="1"/>
  <c r="L29" i="58"/>
  <c r="N30" i="61" s="1"/>
  <c r="L30" i="61"/>
  <c r="S9" i="58"/>
  <c r="L28" i="58"/>
  <c r="N29" i="61" s="1"/>
  <c r="J29" i="61"/>
  <c r="S4" i="58"/>
  <c r="J4" i="58" s="1"/>
  <c r="G4" i="58"/>
  <c r="H5" i="61" s="1"/>
  <c r="S6" i="58"/>
  <c r="F6" i="58" s="1" a="1"/>
  <c r="F6" i="58" s="1"/>
  <c r="G7" i="61" s="1"/>
  <c r="H22" i="61"/>
  <c r="E24" i="58"/>
  <c r="F25" i="61" s="1"/>
  <c r="G25" i="61"/>
  <c r="I25" i="61" s="1"/>
  <c r="J26" i="58"/>
  <c r="L27" i="61" s="1"/>
  <c r="I24" i="61"/>
  <c r="G9" i="58"/>
  <c r="H10" i="61" s="1"/>
  <c r="S11" i="58"/>
  <c r="G11" i="58" s="1"/>
  <c r="H12" i="61" s="1"/>
  <c r="L27" i="58"/>
  <c r="N28" i="61" s="1"/>
  <c r="L22" i="58"/>
  <c r="N23" i="61" s="1"/>
  <c r="J23" i="61"/>
  <c r="H26" i="61"/>
  <c r="I30" i="61"/>
  <c r="J25" i="58"/>
  <c r="F25" i="58" a="1"/>
  <c r="F25" i="58" s="1"/>
  <c r="G26" i="61" s="1"/>
  <c r="L23" i="58"/>
  <c r="N24" i="61" s="1"/>
  <c r="J24" i="61"/>
  <c r="F9" i="58" a="1"/>
  <c r="F9" i="58" s="1"/>
  <c r="F16" i="58" a="1"/>
  <c r="F16" i="58" s="1"/>
  <c r="S20" i="58"/>
  <c r="G20" i="58" s="1"/>
  <c r="H21" i="61" s="1"/>
  <c r="S10" i="58"/>
  <c r="F10" i="58" s="1" a="1"/>
  <c r="F10" i="58" s="1"/>
  <c r="G11" i="61" s="1"/>
  <c r="S15" i="58"/>
  <c r="H15" i="58" s="1" a="1"/>
  <c r="H15" i="58" s="1"/>
  <c r="J16" i="61" s="1"/>
  <c r="G3" i="58"/>
  <c r="H4" i="61" s="1"/>
  <c r="L24" i="58"/>
  <c r="N25" i="61" s="1"/>
  <c r="H26" i="58" a="1"/>
  <c r="H26" i="58" s="1"/>
  <c r="J27" i="61" s="1"/>
  <c r="E30" i="58"/>
  <c r="F31" i="61" s="1"/>
  <c r="G31" i="61"/>
  <c r="S16" i="58"/>
  <c r="G16" i="58" s="1"/>
  <c r="H17" i="61" s="1"/>
  <c r="I31" i="61"/>
  <c r="G26" i="58"/>
  <c r="H27" i="61" s="1"/>
  <c r="I27" i="61" s="1"/>
  <c r="E19" i="58"/>
  <c r="F20" i="61" s="1"/>
  <c r="H13" i="58" a="1"/>
  <c r="H13" i="58" s="1"/>
  <c r="J14" i="61" s="1"/>
  <c r="J13" i="58"/>
  <c r="H3" i="58" a="1"/>
  <c r="H3" i="58" s="1"/>
  <c r="F17" i="58" a="1"/>
  <c r="F17" i="58" s="1"/>
  <c r="H7" i="58" a="1"/>
  <c r="H7" i="58" s="1"/>
  <c r="J8" i="61" s="1"/>
  <c r="F12" i="58" a="1"/>
  <c r="F12" i="58" s="1"/>
  <c r="J7" i="58"/>
  <c r="J20" i="58"/>
  <c r="F20" i="58" a="1"/>
  <c r="F20" i="58" s="1"/>
  <c r="H20" i="58" a="1"/>
  <c r="H20" i="58" s="1"/>
  <c r="J21" i="61" s="1"/>
  <c r="J5" i="58"/>
  <c r="J18" i="58"/>
  <c r="L19" i="61" s="1"/>
  <c r="F13" i="58" a="1"/>
  <c r="F13" i="58" s="1"/>
  <c r="E29" i="58"/>
  <c r="F30" i="61" s="1"/>
  <c r="G13" i="58"/>
  <c r="H14" i="61" s="1"/>
  <c r="H9" i="58" a="1"/>
  <c r="H9" i="58" s="1"/>
  <c r="J10" i="61" s="1"/>
  <c r="J9" i="58"/>
  <c r="M4" i="58"/>
  <c r="M10" i="58"/>
  <c r="G14" i="58"/>
  <c r="H15" i="61" s="1"/>
  <c r="L26" i="58"/>
  <c r="N27" i="61" s="1"/>
  <c r="G7" i="58"/>
  <c r="M31" i="58"/>
  <c r="J10" i="58"/>
  <c r="H8" i="58" a="1"/>
  <c r="H8" i="58" s="1"/>
  <c r="J9" i="61" s="1"/>
  <c r="J8" i="58"/>
  <c r="L9" i="61" s="1"/>
  <c r="J16" i="58"/>
  <c r="L17" i="61" s="1"/>
  <c r="M35" i="58"/>
  <c r="M11" i="58"/>
  <c r="M3" i="58"/>
  <c r="F4" i="58" a="1"/>
  <c r="F4" i="58" s="1"/>
  <c r="H18" i="58" a="1"/>
  <c r="H18" i="58" s="1"/>
  <c r="J19" i="61" s="1"/>
  <c r="G10" i="58"/>
  <c r="F3" i="58" a="1"/>
  <c r="F3" i="58" s="1"/>
  <c r="H6" i="58" a="1"/>
  <c r="H6" i="58" s="1"/>
  <c r="J7" i="61" s="1"/>
  <c r="G8" i="58"/>
  <c r="H9" i="61" s="1"/>
  <c r="F5" i="58" a="1"/>
  <c r="F5" i="58" s="1"/>
  <c r="G6" i="61" s="1"/>
  <c r="M33" i="58"/>
  <c r="F18" i="58" a="1"/>
  <c r="F18" i="58" s="1"/>
  <c r="H12" i="58" a="1"/>
  <c r="H12" i="58" s="1"/>
  <c r="J13" i="61" s="1"/>
  <c r="J12" i="58"/>
  <c r="L13" i="61" s="1"/>
  <c r="H17" i="58" a="1"/>
  <c r="H17" i="58" s="1"/>
  <c r="J18" i="61" s="1"/>
  <c r="J17" i="58"/>
  <c r="G6" i="58"/>
  <c r="G19" i="58"/>
  <c r="H20" i="61" s="1"/>
  <c r="I20" i="61" s="1"/>
  <c r="H19" i="58" a="1"/>
  <c r="H19" i="58" s="1"/>
  <c r="J20" i="61" s="1"/>
  <c r="F8" i="58" a="1"/>
  <c r="F8" i="58" s="1"/>
  <c r="G9" i="61" s="1"/>
  <c r="J19" i="58"/>
  <c r="J2" i="58"/>
  <c r="L3" i="61" s="1"/>
  <c r="M2" i="58"/>
  <c r="G15" i="38"/>
  <c r="F15" i="38"/>
  <c r="E15" i="38"/>
  <c r="D15" i="38"/>
  <c r="C15" i="38"/>
  <c r="B15" i="38"/>
  <c r="G11" i="38"/>
  <c r="F11" i="38"/>
  <c r="E11" i="38"/>
  <c r="D11" i="38"/>
  <c r="C11" i="38"/>
  <c r="G19" i="38"/>
  <c r="F19" i="38"/>
  <c r="E19" i="38"/>
  <c r="D19" i="38"/>
  <c r="C19" i="38"/>
  <c r="F22" i="38"/>
  <c r="E22" i="38"/>
  <c r="D22" i="38"/>
  <c r="C22" i="38"/>
  <c r="F25" i="38"/>
  <c r="E25" i="38"/>
  <c r="D25" i="38"/>
  <c r="C25" i="38"/>
  <c r="L5" i="61" l="1"/>
  <c r="E12" i="58"/>
  <c r="F13" i="61" s="1"/>
  <c r="G13" i="61"/>
  <c r="I13" i="61" s="1"/>
  <c r="AF36" i="58"/>
  <c r="AF37" i="58"/>
  <c r="AF38" i="58"/>
  <c r="AF31" i="58"/>
  <c r="AF32" i="58"/>
  <c r="H15" i="38"/>
  <c r="L11" i="61"/>
  <c r="J6" i="58"/>
  <c r="L7" i="61" s="1"/>
  <c r="H10" i="58" a="1"/>
  <c r="H10" i="58" s="1"/>
  <c r="J11" i="61" s="1"/>
  <c r="L9" i="58"/>
  <c r="N10" i="61" s="1"/>
  <c r="L10" i="61"/>
  <c r="H5" i="58" a="1"/>
  <c r="H5" i="58" s="1"/>
  <c r="J6" i="61" s="1"/>
  <c r="E17" i="58"/>
  <c r="F18" i="61" s="1"/>
  <c r="G18" i="61"/>
  <c r="I26" i="61"/>
  <c r="E26" i="58"/>
  <c r="F27" i="61" s="1"/>
  <c r="I5" i="61"/>
  <c r="L26" i="61"/>
  <c r="L25" i="58"/>
  <c r="N26" i="61" s="1"/>
  <c r="E4" i="58"/>
  <c r="F5" i="61" s="1"/>
  <c r="G5" i="61"/>
  <c r="F15" i="58" a="1"/>
  <c r="F15" i="58" s="1"/>
  <c r="F11" i="58" a="1"/>
  <c r="F11" i="58" s="1"/>
  <c r="E9" i="58"/>
  <c r="F10" i="61" s="1"/>
  <c r="G10" i="61"/>
  <c r="I10" i="61" s="1"/>
  <c r="I18" i="61"/>
  <c r="F14" i="58" a="1"/>
  <c r="F14" i="58" s="1"/>
  <c r="G15" i="61" s="1"/>
  <c r="L17" i="58"/>
  <c r="N18" i="61" s="1"/>
  <c r="L18" i="61"/>
  <c r="I9" i="61"/>
  <c r="G15" i="58"/>
  <c r="H16" i="61" s="1"/>
  <c r="L3" i="58"/>
  <c r="N4" i="61" s="1"/>
  <c r="J4" i="61"/>
  <c r="E18" i="58"/>
  <c r="F19" i="61" s="1"/>
  <c r="G19" i="61"/>
  <c r="I19" i="61" s="1"/>
  <c r="E7" i="58"/>
  <c r="F8" i="61" s="1"/>
  <c r="H8" i="61"/>
  <c r="I8" i="61" s="1"/>
  <c r="H4" i="58" a="1"/>
  <c r="H4" i="58" s="1"/>
  <c r="J5" i="61" s="1"/>
  <c r="F2" i="58" a="1"/>
  <c r="F2" i="58" s="1"/>
  <c r="H11" i="58" a="1"/>
  <c r="H11" i="58" s="1"/>
  <c r="J12" i="61" s="1"/>
  <c r="J15" i="58"/>
  <c r="L20" i="58"/>
  <c r="N21" i="61" s="1"/>
  <c r="L21" i="61"/>
  <c r="L13" i="58"/>
  <c r="N14" i="61" s="1"/>
  <c r="L14" i="61"/>
  <c r="I22" i="61"/>
  <c r="L19" i="58"/>
  <c r="N20" i="61" s="1"/>
  <c r="L20" i="61"/>
  <c r="E10" i="58"/>
  <c r="F11" i="61" s="1"/>
  <c r="H11" i="61"/>
  <c r="I11" i="61" s="1"/>
  <c r="L5" i="58"/>
  <c r="N6" i="61" s="1"/>
  <c r="L6" i="61"/>
  <c r="H11" i="38"/>
  <c r="AB33" i="58"/>
  <c r="AB35" i="58"/>
  <c r="AB37" i="58"/>
  <c r="AB31" i="58"/>
  <c r="AB32" i="58"/>
  <c r="AB34" i="58"/>
  <c r="AB36" i="58"/>
  <c r="AB38" i="58"/>
  <c r="E6" i="58"/>
  <c r="F7" i="61" s="1"/>
  <c r="H7" i="61"/>
  <c r="I7" i="61" s="1"/>
  <c r="E16" i="58"/>
  <c r="F17" i="61" s="1"/>
  <c r="G17" i="61"/>
  <c r="I17" i="61" s="1"/>
  <c r="E25" i="58"/>
  <c r="F26" i="61" s="1"/>
  <c r="H2" i="58" a="1"/>
  <c r="H2" i="58" s="1"/>
  <c r="J3" i="61" s="1"/>
  <c r="J11" i="58"/>
  <c r="L12" i="61" s="1"/>
  <c r="E20" i="58"/>
  <c r="F21" i="61" s="1"/>
  <c r="G21" i="61"/>
  <c r="I21" i="61" s="1"/>
  <c r="AC33" i="58"/>
  <c r="AC35" i="58"/>
  <c r="AC37" i="58"/>
  <c r="H19" i="38"/>
  <c r="AC31" i="58"/>
  <c r="AC34" i="58"/>
  <c r="AC36" i="58"/>
  <c r="AC32" i="58"/>
  <c r="AC38" i="58"/>
  <c r="E3" i="58"/>
  <c r="F4" i="61" s="1"/>
  <c r="G4" i="61"/>
  <c r="H16" i="58" a="1"/>
  <c r="H16" i="58" s="1"/>
  <c r="J17" i="61" s="1"/>
  <c r="H14" i="58" a="1"/>
  <c r="H14" i="58" s="1"/>
  <c r="J15" i="61" s="1"/>
  <c r="E21" i="58"/>
  <c r="F22" i="61" s="1"/>
  <c r="L21" i="58"/>
  <c r="N22" i="61" s="1"/>
  <c r="I15" i="61"/>
  <c r="E13" i="58"/>
  <c r="F14" i="61" s="1"/>
  <c r="G14" i="61"/>
  <c r="I14" i="61" s="1"/>
  <c r="L7" i="58"/>
  <c r="N8" i="61" s="1"/>
  <c r="L8" i="61"/>
  <c r="I4" i="61"/>
  <c r="L8" i="58"/>
  <c r="N9" i="61" s="1"/>
  <c r="L14" i="58"/>
  <c r="N15" i="61" s="1"/>
  <c r="E8" i="58"/>
  <c r="F9" i="61" s="1"/>
  <c r="L6" i="58"/>
  <c r="N7" i="61" s="1"/>
  <c r="E14" i="58"/>
  <c r="F15" i="61" s="1"/>
  <c r="L12" i="58"/>
  <c r="N13" i="61" s="1"/>
  <c r="E5" i="58"/>
  <c r="F6" i="61" s="1"/>
  <c r="L16" i="58"/>
  <c r="N17" i="61" s="1"/>
  <c r="L18" i="58"/>
  <c r="N19" i="61" s="1"/>
  <c r="L2" i="58"/>
  <c r="N3" i="61" s="1"/>
  <c r="F21" i="38"/>
  <c r="E21" i="38"/>
  <c r="D21" i="38"/>
  <c r="C21" i="38"/>
  <c r="F18" i="38"/>
  <c r="E18" i="38"/>
  <c r="D18" i="38"/>
  <c r="C18" i="38"/>
  <c r="B18" i="38"/>
  <c r="B19" i="38" s="1"/>
  <c r="B17" i="38"/>
  <c r="H10" i="38"/>
  <c r="F10" i="38"/>
  <c r="E10" i="38"/>
  <c r="D10" i="38"/>
  <c r="C10" i="38"/>
  <c r="B10" i="38"/>
  <c r="B11" i="38" s="1"/>
  <c r="B9" i="38"/>
  <c r="F24" i="38"/>
  <c r="E24" i="38"/>
  <c r="D24" i="38"/>
  <c r="C24" i="38"/>
  <c r="B24" i="38"/>
  <c r="B25" i="38" s="1"/>
  <c r="B23" i="38"/>
  <c r="H38" i="58" l="1" a="1"/>
  <c r="H38" i="58" s="1"/>
  <c r="J39" i="61" s="1"/>
  <c r="J38" i="58"/>
  <c r="G38" i="58"/>
  <c r="F38" i="58" a="1"/>
  <c r="F38" i="58" s="1"/>
  <c r="G39" i="61" s="1"/>
  <c r="E15" i="58"/>
  <c r="F16" i="61" s="1"/>
  <c r="G16" i="61"/>
  <c r="I16" i="61"/>
  <c r="E11" i="58"/>
  <c r="F12" i="61" s="1"/>
  <c r="G12" i="61"/>
  <c r="I12" i="61" s="1"/>
  <c r="H34" i="58" a="1"/>
  <c r="H34" i="58" s="1"/>
  <c r="J35" i="61" s="1"/>
  <c r="F34" i="58" a="1"/>
  <c r="F34" i="58" s="1"/>
  <c r="G34" i="58"/>
  <c r="H35" i="61" s="1"/>
  <c r="J34" i="58"/>
  <c r="E2" i="58"/>
  <c r="F3" i="61" s="1"/>
  <c r="G3" i="61"/>
  <c r="I3" i="61" s="1"/>
  <c r="J32" i="58"/>
  <c r="H32" i="58" a="1"/>
  <c r="H32" i="58" s="1"/>
  <c r="J33" i="61" s="1"/>
  <c r="F32" i="58" a="1"/>
  <c r="F32" i="58" s="1"/>
  <c r="G33" i="61" s="1"/>
  <c r="G32" i="58"/>
  <c r="L10" i="58"/>
  <c r="N11" i="61" s="1"/>
  <c r="J35" i="58"/>
  <c r="G35" i="58"/>
  <c r="H36" i="61" s="1"/>
  <c r="F35" i="58" a="1"/>
  <c r="F35" i="58" s="1"/>
  <c r="H35" i="58" a="1"/>
  <c r="H35" i="58" s="1"/>
  <c r="J36" i="61" s="1"/>
  <c r="H33" i="58" a="1"/>
  <c r="H33" i="58" s="1"/>
  <c r="J34" i="61" s="1"/>
  <c r="F33" i="58" a="1"/>
  <c r="F33" i="58" s="1"/>
  <c r="G34" i="61" s="1"/>
  <c r="J33" i="58"/>
  <c r="G33" i="58"/>
  <c r="J31" i="58"/>
  <c r="L32" i="61" s="1"/>
  <c r="H31" i="58" a="1"/>
  <c r="H31" i="58" s="1"/>
  <c r="F31" i="58" a="1"/>
  <c r="F31" i="58" s="1"/>
  <c r="G31" i="58"/>
  <c r="H32" i="61" s="1"/>
  <c r="L11" i="58"/>
  <c r="N12" i="61" s="1"/>
  <c r="J36" i="58"/>
  <c r="L37" i="61" s="1"/>
  <c r="F36" i="58" a="1"/>
  <c r="F36" i="58" s="1"/>
  <c r="H36" i="58" a="1"/>
  <c r="H36" i="58" s="1"/>
  <c r="G36" i="58"/>
  <c r="H37" i="61" s="1"/>
  <c r="J37" i="58"/>
  <c r="H37" i="58" a="1"/>
  <c r="H37" i="58" s="1"/>
  <c r="J38" i="61" s="1"/>
  <c r="G37" i="58"/>
  <c r="H38" i="61" s="1"/>
  <c r="F37" i="58" a="1"/>
  <c r="F37" i="58" s="1"/>
  <c r="L15" i="58"/>
  <c r="N16" i="61" s="1"/>
  <c r="L16" i="61"/>
  <c r="L4" i="58"/>
  <c r="N5" i="61" s="1"/>
  <c r="F14" i="38"/>
  <c r="F13" i="38"/>
  <c r="E14" i="38"/>
  <c r="E13" i="38"/>
  <c r="D14" i="38"/>
  <c r="D13" i="38"/>
  <c r="C14" i="38"/>
  <c r="C13" i="38"/>
  <c r="B14" i="38"/>
  <c r="F23" i="38"/>
  <c r="F20" i="38"/>
  <c r="E23" i="38"/>
  <c r="E20" i="38"/>
  <c r="D23" i="38"/>
  <c r="B20" i="38"/>
  <c r="B21" i="38" s="1"/>
  <c r="B22" i="38" s="1"/>
  <c r="F17" i="38"/>
  <c r="E17" i="38"/>
  <c r="D20" i="38"/>
  <c r="F16" i="38"/>
  <c r="E16" i="38"/>
  <c r="C17" i="38"/>
  <c r="C20" i="38" s="1"/>
  <c r="C23" i="38" s="1"/>
  <c r="C16" i="38"/>
  <c r="B16" i="38"/>
  <c r="D17" i="38"/>
  <c r="H9" i="38"/>
  <c r="F9" i="38"/>
  <c r="F8" i="38"/>
  <c r="E9" i="38"/>
  <c r="E8" i="38"/>
  <c r="D9" i="38"/>
  <c r="D8" i="38"/>
  <c r="B6" i="38"/>
  <c r="B8" i="38"/>
  <c r="A67" i="1"/>
  <c r="A68" i="1" s="1"/>
  <c r="A69" i="1" s="1"/>
  <c r="A70" i="1" s="1"/>
  <c r="A71" i="1" s="1"/>
  <c r="A72" i="1" s="1"/>
  <c r="A73" i="1" s="1"/>
  <c r="A74" i="1" s="1"/>
  <c r="A75" i="1" s="1"/>
  <c r="A76" i="1" s="1"/>
  <c r="A77" i="1" s="1"/>
  <c r="E31" i="58" l="1"/>
  <c r="F32" i="61" s="1"/>
  <c r="G32" i="61"/>
  <c r="I32" i="61" s="1"/>
  <c r="I37" i="61"/>
  <c r="L36" i="61"/>
  <c r="L35" i="58"/>
  <c r="N36" i="61" s="1"/>
  <c r="L34" i="58"/>
  <c r="N35" i="61" s="1"/>
  <c r="L35" i="61"/>
  <c r="L32" i="58"/>
  <c r="N33" i="61" s="1"/>
  <c r="L33" i="61"/>
  <c r="L31" i="58"/>
  <c r="N32" i="61" s="1"/>
  <c r="J32" i="61"/>
  <c r="L36" i="58"/>
  <c r="N37" i="61" s="1"/>
  <c r="J37" i="61"/>
  <c r="E33" i="58"/>
  <c r="F34" i="61" s="1"/>
  <c r="H34" i="61"/>
  <c r="I34" i="61" s="1"/>
  <c r="E35" i="58"/>
  <c r="F36" i="61" s="1"/>
  <c r="G36" i="61"/>
  <c r="I36" i="61" s="1"/>
  <c r="G37" i="61"/>
  <c r="E36" i="58"/>
  <c r="F37" i="61" s="1"/>
  <c r="L33" i="58"/>
  <c r="N34" i="61" s="1"/>
  <c r="L34" i="61"/>
  <c r="E32" i="58"/>
  <c r="F33" i="61" s="1"/>
  <c r="C2" i="61" s="1" a="1"/>
  <c r="C2" i="61" s="1"/>
  <c r="D2" i="61" s="1"/>
  <c r="H33" i="61"/>
  <c r="I33" i="61" s="1"/>
  <c r="E34" i="58"/>
  <c r="F35" i="61" s="1"/>
  <c r="G35" i="61"/>
  <c r="I35" i="61" s="1"/>
  <c r="E38" i="58"/>
  <c r="F39" i="61" s="1"/>
  <c r="H39" i="61"/>
  <c r="I39" i="61" s="1"/>
  <c r="L37" i="58"/>
  <c r="N38" i="61" s="1"/>
  <c r="L38" i="61"/>
  <c r="L39" i="61"/>
  <c r="L38" i="58"/>
  <c r="N39" i="61" s="1"/>
  <c r="I38" i="61"/>
  <c r="E37" i="58"/>
  <c r="F38" i="61" s="1"/>
  <c r="G38" i="61"/>
  <c r="H1" i="34"/>
  <c r="J1" i="34"/>
  <c r="K1" i="34"/>
  <c r="L1" i="34"/>
  <c r="M1" i="34"/>
  <c r="N3" i="34"/>
  <c r="O3" i="34"/>
  <c r="N4" i="34"/>
  <c r="O4" i="34"/>
  <c r="N5" i="34"/>
  <c r="O5" i="34"/>
  <c r="N6" i="34"/>
  <c r="O6" i="34"/>
  <c r="N7" i="34"/>
  <c r="O7" i="34"/>
  <c r="N8" i="34"/>
  <c r="O8" i="34"/>
  <c r="N9" i="34"/>
  <c r="O9" i="34"/>
  <c r="N10" i="34"/>
  <c r="O10" i="34"/>
  <c r="N11" i="34"/>
  <c r="O11" i="34"/>
  <c r="N12" i="34"/>
  <c r="O12" i="34"/>
  <c r="N13" i="34"/>
  <c r="O13" i="34"/>
  <c r="N14" i="34"/>
  <c r="O14" i="34"/>
  <c r="O1" i="34"/>
  <c r="B1" i="34"/>
  <c r="E1" i="34"/>
  <c r="F1" i="34"/>
  <c r="G1" i="34"/>
  <c r="N1" i="34"/>
  <c r="A1" i="34"/>
  <c r="P3" i="37"/>
  <c r="P4" i="37"/>
  <c r="P5" i="37"/>
  <c r="P6" i="37"/>
  <c r="P7" i="37"/>
  <c r="P8" i="37"/>
  <c r="P9" i="37"/>
  <c r="P10" i="37"/>
  <c r="P11" i="37"/>
  <c r="P12" i="37"/>
  <c r="P13" i="37"/>
  <c r="P14" i="37"/>
  <c r="P19" i="37"/>
  <c r="P20" i="37"/>
  <c r="P21" i="37"/>
  <c r="O3" i="37"/>
  <c r="O4" i="37"/>
  <c r="O5" i="37"/>
  <c r="O6" i="37"/>
  <c r="O7" i="37"/>
  <c r="O8" i="37"/>
  <c r="O9" i="37"/>
  <c r="O10" i="37"/>
  <c r="O11" i="37"/>
  <c r="O12" i="37"/>
  <c r="O13" i="37"/>
  <c r="O14" i="37"/>
  <c r="O19" i="37"/>
  <c r="O20" i="37"/>
  <c r="O21" i="37"/>
  <c r="Q3" i="37"/>
  <c r="Q4" i="37"/>
  <c r="Q5" i="37"/>
  <c r="Q6" i="37"/>
  <c r="Q7" i="37"/>
  <c r="Q8" i="37"/>
  <c r="Q9" i="37"/>
  <c r="Q10" i="37"/>
  <c r="Q11" i="37"/>
  <c r="Q12" i="37"/>
  <c r="Q13" i="37"/>
  <c r="Q14" i="37"/>
  <c r="T19" i="37"/>
  <c r="T20" i="37"/>
  <c r="T3" i="37"/>
  <c r="R3" i="37"/>
  <c r="S3" i="37"/>
  <c r="T4" i="37"/>
  <c r="R4" i="37"/>
  <c r="S4" i="37"/>
  <c r="T5" i="37"/>
  <c r="R5" i="37"/>
  <c r="S5" i="37"/>
  <c r="T6" i="37"/>
  <c r="R6" i="37"/>
  <c r="S6" i="37"/>
  <c r="T7" i="37"/>
  <c r="R7" i="37"/>
  <c r="S7" i="37"/>
  <c r="T8" i="37"/>
  <c r="R8" i="37"/>
  <c r="S8" i="37"/>
  <c r="T9" i="37"/>
  <c r="R9" i="37"/>
  <c r="S9" i="37"/>
  <c r="T10" i="37"/>
  <c r="R10" i="37"/>
  <c r="S10" i="37"/>
  <c r="T11" i="37"/>
  <c r="R11" i="37"/>
  <c r="S11" i="37"/>
  <c r="T12" i="37"/>
  <c r="R12" i="37"/>
  <c r="S12" i="37"/>
  <c r="T13" i="37"/>
  <c r="R13" i="37"/>
  <c r="S13" i="37"/>
  <c r="T14" i="37"/>
  <c r="R14" i="37"/>
  <c r="S14" i="37"/>
  <c r="Q19" i="37"/>
  <c r="R19" i="37"/>
  <c r="S19" i="37"/>
  <c r="Q20" i="37"/>
  <c r="R20" i="37"/>
  <c r="S20" i="37"/>
  <c r="Q21" i="37"/>
  <c r="R21" i="37"/>
  <c r="S21" i="37"/>
  <c r="M19" i="7"/>
  <c r="P2" i="7"/>
  <c r="N2" i="7"/>
  <c r="M2" i="7"/>
  <c r="L2" i="7"/>
  <c r="N7" i="49" a="1"/>
  <c r="N7" i="49" s="1"/>
  <c r="J3" i="7" s="1"/>
  <c r="N6" i="49" a="1"/>
  <c r="N6" i="49" s="1"/>
  <c r="N5" i="49" a="1"/>
  <c r="N5" i="49" s="1"/>
  <c r="N4" i="49" a="1"/>
  <c r="N4" i="49" s="1"/>
  <c r="M7" i="49" a="1"/>
  <c r="M7" i="49" s="1"/>
  <c r="M6" i="49" a="1"/>
  <c r="M6" i="49" s="1"/>
  <c r="M5" i="49" a="1"/>
  <c r="M5" i="49" s="1"/>
  <c r="M4" i="49" a="1"/>
  <c r="M4" i="49" s="1"/>
  <c r="N3" i="49" a="1"/>
  <c r="N3" i="49" s="1"/>
  <c r="M3" i="49" a="1"/>
  <c r="M3" i="49" s="1"/>
  <c r="L3" i="49" a="1"/>
  <c r="L3" i="49" s="1"/>
  <c r="L7" i="49" a="1"/>
  <c r="L7" i="49" s="1"/>
  <c r="L6" i="49" a="1"/>
  <c r="L6" i="49" s="1"/>
  <c r="L5" i="49" a="1"/>
  <c r="L5" i="49" s="1"/>
  <c r="L4" i="49" a="1"/>
  <c r="L4" i="49" s="1"/>
  <c r="K7" i="49" a="1"/>
  <c r="K7" i="49" s="1"/>
  <c r="K6" i="49" a="1"/>
  <c r="K6" i="49" s="1"/>
  <c r="K5" i="49" a="1"/>
  <c r="K5" i="49" s="1"/>
  <c r="K4" i="49" a="1"/>
  <c r="K4" i="49" s="1"/>
  <c r="K3" i="49" a="1"/>
  <c r="K3" i="49" s="1"/>
  <c r="J7" i="49" a="1"/>
  <c r="J7" i="49" s="1"/>
  <c r="J6" i="49" a="1"/>
  <c r="J6" i="49" s="1"/>
  <c r="J5" i="49" a="1"/>
  <c r="J5" i="49" s="1"/>
  <c r="J4" i="49" a="1"/>
  <c r="J4" i="49" s="1"/>
  <c r="J3" i="49" a="1"/>
  <c r="J3" i="49" s="1"/>
  <c r="N2" i="49"/>
  <c r="M2" i="49"/>
  <c r="L2" i="49"/>
  <c r="K2" i="49"/>
  <c r="J2" i="49"/>
  <c r="E6" i="7"/>
  <c r="E7" i="7"/>
  <c r="E8" i="7"/>
  <c r="E9" i="7"/>
  <c r="E10" i="7"/>
  <c r="E11" i="7"/>
  <c r="E12" i="7"/>
  <c r="E13" i="7"/>
  <c r="E14" i="7"/>
  <c r="E15" i="7"/>
  <c r="E16" i="7"/>
  <c r="E17" i="7"/>
  <c r="E18" i="7"/>
  <c r="E19" i="7"/>
  <c r="E4" i="7"/>
  <c r="E5" i="7"/>
  <c r="E3" i="7"/>
  <c r="Y20" i="7" a="1"/>
  <c r="Y20" i="7" s="1"/>
  <c r="W20" i="7" a="1"/>
  <c r="W20" i="7" s="1"/>
  <c r="W18" i="37" s="1"/>
  <c r="AB14" i="48"/>
  <c r="AB11" i="48"/>
  <c r="AB8" i="48"/>
  <c r="AD14" i="48"/>
  <c r="AD11" i="48"/>
  <c r="AD8" i="48"/>
  <c r="AD5" i="48"/>
  <c r="AB5" i="48"/>
  <c r="AF5" i="48"/>
  <c r="Z13" i="48"/>
  <c r="Z10" i="48"/>
  <c r="Z7" i="48"/>
  <c r="Z4" i="48"/>
  <c r="X4" i="48"/>
  <c r="X13" i="48"/>
  <c r="X10" i="48"/>
  <c r="X12" i="48"/>
  <c r="X9" i="48"/>
  <c r="X7" i="48"/>
  <c r="X6" i="48"/>
  <c r="X3" i="48"/>
  <c r="V4" i="48"/>
  <c r="V3" i="48"/>
  <c r="V13" i="48"/>
  <c r="V10" i="48"/>
  <c r="V12" i="48"/>
  <c r="V9" i="48"/>
  <c r="V7" i="48"/>
  <c r="V6" i="48"/>
  <c r="T3" i="48"/>
  <c r="AD2" i="7"/>
  <c r="AB2" i="7"/>
  <c r="Z2" i="7"/>
  <c r="X2" i="7"/>
  <c r="V2" i="7"/>
  <c r="T2" i="7"/>
  <c r="R2" i="7"/>
  <c r="E22" i="7"/>
  <c r="AA22" i="7" s="1" a="1"/>
  <c r="AA22" i="7" s="1"/>
  <c r="E21" i="7"/>
  <c r="E24" i="7"/>
  <c r="E20" i="7"/>
  <c r="E23" i="7"/>
  <c r="D22" i="7"/>
  <c r="D21" i="7"/>
  <c r="D20" i="7"/>
  <c r="D23" i="7"/>
  <c r="C21" i="7"/>
  <c r="AD21" i="7" s="1" a="1"/>
  <c r="AD21" i="7" s="1"/>
  <c r="Z18" i="37" s="1"/>
  <c r="C20" i="7"/>
  <c r="C22" i="7"/>
  <c r="C19" i="7"/>
  <c r="J19" i="7" s="1"/>
  <c r="T17" i="37" s="1"/>
  <c r="K25" i="7" a="1"/>
  <c r="K25" i="7" s="1"/>
  <c r="AF14" i="48"/>
  <c r="AF11" i="48"/>
  <c r="AF8" i="48"/>
  <c r="T4" i="48"/>
  <c r="T7" i="48"/>
  <c r="T6" i="48"/>
  <c r="T10" i="48"/>
  <c r="T9" i="48"/>
  <c r="T13" i="48"/>
  <c r="T12" i="48"/>
  <c r="S3" i="48" a="1"/>
  <c r="S3" i="48" s="1"/>
  <c r="R5" i="48"/>
  <c r="R14" i="48"/>
  <c r="R11" i="48"/>
  <c r="R8" i="48"/>
  <c r="N3" i="47"/>
  <c r="M3" i="47" s="1"/>
  <c r="E29" i="7"/>
  <c r="E26" i="7"/>
  <c r="E28" i="7"/>
  <c r="E31" i="7"/>
  <c r="E27" i="7"/>
  <c r="D30" i="7"/>
  <c r="D29" i="7"/>
  <c r="D27" i="7"/>
  <c r="D26" i="7"/>
  <c r="D25" i="7"/>
  <c r="C30" i="7"/>
  <c r="C29" i="7"/>
  <c r="Y29" i="7" s="1" a="1"/>
  <c r="Y29" i="7" s="1"/>
  <c r="C31" i="7"/>
  <c r="C27" i="7"/>
  <c r="AD27" i="7" s="1" a="1"/>
  <c r="AD27" i="7" s="1"/>
  <c r="Z20" i="37" s="1"/>
  <c r="C26" i="7"/>
  <c r="C28" i="7"/>
  <c r="AC28" i="7" s="1" a="1"/>
  <c r="AC28" i="7" s="1"/>
  <c r="E25" i="7"/>
  <c r="E30" i="7"/>
  <c r="D24" i="7"/>
  <c r="C25" i="7"/>
  <c r="J25" i="7" s="1" a="1"/>
  <c r="J25" i="7" s="1"/>
  <c r="AA19" i="37" s="1"/>
  <c r="C24" i="7"/>
  <c r="C23" i="7"/>
  <c r="Y23" i="7" s="1" a="1"/>
  <c r="Y23" i="7" s="1"/>
  <c r="J2" i="7"/>
  <c r="AE14" i="48" a="1"/>
  <c r="AE14" i="48" s="1"/>
  <c r="AE11" i="48" a="1"/>
  <c r="AE11" i="48" s="1"/>
  <c r="AC14" i="48" a="1"/>
  <c r="AC14" i="48" s="1"/>
  <c r="AC11" i="48" a="1"/>
  <c r="AC11" i="48" s="1"/>
  <c r="AA14" i="48" a="1"/>
  <c r="AA14" i="48" s="1"/>
  <c r="AA11" i="48" a="1"/>
  <c r="AA11" i="48" s="1"/>
  <c r="Y13" i="48" a="1"/>
  <c r="Y13" i="48" s="1"/>
  <c r="Y10" i="48" a="1"/>
  <c r="Y10" i="48" s="1"/>
  <c r="W13" i="48" a="1"/>
  <c r="W13" i="48" s="1"/>
  <c r="W10" i="48" a="1"/>
  <c r="W10" i="48" s="1"/>
  <c r="W12" i="48" a="1"/>
  <c r="W12" i="48" s="1"/>
  <c r="W9" i="48" a="1"/>
  <c r="W9" i="48" s="1"/>
  <c r="U13" i="48" a="1"/>
  <c r="U13" i="48" s="1"/>
  <c r="U10" i="48" a="1"/>
  <c r="U10" i="48" s="1"/>
  <c r="U12" i="48" a="1"/>
  <c r="U12" i="48" s="1"/>
  <c r="U9" i="48" a="1"/>
  <c r="U9" i="48" s="1"/>
  <c r="S13" i="48" a="1"/>
  <c r="S13" i="48" s="1"/>
  <c r="S10" i="48" a="1"/>
  <c r="S10" i="48" s="1"/>
  <c r="S12" i="48" a="1"/>
  <c r="S12" i="48" s="1"/>
  <c r="S9" i="48" a="1"/>
  <c r="S9" i="48" s="1"/>
  <c r="Q14" i="48" a="1"/>
  <c r="Q14" i="48" s="1"/>
  <c r="Q5" i="48" a="1"/>
  <c r="Q5" i="48" s="1"/>
  <c r="AE8" i="48" a="1"/>
  <c r="AE8" i="48" s="1"/>
  <c r="AC8" i="48" a="1"/>
  <c r="AC8" i="48" s="1"/>
  <c r="AA8" i="48" a="1"/>
  <c r="AA8" i="48" s="1"/>
  <c r="Y7" i="48" a="1"/>
  <c r="Y7" i="48" s="1"/>
  <c r="W6" i="48" a="1"/>
  <c r="W6" i="48" s="1"/>
  <c r="U7" i="48" a="1"/>
  <c r="U7" i="48" s="1"/>
  <c r="U6" i="48" a="1"/>
  <c r="U6" i="48" s="1"/>
  <c r="S7" i="48" a="1"/>
  <c r="S7" i="48" s="1"/>
  <c r="S6" i="48" a="1"/>
  <c r="S6" i="48" s="1"/>
  <c r="Q11" i="48" a="1"/>
  <c r="Q11" i="48" s="1"/>
  <c r="Q8" i="48" a="1"/>
  <c r="Q8" i="48" s="1"/>
  <c r="AE5" i="48" a="1"/>
  <c r="AE5" i="48" s="1"/>
  <c r="AC5" i="48" a="1"/>
  <c r="AC5" i="48" s="1"/>
  <c r="AA5" i="48" a="1"/>
  <c r="AA5" i="48" s="1"/>
  <c r="Y4" i="48" a="1"/>
  <c r="Y4" i="48" s="1"/>
  <c r="W7" i="48" a="1"/>
  <c r="W7" i="48" s="1"/>
  <c r="W4" i="48" a="1"/>
  <c r="W4" i="48" s="1"/>
  <c r="W3" i="48" a="1"/>
  <c r="W3" i="48" s="1"/>
  <c r="U4" i="48" a="1"/>
  <c r="U4" i="48" s="1"/>
  <c r="U3" i="48" a="1"/>
  <c r="U3" i="48" s="1"/>
  <c r="S4" i="48" a="1"/>
  <c r="S4" i="48" s="1"/>
  <c r="P5" i="48"/>
  <c r="O5" i="48"/>
  <c r="O4" i="48"/>
  <c r="P4" i="48"/>
  <c r="O3" i="48"/>
  <c r="P3" i="48"/>
  <c r="E367" i="47"/>
  <c r="E366" i="47"/>
  <c r="E365" i="47"/>
  <c r="E364" i="47"/>
  <c r="E363" i="47"/>
  <c r="E362" i="47"/>
  <c r="E361" i="47"/>
  <c r="E360" i="47"/>
  <c r="E359" i="47"/>
  <c r="E358" i="47"/>
  <c r="E357" i="47"/>
  <c r="E356" i="47"/>
  <c r="E355" i="47"/>
  <c r="E354" i="47"/>
  <c r="E353" i="47"/>
  <c r="E352" i="47"/>
  <c r="E351" i="47"/>
  <c r="E350" i="47"/>
  <c r="E349" i="47"/>
  <c r="E348" i="47"/>
  <c r="E347" i="47"/>
  <c r="E346" i="47"/>
  <c r="E345" i="47"/>
  <c r="E344" i="47"/>
  <c r="E343" i="47"/>
  <c r="E342" i="47"/>
  <c r="E341" i="47"/>
  <c r="E340" i="47"/>
  <c r="E339" i="47"/>
  <c r="E338" i="47"/>
  <c r="E337" i="47"/>
  <c r="E336" i="47"/>
  <c r="E335" i="47"/>
  <c r="E334" i="47"/>
  <c r="E333" i="47"/>
  <c r="E332" i="47"/>
  <c r="E331" i="47"/>
  <c r="E330" i="47"/>
  <c r="E329" i="47"/>
  <c r="E328" i="47"/>
  <c r="E327" i="47"/>
  <c r="E326" i="47"/>
  <c r="E325" i="47"/>
  <c r="E324" i="47"/>
  <c r="E323" i="47"/>
  <c r="E322" i="47"/>
  <c r="E321" i="47"/>
  <c r="E320" i="47"/>
  <c r="E319" i="47"/>
  <c r="E318" i="47"/>
  <c r="E317" i="47"/>
  <c r="E316" i="47"/>
  <c r="E315" i="47"/>
  <c r="E314" i="47"/>
  <c r="E313" i="47"/>
  <c r="E312" i="47"/>
  <c r="E311" i="47"/>
  <c r="E310" i="47"/>
  <c r="E309" i="47"/>
  <c r="E308" i="47"/>
  <c r="E307" i="47"/>
  <c r="E306" i="47"/>
  <c r="E305" i="47"/>
  <c r="E304" i="47"/>
  <c r="E303" i="47"/>
  <c r="E302" i="47"/>
  <c r="E301" i="47"/>
  <c r="E300" i="47"/>
  <c r="E299" i="47"/>
  <c r="E298" i="47"/>
  <c r="E297" i="47"/>
  <c r="E296" i="47"/>
  <c r="E295" i="47"/>
  <c r="E294" i="47"/>
  <c r="E293" i="47"/>
  <c r="E292" i="47"/>
  <c r="E291" i="47"/>
  <c r="E290" i="47"/>
  <c r="E289" i="47"/>
  <c r="E288" i="47"/>
  <c r="E287" i="47"/>
  <c r="E286" i="47"/>
  <c r="E285" i="47"/>
  <c r="E284" i="47"/>
  <c r="E283" i="47"/>
  <c r="E282" i="47"/>
  <c r="E281" i="47"/>
  <c r="E280" i="47"/>
  <c r="E279" i="47"/>
  <c r="E278" i="47"/>
  <c r="E277" i="47"/>
  <c r="E276" i="47"/>
  <c r="E275" i="47"/>
  <c r="E274" i="47"/>
  <c r="E273" i="47"/>
  <c r="E272" i="47"/>
  <c r="E271" i="47"/>
  <c r="E270" i="47"/>
  <c r="E269" i="47"/>
  <c r="E268" i="47"/>
  <c r="E267" i="47"/>
  <c r="E266" i="47"/>
  <c r="E265" i="47"/>
  <c r="E264" i="47"/>
  <c r="E263" i="47"/>
  <c r="E262" i="47"/>
  <c r="E261" i="47"/>
  <c r="E260" i="47"/>
  <c r="E259" i="47"/>
  <c r="E258" i="47"/>
  <c r="E257" i="47"/>
  <c r="E256" i="47"/>
  <c r="E255" i="47"/>
  <c r="E254" i="47"/>
  <c r="E253" i="47"/>
  <c r="E252" i="47"/>
  <c r="E251" i="47"/>
  <c r="E250" i="47"/>
  <c r="E249" i="47"/>
  <c r="E248" i="47"/>
  <c r="E247" i="47"/>
  <c r="E246" i="47"/>
  <c r="E245" i="47"/>
  <c r="E244" i="47"/>
  <c r="E243" i="47"/>
  <c r="E242" i="47"/>
  <c r="E241" i="47"/>
  <c r="E240" i="47"/>
  <c r="E239" i="47"/>
  <c r="E238" i="47"/>
  <c r="E237" i="47"/>
  <c r="E236" i="47"/>
  <c r="E235" i="47"/>
  <c r="E234" i="47"/>
  <c r="E233" i="47"/>
  <c r="E232" i="47"/>
  <c r="E231" i="47"/>
  <c r="E230" i="47"/>
  <c r="E229" i="47"/>
  <c r="E228" i="47"/>
  <c r="E227" i="47"/>
  <c r="E226" i="47"/>
  <c r="E225" i="47"/>
  <c r="E224" i="47"/>
  <c r="E223" i="47"/>
  <c r="E222" i="47"/>
  <c r="E221" i="47"/>
  <c r="E220" i="47"/>
  <c r="E219" i="47"/>
  <c r="E218" i="47"/>
  <c r="E217" i="47"/>
  <c r="E216" i="47"/>
  <c r="E215" i="47"/>
  <c r="E214" i="47"/>
  <c r="E213" i="47"/>
  <c r="E212" i="47"/>
  <c r="E211" i="47"/>
  <c r="E210" i="47"/>
  <c r="E209" i="47"/>
  <c r="E208" i="47"/>
  <c r="E207" i="47"/>
  <c r="E206" i="47"/>
  <c r="E205" i="47"/>
  <c r="E204" i="47"/>
  <c r="E203" i="47"/>
  <c r="E202" i="47"/>
  <c r="E201" i="47"/>
  <c r="E200" i="47"/>
  <c r="E199" i="47"/>
  <c r="E198" i="47"/>
  <c r="E197" i="47"/>
  <c r="E196" i="47"/>
  <c r="E195" i="47"/>
  <c r="E194" i="47"/>
  <c r="E193" i="47"/>
  <c r="E192" i="47"/>
  <c r="E191" i="47"/>
  <c r="E190" i="47"/>
  <c r="E189" i="47"/>
  <c r="E188" i="47"/>
  <c r="E187" i="47"/>
  <c r="E186" i="47"/>
  <c r="E185" i="47"/>
  <c r="E184" i="47"/>
  <c r="E183" i="47"/>
  <c r="E182" i="47"/>
  <c r="E181" i="47"/>
  <c r="E180" i="47"/>
  <c r="E179" i="47"/>
  <c r="E178" i="47"/>
  <c r="E177" i="47"/>
  <c r="E176" i="47"/>
  <c r="E175" i="47"/>
  <c r="E174" i="47"/>
  <c r="E173" i="47"/>
  <c r="E172" i="47"/>
  <c r="E171" i="47"/>
  <c r="E170" i="47"/>
  <c r="E169" i="47"/>
  <c r="E168" i="47"/>
  <c r="E167" i="47"/>
  <c r="E166" i="47"/>
  <c r="E165" i="47"/>
  <c r="E164" i="47"/>
  <c r="E163" i="47"/>
  <c r="E162" i="47"/>
  <c r="E161" i="47"/>
  <c r="E160" i="47"/>
  <c r="E159" i="47"/>
  <c r="E158" i="47"/>
  <c r="E157" i="47"/>
  <c r="E156" i="47"/>
  <c r="E155" i="47"/>
  <c r="E154" i="47"/>
  <c r="E153" i="47"/>
  <c r="E152" i="47"/>
  <c r="E151" i="47"/>
  <c r="E150" i="47"/>
  <c r="E149" i="47"/>
  <c r="E148" i="47"/>
  <c r="E147" i="47"/>
  <c r="E146" i="47"/>
  <c r="E145" i="47"/>
  <c r="E144" i="47"/>
  <c r="E143" i="47"/>
  <c r="E142" i="47"/>
  <c r="E141" i="47"/>
  <c r="E140" i="47"/>
  <c r="E139" i="47"/>
  <c r="E138" i="47"/>
  <c r="E137" i="47"/>
  <c r="E136" i="47"/>
  <c r="E135" i="47"/>
  <c r="E134" i="47"/>
  <c r="E133" i="47"/>
  <c r="E132" i="47"/>
  <c r="E131" i="47"/>
  <c r="E130" i="47"/>
  <c r="E129" i="47"/>
  <c r="E128" i="47"/>
  <c r="E127" i="47"/>
  <c r="E126" i="47"/>
  <c r="E125" i="47"/>
  <c r="E124" i="47"/>
  <c r="E123" i="47"/>
  <c r="E122" i="47"/>
  <c r="E121" i="47"/>
  <c r="E120" i="47"/>
  <c r="E119" i="47"/>
  <c r="E118" i="47"/>
  <c r="E117" i="47"/>
  <c r="E116" i="47"/>
  <c r="E115" i="47"/>
  <c r="E114" i="47"/>
  <c r="E113" i="47"/>
  <c r="E112" i="47"/>
  <c r="E111" i="47"/>
  <c r="E110" i="47"/>
  <c r="E109" i="47"/>
  <c r="E108" i="47"/>
  <c r="E107" i="47"/>
  <c r="E106" i="47"/>
  <c r="E105" i="47"/>
  <c r="E104" i="47"/>
  <c r="E103" i="47"/>
  <c r="E102" i="47"/>
  <c r="E101" i="47"/>
  <c r="E100" i="47"/>
  <c r="E99" i="47"/>
  <c r="E98" i="47"/>
  <c r="E97" i="47"/>
  <c r="E96" i="47"/>
  <c r="E95" i="47"/>
  <c r="E94" i="47"/>
  <c r="E93" i="47"/>
  <c r="E92" i="47"/>
  <c r="E91" i="47"/>
  <c r="E90" i="47"/>
  <c r="E89" i="47"/>
  <c r="E88" i="47"/>
  <c r="E87" i="47"/>
  <c r="E86" i="47"/>
  <c r="E85" i="47"/>
  <c r="E84" i="47"/>
  <c r="E83" i="47"/>
  <c r="E82" i="47"/>
  <c r="E81" i="47"/>
  <c r="E80" i="47"/>
  <c r="E79" i="47"/>
  <c r="E78" i="47"/>
  <c r="E77" i="47"/>
  <c r="E76" i="47"/>
  <c r="E75" i="47"/>
  <c r="E74" i="47"/>
  <c r="E73" i="47"/>
  <c r="E72" i="47"/>
  <c r="E71" i="47"/>
  <c r="E70" i="47"/>
  <c r="E69" i="47"/>
  <c r="E68" i="47"/>
  <c r="E67" i="47"/>
  <c r="E66" i="47"/>
  <c r="E65" i="47"/>
  <c r="E64" i="47"/>
  <c r="E63" i="47"/>
  <c r="E62" i="47"/>
  <c r="E61" i="47"/>
  <c r="E60" i="47"/>
  <c r="E59" i="47"/>
  <c r="E58" i="47"/>
  <c r="E57" i="47"/>
  <c r="E56" i="47"/>
  <c r="E55" i="47"/>
  <c r="E54" i="47"/>
  <c r="E53" i="47"/>
  <c r="E52" i="47"/>
  <c r="E51" i="47"/>
  <c r="E50" i="47"/>
  <c r="E49" i="47"/>
  <c r="E48" i="47"/>
  <c r="E47" i="47"/>
  <c r="E46" i="47"/>
  <c r="E45" i="47"/>
  <c r="E44" i="47"/>
  <c r="E43" i="47"/>
  <c r="E42" i="47"/>
  <c r="E41" i="47"/>
  <c r="E40" i="47"/>
  <c r="E39" i="47"/>
  <c r="E38" i="47"/>
  <c r="E37" i="47"/>
  <c r="E36" i="47"/>
  <c r="E35" i="47"/>
  <c r="E34" i="47"/>
  <c r="E33" i="47"/>
  <c r="E32" i="47"/>
  <c r="E31" i="47"/>
  <c r="E30" i="47"/>
  <c r="E29" i="47"/>
  <c r="E28" i="47"/>
  <c r="E27" i="47"/>
  <c r="E26" i="47"/>
  <c r="E25" i="47"/>
  <c r="E24" i="47"/>
  <c r="E23" i="47"/>
  <c r="E22" i="47"/>
  <c r="E21" i="47"/>
  <c r="E20" i="47"/>
  <c r="E19" i="47"/>
  <c r="E18" i="47"/>
  <c r="E17" i="47"/>
  <c r="E16" i="47"/>
  <c r="E15" i="47"/>
  <c r="E14" i="47"/>
  <c r="E13" i="47"/>
  <c r="E12" i="47"/>
  <c r="E11" i="47"/>
  <c r="N10" i="47"/>
  <c r="M10" i="47" s="1"/>
  <c r="J10" i="47"/>
  <c r="E10" i="47"/>
  <c r="N9" i="47"/>
  <c r="M9" i="47" s="1"/>
  <c r="J9" i="47"/>
  <c r="E9" i="47"/>
  <c r="N8" i="47"/>
  <c r="M8" i="47" s="1"/>
  <c r="J8" i="47"/>
  <c r="E8" i="47"/>
  <c r="N7" i="47"/>
  <c r="J7" i="47"/>
  <c r="E7" i="47"/>
  <c r="N6" i="47"/>
  <c r="M6" i="47" s="1"/>
  <c r="J6" i="47"/>
  <c r="E6" i="47"/>
  <c r="N5" i="47"/>
  <c r="M5" i="47" s="1"/>
  <c r="J5" i="47"/>
  <c r="E5" i="47"/>
  <c r="N4" i="47"/>
  <c r="M4" i="47" s="1"/>
  <c r="J4" i="47"/>
  <c r="E4" i="47"/>
  <c r="J3" i="47"/>
  <c r="E3" i="47"/>
  <c r="H6" i="38"/>
  <c r="H3" i="38"/>
  <c r="H7" i="38"/>
  <c r="H4" i="38"/>
  <c r="C27" i="38"/>
  <c r="C26" i="38"/>
  <c r="C7" i="38"/>
  <c r="C4" i="38"/>
  <c r="F7" i="38"/>
  <c r="F4" i="38"/>
  <c r="F3" i="38"/>
  <c r="E7" i="38"/>
  <c r="E4" i="38"/>
  <c r="E3" i="38"/>
  <c r="D7" i="38"/>
  <c r="D6" i="38"/>
  <c r="D4" i="38"/>
  <c r="D3" i="38"/>
  <c r="C5" i="38"/>
  <c r="B5" i="38"/>
  <c r="B12" i="38"/>
  <c r="B13" i="38"/>
  <c r="B26" i="38"/>
  <c r="B27" i="38"/>
  <c r="B28" i="38"/>
  <c r="B29" i="38"/>
  <c r="B30" i="38"/>
  <c r="B31" i="38"/>
  <c r="B32" i="38"/>
  <c r="B33" i="38"/>
  <c r="B34" i="38"/>
  <c r="B35" i="38"/>
  <c r="E5" i="38"/>
  <c r="F5" i="38"/>
  <c r="E6" i="38"/>
  <c r="F6" i="38"/>
  <c r="D5" i="38"/>
  <c r="C6" i="38"/>
  <c r="F2" i="38"/>
  <c r="E2" i="38"/>
  <c r="D2" i="38"/>
  <c r="C3" i="38"/>
  <c r="C2" i="38"/>
  <c r="D22" i="1"/>
  <c r="D23" i="1" s="1"/>
  <c r="D24" i="1" s="1"/>
  <c r="D25" i="1" s="1"/>
  <c r="D26" i="1" s="1"/>
  <c r="D27" i="1" s="1"/>
  <c r="D28" i="1" s="1"/>
  <c r="D29" i="1" s="1"/>
  <c r="D30" i="1" s="1"/>
  <c r="D31" i="1" s="1"/>
  <c r="D32" i="1" s="1"/>
  <c r="D33" i="1" s="1"/>
  <c r="D34" i="1" s="1"/>
  <c r="D35" i="1" s="1"/>
  <c r="D36" i="1" s="1"/>
  <c r="D37" i="1" s="1"/>
  <c r="D38" i="1" s="1"/>
  <c r="D39" i="1" s="1"/>
  <c r="D40" i="1" s="1"/>
  <c r="D41" i="1" s="1"/>
  <c r="D42" i="1" s="1"/>
  <c r="D43" i="1" s="1"/>
  <c r="D44" i="1" s="1"/>
  <c r="D45" i="1" s="1"/>
  <c r="D46" i="1" s="1"/>
  <c r="D47" i="1" s="1"/>
  <c r="D48" i="1" s="1"/>
  <c r="D49" i="1" s="1"/>
  <c r="D50" i="1" s="1"/>
  <c r="D51" i="1" s="1"/>
  <c r="D52" i="1" s="1"/>
  <c r="D53" i="1" s="1"/>
  <c r="D54" i="1" s="1"/>
  <c r="D55" i="1" s="1"/>
  <c r="D56" i="1" s="1"/>
  <c r="D57" i="1" s="1"/>
  <c r="D58" i="1" s="1"/>
  <c r="D59" i="1" s="1"/>
  <c r="D60" i="1" s="1"/>
  <c r="D61" i="1" s="1"/>
  <c r="D62" i="1" s="1"/>
  <c r="D63" i="1" s="1"/>
  <c r="D64" i="1" s="1"/>
  <c r="D65" i="1" s="1"/>
  <c r="D66" i="1" s="1"/>
  <c r="D67" i="1" s="1"/>
  <c r="D68" i="1" s="1"/>
  <c r="D69" i="1" s="1"/>
  <c r="D70" i="1" s="1"/>
  <c r="D71" i="1" s="1"/>
  <c r="D72" i="1" s="1"/>
  <c r="D73" i="1" s="1"/>
  <c r="D74" i="1" s="1"/>
  <c r="D75" i="1" s="1"/>
  <c r="D76" i="1" s="1"/>
  <c r="D77" i="1" s="1"/>
  <c r="B22" i="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0" i="1" s="1"/>
  <c r="B61" i="1" s="1"/>
  <c r="B62" i="1" s="1"/>
  <c r="B63" i="1" s="1"/>
  <c r="B64" i="1" s="1"/>
  <c r="B65" i="1" s="1"/>
  <c r="B66" i="1" s="1"/>
  <c r="B67" i="1" s="1"/>
  <c r="B68" i="1" s="1"/>
  <c r="B69" i="1" s="1"/>
  <c r="B70" i="1" s="1"/>
  <c r="B71" i="1" s="1"/>
  <c r="B72" i="1" s="1"/>
  <c r="B73" i="1" s="1"/>
  <c r="B74" i="1" s="1"/>
  <c r="B75" i="1" s="1"/>
  <c r="B76" i="1" s="1"/>
  <c r="B77" i="1" s="1"/>
  <c r="A22" i="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C22" i="1"/>
  <c r="C23" i="1" s="1"/>
  <c r="C24" i="1" s="1"/>
  <c r="C25" i="1" s="1"/>
  <c r="C26" i="1" s="1"/>
  <c r="C27" i="1" s="1"/>
  <c r="C28" i="1" s="1"/>
  <c r="C29" i="1" s="1"/>
  <c r="C30" i="1" s="1"/>
  <c r="C31" i="1" s="1"/>
  <c r="C32" i="1" s="1"/>
  <c r="C33" i="1" s="1"/>
  <c r="C34" i="1" s="1"/>
  <c r="C35" i="1" s="1"/>
  <c r="C36" i="1" s="1"/>
  <c r="C37" i="1" s="1"/>
  <c r="C38" i="1" s="1"/>
  <c r="C39" i="1" s="1"/>
  <c r="C40" i="1" s="1"/>
  <c r="C41" i="1" s="1"/>
  <c r="C42" i="1" s="1"/>
  <c r="C43" i="1" s="1"/>
  <c r="C44" i="1" s="1"/>
  <c r="C45" i="1" s="1"/>
  <c r="C46" i="1" s="1"/>
  <c r="C47" i="1" s="1"/>
  <c r="C48" i="1" s="1"/>
  <c r="C49" i="1" s="1"/>
  <c r="C50" i="1" s="1"/>
  <c r="C51" i="1" s="1"/>
  <c r="C52" i="1" s="1"/>
  <c r="C53" i="1" s="1"/>
  <c r="C54" i="1" s="1"/>
  <c r="C55" i="1" s="1"/>
  <c r="C56" i="1" s="1"/>
  <c r="C57" i="1" s="1"/>
  <c r="C58" i="1" s="1"/>
  <c r="C59" i="1" s="1"/>
  <c r="C60" i="1" s="1"/>
  <c r="C61" i="1" s="1"/>
  <c r="C62" i="1" s="1"/>
  <c r="C63" i="1" s="1"/>
  <c r="C64" i="1" s="1"/>
  <c r="C65" i="1" s="1"/>
  <c r="C66" i="1" s="1"/>
  <c r="C67" i="1" s="1"/>
  <c r="C68" i="1" s="1"/>
  <c r="C69" i="1" s="1"/>
  <c r="C70" i="1" s="1"/>
  <c r="C71" i="1" s="1"/>
  <c r="C72" i="1" s="1"/>
  <c r="C73" i="1" s="1"/>
  <c r="C74" i="1" s="1"/>
  <c r="C75" i="1" s="1"/>
  <c r="C76" i="1" s="1"/>
  <c r="C77" i="1" s="1"/>
  <c r="A7" i="1"/>
  <c r="A8" i="1"/>
  <c r="A9" i="1"/>
  <c r="A10" i="1"/>
  <c r="A11" i="1"/>
  <c r="A12" i="1"/>
  <c r="A13" i="1"/>
  <c r="A14" i="1"/>
  <c r="A15" i="1"/>
  <c r="A16" i="1"/>
  <c r="A17" i="1"/>
  <c r="A18" i="1"/>
  <c r="A19" i="1"/>
  <c r="A20" i="1"/>
  <c r="A21" i="1"/>
  <c r="A5" i="1"/>
  <c r="A6" i="1"/>
  <c r="A4" i="1"/>
  <c r="A3" i="1"/>
  <c r="A2" i="1"/>
  <c r="A21" i="37"/>
  <c r="A22" i="34" s="1"/>
  <c r="A18" i="37"/>
  <c r="A19" i="34" s="1"/>
  <c r="A16" i="37"/>
  <c r="A17" i="34" s="1"/>
  <c r="A17" i="37"/>
  <c r="A18" i="34" s="1"/>
  <c r="A19" i="37"/>
  <c r="A20" i="34" s="1"/>
  <c r="A20" i="37"/>
  <c r="A21" i="34" s="1"/>
  <c r="A3" i="37"/>
  <c r="A3" i="34" s="1"/>
  <c r="A4" i="37"/>
  <c r="A4" i="34" s="1"/>
  <c r="A5" i="37"/>
  <c r="A5" i="34" s="1"/>
  <c r="A6" i="37"/>
  <c r="A6" i="34" s="1"/>
  <c r="A7" i="37"/>
  <c r="A7" i="34" s="1"/>
  <c r="A8" i="37"/>
  <c r="A8" i="34" s="1"/>
  <c r="A9" i="37"/>
  <c r="A9" i="34" s="1"/>
  <c r="A10" i="37"/>
  <c r="A10" i="34" s="1"/>
  <c r="A11" i="37"/>
  <c r="A11" i="34" s="1"/>
  <c r="A12" i="37"/>
  <c r="A12" i="34" s="1"/>
  <c r="A13" i="37"/>
  <c r="A13" i="34" s="1"/>
  <c r="A14" i="37"/>
  <c r="A14" i="34" s="1"/>
  <c r="A15" i="37"/>
  <c r="A16" i="34" s="1"/>
  <c r="A2" i="37"/>
  <c r="A15" i="34" s="1"/>
  <c r="C9" i="38" l="1"/>
  <c r="C8" i="38"/>
  <c r="B4" i="38"/>
  <c r="B3" i="38"/>
  <c r="N19" i="7"/>
  <c r="O19" i="7"/>
  <c r="Q19" i="7"/>
  <c r="B7" i="38"/>
  <c r="P19" i="7"/>
  <c r="S17" i="37" s="1"/>
  <c r="L19" i="7"/>
  <c r="I9" i="37" a="1"/>
  <c r="I9" i="37" s="1"/>
  <c r="K9" i="34" s="1"/>
  <c r="I13" i="37" a="1"/>
  <c r="I13" i="37" s="1"/>
  <c r="K13" i="34" s="1"/>
  <c r="I5" i="37" a="1"/>
  <c r="I5" i="37" s="1"/>
  <c r="K5" i="34" s="1"/>
  <c r="K7" i="37"/>
  <c r="M7" i="34" s="1"/>
  <c r="I12" i="37" a="1"/>
  <c r="I12" i="37" s="1"/>
  <c r="K12" i="34" s="1"/>
  <c r="K11" i="37"/>
  <c r="M11" i="34" s="1"/>
  <c r="K3" i="37"/>
  <c r="M3" i="34" s="1"/>
  <c r="AA21" i="37"/>
  <c r="I8" i="37" a="1"/>
  <c r="I8" i="37" s="1"/>
  <c r="K8" i="34" s="1"/>
  <c r="J13" i="37"/>
  <c r="L13" i="34" s="1"/>
  <c r="J5" i="37"/>
  <c r="L5" i="34" s="1"/>
  <c r="H12" i="37" a="1"/>
  <c r="H12" i="37" s="1"/>
  <c r="J12" i="34" s="1"/>
  <c r="H4" i="37" a="1"/>
  <c r="H4" i="37" s="1"/>
  <c r="J4" i="34" s="1"/>
  <c r="H3" i="37" a="1"/>
  <c r="H3" i="37" s="1"/>
  <c r="J3" i="34" s="1"/>
  <c r="H10" i="37" a="1"/>
  <c r="H10" i="37" s="1"/>
  <c r="J10" i="34" s="1"/>
  <c r="I10" i="37" a="1"/>
  <c r="I10" i="37" s="1"/>
  <c r="K10" i="34" s="1"/>
  <c r="J9" i="37"/>
  <c r="L9" i="34" s="1"/>
  <c r="H11" i="37" a="1"/>
  <c r="H11" i="37" s="1"/>
  <c r="J11" i="34" s="1"/>
  <c r="J8" i="37"/>
  <c r="L8" i="34" s="1"/>
  <c r="J10" i="37"/>
  <c r="L10" i="34" s="1"/>
  <c r="J7" i="37"/>
  <c r="L7" i="34" s="1"/>
  <c r="I14" i="37" a="1"/>
  <c r="I14" i="37" s="1"/>
  <c r="K14" i="34" s="1"/>
  <c r="I6" i="37" a="1"/>
  <c r="I6" i="37" s="1"/>
  <c r="K6" i="34" s="1"/>
  <c r="H14" i="37" a="1"/>
  <c r="H14" i="37" s="1"/>
  <c r="J14" i="34" s="1"/>
  <c r="H6" i="37" a="1"/>
  <c r="H6" i="37" s="1"/>
  <c r="J6" i="34" s="1"/>
  <c r="K13" i="37"/>
  <c r="M13" i="34" s="1"/>
  <c r="J12" i="37"/>
  <c r="L12" i="34" s="1"/>
  <c r="J4" i="37"/>
  <c r="L4" i="34" s="1"/>
  <c r="K12" i="37"/>
  <c r="M12" i="34" s="1"/>
  <c r="K4" i="37"/>
  <c r="M4" i="34" s="1"/>
  <c r="K5" i="37"/>
  <c r="M5" i="34" s="1"/>
  <c r="J14" i="37"/>
  <c r="L14" i="34" s="1"/>
  <c r="J6" i="37"/>
  <c r="L6" i="34" s="1"/>
  <c r="K10" i="37"/>
  <c r="M10" i="34" s="1"/>
  <c r="H9" i="37" a="1"/>
  <c r="H9" i="37" s="1"/>
  <c r="J9" i="34" s="1"/>
  <c r="H13" i="37" a="1"/>
  <c r="H13" i="37" s="1"/>
  <c r="J13" i="34" s="1"/>
  <c r="H8" i="37" a="1"/>
  <c r="H8" i="37" s="1"/>
  <c r="J8" i="34" s="1"/>
  <c r="H5" i="37" a="1"/>
  <c r="H5" i="37" s="1"/>
  <c r="J5" i="34" s="1"/>
  <c r="K9" i="37"/>
  <c r="M9" i="34" s="1"/>
  <c r="I7" i="37" a="1"/>
  <c r="I7" i="37" s="1"/>
  <c r="K7" i="34" s="1"/>
  <c r="K8" i="37"/>
  <c r="M8" i="34" s="1"/>
  <c r="H7" i="37" a="1"/>
  <c r="H7" i="37" s="1"/>
  <c r="J7" i="34" s="1"/>
  <c r="I4" i="37" a="1"/>
  <c r="I4" i="37" s="1"/>
  <c r="K4" i="34" s="1"/>
  <c r="J11" i="37"/>
  <c r="L11" i="34" s="1"/>
  <c r="J3" i="37"/>
  <c r="L3" i="34" s="1"/>
  <c r="K14" i="37"/>
  <c r="M14" i="34" s="1"/>
  <c r="K6" i="37"/>
  <c r="M6" i="34" s="1"/>
  <c r="I11" i="37" a="1"/>
  <c r="I11" i="37" s="1"/>
  <c r="K11" i="34" s="1"/>
  <c r="I3" i="37" a="1"/>
  <c r="I3" i="37" s="1"/>
  <c r="K3" i="34" s="1"/>
  <c r="G14" i="37"/>
  <c r="H14" i="34" s="1"/>
  <c r="G6" i="37"/>
  <c r="H6" i="34" s="1"/>
  <c r="G11" i="37"/>
  <c r="H11" i="34" s="1"/>
  <c r="G3" i="37"/>
  <c r="H3" i="34" s="1"/>
  <c r="G9" i="37"/>
  <c r="H9" i="34" s="1"/>
  <c r="G8" i="37"/>
  <c r="H8" i="34" s="1"/>
  <c r="G7" i="37"/>
  <c r="H7" i="34" s="1"/>
  <c r="G10" i="37"/>
  <c r="H10" i="34" s="1"/>
  <c r="G13" i="37"/>
  <c r="H13" i="34" s="1"/>
  <c r="G5" i="37"/>
  <c r="H5" i="34" s="1"/>
  <c r="G12" i="37"/>
  <c r="H12" i="34" s="1"/>
  <c r="G4" i="37"/>
  <c r="H4" i="34" s="1"/>
  <c r="F14" i="37" a="1"/>
  <c r="F14" i="37" s="1"/>
  <c r="F7" i="37" a="1"/>
  <c r="F7" i="37" s="1"/>
  <c r="F6" i="37" a="1"/>
  <c r="F6" i="37" s="1"/>
  <c r="F5" i="37" a="1"/>
  <c r="F5" i="37" s="1"/>
  <c r="F12" i="37" a="1"/>
  <c r="F12" i="37" s="1"/>
  <c r="F4" i="37" a="1"/>
  <c r="F4" i="37" s="1"/>
  <c r="F11" i="37" a="1"/>
  <c r="F11" i="37" s="1"/>
  <c r="F3" i="37" a="1"/>
  <c r="F3" i="37" s="1"/>
  <c r="F10" i="37" a="1"/>
  <c r="F10" i="37" s="1"/>
  <c r="F13" i="37" a="1"/>
  <c r="F13" i="37" s="1"/>
  <c r="F9" i="37" a="1"/>
  <c r="F9" i="37" s="1"/>
  <c r="F8" i="37" a="1"/>
  <c r="F8" i="37" s="1"/>
  <c r="J22" i="7" a="1"/>
  <c r="J22" i="7" s="1"/>
  <c r="AD24" i="7" a="1"/>
  <c r="AD24" i="7" s="1"/>
  <c r="AB22" i="7" a="1"/>
  <c r="AB22" i="7" s="1"/>
  <c r="Y27" i="7" a="1"/>
  <c r="Y27" i="7" s="1"/>
  <c r="Y26" i="7" a="1"/>
  <c r="Y26" i="7" s="1"/>
  <c r="K19" i="7"/>
  <c r="AC31" i="7" a="1"/>
  <c r="AC31" i="7" s="1"/>
  <c r="AD30" i="7" a="1"/>
  <c r="AD30" i="7" s="1"/>
  <c r="Y30" i="7" a="1"/>
  <c r="Y30" i="7" s="1"/>
  <c r="AC25" i="7" a="1"/>
  <c r="AC25" i="7" s="1"/>
  <c r="T24" i="7" a="1"/>
  <c r="T24" i="7" s="1"/>
  <c r="W23" i="7" a="1"/>
  <c r="W23" i="7" s="1"/>
  <c r="J28" i="7" a="1"/>
  <c r="J28" i="7" s="1"/>
  <c r="Y21" i="7" a="1"/>
  <c r="Y21" i="7" s="1"/>
  <c r="AE21" i="7" a="1"/>
  <c r="AE21" i="7" s="1"/>
  <c r="AC22" i="7" a="1"/>
  <c r="AC22" i="7" s="1"/>
  <c r="AE30" i="7" a="1"/>
  <c r="AE30" i="7" s="1"/>
  <c r="AE27" i="7" a="1"/>
  <c r="AE27" i="7" s="1"/>
  <c r="AE24" i="7" a="1"/>
  <c r="AE24" i="7" s="1"/>
  <c r="Y24" i="7" a="1"/>
  <c r="Y24" i="7" s="1"/>
  <c r="V23" i="7" a="1"/>
  <c r="V23" i="7" s="1"/>
  <c r="X24" i="7" a="1"/>
  <c r="X24" i="7" s="1"/>
  <c r="AB31" i="7" a="1"/>
  <c r="AB31" i="7" s="1"/>
  <c r="AA25" i="7" a="1"/>
  <c r="AA25" i="7" s="1"/>
  <c r="U21" i="7" a="1"/>
  <c r="U21" i="7" s="1"/>
  <c r="U20" i="7" a="1"/>
  <c r="U20" i="7" s="1"/>
  <c r="W21" i="7" a="1"/>
  <c r="W21" i="7" s="1"/>
  <c r="K31" i="7" a="1"/>
  <c r="K31" i="7" s="1"/>
  <c r="T23" i="7" a="1"/>
  <c r="T23" i="7" s="1"/>
  <c r="V21" i="7" a="1"/>
  <c r="V21" i="7" s="1"/>
  <c r="X23" i="7" a="1"/>
  <c r="X23" i="7" s="1"/>
  <c r="AB28" i="7" a="1"/>
  <c r="AB28" i="7" s="1"/>
  <c r="T20" i="7" a="1"/>
  <c r="T20" i="7" s="1"/>
  <c r="K28" i="7" a="1"/>
  <c r="K28" i="7" s="1"/>
  <c r="T21" i="7" a="1"/>
  <c r="T21" i="7" s="1"/>
  <c r="V20" i="7" a="1"/>
  <c r="V20" i="7" s="1"/>
  <c r="X21" i="7" a="1"/>
  <c r="X21" i="7" s="1"/>
  <c r="AB25" i="7" a="1"/>
  <c r="AB25" i="7" s="1"/>
  <c r="U30" i="7" a="1"/>
  <c r="U30" i="7" s="1"/>
  <c r="W30" i="7" a="1"/>
  <c r="W30" i="7" s="1"/>
  <c r="V30" i="7" a="1"/>
  <c r="V30" i="7" s="1"/>
  <c r="Z31" i="7" a="1"/>
  <c r="Z31" i="7" s="1"/>
  <c r="U29" i="7" a="1"/>
  <c r="U29" i="7" s="1"/>
  <c r="W29" i="7" a="1"/>
  <c r="W29" i="7" s="1"/>
  <c r="T30" i="7" a="1"/>
  <c r="T30" i="7" s="1"/>
  <c r="V29" i="7" a="1"/>
  <c r="V29" i="7" s="1"/>
  <c r="X30" i="7" a="1"/>
  <c r="X30" i="7" s="1"/>
  <c r="Z28" i="7" a="1"/>
  <c r="Z28" i="7" s="1"/>
  <c r="K22" i="7" a="1"/>
  <c r="K22" i="7" s="1"/>
  <c r="U27" i="7" a="1"/>
  <c r="U27" i="7" s="1"/>
  <c r="W27" i="7" a="1"/>
  <c r="W27" i="7" s="1"/>
  <c r="T29" i="7" a="1"/>
  <c r="T29" i="7" s="1"/>
  <c r="V27" i="7" a="1"/>
  <c r="V27" i="7" s="1"/>
  <c r="X29" i="7" a="1"/>
  <c r="X29" i="7" s="1"/>
  <c r="Z25" i="7" a="1"/>
  <c r="Z25" i="7" s="1"/>
  <c r="U26" i="7" a="1"/>
  <c r="U26" i="7" s="1"/>
  <c r="W26" i="7" a="1"/>
  <c r="W26" i="7" s="1"/>
  <c r="T27" i="7" a="1"/>
  <c r="T27" i="7" s="1"/>
  <c r="V26" i="7" a="1"/>
  <c r="V26" i="7" s="1"/>
  <c r="X27" i="7" a="1"/>
  <c r="X27" i="7" s="1"/>
  <c r="Z22" i="7" a="1"/>
  <c r="Z22" i="7" s="1"/>
  <c r="AA31" i="7" a="1"/>
  <c r="AA31" i="7" s="1"/>
  <c r="U24" i="7" a="1"/>
  <c r="U24" i="7" s="1"/>
  <c r="W24" i="7" a="1"/>
  <c r="W24" i="7" s="1"/>
  <c r="T26" i="7" a="1"/>
  <c r="T26" i="7" s="1"/>
  <c r="V24" i="7" a="1"/>
  <c r="V24" i="7" s="1"/>
  <c r="X26" i="7" a="1"/>
  <c r="X26" i="7" s="1"/>
  <c r="X20" i="7" a="1"/>
  <c r="X20" i="7" s="1"/>
  <c r="AA28" i="7" a="1"/>
  <c r="AA28" i="7" s="1"/>
  <c r="U23" i="7" a="1"/>
  <c r="U23" i="7" s="1"/>
  <c r="K3" i="47"/>
  <c r="L3" i="47" s="1"/>
  <c r="K4" i="47"/>
  <c r="L4" i="47" s="1"/>
  <c r="K5" i="47"/>
  <c r="L5" i="47" s="1"/>
  <c r="K6" i="47"/>
  <c r="L6" i="47" s="1"/>
  <c r="K7" i="47"/>
  <c r="L7" i="47" s="1"/>
  <c r="K8" i="47"/>
  <c r="L8" i="47" s="1"/>
  <c r="K9" i="47"/>
  <c r="L9" i="47" s="1"/>
  <c r="K10" i="47"/>
  <c r="L10" i="47" s="1"/>
  <c r="M7" i="47"/>
  <c r="I13" i="34" l="1"/>
  <c r="R17" i="37"/>
  <c r="Q17" i="37"/>
  <c r="AB20" i="37"/>
  <c r="AB21" i="37"/>
  <c r="AC19" i="37"/>
  <c r="Y18" i="37"/>
  <c r="V21" i="37"/>
  <c r="AC18" i="37"/>
  <c r="U19" i="37"/>
  <c r="AA20" i="37"/>
  <c r="AC20" i="37"/>
  <c r="U21" i="37"/>
  <c r="W21" i="37"/>
  <c r="W19" i="37"/>
  <c r="AB18" i="37"/>
  <c r="X20" i="37"/>
  <c r="V18" i="37"/>
  <c r="X18" i="37"/>
  <c r="V19" i="37"/>
  <c r="V20" i="37"/>
  <c r="Z19" i="37"/>
  <c r="U20" i="37"/>
  <c r="W20" i="37"/>
  <c r="U18" i="37"/>
  <c r="AA18" i="37"/>
  <c r="X19" i="37"/>
  <c r="Y20" i="37"/>
  <c r="X21" i="37"/>
  <c r="Z21" i="37"/>
  <c r="AC21" i="37"/>
  <c r="AB19" i="37"/>
  <c r="E8" i="37"/>
  <c r="F8" i="34" s="1"/>
  <c r="G8" i="34"/>
  <c r="I8" i="34" s="1"/>
  <c r="E12" i="37"/>
  <c r="F12" i="34" s="1"/>
  <c r="G12" i="34"/>
  <c r="I12" i="34" s="1"/>
  <c r="Y21" i="37"/>
  <c r="Y19" i="37"/>
  <c r="E9" i="37"/>
  <c r="F9" i="34" s="1"/>
  <c r="G9" i="34"/>
  <c r="I9" i="34" s="1"/>
  <c r="E13" i="37"/>
  <c r="F13" i="34" s="1"/>
  <c r="G13" i="34"/>
  <c r="E5" i="37"/>
  <c r="F5" i="34" s="1"/>
  <c r="G5" i="34"/>
  <c r="I5" i="34" s="1"/>
  <c r="E10" i="37"/>
  <c r="F10" i="34" s="1"/>
  <c r="G10" i="34"/>
  <c r="I10" i="34" s="1"/>
  <c r="E3" i="37"/>
  <c r="F3" i="34" s="1"/>
  <c r="G3" i="34"/>
  <c r="I3" i="34" s="1"/>
  <c r="E6" i="37"/>
  <c r="F6" i="34" s="1"/>
  <c r="G6" i="34"/>
  <c r="I6" i="34" s="1"/>
  <c r="E11" i="37"/>
  <c r="F11" i="34" s="1"/>
  <c r="G11" i="34"/>
  <c r="I11" i="34" s="1"/>
  <c r="E7" i="37"/>
  <c r="F7" i="34" s="1"/>
  <c r="G7" i="34"/>
  <c r="I7" i="34" s="1"/>
  <c r="E14" i="37"/>
  <c r="F14" i="34" s="1"/>
  <c r="G14" i="34"/>
  <c r="I14" i="34" s="1"/>
  <c r="E4" i="37"/>
  <c r="F4" i="34" s="1"/>
  <c r="G4" i="34"/>
  <c r="I4" i="34" s="1"/>
  <c r="D28" i="7"/>
  <c r="D31" i="7"/>
  <c r="D18" i="7"/>
  <c r="D17" i="7"/>
  <c r="D19" i="7"/>
  <c r="D16" i="7"/>
  <c r="D15" i="7"/>
  <c r="D14" i="7"/>
  <c r="D13" i="7"/>
  <c r="D12" i="7"/>
  <c r="D11" i="7"/>
  <c r="D10" i="7"/>
  <c r="D9" i="7"/>
  <c r="D8" i="7"/>
  <c r="D7" i="7"/>
  <c r="D6" i="7"/>
  <c r="D5" i="7"/>
  <c r="D4" i="7"/>
  <c r="D3" i="7"/>
  <c r="C4" i="7"/>
  <c r="C3" i="37" s="1"/>
  <c r="C5" i="7"/>
  <c r="C4" i="37" s="1"/>
  <c r="C6" i="7"/>
  <c r="C5" i="37" s="1"/>
  <c r="C7" i="7"/>
  <c r="C6" i="37" s="1"/>
  <c r="C8" i="7"/>
  <c r="C7" i="37" s="1"/>
  <c r="C9" i="7"/>
  <c r="C8" i="37" s="1"/>
  <c r="C10" i="7"/>
  <c r="C9" i="37" s="1"/>
  <c r="C11" i="7"/>
  <c r="C10" i="37" s="1"/>
  <c r="C12" i="7"/>
  <c r="C11" i="37" s="1"/>
  <c r="C13" i="7"/>
  <c r="C12" i="37" s="1"/>
  <c r="C14" i="7"/>
  <c r="C13" i="37" s="1"/>
  <c r="C15" i="7"/>
  <c r="C14" i="37" s="1"/>
  <c r="C16" i="7"/>
  <c r="C17" i="7"/>
  <c r="C18" i="7"/>
  <c r="C3" i="7"/>
  <c r="D2" i="1"/>
  <c r="C2" i="1"/>
  <c r="B2" i="1"/>
  <c r="D3" i="1"/>
  <c r="C3" i="1"/>
  <c r="B4" i="7" s="1"/>
  <c r="C4" i="1"/>
  <c r="B5" i="7" s="1"/>
  <c r="B3" i="1"/>
  <c r="B4" i="1"/>
  <c r="H32" i="38"/>
  <c r="H33" i="38"/>
  <c r="H34" i="38"/>
  <c r="H35" i="38"/>
  <c r="F30" i="38"/>
  <c r="F29" i="38"/>
  <c r="C31" i="38"/>
  <c r="A31" i="38"/>
  <c r="A2" i="38"/>
  <c r="F12" i="38"/>
  <c r="E12" i="38"/>
  <c r="E35" i="38"/>
  <c r="E34" i="38"/>
  <c r="F33" i="38"/>
  <c r="F35" i="38"/>
  <c r="F34" i="38"/>
  <c r="F32" i="38"/>
  <c r="D35" i="38"/>
  <c r="D34" i="38"/>
  <c r="D33" i="38"/>
  <c r="D32" i="38"/>
  <c r="E33" i="38"/>
  <c r="E32" i="38"/>
  <c r="F28" i="38"/>
  <c r="C35" i="38"/>
  <c r="C34" i="38"/>
  <c r="C33" i="38"/>
  <c r="C32" i="38"/>
  <c r="A44" i="38"/>
  <c r="A43" i="38"/>
  <c r="A42" i="38"/>
  <c r="A41" i="38"/>
  <c r="A40" i="38"/>
  <c r="A39" i="38"/>
  <c r="A38" i="38"/>
  <c r="A37" i="38"/>
  <c r="A36" i="38"/>
  <c r="A35" i="38"/>
  <c r="A34" i="38"/>
  <c r="A33" i="38"/>
  <c r="A32" i="38"/>
  <c r="F31" i="38"/>
  <c r="AD1" i="7"/>
  <c r="AB1" i="7"/>
  <c r="X1" i="7"/>
  <c r="Z1" i="7"/>
  <c r="V1" i="7"/>
  <c r="T1" i="7"/>
  <c r="R1" i="7"/>
  <c r="S1" i="7" s="1"/>
  <c r="F27" i="38"/>
  <c r="F26" i="38"/>
  <c r="E31" i="38"/>
  <c r="E30" i="38"/>
  <c r="E29" i="38"/>
  <c r="E28" i="38"/>
  <c r="E26" i="38"/>
  <c r="D31" i="38"/>
  <c r="J17" i="37" l="1"/>
  <c r="L18" i="34" s="1"/>
  <c r="H17" i="37" a="1"/>
  <c r="H17" i="37" s="1"/>
  <c r="J18" i="34" s="1"/>
  <c r="U1" i="7"/>
  <c r="V1" i="37"/>
  <c r="U1" i="37"/>
  <c r="W1" i="7"/>
  <c r="W1" i="37"/>
  <c r="X1" i="37"/>
  <c r="AA1" i="7"/>
  <c r="Y1" i="37"/>
  <c r="AC1" i="7"/>
  <c r="AD1" i="37"/>
  <c r="Y1" i="7"/>
  <c r="AC1" i="37"/>
  <c r="AB1" i="37"/>
  <c r="AE1" i="7"/>
  <c r="Z1" i="37"/>
  <c r="O16" i="7"/>
  <c r="M16" i="7"/>
  <c r="Q16" i="7"/>
  <c r="L16" i="7"/>
  <c r="P16" i="7"/>
  <c r="N16" i="7"/>
  <c r="O3" i="7"/>
  <c r="Q3" i="7"/>
  <c r="M3" i="7"/>
  <c r="L3" i="7"/>
  <c r="P3" i="7"/>
  <c r="N3" i="7"/>
  <c r="Q18" i="7"/>
  <c r="M18" i="7"/>
  <c r="O18" i="7"/>
  <c r="P18" i="7"/>
  <c r="N18" i="7"/>
  <c r="L18" i="7"/>
  <c r="Q17" i="7"/>
  <c r="M17" i="7"/>
  <c r="O17" i="7"/>
  <c r="N17" i="7"/>
  <c r="L17" i="7"/>
  <c r="P17" i="7"/>
  <c r="H21" i="37" a="1"/>
  <c r="H21" i="37" s="1"/>
  <c r="J22" i="34" s="1"/>
  <c r="E6" i="34"/>
  <c r="E12" i="34"/>
  <c r="E11" i="34"/>
  <c r="E10" i="34"/>
  <c r="E14" i="34"/>
  <c r="E3" i="34"/>
  <c r="E9" i="34"/>
  <c r="E13" i="34"/>
  <c r="E4" i="34"/>
  <c r="E8" i="34"/>
  <c r="E5" i="34"/>
  <c r="E7" i="34"/>
  <c r="I19" i="37" a="1"/>
  <c r="I19" i="37" s="1"/>
  <c r="K20" i="34" s="1"/>
  <c r="J21" i="37"/>
  <c r="L22" i="34" s="1"/>
  <c r="K21" i="37"/>
  <c r="M22" i="34" s="1"/>
  <c r="H20" i="37" a="1"/>
  <c r="H20" i="37" s="1"/>
  <c r="J21" i="34" s="1"/>
  <c r="K20" i="37"/>
  <c r="M21" i="34" s="1"/>
  <c r="F19" i="37" a="1"/>
  <c r="F19" i="37" s="1"/>
  <c r="G20" i="34" s="1"/>
  <c r="G19" i="37"/>
  <c r="H20" i="34" s="1"/>
  <c r="G21" i="37"/>
  <c r="H22" i="34" s="1"/>
  <c r="J20" i="37"/>
  <c r="L21" i="34" s="1"/>
  <c r="I20" i="37" a="1"/>
  <c r="I20" i="37" s="1"/>
  <c r="K21" i="34" s="1"/>
  <c r="K19" i="37"/>
  <c r="M20" i="34" s="1"/>
  <c r="G20" i="37"/>
  <c r="H21" i="34" s="1"/>
  <c r="F20" i="37" a="1"/>
  <c r="F20" i="37" s="1"/>
  <c r="G21" i="34" s="1"/>
  <c r="F21" i="37" a="1"/>
  <c r="F21" i="37" s="1"/>
  <c r="I21" i="37" a="1"/>
  <c r="I21" i="37" s="1"/>
  <c r="K22" i="34" s="1"/>
  <c r="H19" i="37" a="1"/>
  <c r="H19" i="37" s="1"/>
  <c r="J20" i="34" s="1"/>
  <c r="J19" i="37"/>
  <c r="I16" i="7"/>
  <c r="J16" i="7"/>
  <c r="K16" i="7"/>
  <c r="J18" i="7"/>
  <c r="K18" i="7"/>
  <c r="J17" i="7"/>
  <c r="K17" i="7"/>
  <c r="C20" i="37"/>
  <c r="C21" i="37"/>
  <c r="J31" i="7" a="1"/>
  <c r="J31" i="7" s="1"/>
  <c r="C19" i="37"/>
  <c r="C17" i="37"/>
  <c r="G18" i="7"/>
  <c r="H18" i="7"/>
  <c r="I18" i="7"/>
  <c r="C16" i="37"/>
  <c r="G17" i="7"/>
  <c r="H17" i="7"/>
  <c r="I17" i="7"/>
  <c r="C18" i="37"/>
  <c r="G19" i="7"/>
  <c r="H19" i="7"/>
  <c r="I19" i="7"/>
  <c r="C15" i="37"/>
  <c r="G16" i="7"/>
  <c r="H16" i="7"/>
  <c r="I3" i="7"/>
  <c r="B3" i="7"/>
  <c r="B2" i="38"/>
  <c r="H12" i="38"/>
  <c r="H16" i="38"/>
  <c r="H29" i="38"/>
  <c r="H8" i="38"/>
  <c r="H5" i="38"/>
  <c r="H2" i="38"/>
  <c r="D30" i="38"/>
  <c r="D28" i="38"/>
  <c r="D26" i="38"/>
  <c r="C12" i="38"/>
  <c r="A5" i="38"/>
  <c r="A8" i="38" s="1"/>
  <c r="A12" i="38" s="1"/>
  <c r="A16" i="38" s="1"/>
  <c r="A26" i="38" s="1"/>
  <c r="A28" i="38" s="1"/>
  <c r="A29" i="38" s="1"/>
  <c r="A30" i="38" s="1"/>
  <c r="C2" i="37"/>
  <c r="D29" i="38"/>
  <c r="J1" i="7"/>
  <c r="D12" i="38"/>
  <c r="L1" i="7" s="1"/>
  <c r="N1" i="7"/>
  <c r="D16" i="38"/>
  <c r="C28" i="38"/>
  <c r="C29" i="38" s="1"/>
  <c r="C30" i="38" s="1"/>
  <c r="D4" i="1"/>
  <c r="D5" i="1" s="1"/>
  <c r="D6" i="1" s="1"/>
  <c r="D7" i="1" s="1"/>
  <c r="D8" i="1" s="1"/>
  <c r="D9" i="1" s="1"/>
  <c r="D10" i="1" s="1"/>
  <c r="D11" i="1" s="1"/>
  <c r="D12" i="1" s="1"/>
  <c r="D13" i="1" s="1"/>
  <c r="D14" i="1" s="1"/>
  <c r="C5" i="1"/>
  <c r="B5" i="1"/>
  <c r="L17" i="37" l="1"/>
  <c r="N18" i="34" s="1"/>
  <c r="O1" i="7"/>
  <c r="R1" i="37"/>
  <c r="Q1" i="37"/>
  <c r="K1" i="7"/>
  <c r="AA1" i="37"/>
  <c r="T1" i="37"/>
  <c r="S15" i="37"/>
  <c r="R15" i="37"/>
  <c r="S18" i="37"/>
  <c r="Q15" i="37"/>
  <c r="Q2" i="37"/>
  <c r="Q18" i="37"/>
  <c r="R18" i="37"/>
  <c r="B18" i="37"/>
  <c r="B19" i="34" s="1"/>
  <c r="Q16" i="37"/>
  <c r="R2" i="37"/>
  <c r="R16" i="37"/>
  <c r="S16" i="37"/>
  <c r="S2" i="37"/>
  <c r="E19" i="34"/>
  <c r="E22" i="34"/>
  <c r="E16" i="34"/>
  <c r="E17" i="34"/>
  <c r="E21" i="34"/>
  <c r="E15" i="34"/>
  <c r="E18" i="34"/>
  <c r="E20" i="34"/>
  <c r="L20" i="37"/>
  <c r="N21" i="34" s="1"/>
  <c r="M19" i="37"/>
  <c r="O20" i="34" s="1"/>
  <c r="L21" i="37"/>
  <c r="N22" i="34" s="1"/>
  <c r="I21" i="34"/>
  <c r="I20" i="34"/>
  <c r="E20" i="37"/>
  <c r="F21" i="34" s="1"/>
  <c r="E19" i="37"/>
  <c r="F20" i="34" s="1"/>
  <c r="M20" i="37"/>
  <c r="O21" i="34" s="1"/>
  <c r="G22" i="34"/>
  <c r="I22" i="34" s="1"/>
  <c r="E21" i="37"/>
  <c r="F22" i="34" s="1"/>
  <c r="M21" i="37"/>
  <c r="O22" i="34" s="1"/>
  <c r="L19" i="37"/>
  <c r="N20" i="34" s="1"/>
  <c r="L20" i="34"/>
  <c r="O17" i="37"/>
  <c r="O16" i="37"/>
  <c r="P17" i="37"/>
  <c r="T16" i="37"/>
  <c r="T18" i="37"/>
  <c r="P15" i="37"/>
  <c r="P18" i="37"/>
  <c r="O15" i="37"/>
  <c r="P16" i="37"/>
  <c r="O18" i="37"/>
  <c r="T15" i="37"/>
  <c r="O2" i="37"/>
  <c r="P2" i="37"/>
  <c r="T2" i="37"/>
  <c r="C6" i="1"/>
  <c r="B6" i="7"/>
  <c r="M1" i="7"/>
  <c r="D15" i="1"/>
  <c r="D19" i="1" s="1"/>
  <c r="D20" i="1" s="1"/>
  <c r="D21" i="1" s="1"/>
  <c r="D16" i="1"/>
  <c r="G1" i="7"/>
  <c r="G1" i="46"/>
  <c r="H1" i="7"/>
  <c r="H1" i="46"/>
  <c r="P1" i="7"/>
  <c r="O1" i="37" l="1"/>
  <c r="Q1" i="7"/>
  <c r="S1" i="37"/>
  <c r="P1" i="37"/>
  <c r="J16" i="37"/>
  <c r="H16" i="37" a="1"/>
  <c r="H16" i="37" s="1"/>
  <c r="J17" i="34" s="1"/>
  <c r="K15" i="37"/>
  <c r="I15" i="37" a="1"/>
  <c r="I15" i="37" s="1"/>
  <c r="K16" i="34" s="1"/>
  <c r="H15" i="37" a="1"/>
  <c r="H15" i="37" s="1"/>
  <c r="J16" i="34" s="1"/>
  <c r="J15" i="37"/>
  <c r="I2" i="37" a="1"/>
  <c r="I2" i="37" s="1"/>
  <c r="K2" i="37"/>
  <c r="F2" i="37" a="1"/>
  <c r="F2" i="37" s="1"/>
  <c r="I18" i="37" a="1"/>
  <c r="I18" i="37" s="1"/>
  <c r="K19" i="34" s="1"/>
  <c r="K18" i="37"/>
  <c r="I16" i="37" a="1"/>
  <c r="I16" i="37" s="1"/>
  <c r="K17" i="34" s="1"/>
  <c r="K16" i="37"/>
  <c r="J2" i="37"/>
  <c r="H2" i="37" a="1"/>
  <c r="H2" i="37" s="1"/>
  <c r="J18" i="37"/>
  <c r="H18" i="37" a="1"/>
  <c r="H18" i="37" s="1"/>
  <c r="J19" i="34" s="1"/>
  <c r="I17" i="37" a="1"/>
  <c r="I17" i="37" s="1"/>
  <c r="K18" i="34" s="1"/>
  <c r="K17" i="37"/>
  <c r="F15" i="37" a="1"/>
  <c r="F15" i="37" s="1"/>
  <c r="G16" i="34" s="1"/>
  <c r="G15" i="37"/>
  <c r="H16" i="34" s="1"/>
  <c r="G18" i="37"/>
  <c r="H19" i="34" s="1"/>
  <c r="F18" i="37" a="1"/>
  <c r="F18" i="37" s="1"/>
  <c r="G19" i="34" s="1"/>
  <c r="F16" i="37" a="1"/>
  <c r="F16" i="37" s="1"/>
  <c r="G17" i="34" s="1"/>
  <c r="G16" i="37"/>
  <c r="H17" i="34" s="1"/>
  <c r="F17" i="37" a="1"/>
  <c r="F17" i="37" s="1"/>
  <c r="G18" i="34" s="1"/>
  <c r="G17" i="37"/>
  <c r="H18" i="34" s="1"/>
  <c r="G2" i="37"/>
  <c r="D17" i="1"/>
  <c r="D18" i="1" s="1"/>
  <c r="C7" i="1"/>
  <c r="B7" i="7"/>
  <c r="I1" i="7"/>
  <c r="K15" i="34" l="1"/>
  <c r="J15" i="34"/>
  <c r="H15" i="34"/>
  <c r="G15" i="34"/>
  <c r="I17" i="34"/>
  <c r="I16" i="34"/>
  <c r="L19" i="34"/>
  <c r="L18" i="37"/>
  <c r="N19" i="34" s="1"/>
  <c r="M15" i="34"/>
  <c r="M2" i="37"/>
  <c r="I19" i="34"/>
  <c r="L15" i="34"/>
  <c r="L2" i="37"/>
  <c r="L16" i="34"/>
  <c r="L15" i="37"/>
  <c r="N16" i="34" s="1"/>
  <c r="M17" i="34"/>
  <c r="M16" i="37"/>
  <c r="O17" i="34" s="1"/>
  <c r="I18" i="34"/>
  <c r="M17" i="37"/>
  <c r="O18" i="34" s="1"/>
  <c r="M18" i="34"/>
  <c r="M19" i="34"/>
  <c r="M18" i="37"/>
  <c r="O19" i="34" s="1"/>
  <c r="M16" i="34"/>
  <c r="M15" i="37"/>
  <c r="O16" i="34" s="1"/>
  <c r="L17" i="34"/>
  <c r="L16" i="37"/>
  <c r="N17" i="34" s="1"/>
  <c r="E17" i="37"/>
  <c r="F18" i="34" s="1"/>
  <c r="E18" i="37"/>
  <c r="F19" i="34" s="1"/>
  <c r="E15" i="37"/>
  <c r="F16" i="34" s="1"/>
  <c r="E16" i="37"/>
  <c r="F17" i="34" s="1"/>
  <c r="E2" i="37"/>
  <c r="C8" i="1"/>
  <c r="B8" i="7"/>
  <c r="I15" i="34" l="1"/>
  <c r="O15" i="34"/>
  <c r="N15" i="34"/>
  <c r="F15" i="34"/>
  <c r="C2" i="34" s="1" a="1"/>
  <c r="C2" i="34" s="1"/>
  <c r="D2" i="34" s="1"/>
  <c r="C9" i="1"/>
  <c r="B9" i="7"/>
  <c r="B2" i="37" l="1"/>
  <c r="B15" i="34" s="1"/>
  <c r="C10" i="1"/>
  <c r="B10" i="7"/>
  <c r="B3" i="37" s="1"/>
  <c r="B3" i="34" s="1"/>
  <c r="C11" i="1" l="1"/>
  <c r="B11" i="7"/>
  <c r="B4" i="37" s="1"/>
  <c r="B4" i="34" s="1"/>
  <c r="C12" i="1" l="1"/>
  <c r="B12" i="7"/>
  <c r="B5" i="37" s="1"/>
  <c r="B5" i="34" s="1"/>
  <c r="C13" i="1" l="1"/>
  <c r="B13" i="7"/>
  <c r="B6" i="37" s="1"/>
  <c r="B6" i="34" s="1"/>
  <c r="C14" i="1" l="1"/>
  <c r="B14" i="7"/>
  <c r="B7" i="37" s="1"/>
  <c r="B7" i="34" s="1"/>
  <c r="B15" i="7" l="1"/>
  <c r="B8" i="37" s="1"/>
  <c r="B8" i="34" s="1"/>
  <c r="C16" i="1"/>
  <c r="B19" i="7" s="1"/>
  <c r="B10" i="37" s="1"/>
  <c r="B10" i="34" s="1"/>
  <c r="C15" i="1"/>
  <c r="C19" i="1" l="1"/>
  <c r="B16" i="7"/>
  <c r="B9" i="37" s="1"/>
  <c r="B9" i="34" s="1"/>
  <c r="B24" i="7" l="1"/>
  <c r="B23" i="7"/>
  <c r="B13" i="37" s="1"/>
  <c r="B13" i="34" s="1"/>
  <c r="B25" i="7"/>
  <c r="C20" i="1"/>
  <c r="B27" i="7" l="1"/>
  <c r="B26" i="7"/>
  <c r="B28" i="7"/>
  <c r="B14" i="37" s="1"/>
  <c r="B14" i="34" s="1"/>
  <c r="C21" i="1"/>
  <c r="B29" i="7" l="1"/>
  <c r="B31" i="7"/>
  <c r="B30" i="7"/>
  <c r="C17" i="1"/>
  <c r="B20" i="7" s="1"/>
  <c r="B15" i="37"/>
  <c r="B16" i="34" s="1"/>
  <c r="B21" i="37" l="1"/>
  <c r="B22" i="34" s="1"/>
  <c r="B19" i="37"/>
  <c r="B20" i="34" s="1"/>
  <c r="B16" i="37"/>
  <c r="B17" i="34" s="1"/>
  <c r="B17" i="37"/>
  <c r="B18" i="34" s="1"/>
  <c r="B20" i="37"/>
  <c r="B21" i="34" s="1"/>
  <c r="C18" i="1"/>
  <c r="B17" i="7"/>
  <c r="B11" i="37" s="1"/>
  <c r="B11" i="34" s="1"/>
  <c r="B18" i="7" l="1"/>
  <c r="B12" i="37" s="1"/>
  <c r="B12" i="34" s="1"/>
  <c r="B21" i="7"/>
  <c r="B22"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<sst xmlns="http://schemas.openxmlformats.org/spreadsheetml/2006/main" count="5523" uniqueCount="679">
  <si>
    <t>G 11</t>
  </si>
  <si>
    <t>N 62 51,90</t>
  </si>
  <si>
    <t>E 18 17,50</t>
  </si>
  <si>
    <t>N 4-1</t>
  </si>
  <si>
    <t>N 62 47,98</t>
  </si>
  <si>
    <t>E 18 17,29</t>
  </si>
  <si>
    <t>N 4-3</t>
  </si>
  <si>
    <t>N 62 46,97</t>
  </si>
  <si>
    <t>E 18 23,52</t>
  </si>
  <si>
    <t>Åv 1</t>
  </si>
  <si>
    <t>N 62 29,26</t>
  </si>
  <si>
    <t>E 17 43,68</t>
  </si>
  <si>
    <t>Åv 2</t>
  </si>
  <si>
    <t>N 62 27,71</t>
  </si>
  <si>
    <t>E 17 42,19</t>
  </si>
  <si>
    <t>Su 4</t>
  </si>
  <si>
    <t>N 62 19,06</t>
  </si>
  <si>
    <t>E 17 39,04</t>
  </si>
  <si>
    <t>Su 5</t>
  </si>
  <si>
    <t>N 62 20,91</t>
  </si>
  <si>
    <t>E 17 39,38</t>
  </si>
  <si>
    <t>R 2-13</t>
  </si>
  <si>
    <t>N 61 21,89</t>
  </si>
  <si>
    <t>E 17 12,84</t>
  </si>
  <si>
    <t>N 2-4</t>
  </si>
  <si>
    <t>N 61 21,10</t>
  </si>
  <si>
    <t>E 17 30,79</t>
  </si>
  <si>
    <t>N 2-3</t>
  </si>
  <si>
    <t>N 61 19,44</t>
  </si>
  <si>
    <t>E 17 35,59</t>
  </si>
  <si>
    <t>N 61 14,00</t>
  </si>
  <si>
    <t>E 17 40,00</t>
  </si>
  <si>
    <t>R 2-4</t>
  </si>
  <si>
    <t>E 17 06,27</t>
  </si>
  <si>
    <t>N 61 24,04</t>
  </si>
  <si>
    <t>YEAR</t>
  </si>
  <si>
    <t>NBP</t>
  </si>
  <si>
    <t>WGB</t>
  </si>
  <si>
    <t>Basin</t>
  </si>
  <si>
    <t>BS</t>
  </si>
  <si>
    <t>Sweden</t>
  </si>
  <si>
    <t>HELCOM_ID</t>
  </si>
  <si>
    <t>SEA-001</t>
  </si>
  <si>
    <t>Kattegat</t>
  </si>
  <si>
    <t>SEA-002</t>
  </si>
  <si>
    <t>Great Belt</t>
  </si>
  <si>
    <t>SEA-003</t>
  </si>
  <si>
    <t>The Sound</t>
  </si>
  <si>
    <t>SEA-004</t>
  </si>
  <si>
    <t>Kiel Bay</t>
  </si>
  <si>
    <t>SEA-005</t>
  </si>
  <si>
    <t>Bay of Mecklenburg</t>
  </si>
  <si>
    <t>SEA-006</t>
  </si>
  <si>
    <t>Arkona Basin</t>
  </si>
  <si>
    <t>SEA-007</t>
  </si>
  <si>
    <t>Bornholm Basin</t>
  </si>
  <si>
    <t>SEA-008</t>
  </si>
  <si>
    <t>Gdansk Basin</t>
  </si>
  <si>
    <t>SEA-009</t>
  </si>
  <si>
    <t>Eastern Gotland Basin</t>
  </si>
  <si>
    <t>SEA-010</t>
  </si>
  <si>
    <t>Western Gotland Basin</t>
  </si>
  <si>
    <t>SEA-011</t>
  </si>
  <si>
    <t>Gulf of Riga</t>
  </si>
  <si>
    <t>SEA-012</t>
  </si>
  <si>
    <t>Northern Baltic Proper</t>
  </si>
  <si>
    <t>SEA-013</t>
  </si>
  <si>
    <t>Gulf of Finland</t>
  </si>
  <si>
    <t>SEA-014</t>
  </si>
  <si>
    <t>SEA-015</t>
  </si>
  <si>
    <t>Bothnian Sea</t>
  </si>
  <si>
    <t>SEA-016</t>
  </si>
  <si>
    <t>The Quark</t>
  </si>
  <si>
    <t>SEA-017</t>
  </si>
  <si>
    <t>Bothnian Bay</t>
  </si>
  <si>
    <t>HELCOM Assessment Units Scale 2</t>
  </si>
  <si>
    <t>Åland Sea</t>
  </si>
  <si>
    <t>GoR</t>
  </si>
  <si>
    <t>Y</t>
  </si>
  <si>
    <t>N</t>
  </si>
  <si>
    <t>Monoporeia affinis</t>
  </si>
  <si>
    <t>GoF</t>
  </si>
  <si>
    <t>Basin code</t>
  </si>
  <si>
    <t>Station</t>
  </si>
  <si>
    <t xml:space="preserve">Biological effect assessment tool </t>
  </si>
  <si>
    <t>developed by BEACON (Interreg) project, 2023-2024</t>
  </si>
  <si>
    <t>Content</t>
  </si>
  <si>
    <t>List of stations with their geographical coordinates for each subbasin included in the assessment</t>
  </si>
  <si>
    <t>Collating biological effect measurements for the assessment of contaminant exposure in the context of Descriptor 8.2</t>
  </si>
  <si>
    <r>
      <t>Basin code [</t>
    </r>
    <r>
      <rPr>
        <sz val="11"/>
        <color theme="1"/>
        <rFont val="Calibri"/>
        <family val="2"/>
        <scheme val="minor"/>
      </rPr>
      <t xml:space="preserve">copy value from </t>
    </r>
    <r>
      <rPr>
        <b/>
        <i/>
        <sz val="11"/>
        <color theme="1"/>
        <rFont val="Calibri"/>
        <family val="2"/>
        <scheme val="minor"/>
      </rPr>
      <t>Assessment Units</t>
    </r>
    <r>
      <rPr>
        <b/>
        <sz val="11"/>
        <color theme="1"/>
        <rFont val="Calibri"/>
        <family val="2"/>
        <scheme val="minor"/>
      </rPr>
      <t>]</t>
    </r>
  </si>
  <si>
    <r>
      <t>Basin [</t>
    </r>
    <r>
      <rPr>
        <sz val="11"/>
        <color theme="1"/>
        <rFont val="Calibri"/>
        <family val="2"/>
        <scheme val="minor"/>
      </rPr>
      <t>copy value from</t>
    </r>
    <r>
      <rPr>
        <i/>
        <sz val="11"/>
        <color theme="1"/>
        <rFont val="Calibri"/>
        <family val="2"/>
        <scheme val="minor"/>
      </rPr>
      <t xml:space="preserve"> </t>
    </r>
    <r>
      <rPr>
        <b/>
        <i/>
        <sz val="11"/>
        <color theme="1"/>
        <rFont val="Calibri"/>
        <family val="2"/>
        <scheme val="minor"/>
      </rPr>
      <t>Assessment Units</t>
    </r>
    <r>
      <rPr>
        <b/>
        <sz val="11"/>
        <color theme="1"/>
        <rFont val="Calibri"/>
        <family val="2"/>
        <scheme val="minor"/>
      </rPr>
      <t>]</t>
    </r>
  </si>
  <si>
    <r>
      <t>HELCOM_ID [</t>
    </r>
    <r>
      <rPr>
        <sz val="11"/>
        <color theme="1"/>
        <rFont val="Calibri"/>
        <family val="2"/>
        <scheme val="minor"/>
      </rPr>
      <t>copy value from</t>
    </r>
    <r>
      <rPr>
        <b/>
        <sz val="11"/>
        <color theme="1"/>
        <rFont val="Calibri"/>
        <family val="2"/>
        <scheme val="minor"/>
      </rPr>
      <t xml:space="preserve"> </t>
    </r>
    <r>
      <rPr>
        <b/>
        <i/>
        <sz val="11"/>
        <color theme="1"/>
        <rFont val="Calibri"/>
        <family val="2"/>
        <scheme val="minor"/>
      </rPr>
      <t>Assessment Units</t>
    </r>
    <r>
      <rPr>
        <b/>
        <sz val="11"/>
        <color theme="1"/>
        <rFont val="Calibri"/>
        <family val="2"/>
        <scheme val="minor"/>
      </rPr>
      <t>]</t>
    </r>
  </si>
  <si>
    <r>
      <t xml:space="preserve">Station name </t>
    </r>
    <r>
      <rPr>
        <sz val="11"/>
        <color theme="1"/>
        <rFont val="Calibri"/>
        <family val="2"/>
        <scheme val="minor"/>
      </rPr>
      <t>[according to the national/ICES register]</t>
    </r>
  </si>
  <si>
    <r>
      <t>Bottom depth</t>
    </r>
    <r>
      <rPr>
        <sz val="11"/>
        <color theme="1"/>
        <rFont val="Calibri"/>
        <family val="2"/>
        <scheme val="minor"/>
      </rPr>
      <t xml:space="preserve"> [m]</t>
    </r>
  </si>
  <si>
    <t>Latitude</t>
  </si>
  <si>
    <t>Longitude</t>
  </si>
  <si>
    <t>Registered in ICES DOME?</t>
  </si>
  <si>
    <t>Location comments</t>
  </si>
  <si>
    <t>Habitat characterization that details the biological effects of contaminants, indicating in situ exposure, in alignment with GES target(s)</t>
  </si>
  <si>
    <t>Acetylcholinesterase activity</t>
  </si>
  <si>
    <t>AChE</t>
  </si>
  <si>
    <t>Units</t>
  </si>
  <si>
    <t>whole body</t>
  </si>
  <si>
    <t>Proportion of aberrant embryos in population</t>
  </si>
  <si>
    <t>PE</t>
  </si>
  <si>
    <t>Biological effect parameter</t>
  </si>
  <si>
    <t>Explanation</t>
  </si>
  <si>
    <t>PF</t>
  </si>
  <si>
    <t>RNA/DNA</t>
  </si>
  <si>
    <t>RNA/DNA ratio</t>
  </si>
  <si>
    <t>mg/mg</t>
  </si>
  <si>
    <t>ORAC</t>
  </si>
  <si>
    <t>TBARS</t>
  </si>
  <si>
    <t>Oxygen Radical Absorbance Capacity</t>
  </si>
  <si>
    <t>Rationale</t>
  </si>
  <si>
    <t>Proportion of females with more than 1 aberrant embryo in the brood</t>
  </si>
  <si>
    <t xml:space="preserve">Embryo aberrations indicate developmental toxicity </t>
  </si>
  <si>
    <t>Frequency of females with aberrant embryos indicates spatial scale of contaminant exposure</t>
  </si>
  <si>
    <t>Perca fluviatilis</t>
  </si>
  <si>
    <t>Data summary</t>
  </si>
  <si>
    <t>Inhibition of AChE activity is often observed following exposure to neurotoxic compounds</t>
  </si>
  <si>
    <t>nmol/min/g</t>
  </si>
  <si>
    <t>A higher RNA/DNA ratio generally suggests increased RNA synthesis, which can indicate active cellular metabolism and growth.</t>
  </si>
  <si>
    <t>Reflects the overall antioxidant defense system of an organism</t>
  </si>
  <si>
    <t>µmol TE/g; TE: Trolox Equivalents</t>
  </si>
  <si>
    <t>Thiobarbituric Acid Reactive Substances</t>
  </si>
  <si>
    <t>Proportion of total embryos in the sample</t>
  </si>
  <si>
    <t>Proportion of the total gravid females examined</t>
  </si>
  <si>
    <t>nmol MDA/g; MDA: Malondialdehyde</t>
  </si>
  <si>
    <t>Elevated levels of TBARS indicate increased lipid peroxidation and oxidative damage to cell membranes</t>
  </si>
  <si>
    <t>nmol MDA/µmol TE</t>
  </si>
  <si>
    <t>Reflect the balance between antioxidant capacity and lipid peroxidation. A lower ratio indicates an imbalance, with insufficient antioxidant defenses to counteract lipid peroxidation, leading to increased oxidative damage.</t>
  </si>
  <si>
    <t>muscle</t>
  </si>
  <si>
    <t>Common name</t>
  </si>
  <si>
    <t>amphipod</t>
  </si>
  <si>
    <t>perch</t>
  </si>
  <si>
    <r>
      <t xml:space="preserve">Station name </t>
    </r>
    <r>
      <rPr>
        <sz val="11"/>
        <color theme="1"/>
        <rFont val="Calibri"/>
        <family val="2"/>
        <scheme val="minor"/>
      </rPr>
      <t xml:space="preserve">[copy from </t>
    </r>
    <r>
      <rPr>
        <b/>
        <sz val="11"/>
        <color theme="1"/>
        <rFont val="Calibri"/>
        <family val="2"/>
        <scheme val="minor"/>
      </rPr>
      <t>Stations</t>
    </r>
    <r>
      <rPr>
        <sz val="11"/>
        <color theme="1"/>
        <rFont val="Calibri"/>
        <family val="2"/>
        <scheme val="minor"/>
      </rPr>
      <t>]</t>
    </r>
  </si>
  <si>
    <t>Q</t>
  </si>
  <si>
    <t>BB</t>
  </si>
  <si>
    <t>ÅS</t>
  </si>
  <si>
    <t>EGB</t>
  </si>
  <si>
    <t>GB</t>
  </si>
  <si>
    <t>BRN</t>
  </si>
  <si>
    <t>ARK</t>
  </si>
  <si>
    <t>BoM</t>
  </si>
  <si>
    <t>KB</t>
  </si>
  <si>
    <t>S</t>
  </si>
  <si>
    <t>KATT</t>
  </si>
  <si>
    <r>
      <t>Biological effect parameter [</t>
    </r>
    <r>
      <rPr>
        <sz val="11"/>
        <color theme="1"/>
        <rFont val="Calibri"/>
        <family val="2"/>
        <scheme val="minor"/>
      </rPr>
      <t>copy from</t>
    </r>
    <r>
      <rPr>
        <b/>
        <sz val="11"/>
        <color theme="1"/>
        <rFont val="Calibri"/>
        <family val="2"/>
        <scheme val="minor"/>
      </rPr>
      <t xml:space="preserve"> BE rationale]</t>
    </r>
  </si>
  <si>
    <t>BAC exceedance</t>
  </si>
  <si>
    <t>Data in green fields are copied from other spreadsheets, not entered manually</t>
  </si>
  <si>
    <t>Color coding</t>
  </si>
  <si>
    <t>Information in the spreadsheets</t>
  </si>
  <si>
    <t>Data in grey fields are entered manually</t>
  </si>
  <si>
    <t>Latin name</t>
  </si>
  <si>
    <t>Name Code</t>
  </si>
  <si>
    <t>Ontogenetic stage</t>
  </si>
  <si>
    <t>Ma</t>
  </si>
  <si>
    <t>Clupea harengus</t>
  </si>
  <si>
    <t>herring</t>
  </si>
  <si>
    <t>List of species used in the assessment. At least two species for each basin are required for the valid assessment.</t>
  </si>
  <si>
    <r>
      <t>Name code for test species [</t>
    </r>
    <r>
      <rPr>
        <sz val="11"/>
        <color theme="1"/>
        <rFont val="Calibri"/>
        <family val="2"/>
        <scheme val="minor"/>
      </rPr>
      <t>copy value from</t>
    </r>
    <r>
      <rPr>
        <b/>
        <sz val="11"/>
        <color theme="1"/>
        <rFont val="Calibri"/>
        <family val="2"/>
        <scheme val="minor"/>
      </rPr>
      <t xml:space="preserve"> Species]</t>
    </r>
  </si>
  <si>
    <t>Data in blue fields are calculated by the defined functions; do not change these fields.</t>
  </si>
  <si>
    <r>
      <t xml:space="preserve">Assessment Units </t>
    </r>
    <r>
      <rPr>
        <sz val="11"/>
        <color theme="1"/>
        <rFont val="Calibri"/>
        <family val="2"/>
        <scheme val="minor"/>
      </rPr>
      <t>{fixed data for all assessment, do not change}</t>
    </r>
  </si>
  <si>
    <r>
      <t xml:space="preserve">Stations </t>
    </r>
    <r>
      <rPr>
        <sz val="11"/>
        <color theme="1"/>
        <rFont val="Calibri"/>
        <family val="2"/>
        <scheme val="minor"/>
      </rPr>
      <t>{input data}</t>
    </r>
  </si>
  <si>
    <r>
      <t xml:space="preserve">Species </t>
    </r>
    <r>
      <rPr>
        <sz val="11"/>
        <color theme="1"/>
        <rFont val="Calibri"/>
        <family val="2"/>
        <scheme val="minor"/>
      </rPr>
      <t>{input data}</t>
    </r>
  </si>
  <si>
    <r>
      <t xml:space="preserve">BE rationale </t>
    </r>
    <r>
      <rPr>
        <sz val="11"/>
        <color theme="1"/>
        <rFont val="Calibri"/>
        <family val="2"/>
        <scheme val="minor"/>
      </rPr>
      <t>{modify if necessary}</t>
    </r>
  </si>
  <si>
    <r>
      <t xml:space="preserve">Spreadsheet </t>
    </r>
    <r>
      <rPr>
        <sz val="11"/>
        <color theme="9" tint="-0.499984740745262"/>
        <rFont val="Calibri"/>
        <family val="2"/>
        <scheme val="minor"/>
      </rPr>
      <t>{type of data}</t>
    </r>
  </si>
  <si>
    <t>Data in yellow fields are fixed information, do not change</t>
  </si>
  <si>
    <t>Purpose:</t>
  </si>
  <si>
    <t>Tool structure:</t>
  </si>
  <si>
    <t>Output:</t>
  </si>
  <si>
    <t>Poland</t>
  </si>
  <si>
    <t>Germany</t>
  </si>
  <si>
    <t>Finland</t>
  </si>
  <si>
    <t>Estonia</t>
  </si>
  <si>
    <t>Latvia</t>
  </si>
  <si>
    <t>Lithuania</t>
  </si>
  <si>
    <t>Denmark</t>
  </si>
  <si>
    <t>EROD</t>
  </si>
  <si>
    <t>Target species</t>
  </si>
  <si>
    <t>Amphipods</t>
  </si>
  <si>
    <t>Amphipods, fish</t>
  </si>
  <si>
    <t>Fish</t>
  </si>
  <si>
    <t>Ethoxyresorufin-O-deethylase activity</t>
  </si>
  <si>
    <t>Increased activity is primarily linked to the induction of cytochrome P450 1A (CYP1A) enzymes</t>
  </si>
  <si>
    <t>pmol/min/mg protein</t>
  </si>
  <si>
    <t>Glucose levels in fish blood</t>
  </si>
  <si>
    <t>GLU</t>
  </si>
  <si>
    <t>Some pollutants can disrupt glucose metabolism, leading to altered blood glucose levels. Also, stress-induced release of cortisol can lead to increased glucose production (glycogenolysis) in fish liver, raising blood glucose levels.</t>
  </si>
  <si>
    <t>mmol/L</t>
  </si>
  <si>
    <t>Zoarces viviparus</t>
  </si>
  <si>
    <t>eelpout</t>
  </si>
  <si>
    <t>Zv</t>
  </si>
  <si>
    <t>Ch</t>
  </si>
  <si>
    <t>blood</t>
  </si>
  <si>
    <t>GST</t>
  </si>
  <si>
    <t>Glutathione S-transferase activity</t>
  </si>
  <si>
    <t>GST catalyzes the conjugation of glutathione (GSH) with a wide range of electrophilic compounds, which makes these substances more water-soluble, facilitating their excretion from cells and tissues</t>
  </si>
  <si>
    <t>µmol/min/mg protein</t>
  </si>
  <si>
    <t>liver</t>
  </si>
  <si>
    <t>BAC</t>
  </si>
  <si>
    <t>brood</t>
  </si>
  <si>
    <t>Macoma balthica</t>
  </si>
  <si>
    <t xml:space="preserve">clam </t>
  </si>
  <si>
    <t>Mb</t>
  </si>
  <si>
    <t>foot</t>
  </si>
  <si>
    <t>Tissue 1</t>
  </si>
  <si>
    <t>gills</t>
  </si>
  <si>
    <t>GSI</t>
  </si>
  <si>
    <t>Percentage (%)</t>
  </si>
  <si>
    <t>Effect/Exposure?</t>
  </si>
  <si>
    <t>Effect</t>
  </si>
  <si>
    <t>Exposure</t>
  </si>
  <si>
    <t>ORAC/TBARS (Redox index)</t>
  </si>
  <si>
    <t>ORAC/TBARS ratio (same sample)</t>
  </si>
  <si>
    <t>Relative weight of the gonads (reproductive organs) to the total body weight. A significant deviation from normal GSI values can suggest that contaminants or habitat changes are affecting the fish's reproductive health.</t>
  </si>
  <si>
    <t>VTG</t>
  </si>
  <si>
    <t>Vitellogenin</t>
  </si>
  <si>
    <t>Sex</t>
  </si>
  <si>
    <t>adults</t>
  </si>
  <si>
    <t>A protein that is typically produced in the liver of female oviparous animals, such as fish, birds, and amphibians, in response to estrogen. presence and elevated levels of VTG in males or juveniles can serve as an indicator of exposure to estrogenic compounds.</t>
  </si>
  <si>
    <t>ng/mL</t>
  </si>
  <si>
    <t>LSI</t>
  </si>
  <si>
    <t>Liver-Somatic Index</t>
  </si>
  <si>
    <t>Gonado-Somatic Index</t>
  </si>
  <si>
    <t>Relative weight of the liver to the total body weight. Exposure to pollutants can lead to liver enlargement (hepatomegaly) as it tries to cope with the increased detoxification load, which may be reflected in an elevated LSI.</t>
  </si>
  <si>
    <t>Fish (male)</t>
  </si>
  <si>
    <t>Amphipods, mussels</t>
  </si>
  <si>
    <t>CAT</t>
  </si>
  <si>
    <t>Catalase activity</t>
  </si>
  <si>
    <t>A key component of the antioxidant defense system that mitigates the harmful effects of ROS by breaking down hydrogen peroxide. Increased CAT often reflects a response to elevated ROS levels due to environmental contamination.</t>
  </si>
  <si>
    <t>U/mg protein</t>
  </si>
  <si>
    <t>Females</t>
  </si>
  <si>
    <t>Males</t>
  </si>
  <si>
    <t>Mixed</t>
  </si>
  <si>
    <r>
      <t xml:space="preserve">Sex </t>
    </r>
    <r>
      <rPr>
        <sz val="11"/>
        <color theme="1"/>
        <rFont val="Calibri"/>
        <family val="2"/>
        <scheme val="minor"/>
      </rPr>
      <t>{input data}</t>
    </r>
  </si>
  <si>
    <t>Sex of test animals. Many biomarkers have sex-specific background levels</t>
  </si>
  <si>
    <r>
      <t xml:space="preserve">Tissues </t>
    </r>
    <r>
      <rPr>
        <sz val="11"/>
        <color theme="1"/>
        <rFont val="Calibri"/>
        <family val="2"/>
        <scheme val="minor"/>
      </rPr>
      <t>{input data}</t>
    </r>
  </si>
  <si>
    <t xml:space="preserve">List of tissues used in the analysis. </t>
  </si>
  <si>
    <t>Skellefteå hamn</t>
  </si>
  <si>
    <t>Holmöarna</t>
  </si>
  <si>
    <t>Sundsvall</t>
  </si>
  <si>
    <t>Standardized automated spreadsheet</t>
  </si>
  <si>
    <t>EAC/ERL</t>
  </si>
  <si>
    <t>SNMMP</t>
  </si>
  <si>
    <t>Unknown</t>
  </si>
  <si>
    <t>plasma</t>
  </si>
  <si>
    <t>Exposure and effect biomarkers used for each species and their target values estimated using BAC/EAC approach (i.e., 90%-confidence interval with non-parametric bootstrapping for 1000 observations based on the measurements from the reference sites). At least five observations for each BE parameter are required for a valid assessment.</t>
  </si>
  <si>
    <t>Gravid females</t>
  </si>
  <si>
    <t>De-brooded females</t>
  </si>
  <si>
    <t>Data in pink fields are likely to overlap for all national laboratories; if the information used by your laboratory is missing, add it using bottom rows</t>
  </si>
  <si>
    <r>
      <t xml:space="preserve">TV </t>
    </r>
    <r>
      <rPr>
        <i/>
        <sz val="11"/>
        <color theme="0"/>
        <rFont val="Calibri"/>
        <family val="2"/>
        <scheme val="minor"/>
      </rPr>
      <t>{input data on target values}</t>
    </r>
  </si>
  <si>
    <t>Decrease</t>
  </si>
  <si>
    <t>10th percentile</t>
  </si>
  <si>
    <t>Increase</t>
  </si>
  <si>
    <t>90th percentile</t>
  </si>
  <si>
    <t xml:space="preserve">Decrease </t>
  </si>
  <si>
    <t>Response to contaminant exposure</t>
  </si>
  <si>
    <t>Percentile for BAC</t>
  </si>
  <si>
    <t>Höga Kusten</t>
  </si>
  <si>
    <t>Gavik/Edsätterfjärden</t>
  </si>
  <si>
    <t>Sundsvall/Åvikebukten</t>
  </si>
  <si>
    <t>Söderhamn</t>
  </si>
  <si>
    <t>N Söderhamn</t>
  </si>
  <si>
    <t>SR1A</t>
  </si>
  <si>
    <r>
      <t xml:space="preserve">Area name </t>
    </r>
    <r>
      <rPr>
        <sz val="11"/>
        <color theme="1"/>
        <rFont val="Calibri"/>
        <family val="2"/>
        <scheme val="minor"/>
      </rPr>
      <t>[according to the national/ICES register]</t>
    </r>
  </si>
  <si>
    <t>N 62 20,92</t>
  </si>
  <si>
    <t>E 17 39,39</t>
  </si>
  <si>
    <t>N 62 20,93</t>
  </si>
  <si>
    <t>E 17 39,40</t>
  </si>
  <si>
    <t>Norrsundet</t>
  </si>
  <si>
    <t>N 60 58,21</t>
  </si>
  <si>
    <t>E 17 11,88</t>
  </si>
  <si>
    <t>G 10</t>
  </si>
  <si>
    <t>N 62 53,44</t>
  </si>
  <si>
    <t>E 18 17,33</t>
  </si>
  <si>
    <t>N 26</t>
  </si>
  <si>
    <t>N 63 12,50</t>
  </si>
  <si>
    <t>E 19 38,15</t>
  </si>
  <si>
    <t>NA</t>
  </si>
  <si>
    <r>
      <t>Tissue  [</t>
    </r>
    <r>
      <rPr>
        <sz val="11"/>
        <color theme="1"/>
        <rFont val="Calibri"/>
        <family val="2"/>
        <scheme val="minor"/>
      </rPr>
      <t>copy value from</t>
    </r>
    <r>
      <rPr>
        <b/>
        <sz val="11"/>
        <color theme="1"/>
        <rFont val="Calibri"/>
        <family val="2"/>
        <scheme val="minor"/>
      </rPr>
      <t xml:space="preserve"> Tissues]</t>
    </r>
  </si>
  <si>
    <t>digestive gland</t>
  </si>
  <si>
    <t>Pontoporeia femorata</t>
  </si>
  <si>
    <t>single value</t>
  </si>
  <si>
    <t>n</t>
  </si>
  <si>
    <r>
      <t>Contracting Party  [</t>
    </r>
    <r>
      <rPr>
        <sz val="11"/>
        <color theme="1"/>
        <rFont val="Calibri"/>
        <family val="2"/>
        <scheme val="minor"/>
      </rPr>
      <t>copy value from</t>
    </r>
    <r>
      <rPr>
        <b/>
        <sz val="11"/>
        <color theme="1"/>
        <rFont val="Calibri"/>
        <family val="2"/>
        <scheme val="minor"/>
      </rPr>
      <t xml:space="preserve"> Assessment Units]</t>
    </r>
  </si>
  <si>
    <t>Contracting party</t>
  </si>
  <si>
    <r>
      <t>Basin code [</t>
    </r>
    <r>
      <rPr>
        <sz val="11"/>
        <color theme="1"/>
        <rFont val="Calibri"/>
        <family val="2"/>
        <scheme val="minor"/>
      </rPr>
      <t>copy value from</t>
    </r>
    <r>
      <rPr>
        <b/>
        <sz val="11"/>
        <color theme="1"/>
        <rFont val="Calibri"/>
        <family val="2"/>
        <scheme val="minor"/>
      </rPr>
      <t xml:space="preserve"> Assessment Units]</t>
    </r>
  </si>
  <si>
    <t>Pofe</t>
  </si>
  <si>
    <t>Pontogammarus robustoides</t>
  </si>
  <si>
    <t>Poro</t>
  </si>
  <si>
    <t>Pefl</t>
  </si>
  <si>
    <r>
      <t>Analyzed tissue [</t>
    </r>
    <r>
      <rPr>
        <sz val="11"/>
        <color theme="1"/>
        <rFont val="Calibri"/>
        <family val="2"/>
        <scheme val="minor"/>
      </rPr>
      <t xml:space="preserve">copy from </t>
    </r>
    <r>
      <rPr>
        <b/>
        <sz val="11"/>
        <color theme="1"/>
        <rFont val="Calibri"/>
        <family val="2"/>
        <scheme val="minor"/>
      </rPr>
      <t>Tissues]</t>
    </r>
  </si>
  <si>
    <r>
      <t>Sex [</t>
    </r>
    <r>
      <rPr>
        <sz val="11"/>
        <color theme="9" tint="-0.499984740745262"/>
        <rFont val="Calibri"/>
        <family val="2"/>
        <scheme val="minor"/>
      </rPr>
      <t>copy from</t>
    </r>
    <r>
      <rPr>
        <b/>
        <sz val="11"/>
        <color theme="9" tint="-0.499984740745262"/>
        <rFont val="Calibri"/>
        <family val="2"/>
        <scheme val="minor"/>
      </rPr>
      <t xml:space="preserve"> Sex]</t>
    </r>
  </si>
  <si>
    <t xml:space="preserve">List of Biological Effect (BE) parameters included in the assessment with corresponding units, effect direction, and rationale for interpretation. </t>
  </si>
  <si>
    <t>Fecundity</t>
  </si>
  <si>
    <t>AberrGroup</t>
  </si>
  <si>
    <t>ViableEmbr</t>
  </si>
  <si>
    <t>SU57</t>
  </si>
  <si>
    <t>Nrr</t>
  </si>
  <si>
    <t>SU58</t>
  </si>
  <si>
    <t>Brv6</t>
  </si>
  <si>
    <t>Brv8</t>
  </si>
  <si>
    <t>BP</t>
  </si>
  <si>
    <t>Ask</t>
  </si>
  <si>
    <t>N26</t>
  </si>
  <si>
    <t>AbEmbr</t>
  </si>
  <si>
    <t>SumOfFecundity</t>
  </si>
  <si>
    <t>SumOfAbEmbr</t>
  </si>
  <si>
    <t>PE_n</t>
  </si>
  <si>
    <t>fisk_nr</t>
  </si>
  <si>
    <t>Site</t>
  </si>
  <si>
    <t>Species</t>
  </si>
  <si>
    <t>Vtg</t>
  </si>
  <si>
    <t>G191</t>
  </si>
  <si>
    <t>F</t>
  </si>
  <si>
    <t>G192</t>
  </si>
  <si>
    <t>G193</t>
  </si>
  <si>
    <t>G194</t>
  </si>
  <si>
    <t>G195</t>
  </si>
  <si>
    <t>G196</t>
  </si>
  <si>
    <t>G197</t>
  </si>
  <si>
    <t>G198</t>
  </si>
  <si>
    <t>M</t>
  </si>
  <si>
    <t>G199</t>
  </si>
  <si>
    <t>G200</t>
  </si>
  <si>
    <t>G201</t>
  </si>
  <si>
    <t>G202</t>
  </si>
  <si>
    <t>G203</t>
  </si>
  <si>
    <t>G204</t>
  </si>
  <si>
    <t>G205</t>
  </si>
  <si>
    <t>G206</t>
  </si>
  <si>
    <t>G207</t>
  </si>
  <si>
    <t>G208</t>
  </si>
  <si>
    <t>G209</t>
  </si>
  <si>
    <t>G210</t>
  </si>
  <si>
    <t>G211</t>
  </si>
  <si>
    <t>G212</t>
  </si>
  <si>
    <t>G213</t>
  </si>
  <si>
    <t>G214</t>
  </si>
  <si>
    <t>G215</t>
  </si>
  <si>
    <t>G216</t>
  </si>
  <si>
    <t>G217</t>
  </si>
  <si>
    <t>G218</t>
  </si>
  <si>
    <t>G219</t>
  </si>
  <si>
    <t>G220</t>
  </si>
  <si>
    <t>G221</t>
  </si>
  <si>
    <t>G222</t>
  </si>
  <si>
    <t>G223</t>
  </si>
  <si>
    <t>G224</t>
  </si>
  <si>
    <t>G225</t>
  </si>
  <si>
    <t>G226</t>
  </si>
  <si>
    <t>G227</t>
  </si>
  <si>
    <t>G228</t>
  </si>
  <si>
    <t>G229</t>
  </si>
  <si>
    <t>G230</t>
  </si>
  <si>
    <t>G231</t>
  </si>
  <si>
    <t>G232</t>
  </si>
  <si>
    <t>G233</t>
  </si>
  <si>
    <t>G234</t>
  </si>
  <si>
    <t>G235</t>
  </si>
  <si>
    <t>G236</t>
  </si>
  <si>
    <t>G237</t>
  </si>
  <si>
    <t>G238</t>
  </si>
  <si>
    <t>G239</t>
  </si>
  <si>
    <t>G240</t>
  </si>
  <si>
    <t>G241</t>
  </si>
  <si>
    <t>G242</t>
  </si>
  <si>
    <t>G243</t>
  </si>
  <si>
    <t>G244</t>
  </si>
  <si>
    <t>G245</t>
  </si>
  <si>
    <t>G246</t>
  </si>
  <si>
    <t>G247</t>
  </si>
  <si>
    <t>G248</t>
  </si>
  <si>
    <t>G249</t>
  </si>
  <si>
    <t>G250</t>
  </si>
  <si>
    <t>G251</t>
  </si>
  <si>
    <t>G252</t>
  </si>
  <si>
    <t>G253</t>
  </si>
  <si>
    <t>G254</t>
  </si>
  <si>
    <t>G255</t>
  </si>
  <si>
    <t>G256</t>
  </si>
  <si>
    <t>G257</t>
  </si>
  <si>
    <t>G258</t>
  </si>
  <si>
    <t>G259</t>
  </si>
  <si>
    <t>G260</t>
  </si>
  <si>
    <t>G261</t>
  </si>
  <si>
    <t>G262</t>
  </si>
  <si>
    <t>G263</t>
  </si>
  <si>
    <t>G264</t>
  </si>
  <si>
    <t>G265</t>
  </si>
  <si>
    <t>G266</t>
  </si>
  <si>
    <t>G267</t>
  </si>
  <si>
    <t>G268</t>
  </si>
  <si>
    <t>G269</t>
  </si>
  <si>
    <t>G270</t>
  </si>
  <si>
    <t>G271</t>
  </si>
  <si>
    <t>G272</t>
  </si>
  <si>
    <t>G273</t>
  </si>
  <si>
    <t>G274</t>
  </si>
  <si>
    <t>G275</t>
  </si>
  <si>
    <t>G338</t>
  </si>
  <si>
    <t>G339</t>
  </si>
  <si>
    <t>G340</t>
  </si>
  <si>
    <t>G341</t>
  </si>
  <si>
    <t>G342</t>
  </si>
  <si>
    <t>G408</t>
  </si>
  <si>
    <t>G409</t>
  </si>
  <si>
    <t>G410</t>
  </si>
  <si>
    <t>G411</t>
  </si>
  <si>
    <t>G412</t>
  </si>
  <si>
    <t>G413</t>
  </si>
  <si>
    <t>G414</t>
  </si>
  <si>
    <t>G415</t>
  </si>
  <si>
    <t>G416</t>
  </si>
  <si>
    <t>G417</t>
  </si>
  <si>
    <t>G418</t>
  </si>
  <si>
    <t>G419</t>
  </si>
  <si>
    <t>G420</t>
  </si>
  <si>
    <t>G421</t>
  </si>
  <si>
    <t>G422</t>
  </si>
  <si>
    <t>G423</t>
  </si>
  <si>
    <t>G424</t>
  </si>
  <si>
    <t>G425</t>
  </si>
  <si>
    <t>G426</t>
  </si>
  <si>
    <t>G427</t>
  </si>
  <si>
    <t>G428</t>
  </si>
  <si>
    <t>G429</t>
  </si>
  <si>
    <t>G430</t>
  </si>
  <si>
    <t>G431</t>
  </si>
  <si>
    <t>G432</t>
  </si>
  <si>
    <t>G433</t>
  </si>
  <si>
    <t>G434</t>
  </si>
  <si>
    <t>G435</t>
  </si>
  <si>
    <t>G436</t>
  </si>
  <si>
    <t>G437</t>
  </si>
  <si>
    <t>GLU_n</t>
  </si>
  <si>
    <t>GSI_n</t>
  </si>
  <si>
    <t>AChE_n</t>
  </si>
  <si>
    <t>LSI_n</t>
  </si>
  <si>
    <t>EROD_n</t>
  </si>
  <si>
    <t>Vtg_n</t>
  </si>
  <si>
    <t>GST_n</t>
  </si>
  <si>
    <t>CAT_n</t>
  </si>
  <si>
    <t>RAW data</t>
  </si>
  <si>
    <t>Calculating 10 och 90 percentiles and number of observations for each marker</t>
  </si>
  <si>
    <t>Calculating frequencies of aberrant embryos (PE) and females carrying &gt;1 aberrant embryo (PF) in populations</t>
  </si>
  <si>
    <t>see TV</t>
  </si>
  <si>
    <t>ORAC/TBARS</t>
  </si>
  <si>
    <t>SV3</t>
  </si>
  <si>
    <t>SB8</t>
  </si>
  <si>
    <t>CountOfRNA/DNA</t>
  </si>
  <si>
    <t>CountOfTBARS</t>
  </si>
  <si>
    <t>CountOfORAC/Protein</t>
  </si>
  <si>
    <t>CountOfORAC/TBARS</t>
  </si>
  <si>
    <t>CountOfAChE</t>
  </si>
  <si>
    <t>Calculating the number of observations for each marker</t>
  </si>
  <si>
    <t>N markers used</t>
  </si>
  <si>
    <t>N markers non-GES</t>
  </si>
  <si>
    <t>Assessment result per station</t>
  </si>
  <si>
    <t>Comparing observed vs target values for each BE parameter and scaling to 0/1 [0; exceeding BAC/EAC (=sub-GES), 1: not exceeding BAC/EAC (=in-GES)]; NA: not accessed (due to insufficient number of biomarkers)</t>
  </si>
  <si>
    <t>N markers Exposure</t>
  </si>
  <si>
    <t>N markers Effect</t>
  </si>
  <si>
    <t>N markers Exposure = non-GES</t>
  </si>
  <si>
    <t>N markers Effect = non-GES</t>
  </si>
  <si>
    <t>%Effect markers exceeding BAC</t>
  </si>
  <si>
    <t>%Exposure markers exceeding BAC</t>
  </si>
  <si>
    <t>%non-GES markers</t>
  </si>
  <si>
    <t>Assessment result for the basin</t>
  </si>
  <si>
    <t>GES/sub-GES</t>
  </si>
  <si>
    <r>
      <t>A set of spreadsheets and a separate "</t>
    </r>
    <r>
      <rPr>
        <sz val="11"/>
        <color theme="9" tint="-0.499984740745262"/>
        <rFont val="Calibri"/>
        <family val="2"/>
        <scheme val="minor"/>
      </rPr>
      <t>Standardized and automated spreadsheet</t>
    </r>
    <r>
      <rPr>
        <sz val="11"/>
        <color theme="1"/>
        <rFont val="Calibri"/>
        <family val="2"/>
        <scheme val="minor"/>
      </rPr>
      <t>" by Ifremer for calculating proportion of BE parameters exceeding target values</t>
    </r>
  </si>
  <si>
    <t>Provided as a separate file for advanced users. Can be used for further evaluation of data distributions and visualizations. Currently, identical to the Ifremer template.</t>
  </si>
  <si>
    <t>Summary of the data for each biological effect parameter and target species used for the assessment. For MSFD assessment, at least 3 years of observations are required. In this file, MSFD assessment is not fully implemented.</t>
  </si>
  <si>
    <t xml:space="preserve">Assessment summary for each station and the entire basin based on the percentage of BE parameters exceeding their respective BAC/EAC values. In this file, only BAC values are used for the assessment due to the uncertainty with EAC settings for suborganismal biomarkers measured in the field. However, EAC values calculated as 70% of the respective BACs are provided and can be used if needed. </t>
  </si>
  <si>
    <t>Columns E to M contain assessment results based on the BAC exceedance. Each station is assessed individually; 0 = non-GES, 1 = GES.</t>
  </si>
  <si>
    <t>Columns O to AD contain assessment results for each biomarker based on BAC exceedance. Each combination of biomarker/species/sex category is assessed individually; dark green columns are effect biomarkers and light-green columns are exposure biomarkers; 0 = non-GES, 1 = GES.</t>
  </si>
  <si>
    <t>101A</t>
  </si>
  <si>
    <t>102A</t>
  </si>
  <si>
    <t>103</t>
  </si>
  <si>
    <t>107</t>
  </si>
  <si>
    <t>111</t>
  </si>
  <si>
    <t>114A</t>
  </si>
  <si>
    <t>119</t>
  </si>
  <si>
    <t>120</t>
  </si>
  <si>
    <t>121</t>
  </si>
  <si>
    <t>121A</t>
  </si>
  <si>
    <t>125</t>
  </si>
  <si>
    <t>135</t>
  </si>
  <si>
    <t>137A</t>
  </si>
  <si>
    <t>142</t>
  </si>
  <si>
    <t>142A</t>
  </si>
  <si>
    <t>160B</t>
  </si>
  <si>
    <t>162B</t>
  </si>
  <si>
    <t>163B</t>
  </si>
  <si>
    <t>167B</t>
  </si>
  <si>
    <t>BO</t>
  </si>
  <si>
    <t>Daugavgriva</t>
  </si>
  <si>
    <t>DU</t>
  </si>
  <si>
    <t>Engure</t>
  </si>
  <si>
    <t>G3</t>
  </si>
  <si>
    <t>K21</t>
  </si>
  <si>
    <t>KA</t>
  </si>
  <si>
    <t>LI</t>
  </si>
  <si>
    <t>LIE</t>
  </si>
  <si>
    <t>ME</t>
  </si>
  <si>
    <t>R01</t>
  </si>
  <si>
    <t>R02</t>
  </si>
  <si>
    <t>Riga</t>
  </si>
  <si>
    <t>SA</t>
  </si>
  <si>
    <t>Salacgriva</t>
  </si>
  <si>
    <t>Skulte</t>
  </si>
  <si>
    <t>VAD2</t>
  </si>
  <si>
    <t>VAD5</t>
  </si>
  <si>
    <t>VE</t>
  </si>
  <si>
    <t>Z01</t>
  </si>
  <si>
    <t>Z02</t>
  </si>
  <si>
    <t>Z03</t>
  </si>
  <si>
    <t>Z03a</t>
  </si>
  <si>
    <t>Z03b</t>
  </si>
  <si>
    <t>Z03c</t>
  </si>
  <si>
    <t>Z04</t>
  </si>
  <si>
    <t>N 57 6,00</t>
  </si>
  <si>
    <t>N 57 10,20</t>
  </si>
  <si>
    <t>N 57 10,00</t>
  </si>
  <si>
    <t>N 57 51,00</t>
  </si>
  <si>
    <t>N 57 47,76</t>
  </si>
  <si>
    <t>N 57 50,58</t>
  </si>
  <si>
    <t>N 57 14,44</t>
  </si>
  <si>
    <t>N 57 19,98</t>
  </si>
  <si>
    <t>N 57 37,00</t>
  </si>
  <si>
    <t>N 57 26,99</t>
  </si>
  <si>
    <t>N 58 12,00</t>
  </si>
  <si>
    <t>N 57 24,00</t>
  </si>
  <si>
    <t>N 57 21,00</t>
  </si>
  <si>
    <t>N 57 34,10</t>
  </si>
  <si>
    <t>N 57 16,36</t>
  </si>
  <si>
    <t>N 57 35,40</t>
  </si>
  <si>
    <t>N 57 18,60</t>
  </si>
  <si>
    <t>N 57 10,80</t>
  </si>
  <si>
    <t>N 57 3,60</t>
  </si>
  <si>
    <t>N 57 1,20</t>
  </si>
  <si>
    <t>N 57 2,80</t>
  </si>
  <si>
    <t>N 56 58,20</t>
  </si>
  <si>
    <t>N 57 4,80</t>
  </si>
  <si>
    <t>N 58 13,20</t>
  </si>
  <si>
    <t>N 57 11,40</t>
  </si>
  <si>
    <t>N 57 0,00</t>
  </si>
  <si>
    <t>N 57 22,20</t>
  </si>
  <si>
    <t>N 57 42,60</t>
  </si>
  <si>
    <t>N 57 7,00</t>
  </si>
  <si>
    <t>N 57 13,80</t>
  </si>
  <si>
    <t>N 57 44,30</t>
  </si>
  <si>
    <t>N 57 19,99</t>
  </si>
  <si>
    <t>N 57 21,60</t>
  </si>
  <si>
    <t>N 57 13,20</t>
  </si>
  <si>
    <t>N 57 44,40</t>
  </si>
  <si>
    <t>N 57 16,20</t>
  </si>
  <si>
    <t>N 57 8,70</t>
  </si>
  <si>
    <t>N 57 5,40</t>
  </si>
  <si>
    <t>N 57 30,00</t>
  </si>
  <si>
    <t>N 57 45,60</t>
  </si>
  <si>
    <t>N 57 48,78</t>
  </si>
  <si>
    <t>N 58 29,02</t>
  </si>
  <si>
    <t>N 58 16,02</t>
  </si>
  <si>
    <t>N 58 6,07</t>
  </si>
  <si>
    <t>N 57 49,99</t>
  </si>
  <si>
    <t>N 57 59,15</t>
  </si>
  <si>
    <t>N 58 34,51</t>
  </si>
  <si>
    <t>N 58 33,41</t>
  </si>
  <si>
    <t>N 58 38,09</t>
  </si>
  <si>
    <t>N 58 48,61</t>
  </si>
  <si>
    <t>N 58 58,52</t>
  </si>
  <si>
    <t>E 23 58,80</t>
  </si>
  <si>
    <t>E 23 40,20</t>
  </si>
  <si>
    <t>E 23 56,00</t>
  </si>
  <si>
    <t>E 23 55,20</t>
  </si>
  <si>
    <t>E 22 52,81</t>
  </si>
  <si>
    <t>E 22 24,61</t>
  </si>
  <si>
    <t>E 23 40,83</t>
  </si>
  <si>
    <t>E 23 36,83</t>
  </si>
  <si>
    <t>E 23 37,00</t>
  </si>
  <si>
    <t>E 23 17,91</t>
  </si>
  <si>
    <t>E 23 24,00</t>
  </si>
  <si>
    <t>E 23 28,80</t>
  </si>
  <si>
    <t>E 24 4,80</t>
  </si>
  <si>
    <t>E 22 58,90</t>
  </si>
  <si>
    <t>E 23 7,66</t>
  </si>
  <si>
    <t>E 24 18,00</t>
  </si>
  <si>
    <t>E 24 17,40</t>
  </si>
  <si>
    <t>E 24 13,20</t>
  </si>
  <si>
    <t>E 23 53,40</t>
  </si>
  <si>
    <t>E 23 57,60</t>
  </si>
  <si>
    <t>E 23 58,40</t>
  </si>
  <si>
    <t>E 23 46,20</t>
  </si>
  <si>
    <t>E 23 15,00</t>
  </si>
  <si>
    <t>E 24 1,80</t>
  </si>
  <si>
    <t>E 23 37,20</t>
  </si>
  <si>
    <t>E 24 19,80</t>
  </si>
  <si>
    <t>E 23 54,00</t>
  </si>
  <si>
    <t>E 23 7,20</t>
  </si>
  <si>
    <t>E 22 45,00</t>
  </si>
  <si>
    <t>E 24 2,00</t>
  </si>
  <si>
    <t>E 24 23,40</t>
  </si>
  <si>
    <t>E 24 20,00</t>
  </si>
  <si>
    <t>E 24 18,88</t>
  </si>
  <si>
    <t>E 23 14,40</t>
  </si>
  <si>
    <t>E 23 19,80</t>
  </si>
  <si>
    <t>E 24 6,00</t>
  </si>
  <si>
    <t>E 24 0,20</t>
  </si>
  <si>
    <t>E 23 11,40</t>
  </si>
  <si>
    <t>E 23 14,70</t>
  </si>
  <si>
    <t>E 23 18,00</t>
  </si>
  <si>
    <t>E 22 52,80</t>
  </si>
  <si>
    <t>E 22 34,20</t>
  </si>
  <si>
    <t>E 22 53,34</t>
  </si>
  <si>
    <t>E 23 27,90</t>
  </si>
  <si>
    <t>E 24 21,95</t>
  </si>
  <si>
    <t>E 22 43,87</t>
  </si>
  <si>
    <t>E 22 59,92</t>
  </si>
  <si>
    <t>E 23 48,34</t>
  </si>
  <si>
    <t>E 23 30,22</t>
  </si>
  <si>
    <t>E 23 28,00</t>
  </si>
  <si>
    <t>E 23 23,68</t>
  </si>
  <si>
    <t>E 23 14,98</t>
  </si>
  <si>
    <t>E 23 7,07</t>
  </si>
  <si>
    <t>L1</t>
  </si>
  <si>
    <t>L11</t>
  </si>
  <si>
    <t>L4</t>
  </si>
  <si>
    <t>L6</t>
  </si>
  <si>
    <t>L9</t>
  </si>
  <si>
    <t>V1</t>
  </si>
  <si>
    <t>V2</t>
  </si>
  <si>
    <t>V3</t>
  </si>
  <si>
    <t>V4</t>
  </si>
  <si>
    <t>V5</t>
  </si>
  <si>
    <t>Väinameri</t>
  </si>
  <si>
    <t>Fish, mussels, amphipods</t>
  </si>
  <si>
    <t>GR</t>
  </si>
  <si>
    <t>Glutathione reductase activity</t>
  </si>
  <si>
    <t xml:space="preserve">Glutathione reductase (GR) is an enzyme crucial in maintaining the cellular redox balance by catalyzing the reduction of oxidized glutathione (GSSG) to its reduced form (GSH) using NADPH as a cofactor. This cycle is vital for neutralizing reactive oxygen species (ROS) and protecting cells from oxidative stress. </t>
  </si>
  <si>
    <t>Pärnu Bay</t>
  </si>
  <si>
    <t>Estonian national marine monitoring program</t>
  </si>
  <si>
    <t>Field study</t>
  </si>
  <si>
    <t>Effect screening study (SEPA)</t>
  </si>
  <si>
    <t>Kura kurk</t>
  </si>
  <si>
    <t>Transitional waters, Gulf of Riga</t>
  </si>
  <si>
    <t>Central part, Gulf of Riga</t>
  </si>
  <si>
    <t>Riga Gulf central part (Estonian waters)</t>
  </si>
  <si>
    <t>Western coastal waters, Gulf of Riga</t>
  </si>
  <si>
    <t xml:space="preserve">Eastern coastal waters, Gulf of Riga </t>
  </si>
  <si>
    <t>Latvian national marine monitoring program</t>
  </si>
  <si>
    <t>Pollution screening study</t>
  </si>
  <si>
    <t>Western part, Gulf of Riga</t>
  </si>
  <si>
    <t>Northern Bothnian Sea</t>
  </si>
  <si>
    <t>digestive gland/foot</t>
  </si>
  <si>
    <t>Note</t>
  </si>
  <si>
    <t>No reference area data are available</t>
  </si>
  <si>
    <t>RAW data for Monoporeia affinis</t>
  </si>
  <si>
    <t>2020-2022</t>
  </si>
  <si>
    <t>RAW data for Macoma balthica</t>
  </si>
  <si>
    <t>Year</t>
  </si>
  <si>
    <t>S4</t>
  </si>
  <si>
    <t>RAW data for Pontogammarus robustoides</t>
  </si>
  <si>
    <t>2012-2022</t>
  </si>
  <si>
    <t>Calculating 10 or 90 percentiles and number of observations for each marker/stn</t>
  </si>
  <si>
    <t>whole body/brood</t>
  </si>
  <si>
    <t>ViableEmbr, %</t>
  </si>
  <si>
    <t>N8</t>
  </si>
  <si>
    <t>N12</t>
  </si>
  <si>
    <t>J3</t>
  </si>
  <si>
    <t>18a</t>
  </si>
  <si>
    <t>HR50</t>
  </si>
  <si>
    <t>N12_16</t>
  </si>
  <si>
    <t>Monoporeia</t>
  </si>
  <si>
    <t>Pontogammarus</t>
  </si>
  <si>
    <t>Columns O to AF contain assessment results for each biomarker based on BAC exceedance. Each combination of biomarker/species/sex category is assessed individually; dark green columns are effect biomarkers and light-green columns are exposure biomarkers; 0 = non-GES, 1 = GES.</t>
  </si>
  <si>
    <t>Assessment (one sheet per basin)</t>
  </si>
  <si>
    <t>Spreadsheets with specific calculations for each marker, target species and aggregated by station are provided after the Assessment files. The calculations are conducted using buil-in functions and color coding helps to use the algorithms provided. See guidelines for the step-by-step workflow across the spreadsheets. The two examples for Bothnian Sea and the Gulf of Riga are provided; in these examples, different biomarkers are combined, yet the workflow remains the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</si>
</sst>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7" x14ac:knownFonts="1">
    <font>
      <sz val="11"/>
      <color theme="1"/>
      <name val="Calibri"/>
      <family val="2"/>
      <scheme val="minor"/>
    </font>
    <font>
      <b/>
      <sz val="11"/>
      <color theme="1"/>
      <name val="Calibri"/>
      <family val="2"/>
      <scheme val="minor"/>
    </font>
    <font>
      <sz val="10"/>
      <name val="Arial"/>
      <family val="2"/>
    </font>
    <font>
      <sz val="11"/>
      <color rgb="FFFF0000"/>
      <name val="Calibri"/>
      <family val="2"/>
      <scheme val="minor"/>
    </font>
    <font>
      <sz val="11"/>
      <name val="Calibri"/>
      <family val="2"/>
      <scheme val="minor"/>
    </font>
    <font>
      <b/>
      <sz val="11"/>
      <color theme="0"/>
      <name val="Calibri"/>
      <family val="2"/>
      <scheme val="minor"/>
    </font>
    <font>
      <i/>
      <sz val="11"/>
      <color theme="1"/>
      <name val="Calibri"/>
      <family val="2"/>
      <scheme val="minor"/>
    </font>
    <font>
      <sz val="11"/>
      <color theme="0"/>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rgb="FF000000"/>
      <name val="Calibri"/>
      <family val="2"/>
      <scheme val="minor"/>
    </font>
    <font>
      <sz val="10"/>
      <color indexed="8"/>
      <name val="Arial"/>
      <family val="2"/>
    </font>
    <font>
      <sz val="11"/>
      <color indexed="8"/>
      <name val="Calibri"/>
      <family val="2"/>
    </font>
    <font>
      <sz val="11"/>
      <color indexed="8"/>
      <name val="Calibri"/>
      <family val="2"/>
    </font>
    <font>
      <sz val="10"/>
      <color indexed="8"/>
      <name val="Arial"/>
      <family val="2"/>
    </font>
    <font>
      <b/>
      <sz val="14"/>
      <color theme="1"/>
      <name val="Calibri"/>
      <family val="2"/>
      <scheme val="minor"/>
    </font>
    <font>
      <sz val="12"/>
      <color theme="1"/>
      <name val="Calibri"/>
      <family val="2"/>
      <scheme val="minor"/>
    </font>
    <font>
      <b/>
      <sz val="11"/>
      <name val="Calibri"/>
      <family val="2"/>
      <scheme val="minor"/>
    </font>
    <font>
      <b/>
      <sz val="11"/>
      <color theme="9" tint="-0.499984740745262"/>
      <name val="Calibri"/>
      <family val="2"/>
      <scheme val="minor"/>
    </font>
    <font>
      <b/>
      <i/>
      <sz val="11"/>
      <color theme="1"/>
      <name val="Calibri"/>
      <family val="2"/>
      <scheme val="minor"/>
    </font>
    <font>
      <sz val="8"/>
      <name val="Calibri"/>
      <family val="2"/>
      <scheme val="minor"/>
    </font>
    <font>
      <sz val="11"/>
      <color theme="9" tint="-0.499984740745262"/>
      <name val="Calibri"/>
      <family val="2"/>
      <scheme val="minor"/>
    </font>
    <font>
      <b/>
      <i/>
      <sz val="14"/>
      <color theme="1"/>
      <name val="Calibri"/>
      <family val="2"/>
      <scheme val="minor"/>
    </font>
    <font>
      <b/>
      <sz val="14"/>
      <color theme="0"/>
      <name val="Calibri"/>
      <family val="2"/>
      <scheme val="minor"/>
    </font>
    <font>
      <sz val="36"/>
      <color rgb="FFFF0000"/>
      <name val="Calibri"/>
      <family val="2"/>
      <scheme val="minor"/>
    </font>
    <font>
      <b/>
      <i/>
      <sz val="11"/>
      <color theme="9" tint="-0.499984740745262"/>
      <name val="Calibri"/>
      <family val="2"/>
      <scheme val="minor"/>
    </font>
    <font>
      <b/>
      <i/>
      <sz val="11"/>
      <color theme="0"/>
      <name val="Calibri"/>
      <family val="2"/>
      <scheme val="minor"/>
    </font>
    <font>
      <i/>
      <sz val="11"/>
      <color theme="0"/>
      <name val="Calibri"/>
      <family val="2"/>
      <scheme val="minor"/>
    </font>
    <font>
      <sz val="11"/>
      <color theme="3" tint="0.39997558519241921"/>
      <name val="Calibri"/>
      <family val="2"/>
    </font>
    <font>
      <sz val="11"/>
      <color rgb="FFC00000"/>
      <name val="Calibri"/>
      <family val="2"/>
      <scheme val="minor"/>
    </font>
    <font>
      <sz val="11"/>
      <name val="Calibri"/>
      <family val="2"/>
    </font>
    <font>
      <sz val="11"/>
      <color theme="9" tint="-0.249977111117893"/>
      <name val="Calibri"/>
      <family val="2"/>
      <scheme val="minor"/>
    </font>
    <font>
      <sz val="11"/>
      <color theme="1"/>
      <name val="Calibri"/>
      <family val="2"/>
    </font>
    <font>
      <sz val="11"/>
      <color indexed="8"/>
      <name val="Calibri"/>
      <family val="2"/>
    </font>
    <font>
      <sz val="10"/>
      <color indexed="8"/>
      <name val="Arial"/>
      <family val="2"/>
    </font>
    <font>
      <sz val="12"/>
      <color theme="0"/>
      <name val="Calibri"/>
      <family val="2"/>
      <scheme val="minor"/>
    </font>
  </fonts>
  <fills count="58">
    <fill>
      <patternFill patternType="none"/>
    </fill>
    <fill>
      <patternFill patternType="gray125"/>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1"/>
        <bgColor indexed="64"/>
      </patternFill>
    </fill>
    <fill>
      <patternFill patternType="solid">
        <fgColor theme="9" tint="-0.249977111117893"/>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rgb="FFFFFF99"/>
        <bgColor indexed="64"/>
      </patternFill>
    </fill>
    <fill>
      <patternFill patternType="solid">
        <fgColor rgb="FFFFCCFF"/>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9" tint="-0.499984740745262"/>
        <bgColor indexed="64"/>
      </patternFill>
    </fill>
    <fill>
      <patternFill patternType="solid">
        <fgColor theme="9" tint="0.79998168889431442"/>
        <bgColor indexed="64"/>
      </patternFill>
    </fill>
    <fill>
      <patternFill patternType="solid">
        <fgColor theme="8" tint="-0.249977111117893"/>
        <bgColor indexed="64"/>
      </patternFill>
    </fill>
    <fill>
      <patternFill patternType="solid">
        <fgColor indexed="22"/>
        <bgColor indexed="0"/>
      </patternFill>
    </fill>
    <fill>
      <patternFill patternType="solid">
        <fgColor theme="2"/>
        <bgColor indexed="64"/>
      </patternFill>
    </fill>
    <fill>
      <patternFill patternType="solid">
        <fgColor theme="2"/>
        <bgColor indexed="0"/>
      </patternFill>
    </fill>
    <fill>
      <patternFill patternType="solid">
        <fgColor rgb="FFFFFF00"/>
        <bgColor indexed="64"/>
      </patternFill>
    </fill>
    <fill>
      <patternFill patternType="solid">
        <fgColor theme="0" tint="-0.14999847407452621"/>
        <bgColor indexed="0"/>
      </patternFill>
    </fill>
    <fill>
      <patternFill patternType="solid">
        <fgColor theme="4" tint="0.79998168889431442"/>
        <bgColor indexed="64"/>
      </patternFill>
    </fill>
    <fill>
      <patternFill patternType="solid">
        <fgColor theme="6" tint="0.59999389629810485"/>
        <bgColor indexed="64"/>
      </patternFill>
    </fill>
    <fill>
      <patternFill patternType="solid">
        <fgColor theme="0" tint="-4.9989318521683403E-2"/>
        <bgColor rgb="FF000000"/>
      </patternFill>
    </fill>
    <fill>
      <patternFill patternType="solid">
        <fgColor theme="0" tint="-0.249977111117893"/>
        <bgColor indexed="0"/>
      </patternFill>
    </fill>
    <fill>
      <patternFill patternType="solid">
        <fgColor theme="0" tint="-0.249977111117893"/>
        <bgColor indexed="64"/>
      </patternFill>
    </fill>
    <fill>
      <patternFill patternType="solid">
        <fgColor theme="5" tint="-0.249977111117893"/>
        <bgColor indexed="64"/>
      </patternFill>
    </fill>
    <fill>
      <patternFill patternType="solid">
        <fgColor theme="6" tint="-0.249977111117893"/>
        <bgColor indexed="64"/>
      </patternFill>
    </fill>
  </fills>
  <borders count="3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64"/>
      </left>
      <right/>
      <top/>
      <bottom/>
      <diagonal/>
    </border>
    <border>
      <left style="thin">
        <color indexed="22"/>
      </left>
      <right style="thin">
        <color indexed="22"/>
      </right>
      <top/>
      <bottom style="thin">
        <color indexed="22"/>
      </bottom>
      <diagonal/>
    </border>
    <border>
      <left style="thin">
        <color indexed="64"/>
      </left>
      <right/>
      <top style="thin">
        <color indexed="64"/>
      </top>
      <bottom style="thin">
        <color indexed="64"/>
      </bottom>
      <diagonal/>
    </border>
    <border>
      <left/>
      <right/>
      <top/>
      <bottom style="medium">
        <color indexed="64"/>
      </bottom>
      <diagonal/>
    </border>
  </borders>
  <cellStyleXfs count="54">
    <xf numFmtId="0" fontId="0" fillId="0" borderId="0"/>
    <xf numFmtId="0" fontId="2" fillId="0" borderId="0"/>
    <xf numFmtId="0" fontId="2" fillId="0" borderId="0"/>
    <xf numFmtId="0" fontId="2" fillId="0" borderId="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3" borderId="0" applyNumberFormat="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6" borderId="4" applyNumberFormat="0" applyAlignment="0" applyProtection="0"/>
    <xf numFmtId="0" fontId="17" fillId="7" borderId="5" applyNumberFormat="0" applyAlignment="0" applyProtection="0"/>
    <xf numFmtId="0" fontId="18" fillId="7" borderId="4" applyNumberFormat="0" applyAlignment="0" applyProtection="0"/>
    <xf numFmtId="0" fontId="19" fillId="0" borderId="6" applyNumberFormat="0" applyFill="0" applyAlignment="0" applyProtection="0"/>
    <xf numFmtId="0" fontId="5" fillId="8" borderId="7" applyNumberFormat="0" applyAlignment="0" applyProtection="0"/>
    <xf numFmtId="0" fontId="3" fillId="0" borderId="0" applyNumberFormat="0" applyFill="0" applyBorder="0" applyAlignment="0" applyProtection="0"/>
    <xf numFmtId="0" fontId="8" fillId="9" borderId="8" applyNumberFormat="0" applyFont="0" applyAlignment="0" applyProtection="0"/>
    <xf numFmtId="0" fontId="20" fillId="0" borderId="0" applyNumberFormat="0" applyFill="0" applyBorder="0" applyAlignment="0" applyProtection="0"/>
    <xf numFmtId="0" fontId="1" fillId="0" borderId="9" applyNumberFormat="0" applyFill="0" applyAlignment="0" applyProtection="0"/>
    <xf numFmtId="0" fontId="7"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7"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7"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7"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7"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7"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22" fillId="0" borderId="0"/>
    <xf numFmtId="0" fontId="25" fillId="0" borderId="0"/>
    <xf numFmtId="0" fontId="22" fillId="0" borderId="0"/>
    <xf numFmtId="0" fontId="22" fillId="0" borderId="0"/>
    <xf numFmtId="0" fontId="22" fillId="0" borderId="0"/>
    <xf numFmtId="0" fontId="45" fillId="0" borderId="0"/>
    <xf numFmtId="0" fontId="22" fillId="0" borderId="0"/>
    <xf numFmtId="0" fontId="22" fillId="0" borderId="0"/>
    <xf numFmtId="0" fontId="22" fillId="0" borderId="0"/>
  </cellStyleXfs>
  <cellXfs count="237">
    <xf numFmtId="0" fontId="0" fillId="0" borderId="0" xfId="0"/>
    <xf numFmtId="0" fontId="0" fillId="0" borderId="0" xfId="0" applyAlignment="1">
      <alignment horizontal="center"/>
    </xf>
    <xf numFmtId="0" fontId="1" fillId="0" borderId="0" xfId="0" applyFont="1"/>
    <xf numFmtId="0" fontId="0" fillId="0" borderId="0" xfId="0" applyAlignment="1">
      <alignment horizontal="left"/>
    </xf>
    <xf numFmtId="0" fontId="0" fillId="2" borderId="0" xfId="0" applyFill="1"/>
    <xf numFmtId="1" fontId="0" fillId="0" borderId="0" xfId="0" applyNumberFormat="1"/>
    <xf numFmtId="0" fontId="4" fillId="0" borderId="0" xfId="0" applyFont="1" applyAlignment="1">
      <alignment horizontal="left"/>
    </xf>
    <xf numFmtId="0" fontId="0" fillId="0" borderId="0" xfId="0" applyAlignment="1">
      <alignment horizontal="right"/>
    </xf>
    <xf numFmtId="0" fontId="23" fillId="0" borderId="0" xfId="45" applyFont="1" applyAlignment="1">
      <alignment horizontal="left" wrapText="1"/>
    </xf>
    <xf numFmtId="0" fontId="23" fillId="0" borderId="0" xfId="45" applyFont="1" applyAlignment="1">
      <alignment horizontal="center" wrapText="1"/>
    </xf>
    <xf numFmtId="0" fontId="23" fillId="0" borderId="0" xfId="45" applyFont="1" applyAlignment="1">
      <alignment horizontal="right" wrapText="1"/>
    </xf>
    <xf numFmtId="0" fontId="24" fillId="0" borderId="12" xfId="46" applyFont="1" applyBorder="1" applyAlignment="1">
      <alignment horizontal="center" wrapText="1"/>
    </xf>
    <xf numFmtId="2" fontId="0" fillId="0" borderId="0" xfId="0" applyNumberFormat="1" applyAlignment="1">
      <alignment horizontal="center"/>
    </xf>
    <xf numFmtId="0" fontId="1" fillId="0" borderId="0" xfId="0" applyFont="1" applyAlignment="1">
      <alignment wrapText="1"/>
    </xf>
    <xf numFmtId="0" fontId="0" fillId="0" borderId="0" xfId="0" applyAlignment="1">
      <alignment wrapText="1"/>
    </xf>
    <xf numFmtId="0" fontId="26" fillId="0" borderId="0" xfId="0" applyFont="1"/>
    <xf numFmtId="0" fontId="6" fillId="0" borderId="0" xfId="0" applyFont="1" applyAlignment="1">
      <alignment horizontal="left"/>
    </xf>
    <xf numFmtId="0" fontId="27" fillId="0" borderId="0" xfId="0" applyFont="1"/>
    <xf numFmtId="0" fontId="0" fillId="0" borderId="0" xfId="0" quotePrefix="1" applyAlignment="1">
      <alignment horizontal="left" wrapText="1"/>
    </xf>
    <xf numFmtId="0" fontId="28" fillId="0" borderId="0" xfId="0" applyFont="1" applyAlignment="1">
      <alignment horizontal="left" vertical="center"/>
    </xf>
    <xf numFmtId="0" fontId="0" fillId="0" borderId="0" xfId="0" quotePrefix="1" applyAlignment="1">
      <alignment horizontal="left" vertical="center" wrapText="1"/>
    </xf>
    <xf numFmtId="0" fontId="0" fillId="34" borderId="0" xfId="0" applyFill="1" applyAlignment="1">
      <alignment horizontal="center"/>
    </xf>
    <xf numFmtId="0" fontId="0" fillId="34" borderId="0" xfId="0" applyFill="1" applyAlignment="1">
      <alignment horizontal="center" vertical="center"/>
    </xf>
    <xf numFmtId="0" fontId="21" fillId="34" borderId="0" xfId="0" applyFont="1" applyFill="1" applyAlignment="1">
      <alignment horizontal="center" vertical="center"/>
    </xf>
    <xf numFmtId="0" fontId="0" fillId="34" borderId="0" xfId="0" applyFill="1"/>
    <xf numFmtId="2" fontId="0" fillId="34" borderId="0" xfId="0" applyNumberFormat="1" applyFill="1" applyAlignment="1">
      <alignment horizontal="center" vertical="center"/>
    </xf>
    <xf numFmtId="1" fontId="0" fillId="34" borderId="13" xfId="0" applyNumberFormat="1" applyFill="1" applyBorder="1"/>
    <xf numFmtId="0" fontId="0" fillId="34" borderId="13" xfId="0" applyFill="1" applyBorder="1"/>
    <xf numFmtId="0" fontId="1" fillId="0" borderId="17" xfId="0" applyFont="1" applyBorder="1" applyAlignment="1">
      <alignment horizontal="center" vertical="center" wrapText="1"/>
    </xf>
    <xf numFmtId="0" fontId="29" fillId="0" borderId="16" xfId="0" applyFont="1" applyBorder="1" applyAlignment="1">
      <alignment horizontal="left"/>
    </xf>
    <xf numFmtId="0" fontId="29" fillId="0" borderId="18" xfId="0" applyFont="1" applyBorder="1" applyAlignment="1">
      <alignment horizontal="left"/>
    </xf>
    <xf numFmtId="1" fontId="0" fillId="37" borderId="0" xfId="0" applyNumberFormat="1" applyFill="1" applyAlignment="1">
      <alignment horizontal="center"/>
    </xf>
    <xf numFmtId="0" fontId="34" fillId="35" borderId="0" xfId="0" applyFont="1" applyFill="1"/>
    <xf numFmtId="1" fontId="0" fillId="37" borderId="15" xfId="0" applyNumberFormat="1" applyFill="1" applyBorder="1"/>
    <xf numFmtId="1" fontId="0" fillId="37" borderId="13" xfId="0" applyNumberFormat="1" applyFill="1" applyBorder="1"/>
    <xf numFmtId="0" fontId="0" fillId="37" borderId="13" xfId="0" applyFill="1" applyBorder="1"/>
    <xf numFmtId="0" fontId="0" fillId="37" borderId="15" xfId="0" applyFill="1" applyBorder="1" applyAlignment="1">
      <alignment vertical="center" wrapText="1"/>
    </xf>
    <xf numFmtId="1" fontId="0" fillId="39" borderId="0" xfId="0" applyNumberFormat="1" applyFill="1"/>
    <xf numFmtId="0" fontId="0" fillId="39" borderId="0" xfId="0" applyFill="1"/>
    <xf numFmtId="0" fontId="0" fillId="40" borderId="15" xfId="0" applyFill="1" applyBorder="1" applyAlignment="1">
      <alignment vertical="center" wrapText="1"/>
    </xf>
    <xf numFmtId="0" fontId="0" fillId="40" borderId="13" xfId="0" applyFill="1" applyBorder="1"/>
    <xf numFmtId="0" fontId="0" fillId="40" borderId="13" xfId="0" applyFill="1" applyBorder="1" applyAlignment="1">
      <alignment vertical="center" wrapText="1"/>
    </xf>
    <xf numFmtId="0" fontId="28" fillId="41" borderId="13" xfId="0" applyFont="1" applyFill="1" applyBorder="1"/>
    <xf numFmtId="0" fontId="0" fillId="41" borderId="13" xfId="0" applyFill="1" applyBorder="1"/>
    <xf numFmtId="0" fontId="28" fillId="41" borderId="13" xfId="0" applyFont="1" applyFill="1" applyBorder="1" applyAlignment="1">
      <alignment horizontal="left" vertical="center"/>
    </xf>
    <xf numFmtId="0" fontId="0" fillId="41" borderId="13" xfId="0" quotePrefix="1" applyFill="1" applyBorder="1" applyAlignment="1">
      <alignment horizontal="left" vertical="center" wrapText="1"/>
    </xf>
    <xf numFmtId="0" fontId="1" fillId="39" borderId="0" xfId="0" applyFont="1" applyFill="1"/>
    <xf numFmtId="1" fontId="1" fillId="39" borderId="13" xfId="0" applyNumberFormat="1" applyFont="1" applyFill="1" applyBorder="1"/>
    <xf numFmtId="0" fontId="1" fillId="39" borderId="13" xfId="0" applyFont="1" applyFill="1" applyBorder="1"/>
    <xf numFmtId="0" fontId="1" fillId="39" borderId="0" xfId="0" applyFont="1" applyFill="1" applyAlignment="1">
      <alignment horizontal="center" vertical="center" wrapText="1"/>
    </xf>
    <xf numFmtId="0" fontId="1" fillId="39" borderId="13" xfId="0" applyFont="1" applyFill="1" applyBorder="1" applyAlignment="1">
      <alignment horizontal="center" vertical="center" wrapText="1"/>
    </xf>
    <xf numFmtId="0" fontId="1" fillId="37" borderId="13" xfId="0" applyFont="1" applyFill="1" applyBorder="1" applyAlignment="1">
      <alignment horizontal="center" vertical="center" wrapText="1"/>
    </xf>
    <xf numFmtId="0" fontId="24" fillId="34" borderId="13" xfId="46" applyFont="1" applyFill="1" applyBorder="1" applyAlignment="1">
      <alignment horizontal="center" wrapText="1"/>
    </xf>
    <xf numFmtId="0" fontId="1" fillId="37" borderId="13" xfId="0" applyFont="1" applyFill="1" applyBorder="1" applyAlignment="1">
      <alignment horizontal="left" vertical="center" wrapText="1"/>
    </xf>
    <xf numFmtId="2" fontId="1" fillId="37" borderId="13" xfId="0" applyNumberFormat="1" applyFont="1" applyFill="1" applyBorder="1" applyAlignment="1">
      <alignment vertical="center" wrapText="1"/>
    </xf>
    <xf numFmtId="0" fontId="24" fillId="37" borderId="13" xfId="46" applyFont="1" applyFill="1" applyBorder="1" applyAlignment="1">
      <alignment horizontal="center" wrapText="1"/>
    </xf>
    <xf numFmtId="0" fontId="0" fillId="38" borderId="13" xfId="0" applyFill="1" applyBorder="1"/>
    <xf numFmtId="0" fontId="0" fillId="40" borderId="13" xfId="0" applyFill="1" applyBorder="1" applyAlignment="1">
      <alignment horizontal="left" vertical="center"/>
    </xf>
    <xf numFmtId="0" fontId="0" fillId="40" borderId="13" xfId="0" applyFill="1" applyBorder="1" applyAlignment="1">
      <alignment horizontal="left" vertical="center" wrapText="1"/>
    </xf>
    <xf numFmtId="0" fontId="35" fillId="0" borderId="0" xfId="0" applyFont="1"/>
    <xf numFmtId="0" fontId="1" fillId="0" borderId="13" xfId="0" applyFont="1" applyBorder="1" applyAlignment="1">
      <alignment horizontal="center" vertical="center"/>
    </xf>
    <xf numFmtId="0" fontId="0" fillId="40" borderId="13" xfId="0" applyFill="1" applyBorder="1" applyAlignment="1">
      <alignment vertical="center"/>
    </xf>
    <xf numFmtId="1" fontId="0" fillId="40" borderId="13" xfId="0" applyNumberFormat="1" applyFill="1" applyBorder="1" applyAlignment="1">
      <alignment vertical="center"/>
    </xf>
    <xf numFmtId="1" fontId="0" fillId="40" borderId="13" xfId="0" applyNumberFormat="1" applyFill="1" applyBorder="1" applyAlignment="1">
      <alignment vertical="center" wrapText="1"/>
    </xf>
    <xf numFmtId="0" fontId="0" fillId="40" borderId="15" xfId="0" applyFill="1" applyBorder="1" applyAlignment="1">
      <alignment vertical="center"/>
    </xf>
    <xf numFmtId="0" fontId="0" fillId="37" borderId="15" xfId="0" applyFill="1" applyBorder="1"/>
    <xf numFmtId="0" fontId="0" fillId="39" borderId="13" xfId="0" applyFill="1" applyBorder="1"/>
    <xf numFmtId="0" fontId="0" fillId="0" borderId="20" xfId="0" applyBorder="1" applyAlignment="1">
      <alignment horizontal="left"/>
    </xf>
    <xf numFmtId="0" fontId="30" fillId="0" borderId="21" xfId="0" applyFont="1" applyBorder="1"/>
    <xf numFmtId="0" fontId="0" fillId="0" borderId="22" xfId="0" applyBorder="1"/>
    <xf numFmtId="0" fontId="0" fillId="0" borderId="22" xfId="0" applyBorder="1" applyAlignment="1">
      <alignment wrapText="1"/>
    </xf>
    <xf numFmtId="0" fontId="0" fillId="0" borderId="22" xfId="0" applyBorder="1" applyAlignment="1">
      <alignment horizontal="left" vertical="center" wrapText="1"/>
    </xf>
    <xf numFmtId="0" fontId="0" fillId="0" borderId="24" xfId="0" applyBorder="1" applyAlignment="1">
      <alignment wrapText="1"/>
    </xf>
    <xf numFmtId="0" fontId="33" fillId="0" borderId="10" xfId="0" applyFont="1" applyBorder="1"/>
    <xf numFmtId="0" fontId="0" fillId="0" borderId="11" xfId="0" applyBorder="1"/>
    <xf numFmtId="1" fontId="0" fillId="40" borderId="25" xfId="0" applyNumberFormat="1" applyFill="1" applyBorder="1" applyAlignment="1">
      <alignment horizontal="left"/>
    </xf>
    <xf numFmtId="1" fontId="0" fillId="40" borderId="26" xfId="0" applyNumberFormat="1" applyFill="1" applyBorder="1" applyAlignment="1">
      <alignment horizontal="left"/>
    </xf>
    <xf numFmtId="1" fontId="0" fillId="38" borderId="23" xfId="0" applyNumberFormat="1" applyFill="1" applyBorder="1" applyAlignment="1">
      <alignment horizontal="left"/>
    </xf>
    <xf numFmtId="1" fontId="0" fillId="38" borderId="24" xfId="0" applyNumberFormat="1" applyFill="1" applyBorder="1"/>
    <xf numFmtId="0" fontId="36" fillId="0" borderId="21" xfId="0" applyFont="1" applyBorder="1" applyAlignment="1">
      <alignment horizontal="left" vertical="center"/>
    </xf>
    <xf numFmtId="0" fontId="29" fillId="39" borderId="13" xfId="0" applyFont="1" applyFill="1" applyBorder="1" applyAlignment="1">
      <alignment horizontal="center" vertical="center" wrapText="1"/>
    </xf>
    <xf numFmtId="0" fontId="0" fillId="37" borderId="13" xfId="0" applyFill="1" applyBorder="1" applyAlignment="1">
      <alignment horizontal="center"/>
    </xf>
    <xf numFmtId="2" fontId="1" fillId="37" borderId="13" xfId="0" applyNumberFormat="1" applyFont="1" applyFill="1" applyBorder="1" applyAlignment="1">
      <alignment horizontal="center" vertical="center" wrapText="1"/>
    </xf>
    <xf numFmtId="2" fontId="24" fillId="34" borderId="13" xfId="46" applyNumberFormat="1" applyFont="1" applyFill="1" applyBorder="1" applyAlignment="1">
      <alignment horizontal="center" wrapText="1"/>
    </xf>
    <xf numFmtId="2" fontId="0" fillId="34" borderId="13" xfId="0" applyNumberFormat="1" applyFill="1" applyBorder="1" applyAlignment="1">
      <alignment horizontal="center"/>
    </xf>
    <xf numFmtId="0" fontId="0" fillId="39" borderId="27" xfId="0" applyFill="1" applyBorder="1"/>
    <xf numFmtId="0" fontId="30" fillId="39" borderId="19" xfId="0" applyFont="1" applyFill="1" applyBorder="1" applyAlignment="1">
      <alignment horizontal="left" wrapText="1"/>
    </xf>
    <xf numFmtId="0" fontId="30" fillId="2" borderId="21" xfId="0" applyFont="1" applyFill="1" applyBorder="1"/>
    <xf numFmtId="0" fontId="30" fillId="39" borderId="21" xfId="0" applyFont="1" applyFill="1" applyBorder="1"/>
    <xf numFmtId="0" fontId="37" fillId="43" borderId="21" xfId="0" applyFont="1" applyFill="1" applyBorder="1" applyAlignment="1">
      <alignment horizontal="left" vertical="center"/>
    </xf>
    <xf numFmtId="0" fontId="30" fillId="44" borderId="21" xfId="0" applyFont="1" applyFill="1" applyBorder="1" applyAlignment="1">
      <alignment vertical="center"/>
    </xf>
    <xf numFmtId="0" fontId="37" fillId="45" borderId="21" xfId="0" applyFont="1" applyFill="1" applyBorder="1" applyAlignment="1">
      <alignment vertical="center"/>
    </xf>
    <xf numFmtId="0" fontId="37" fillId="36" borderId="23" xfId="0" applyFont="1" applyFill="1" applyBorder="1" applyAlignment="1">
      <alignment vertical="center"/>
    </xf>
    <xf numFmtId="0" fontId="1" fillId="0" borderId="29" xfId="0" applyFont="1" applyFill="1" applyBorder="1" applyAlignment="1">
      <alignment horizontal="center" vertical="center" wrapText="1"/>
    </xf>
    <xf numFmtId="164" fontId="4" fillId="39" borderId="14" xfId="0" applyNumberFormat="1" applyFont="1" applyFill="1" applyBorder="1"/>
    <xf numFmtId="164" fontId="0" fillId="39" borderId="13" xfId="0" applyNumberFormat="1" applyFill="1" applyBorder="1"/>
    <xf numFmtId="164" fontId="4" fillId="39" borderId="13" xfId="0" applyNumberFormat="1" applyFont="1" applyFill="1" applyBorder="1"/>
    <xf numFmtId="0" fontId="0" fillId="34" borderId="0" xfId="0" applyFont="1" applyFill="1" applyAlignment="1">
      <alignment horizontal="left" vertical="center"/>
    </xf>
    <xf numFmtId="0" fontId="0" fillId="34" borderId="0" xfId="0" applyFill="1" applyAlignment="1">
      <alignment horizontal="left" vertical="center"/>
    </xf>
    <xf numFmtId="0" fontId="0" fillId="34" borderId="0" xfId="0" applyFill="1" applyAlignment="1">
      <alignment horizontal="left"/>
    </xf>
    <xf numFmtId="2" fontId="24" fillId="34" borderId="14" xfId="46" applyNumberFormat="1" applyFont="1" applyFill="1" applyBorder="1" applyAlignment="1">
      <alignment horizontal="center" wrapText="1"/>
    </xf>
    <xf numFmtId="0" fontId="0" fillId="37" borderId="14" xfId="0" applyFill="1" applyBorder="1"/>
    <xf numFmtId="1" fontId="24" fillId="34" borderId="13" xfId="46" applyNumberFormat="1" applyFont="1" applyFill="1" applyBorder="1" applyAlignment="1">
      <alignment horizontal="center" wrapText="1"/>
    </xf>
    <xf numFmtId="1" fontId="24" fillId="37" borderId="13" xfId="46" applyNumberFormat="1" applyFont="1" applyFill="1" applyBorder="1" applyAlignment="1">
      <alignment horizontal="center" wrapText="1"/>
    </xf>
    <xf numFmtId="0" fontId="1" fillId="0" borderId="0" xfId="0" applyFont="1" applyAlignment="1">
      <alignment vertical="center" wrapText="1"/>
    </xf>
    <xf numFmtId="2" fontId="1" fillId="39" borderId="13" xfId="0" applyNumberFormat="1" applyFont="1" applyFill="1" applyBorder="1" applyAlignment="1">
      <alignment horizontal="center" vertical="center" wrapText="1"/>
    </xf>
    <xf numFmtId="0" fontId="39" fillId="34" borderId="13" xfId="46" applyFont="1" applyFill="1" applyBorder="1" applyAlignment="1">
      <alignment horizontal="center" wrapText="1"/>
    </xf>
    <xf numFmtId="0" fontId="0" fillId="37" borderId="0" xfId="0" applyFill="1" applyAlignment="1">
      <alignment horizontal="center"/>
    </xf>
    <xf numFmtId="2" fontId="4" fillId="39" borderId="28" xfId="0" applyNumberFormat="1" applyFont="1" applyFill="1" applyBorder="1"/>
    <xf numFmtId="1" fontId="0" fillId="0" borderId="0" xfId="0" applyNumberFormat="1" applyFill="1" applyBorder="1"/>
    <xf numFmtId="0" fontId="0" fillId="0" borderId="0" xfId="0" applyFill="1"/>
    <xf numFmtId="1" fontId="6" fillId="34" borderId="13" xfId="0" applyNumberFormat="1" applyFont="1" applyFill="1" applyBorder="1"/>
    <xf numFmtId="0" fontId="6" fillId="34" borderId="13" xfId="0" applyFont="1" applyFill="1" applyBorder="1"/>
    <xf numFmtId="2" fontId="0" fillId="39" borderId="15" xfId="0" applyNumberFormat="1" applyFill="1" applyBorder="1"/>
    <xf numFmtId="2" fontId="0" fillId="39" borderId="13" xfId="0" applyNumberFormat="1" applyFill="1" applyBorder="1"/>
    <xf numFmtId="2" fontId="4" fillId="39" borderId="14" xfId="0" applyNumberFormat="1" applyFont="1" applyFill="1" applyBorder="1"/>
    <xf numFmtId="0" fontId="30" fillId="40" borderId="21" xfId="0" applyFont="1" applyFill="1" applyBorder="1" applyAlignment="1">
      <alignment vertical="center"/>
    </xf>
    <xf numFmtId="0" fontId="23" fillId="46" borderId="30" xfId="47" applyFont="1" applyFill="1" applyBorder="1" applyAlignment="1">
      <alignment horizontal="center"/>
    </xf>
    <xf numFmtId="0" fontId="23" fillId="46" borderId="31" xfId="47" applyFont="1" applyFill="1" applyBorder="1" applyAlignment="1">
      <alignment horizontal="center"/>
    </xf>
    <xf numFmtId="0" fontId="23" fillId="0" borderId="12" xfId="47" applyFont="1" applyBorder="1" applyAlignment="1">
      <alignment wrapText="1"/>
    </xf>
    <xf numFmtId="0" fontId="23" fillId="0" borderId="12" xfId="47" applyFont="1" applyBorder="1" applyAlignment="1">
      <alignment horizontal="right" wrapText="1"/>
    </xf>
    <xf numFmtId="0" fontId="23" fillId="47" borderId="12" xfId="47" applyFont="1" applyFill="1" applyBorder="1" applyAlignment="1">
      <alignment wrapText="1"/>
    </xf>
    <xf numFmtId="0" fontId="23" fillId="47" borderId="12" xfId="47" applyFont="1" applyFill="1" applyBorder="1" applyAlignment="1">
      <alignment horizontal="right" wrapText="1"/>
    </xf>
    <xf numFmtId="0" fontId="0" fillId="47" borderId="0" xfId="0" applyFill="1"/>
    <xf numFmtId="2" fontId="41" fillId="34" borderId="13" xfId="46" applyNumberFormat="1" applyFont="1" applyFill="1" applyBorder="1" applyAlignment="1">
      <alignment horizontal="center" wrapText="1"/>
    </xf>
    <xf numFmtId="0" fontId="41" fillId="34" borderId="13" xfId="46" applyFont="1" applyFill="1" applyBorder="1" applyAlignment="1">
      <alignment horizontal="center" wrapText="1"/>
    </xf>
    <xf numFmtId="0" fontId="23" fillId="46" borderId="30" xfId="48" applyFont="1" applyFill="1" applyBorder="1" applyAlignment="1">
      <alignment horizontal="center"/>
    </xf>
    <xf numFmtId="0" fontId="23" fillId="0" borderId="12" xfId="48" applyFont="1" applyFill="1" applyBorder="1" applyAlignment="1">
      <alignment wrapText="1"/>
    </xf>
    <xf numFmtId="0" fontId="23" fillId="0" borderId="12" xfId="48" applyFont="1" applyFill="1" applyBorder="1" applyAlignment="1">
      <alignment horizontal="right" wrapText="1"/>
    </xf>
    <xf numFmtId="0" fontId="22" fillId="0" borderId="0" xfId="48"/>
    <xf numFmtId="0" fontId="23" fillId="0" borderId="12" xfId="47" applyFont="1" applyBorder="1" applyAlignment="1">
      <alignment horizontal="left" wrapText="1"/>
    </xf>
    <xf numFmtId="0" fontId="23" fillId="48" borderId="30" xfId="48" applyFont="1" applyFill="1" applyBorder="1" applyAlignment="1">
      <alignment horizontal="center"/>
    </xf>
    <xf numFmtId="9" fontId="1" fillId="39" borderId="13" xfId="0" applyNumberFormat="1" applyFont="1" applyFill="1" applyBorder="1" applyAlignment="1">
      <alignment horizontal="center" vertical="center" wrapText="1"/>
    </xf>
    <xf numFmtId="0" fontId="4" fillId="34" borderId="13" xfId="0" applyFont="1" applyFill="1" applyBorder="1"/>
    <xf numFmtId="0" fontId="0" fillId="49" borderId="14" xfId="0" applyFill="1" applyBorder="1"/>
    <xf numFmtId="0" fontId="4" fillId="34" borderId="13" xfId="0" applyFont="1" applyFill="1" applyBorder="1" applyAlignment="1">
      <alignment horizontal="center"/>
    </xf>
    <xf numFmtId="0" fontId="42" fillId="0" borderId="0" xfId="0" applyFont="1"/>
    <xf numFmtId="0" fontId="1" fillId="0" borderId="13" xfId="0" applyFont="1" applyFill="1" applyBorder="1" applyAlignment="1">
      <alignment horizontal="center" vertical="center" wrapText="1"/>
    </xf>
    <xf numFmtId="0" fontId="23" fillId="46" borderId="30" xfId="49" applyFont="1" applyFill="1" applyBorder="1" applyAlignment="1">
      <alignment horizontal="center"/>
    </xf>
    <xf numFmtId="0" fontId="23" fillId="0" borderId="12" xfId="49" applyFont="1" applyFill="1" applyBorder="1" applyAlignment="1">
      <alignment wrapText="1"/>
    </xf>
    <xf numFmtId="0" fontId="23" fillId="0" borderId="12" xfId="49" applyFont="1" applyFill="1" applyBorder="1" applyAlignment="1">
      <alignment horizontal="right" wrapText="1"/>
    </xf>
    <xf numFmtId="0" fontId="23" fillId="50" borderId="30" xfId="48" applyFont="1" applyFill="1" applyBorder="1" applyAlignment="1">
      <alignment horizontal="center"/>
    </xf>
    <xf numFmtId="2" fontId="4" fillId="34" borderId="13" xfId="0" applyNumberFormat="1" applyFont="1" applyFill="1" applyBorder="1"/>
    <xf numFmtId="1" fontId="1" fillId="37" borderId="13" xfId="0" applyNumberFormat="1" applyFont="1" applyFill="1" applyBorder="1" applyAlignment="1">
      <alignment horizontal="center" vertical="center" wrapText="1"/>
    </xf>
    <xf numFmtId="1" fontId="1" fillId="39" borderId="13" xfId="0" applyNumberFormat="1" applyFont="1" applyFill="1" applyBorder="1" applyAlignment="1">
      <alignment horizontal="center" vertical="center" wrapText="1"/>
    </xf>
    <xf numFmtId="1" fontId="4" fillId="34" borderId="13" xfId="0" applyNumberFormat="1" applyFont="1" applyFill="1" applyBorder="1"/>
    <xf numFmtId="1" fontId="4" fillId="34" borderId="13" xfId="0" applyNumberFormat="1" applyFont="1" applyFill="1" applyBorder="1" applyAlignment="1">
      <alignment horizontal="center"/>
    </xf>
    <xf numFmtId="2" fontId="1" fillId="37" borderId="27" xfId="0" applyNumberFormat="1" applyFont="1" applyFill="1" applyBorder="1" applyAlignment="1">
      <alignment vertical="center" wrapText="1"/>
    </xf>
    <xf numFmtId="0" fontId="0" fillId="49" borderId="13" xfId="0" applyFill="1" applyBorder="1" applyAlignment="1">
      <alignment horizontal="center" vertical="center" wrapText="1"/>
    </xf>
    <xf numFmtId="2" fontId="0" fillId="49" borderId="13" xfId="0" applyNumberFormat="1" applyFont="1" applyFill="1" applyBorder="1" applyAlignment="1">
      <alignment horizontal="center" vertical="center" wrapText="1"/>
    </xf>
    <xf numFmtId="0" fontId="4" fillId="38" borderId="13" xfId="0" applyFont="1" applyFill="1" applyBorder="1"/>
    <xf numFmtId="0" fontId="40" fillId="51" borderId="13" xfId="0" applyFont="1" applyFill="1" applyBorder="1"/>
    <xf numFmtId="0" fontId="0" fillId="51" borderId="13" xfId="0" applyFill="1" applyBorder="1"/>
    <xf numFmtId="0" fontId="4" fillId="51" borderId="13" xfId="0" applyFont="1" applyFill="1" applyBorder="1"/>
    <xf numFmtId="2" fontId="1" fillId="52" borderId="27" xfId="0" applyNumberFormat="1" applyFont="1" applyFill="1" applyBorder="1" applyAlignment="1">
      <alignment vertical="center" wrapText="1"/>
    </xf>
    <xf numFmtId="2" fontId="1" fillId="52" borderId="13" xfId="0" applyNumberFormat="1" applyFont="1" applyFill="1" applyBorder="1" applyAlignment="1">
      <alignment vertical="center" wrapText="1"/>
    </xf>
    <xf numFmtId="2" fontId="1" fillId="52" borderId="14" xfId="0" applyNumberFormat="1" applyFont="1" applyFill="1" applyBorder="1" applyAlignment="1">
      <alignment vertical="center" wrapText="1"/>
    </xf>
    <xf numFmtId="0" fontId="4" fillId="38" borderId="14" xfId="0" applyFont="1" applyFill="1" applyBorder="1"/>
    <xf numFmtId="0" fontId="0" fillId="2" borderId="0" xfId="0" applyFill="1" applyBorder="1"/>
    <xf numFmtId="2" fontId="0" fillId="39" borderId="13" xfId="0" applyNumberFormat="1" applyFont="1" applyFill="1" applyBorder="1" applyAlignment="1">
      <alignment horizontal="center" vertical="center" wrapText="1"/>
    </xf>
    <xf numFmtId="0" fontId="24" fillId="0" borderId="13" xfId="46" applyFont="1" applyFill="1" applyBorder="1" applyAlignment="1">
      <alignment horizontal="center" wrapText="1"/>
    </xf>
    <xf numFmtId="1" fontId="0" fillId="38" borderId="13" xfId="0" applyNumberFormat="1" applyFill="1" applyBorder="1"/>
    <xf numFmtId="164" fontId="0" fillId="0" borderId="0" xfId="0" applyNumberFormat="1"/>
    <xf numFmtId="0" fontId="0" fillId="0" borderId="0" xfId="0" applyFill="1" applyBorder="1"/>
    <xf numFmtId="0" fontId="24" fillId="0" borderId="0" xfId="46" applyFont="1" applyFill="1" applyBorder="1" applyAlignment="1">
      <alignment horizontal="center" wrapText="1"/>
    </xf>
    <xf numFmtId="0" fontId="23" fillId="0" borderId="0" xfId="45" applyFont="1" applyFill="1" applyAlignment="1">
      <alignment horizontal="center" wrapText="1"/>
    </xf>
    <xf numFmtId="0" fontId="0" fillId="0" borderId="0" xfId="0" applyFill="1" applyAlignment="1">
      <alignment horizontal="center"/>
    </xf>
    <xf numFmtId="1" fontId="0" fillId="34" borderId="0" xfId="0" applyNumberFormat="1" applyFill="1" applyAlignment="1">
      <alignment horizontal="center"/>
    </xf>
    <xf numFmtId="0" fontId="1" fillId="0" borderId="13" xfId="0" applyFont="1" applyBorder="1" applyAlignment="1">
      <alignment horizontal="center" vertical="center" wrapText="1"/>
    </xf>
    <xf numFmtId="0" fontId="1" fillId="39" borderId="13" xfId="0" applyFont="1" applyFill="1" applyBorder="1" applyAlignment="1">
      <alignment horizontal="center" vertical="center"/>
    </xf>
    <xf numFmtId="0" fontId="43" fillId="53" borderId="0" xfId="0" applyFont="1" applyFill="1" applyAlignment="1">
      <alignment horizontal="left"/>
    </xf>
    <xf numFmtId="0" fontId="0" fillId="0" borderId="0" xfId="0"/>
    <xf numFmtId="0" fontId="0" fillId="34" borderId="0" xfId="0" applyFill="1" applyAlignment="1"/>
    <xf numFmtId="0" fontId="44" fillId="46" borderId="30" xfId="50" applyFont="1" applyFill="1" applyBorder="1" applyAlignment="1">
      <alignment horizontal="center"/>
    </xf>
    <xf numFmtId="0" fontId="44" fillId="0" borderId="12" xfId="50" applyFont="1" applyFill="1" applyBorder="1" applyAlignment="1">
      <alignment wrapText="1"/>
    </xf>
    <xf numFmtId="0" fontId="44" fillId="0" borderId="12" xfId="50" applyFont="1" applyFill="1" applyBorder="1" applyAlignment="1">
      <alignment horizontal="right" wrapText="1"/>
    </xf>
    <xf numFmtId="0" fontId="45" fillId="0" borderId="0" xfId="50"/>
    <xf numFmtId="0" fontId="23" fillId="34" borderId="13" xfId="46" quotePrefix="1" applyFont="1" applyFill="1" applyBorder="1" applyAlignment="1">
      <alignment horizontal="center" wrapText="1"/>
    </xf>
    <xf numFmtId="0" fontId="1" fillId="0" borderId="13" xfId="0" applyFont="1" applyFill="1" applyBorder="1" applyAlignment="1">
      <alignment horizontal="center" wrapText="1"/>
    </xf>
    <xf numFmtId="0" fontId="23" fillId="46" borderId="30" xfId="51" applyFont="1" applyFill="1" applyBorder="1" applyAlignment="1">
      <alignment horizontal="center"/>
    </xf>
    <xf numFmtId="0" fontId="23" fillId="0" borderId="12" xfId="51" applyFont="1" applyFill="1" applyBorder="1" applyAlignment="1">
      <alignment horizontal="right" wrapText="1"/>
    </xf>
    <xf numFmtId="0" fontId="23" fillId="0" borderId="12" xfId="51" applyFont="1" applyFill="1" applyBorder="1" applyAlignment="1">
      <alignment wrapText="1"/>
    </xf>
    <xf numFmtId="0" fontId="22" fillId="0" borderId="0" xfId="51"/>
    <xf numFmtId="0" fontId="0" fillId="37" borderId="29" xfId="0" applyFill="1" applyBorder="1"/>
    <xf numFmtId="0" fontId="0" fillId="0" borderId="13" xfId="0" applyFill="1" applyBorder="1"/>
    <xf numFmtId="0" fontId="23" fillId="46" borderId="30" xfId="52" applyFont="1" applyFill="1" applyBorder="1" applyAlignment="1">
      <alignment horizontal="center"/>
    </xf>
    <xf numFmtId="0" fontId="23" fillId="0" borderId="12" xfId="52" applyFont="1" applyFill="1" applyBorder="1" applyAlignment="1">
      <alignment wrapText="1"/>
    </xf>
    <xf numFmtId="0" fontId="23" fillId="0" borderId="12" xfId="52" applyFont="1" applyFill="1" applyBorder="1" applyAlignment="1">
      <alignment horizontal="right" wrapText="1"/>
    </xf>
    <xf numFmtId="0" fontId="22" fillId="0" borderId="0" xfId="52"/>
    <xf numFmtId="0" fontId="23" fillId="0" borderId="33" xfId="51" applyFont="1" applyFill="1" applyBorder="1" applyAlignment="1">
      <alignment wrapText="1"/>
    </xf>
    <xf numFmtId="0" fontId="23" fillId="54" borderId="13" xfId="51" applyFont="1" applyFill="1" applyBorder="1" applyAlignment="1">
      <alignment horizontal="center"/>
    </xf>
    <xf numFmtId="0" fontId="0" fillId="55" borderId="13" xfId="0" applyFill="1" applyBorder="1"/>
    <xf numFmtId="0" fontId="23" fillId="0" borderId="33" xfId="52" applyFont="1" applyFill="1" applyBorder="1" applyAlignment="1">
      <alignment wrapText="1"/>
    </xf>
    <xf numFmtId="0" fontId="23" fillId="46" borderId="30" xfId="53" applyFont="1" applyFill="1" applyBorder="1" applyAlignment="1">
      <alignment horizontal="center"/>
    </xf>
    <xf numFmtId="0" fontId="23" fillId="0" borderId="12" xfId="53" applyFont="1" applyFill="1" applyBorder="1" applyAlignment="1">
      <alignment horizontal="right" wrapText="1"/>
    </xf>
    <xf numFmtId="0" fontId="4" fillId="51" borderId="14" xfId="0" applyFont="1" applyFill="1" applyBorder="1"/>
    <xf numFmtId="0" fontId="24" fillId="34" borderId="0" xfId="46" applyFont="1" applyFill="1" applyBorder="1" applyAlignment="1">
      <alignment horizontal="center" wrapText="1"/>
    </xf>
    <xf numFmtId="0" fontId="23" fillId="34" borderId="0" xfId="45" applyFont="1" applyFill="1" applyAlignment="1">
      <alignment horizontal="center" wrapText="1"/>
    </xf>
    <xf numFmtId="0" fontId="1" fillId="37" borderId="34" xfId="0" applyFont="1" applyFill="1" applyBorder="1" applyAlignment="1">
      <alignment horizontal="center" vertical="center" wrapText="1"/>
    </xf>
    <xf numFmtId="0" fontId="24" fillId="37" borderId="34" xfId="46" applyFont="1" applyFill="1" applyBorder="1" applyAlignment="1">
      <alignment horizontal="center" wrapText="1"/>
    </xf>
    <xf numFmtId="0" fontId="0" fillId="49" borderId="14" xfId="0" applyFill="1" applyBorder="1" applyAlignment="1">
      <alignment horizontal="center" vertical="center" wrapText="1"/>
    </xf>
    <xf numFmtId="0" fontId="0" fillId="38" borderId="14" xfId="0" applyFill="1" applyBorder="1"/>
    <xf numFmtId="0" fontId="5" fillId="36" borderId="0" xfId="0" applyFont="1" applyFill="1"/>
    <xf numFmtId="0" fontId="0" fillId="39" borderId="13" xfId="0" applyFill="1" applyBorder="1" applyAlignment="1">
      <alignment horizontal="center" vertical="center" wrapText="1"/>
    </xf>
    <xf numFmtId="0" fontId="5" fillId="56" borderId="0" xfId="0" applyFont="1" applyFill="1"/>
    <xf numFmtId="0" fontId="23" fillId="0" borderId="33" xfId="47" applyFont="1" applyBorder="1" applyAlignment="1">
      <alignment wrapText="1"/>
    </xf>
    <xf numFmtId="0" fontId="23" fillId="0" borderId="33" xfId="47" applyFont="1" applyBorder="1" applyAlignment="1">
      <alignment horizontal="right" wrapText="1"/>
    </xf>
    <xf numFmtId="0" fontId="23" fillId="46" borderId="13" xfId="47" applyFont="1" applyFill="1" applyBorder="1" applyAlignment="1">
      <alignment horizontal="center"/>
    </xf>
    <xf numFmtId="0" fontId="0" fillId="2" borderId="13" xfId="0" applyFill="1" applyBorder="1" applyAlignment="1">
      <alignment horizontal="left"/>
    </xf>
    <xf numFmtId="0" fontId="0" fillId="2" borderId="13" xfId="0" applyFill="1" applyBorder="1"/>
    <xf numFmtId="2" fontId="24" fillId="0" borderId="13" xfId="46" applyNumberFormat="1" applyFont="1" applyFill="1" applyBorder="1" applyAlignment="1">
      <alignment horizontal="center" wrapText="1"/>
    </xf>
    <xf numFmtId="49" fontId="44" fillId="0" borderId="12" xfId="50" applyNumberFormat="1" applyFont="1" applyFill="1" applyBorder="1" applyAlignment="1">
      <alignment horizontal="left" wrapText="1"/>
    </xf>
    <xf numFmtId="1" fontId="5" fillId="56" borderId="0" xfId="0" applyNumberFormat="1" applyFont="1" applyFill="1" applyAlignment="1">
      <alignment horizontal="center"/>
    </xf>
    <xf numFmtId="0" fontId="5" fillId="57" borderId="0" xfId="0" applyFont="1" applyFill="1"/>
    <xf numFmtId="1" fontId="5" fillId="57" borderId="0" xfId="0" applyNumberFormat="1" applyFont="1" applyFill="1" applyAlignment="1">
      <alignment horizontal="center"/>
    </xf>
    <xf numFmtId="1" fontId="0" fillId="37" borderId="34" xfId="0" applyNumberFormat="1" applyFill="1" applyBorder="1" applyAlignment="1">
      <alignment horizontal="center"/>
    </xf>
    <xf numFmtId="0" fontId="0" fillId="37" borderId="14" xfId="0" applyFill="1" applyBorder="1" applyAlignment="1">
      <alignment horizontal="center"/>
    </xf>
    <xf numFmtId="0" fontId="0" fillId="0" borderId="0" xfId="0" applyBorder="1"/>
    <xf numFmtId="0" fontId="0" fillId="0" borderId="0" xfId="0" applyFill="1" applyAlignment="1">
      <alignment horizontal="right"/>
    </xf>
    <xf numFmtId="0" fontId="0" fillId="0" borderId="0" xfId="0" applyFill="1" applyAlignment="1">
      <alignment horizontal="left"/>
    </xf>
    <xf numFmtId="1" fontId="0" fillId="0" borderId="13" xfId="0" applyNumberFormat="1" applyFill="1" applyBorder="1"/>
    <xf numFmtId="0" fontId="46" fillId="35" borderId="0" xfId="0" applyFont="1" applyFill="1"/>
    <xf numFmtId="1" fontId="0" fillId="42" borderId="25" xfId="0" applyNumberFormat="1" applyFill="1" applyBorder="1" applyAlignment="1">
      <alignment horizontal="left"/>
    </xf>
    <xf numFmtId="1" fontId="0" fillId="42" borderId="26" xfId="0" applyNumberFormat="1" applyFill="1" applyBorder="1" applyAlignment="1">
      <alignment horizontal="left"/>
    </xf>
    <xf numFmtId="1" fontId="0" fillId="34" borderId="25" xfId="0" applyNumberFormat="1" applyFill="1" applyBorder="1" applyAlignment="1">
      <alignment horizontal="left"/>
    </xf>
    <xf numFmtId="1" fontId="0" fillId="34" borderId="26" xfId="0" applyNumberFormat="1" applyFill="1" applyBorder="1" applyAlignment="1">
      <alignment horizontal="left"/>
    </xf>
    <xf numFmtId="1" fontId="0" fillId="39" borderId="25" xfId="0" applyNumberFormat="1" applyFill="1" applyBorder="1" applyAlignment="1">
      <alignment horizontal="left"/>
    </xf>
    <xf numFmtId="1" fontId="0" fillId="39" borderId="26" xfId="0" applyNumberFormat="1" applyFill="1" applyBorder="1" applyAlignment="1">
      <alignment horizontal="left"/>
    </xf>
    <xf numFmtId="1" fontId="1" fillId="0" borderId="35" xfId="0" applyNumberFormat="1" applyFont="1" applyBorder="1" applyAlignment="1">
      <alignment horizontal="left" vertical="top" wrapText="1"/>
    </xf>
    <xf numFmtId="0" fontId="0" fillId="0" borderId="0" xfId="0" applyFont="1" applyFill="1" applyBorder="1" applyAlignment="1">
      <alignment horizontal="center" vertical="center" wrapText="1"/>
    </xf>
    <xf numFmtId="0" fontId="0" fillId="0" borderId="0" xfId="0" applyFont="1" applyBorder="1" applyAlignment="1">
      <alignment horizontal="center" wrapText="1"/>
    </xf>
    <xf numFmtId="2" fontId="0" fillId="0" borderId="32" xfId="0" applyNumberFormat="1" applyFont="1" applyFill="1" applyBorder="1" applyAlignment="1">
      <alignment horizontal="center" vertical="center" wrapText="1"/>
    </xf>
    <xf numFmtId="0" fontId="0" fillId="0" borderId="32" xfId="0" applyFill="1" applyBorder="1" applyAlignment="1">
      <alignment wrapText="1"/>
    </xf>
    <xf numFmtId="0" fontId="0" fillId="0" borderId="32" xfId="0" applyBorder="1" applyAlignment="1">
      <alignment wrapText="1"/>
    </xf>
    <xf numFmtId="0" fontId="0" fillId="0" borderId="27" xfId="0" applyFont="1" applyFill="1" applyBorder="1" applyAlignment="1">
      <alignment horizontal="center" vertical="center" wrapText="1"/>
    </xf>
    <xf numFmtId="0" fontId="0" fillId="0" borderId="29" xfId="0" applyFont="1" applyBorder="1" applyAlignment="1">
      <alignment horizontal="center" wrapText="1"/>
    </xf>
    <xf numFmtId="0" fontId="0" fillId="0" borderId="15" xfId="0" applyFont="1" applyBorder="1" applyAlignment="1">
      <alignment horizontal="center" wrapText="1"/>
    </xf>
  </cellXfs>
  <cellStyles count="54">
    <cellStyle name="20% - Accent1" xfId="22" builtinId="30" customBuiltin="1"/>
    <cellStyle name="20% - Accent2" xfId="26" builtinId="34" customBuiltin="1"/>
    <cellStyle name="20% - Accent3" xfId="30" builtinId="38" customBuiltin="1"/>
    <cellStyle name="20% - Accent4" xfId="34" builtinId="42" customBuiltin="1"/>
    <cellStyle name="20% - Accent5" xfId="38" builtinId="46" customBuiltin="1"/>
    <cellStyle name="20% - Accent6" xfId="42" builtinId="50" customBuiltin="1"/>
    <cellStyle name="40% - Accent1" xfId="23" builtinId="31" customBuiltin="1"/>
    <cellStyle name="40% - Accent2" xfId="27" builtinId="35" customBuiltin="1"/>
    <cellStyle name="40% - Accent3" xfId="31" builtinId="39" customBuiltin="1"/>
    <cellStyle name="40% - Accent4" xfId="35" builtinId="43" customBuiltin="1"/>
    <cellStyle name="40% - Accent5" xfId="39" builtinId="47" customBuiltin="1"/>
    <cellStyle name="40% - Accent6" xfId="43" builtinId="51" customBuiltin="1"/>
    <cellStyle name="60% - Accent1" xfId="24" builtinId="32" customBuiltin="1"/>
    <cellStyle name="60% - Accent2" xfId="28" builtinId="36" customBuiltin="1"/>
    <cellStyle name="60% - Accent3" xfId="32" builtinId="40" customBuiltin="1"/>
    <cellStyle name="60% - Accent4" xfId="36" builtinId="44" customBuiltin="1"/>
    <cellStyle name="60% - Accent5" xfId="40" builtinId="48" customBuiltin="1"/>
    <cellStyle name="60% - Accent6" xfId="44" builtinId="52" customBuiltin="1"/>
    <cellStyle name="Accent1" xfId="21" builtinId="29" customBuiltin="1"/>
    <cellStyle name="Accent2" xfId="25" builtinId="33" customBuiltin="1"/>
    <cellStyle name="Accent3" xfId="29" builtinId="37" customBuiltin="1"/>
    <cellStyle name="Accent4" xfId="33" builtinId="41" customBuiltin="1"/>
    <cellStyle name="Accent5" xfId="37" builtinId="45" customBuiltin="1"/>
    <cellStyle name="Accent6" xfId="41" builtinId="49" customBuiltin="1"/>
    <cellStyle name="Bad" xfId="10" builtinId="27" customBuiltin="1"/>
    <cellStyle name="Calculation" xfId="14" builtinId="22" customBuiltin="1"/>
    <cellStyle name="Check Cell" xfId="16" builtinId="23" customBuiltin="1"/>
    <cellStyle name="Explanatory Text" xfId="19" builtinId="53" customBuiltin="1"/>
    <cellStyle name="Good" xfId="9" builtinId="26" customBuiltin="1"/>
    <cellStyle name="Heading 1" xfId="5" builtinId="16" customBuiltin="1"/>
    <cellStyle name="Heading 2" xfId="6" builtinId="17" customBuiltin="1"/>
    <cellStyle name="Heading 3" xfId="7" builtinId="18" customBuiltin="1"/>
    <cellStyle name="Heading 4" xfId="8" builtinId="19" customBuiltin="1"/>
    <cellStyle name="Input" xfId="12" builtinId="20" customBuiltin="1"/>
    <cellStyle name="Linked Cell" xfId="15" builtinId="24" customBuiltin="1"/>
    <cellStyle name="Neutral" xfId="11" builtinId="28" customBuiltin="1"/>
    <cellStyle name="Normal" xfId="0" builtinId="0"/>
    <cellStyle name="Normal 2" xfId="3" xr:uid="{00000000-0005-0000-0000-000025000000}"/>
    <cellStyle name="Normal 3" xfId="1" xr:uid="{00000000-0005-0000-0000-000026000000}"/>
    <cellStyle name="Normal 4" xfId="2" xr:uid="{00000000-0005-0000-0000-000027000000}"/>
    <cellStyle name="Normal_BoS Raw Data_AmphiBiomarkers" xfId="49" xr:uid="{0AD7D487-2ED7-4D81-8057-56E34776FDB2}"/>
    <cellStyle name="Normal_BoS Raw Data_Biomarkers" xfId="48" xr:uid="{9943D61F-F370-4FA4-BA15-3F88819B167B}"/>
    <cellStyle name="Normal_Data BoS_PE,PF" xfId="47" xr:uid="{24B2A9FF-9048-46BC-94AB-36DACB54AC6C}"/>
    <cellStyle name="Normal_GoR Raw Data_Ma_Biomarkers" xfId="50" xr:uid="{0BAFB326-0425-427B-A8C4-87CC3FE82CEC}"/>
    <cellStyle name="Normal_GoR Raw Data_Ma_Biomarkers_1" xfId="53" xr:uid="{BEFD8984-9E04-49C7-BB4E-819BDC31DD53}"/>
    <cellStyle name="Normal_GoR Raw Data_Mb_Biomarkers" xfId="51" xr:uid="{C2AFA239-21AF-40A0-8798-5E3D7A548446}"/>
    <cellStyle name="Normal_GoR Raw Data_Poro_Biomarkers" xfId="52" xr:uid="{C97A071B-69AF-4A63-B902-FD7D8A554C11}"/>
    <cellStyle name="Normal_Sheet3" xfId="45" xr:uid="{00000000-0005-0000-0000-000029000000}"/>
    <cellStyle name="Normal_Sheet4" xfId="46" xr:uid="{00000000-0005-0000-0000-00002A000000}"/>
    <cellStyle name="Note" xfId="18" builtinId="10" customBuiltin="1"/>
    <cellStyle name="Output" xfId="13" builtinId="21" customBuiltin="1"/>
    <cellStyle name="Title" xfId="4" builtinId="15" customBuiltin="1"/>
    <cellStyle name="Total" xfId="20" builtinId="25" customBuiltin="1"/>
    <cellStyle name="Warning Text" xfId="17" builtinId="11" customBuiltin="1"/>
  </cellStyles>
  <dxfs count="0"/>
  <tableStyles count="0" defaultTableStyle="TableStyleMedium9" defaultPivotStyle="PivotStyleLight16"/>
  <colors>
    <mruColors>
      <color rgb="FFFFFF99"/>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sharedStrings" Target="sharedStrings.xml"/><Relationship Id="rId30" Type="http://schemas.openxmlformats.org/officeDocument/2006/relationships/customXml" Target="../customXml/item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15</xdr:col>
          <xdr:colOff>581025</xdr:colOff>
          <xdr:row>0</xdr:row>
          <xdr:rowOff>0</xdr:rowOff>
        </xdr:from>
        <xdr:to>
          <xdr:col>23</xdr:col>
          <xdr:colOff>571500</xdr:colOff>
          <xdr:row>12</xdr:row>
          <xdr:rowOff>180975</xdr:rowOff>
        </xdr:to>
        <xdr:sp macro="" textlink="">
          <xdr:nvSpPr>
            <xdr:cNvPr id="38918" name="Object 6" hidden="1">
              <a:extLst>
                <a:ext uri="{63B3BB69-23CF-44E3-9099-C40C66FF867C}">
                  <a14:compatExt spid="_x0000_s38918"/>
                </a:ext>
                <a:ext uri="{FF2B5EF4-FFF2-40B4-BE49-F238E27FC236}">
                  <a16:creationId xmlns:a16="http://schemas.microsoft.com/office/drawing/2014/main" id="{00000000-0008-0000-0800-0000069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16</xdr:col>
          <xdr:colOff>0</xdr:colOff>
          <xdr:row>0</xdr:row>
          <xdr:rowOff>0</xdr:rowOff>
        </xdr:from>
        <xdr:to>
          <xdr:col>24</xdr:col>
          <xdr:colOff>19050</xdr:colOff>
          <xdr:row>14</xdr:row>
          <xdr:rowOff>95250</xdr:rowOff>
        </xdr:to>
        <xdr:sp macro="" textlink="">
          <xdr:nvSpPr>
            <xdr:cNvPr id="13317" name="Object 5" hidden="1">
              <a:extLst>
                <a:ext uri="{63B3BB69-23CF-44E3-9099-C40C66FF867C}">
                  <a14:compatExt spid="_x0000_s13317"/>
                </a:ext>
                <a:ext uri="{FF2B5EF4-FFF2-40B4-BE49-F238E27FC236}">
                  <a16:creationId xmlns:a16="http://schemas.microsoft.com/office/drawing/2014/main" id="{00000000-0008-0000-0900-0000053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ElenaGorokhova/Dropbox/Projects/BEACON,%20D2P%20and%20NEFCO/iBOX/data_check/GoR_Biomarker_BACs_Monoporei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ElenaGorokhova/Dropbox/Projects/BEACON,%20D2P%20and%20NEFCO/iBOX/data_check/GoR_Biomarker_BACs_Macom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ElenaGorokhova/Dropbox/Projects/BEACON,%20D2P%20and%20NEFCO/iBOX/data_check/GoR_Biomarker_BACs_Pontogammar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BARS"/>
      <sheetName val="AChE"/>
      <sheetName val="CAT"/>
      <sheetName val="GST"/>
      <sheetName val="GR"/>
    </sheetNames>
    <sheetDataSet>
      <sheetData sheetId="0"/>
      <sheetData sheetId="1">
        <row r="2">
          <cell r="N2">
            <v>29</v>
          </cell>
        </row>
      </sheetData>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hE"/>
      <sheetName val="CAT"/>
      <sheetName val="GST"/>
      <sheetName val="GR"/>
    </sheetNames>
    <sheetDataSet>
      <sheetData sheetId="0">
        <row r="2">
          <cell r="N2">
            <v>4.191540296918399</v>
          </cell>
        </row>
      </sheetData>
      <sheetData sheetId="1"/>
      <sheetData sheetId="2"/>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BARS"/>
      <sheetName val="AChE"/>
      <sheetName val="CAT"/>
      <sheetName val="GST"/>
      <sheetName val="GR"/>
    </sheetNames>
    <sheetDataSet>
      <sheetData sheetId="0">
        <row r="2">
          <cell r="N2">
            <v>1.5209999999999999</v>
          </cell>
        </row>
      </sheetData>
      <sheetData sheetId="1">
        <row r="2">
          <cell r="N2">
            <v>25.400000000000006</v>
          </cell>
        </row>
      </sheetData>
      <sheetData sheetId="2">
        <row r="2">
          <cell r="N2">
            <v>119.465</v>
          </cell>
        </row>
      </sheetData>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5.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6.bin"/><Relationship Id="rId5" Type="http://schemas.openxmlformats.org/officeDocument/2006/relationships/image" Target="../media/image2.emf"/><Relationship Id="rId4" Type="http://schemas.openxmlformats.org/officeDocument/2006/relationships/oleObject" Target="../embeddings/oleObject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C41"/>
  <sheetViews>
    <sheetView tabSelected="1" workbookViewId="0">
      <selection activeCell="B1" sqref="B1"/>
    </sheetView>
  </sheetViews>
  <sheetFormatPr defaultRowHeight="15" x14ac:dyDescent="0.25"/>
  <cols>
    <col min="1" max="1" width="40.7109375" customWidth="1"/>
    <col min="2" max="2" width="105.85546875" customWidth="1"/>
    <col min="3" max="3" width="121" customWidth="1"/>
  </cols>
  <sheetData>
    <row r="1" spans="1:3" ht="18.75" x14ac:dyDescent="0.3">
      <c r="A1" s="32" t="s">
        <v>84</v>
      </c>
      <c r="B1" s="221" t="s">
        <v>85</v>
      </c>
    </row>
    <row r="2" spans="1:3" x14ac:dyDescent="0.25">
      <c r="B2" s="2"/>
    </row>
    <row r="3" spans="1:3" ht="15.75" x14ac:dyDescent="0.25">
      <c r="A3" s="17"/>
      <c r="B3" s="2"/>
    </row>
    <row r="4" spans="1:3" x14ac:dyDescent="0.25">
      <c r="A4" s="42" t="s">
        <v>169</v>
      </c>
      <c r="B4" s="43" t="s">
        <v>88</v>
      </c>
      <c r="C4" s="18"/>
    </row>
    <row r="5" spans="1:3" ht="30" x14ac:dyDescent="0.25">
      <c r="A5" s="44" t="s">
        <v>170</v>
      </c>
      <c r="B5" s="45" t="s">
        <v>471</v>
      </c>
      <c r="C5" s="18"/>
    </row>
    <row r="6" spans="1:3" ht="30" x14ac:dyDescent="0.25">
      <c r="A6" s="44" t="s">
        <v>171</v>
      </c>
      <c r="B6" s="45" t="s">
        <v>98</v>
      </c>
      <c r="C6" s="18"/>
    </row>
    <row r="7" spans="1:3" ht="27.75" customHeight="1" x14ac:dyDescent="0.25">
      <c r="A7" s="19"/>
      <c r="B7" s="20"/>
      <c r="C7" s="18"/>
    </row>
    <row r="8" spans="1:3" ht="19.5" thickBot="1" x14ac:dyDescent="0.35">
      <c r="A8" s="15" t="s">
        <v>152</v>
      </c>
      <c r="C8" s="3"/>
    </row>
    <row r="9" spans="1:3" ht="15.75" thickBot="1" x14ac:dyDescent="0.3">
      <c r="A9" s="29" t="s">
        <v>167</v>
      </c>
      <c r="B9" s="30" t="s">
        <v>86</v>
      </c>
    </row>
    <row r="10" spans="1:3" ht="30" x14ac:dyDescent="0.25">
      <c r="A10" s="86" t="s">
        <v>163</v>
      </c>
      <c r="B10" s="67" t="s">
        <v>75</v>
      </c>
      <c r="C10" s="16"/>
    </row>
    <row r="11" spans="1:3" x14ac:dyDescent="0.25">
      <c r="A11" s="87" t="s">
        <v>164</v>
      </c>
      <c r="B11" s="69" t="s">
        <v>87</v>
      </c>
      <c r="C11" s="16"/>
    </row>
    <row r="12" spans="1:3" x14ac:dyDescent="0.25">
      <c r="A12" s="68" t="s">
        <v>165</v>
      </c>
      <c r="B12" s="69" t="s">
        <v>160</v>
      </c>
      <c r="C12" s="16"/>
    </row>
    <row r="13" spans="1:3" x14ac:dyDescent="0.25">
      <c r="A13" s="88" t="s">
        <v>236</v>
      </c>
      <c r="B13" s="69" t="s">
        <v>237</v>
      </c>
      <c r="C13" s="16"/>
    </row>
    <row r="14" spans="1:3" x14ac:dyDescent="0.25">
      <c r="A14" s="88" t="s">
        <v>238</v>
      </c>
      <c r="B14" s="69" t="s">
        <v>239</v>
      </c>
      <c r="C14" s="16"/>
    </row>
    <row r="15" spans="1:3" ht="30" x14ac:dyDescent="0.25">
      <c r="A15" s="116" t="s">
        <v>166</v>
      </c>
      <c r="B15" s="70" t="s">
        <v>295</v>
      </c>
      <c r="C15" s="16"/>
    </row>
    <row r="16" spans="1:3" ht="53.25" customHeight="1" x14ac:dyDescent="0.25">
      <c r="A16" s="89" t="s">
        <v>252</v>
      </c>
      <c r="B16" s="71" t="s">
        <v>248</v>
      </c>
      <c r="C16" s="16"/>
    </row>
    <row r="17" spans="1:3" ht="33" customHeight="1" x14ac:dyDescent="0.25">
      <c r="A17" s="90" t="s">
        <v>119</v>
      </c>
      <c r="B17" s="70" t="s">
        <v>473</v>
      </c>
      <c r="C17" s="16"/>
    </row>
    <row r="18" spans="1:3" ht="30" x14ac:dyDescent="0.25">
      <c r="A18" s="91" t="s">
        <v>149</v>
      </c>
      <c r="B18" s="70" t="s">
        <v>461</v>
      </c>
    </row>
    <row r="19" spans="1:3" s="171" customFormat="1" ht="60.75" thickBot="1" x14ac:dyDescent="0.3">
      <c r="A19" s="92" t="s">
        <v>677</v>
      </c>
      <c r="B19" s="72" t="s">
        <v>474</v>
      </c>
    </row>
    <row r="20" spans="1:3" ht="30" x14ac:dyDescent="0.25">
      <c r="A20" s="79" t="s">
        <v>243</v>
      </c>
      <c r="B20" s="71" t="s">
        <v>472</v>
      </c>
    </row>
    <row r="21" spans="1:3" s="171" customFormat="1" ht="66" customHeight="1" thickBot="1" x14ac:dyDescent="0.3">
      <c r="A21" s="228" t="s">
        <v>678</v>
      </c>
      <c r="B21" s="228"/>
    </row>
    <row r="22" spans="1:3" ht="37.5" customHeight="1" thickBot="1" x14ac:dyDescent="0.3"/>
    <row r="23" spans="1:3" ht="18.75" x14ac:dyDescent="0.3">
      <c r="A23" s="73" t="s">
        <v>151</v>
      </c>
      <c r="B23" s="74"/>
    </row>
    <row r="24" spans="1:3" x14ac:dyDescent="0.25">
      <c r="A24" s="226" t="s">
        <v>168</v>
      </c>
      <c r="B24" s="227"/>
    </row>
    <row r="25" spans="1:3" x14ac:dyDescent="0.25">
      <c r="A25" s="222" t="s">
        <v>150</v>
      </c>
      <c r="B25" s="223"/>
    </row>
    <row r="26" spans="1:3" x14ac:dyDescent="0.25">
      <c r="A26" s="224" t="s">
        <v>153</v>
      </c>
      <c r="B26" s="225"/>
    </row>
    <row r="27" spans="1:3" x14ac:dyDescent="0.25">
      <c r="A27" s="75" t="s">
        <v>251</v>
      </c>
      <c r="B27" s="76"/>
    </row>
    <row r="28" spans="1:3" ht="15.75" thickBot="1" x14ac:dyDescent="0.3">
      <c r="A28" s="77" t="s">
        <v>162</v>
      </c>
      <c r="B28" s="78"/>
    </row>
    <row r="29" spans="1:3" x14ac:dyDescent="0.25">
      <c r="A29" s="5"/>
      <c r="B29" s="5"/>
    </row>
    <row r="30" spans="1:3" x14ac:dyDescent="0.25">
      <c r="A30" s="5"/>
      <c r="B30" s="5"/>
    </row>
    <row r="31" spans="1:3" x14ac:dyDescent="0.25">
      <c r="A31" s="5"/>
      <c r="B31" s="5"/>
    </row>
    <row r="32" spans="1:3" x14ac:dyDescent="0.25">
      <c r="A32" s="5"/>
      <c r="B32" s="5"/>
    </row>
    <row r="33" spans="1:2" x14ac:dyDescent="0.25">
      <c r="A33" s="5"/>
      <c r="B33" s="5"/>
    </row>
    <row r="34" spans="1:2" x14ac:dyDescent="0.25">
      <c r="A34" s="5"/>
      <c r="B34" s="5"/>
    </row>
    <row r="35" spans="1:2" x14ac:dyDescent="0.25">
      <c r="A35" s="5"/>
      <c r="B35" s="5"/>
    </row>
    <row r="36" spans="1:2" x14ac:dyDescent="0.25">
      <c r="A36" s="5"/>
      <c r="B36" s="5"/>
    </row>
    <row r="37" spans="1:2" x14ac:dyDescent="0.25">
      <c r="A37" s="5"/>
      <c r="B37" s="5"/>
    </row>
    <row r="38" spans="1:2" x14ac:dyDescent="0.25">
      <c r="A38" s="5"/>
      <c r="B38" s="5"/>
    </row>
    <row r="39" spans="1:2" x14ac:dyDescent="0.25">
      <c r="A39" s="5"/>
      <c r="B39" s="5"/>
    </row>
    <row r="40" spans="1:2" x14ac:dyDescent="0.25">
      <c r="A40" s="5"/>
      <c r="B40" s="5"/>
    </row>
    <row r="41" spans="1:2" x14ac:dyDescent="0.25">
      <c r="A41" s="5"/>
      <c r="B41" s="5"/>
    </row>
  </sheetData>
  <mergeCells count="4">
    <mergeCell ref="A25:B25"/>
    <mergeCell ref="A26:B26"/>
    <mergeCell ref="A24:B24"/>
    <mergeCell ref="A21:B2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499984740745262"/>
  </sheetPr>
  <dimension ref="A1:K77"/>
  <sheetViews>
    <sheetView workbookViewId="0"/>
  </sheetViews>
  <sheetFormatPr defaultColWidth="8.85546875" defaultRowHeight="15" x14ac:dyDescent="0.25"/>
  <cols>
    <col min="1" max="1" width="17.5703125" style="1" customWidth="1"/>
    <col min="2" max="2" width="24.85546875" style="1" customWidth="1"/>
    <col min="3" max="3" width="13.42578125" style="1" customWidth="1"/>
    <col min="4" max="4" width="14.42578125" style="1" customWidth="1"/>
    <col min="5" max="5" width="22.42578125" style="1" customWidth="1"/>
    <col min="6" max="6" width="30.85546875" style="1" customWidth="1"/>
    <col min="7" max="7" width="10.42578125" style="1" customWidth="1"/>
    <col min="8" max="8" width="15.85546875" style="1" bestFit="1" customWidth="1"/>
    <col min="9" max="9" width="17.5703125" style="1" bestFit="1" customWidth="1"/>
    <col min="10" max="10" width="12.5703125" customWidth="1"/>
    <col min="11" max="11" width="38" customWidth="1"/>
  </cols>
  <sheetData>
    <row r="1" spans="1:11" ht="75.75" customHeight="1" x14ac:dyDescent="0.25">
      <c r="A1" s="168" t="s">
        <v>286</v>
      </c>
      <c r="B1" s="168" t="s">
        <v>90</v>
      </c>
      <c r="C1" s="50" t="s">
        <v>89</v>
      </c>
      <c r="D1" s="144" t="s">
        <v>91</v>
      </c>
      <c r="E1" s="50" t="s">
        <v>92</v>
      </c>
      <c r="F1" s="50" t="s">
        <v>266</v>
      </c>
      <c r="G1" s="50" t="s">
        <v>93</v>
      </c>
      <c r="H1" s="169" t="s">
        <v>94</v>
      </c>
      <c r="I1" s="169" t="s">
        <v>95</v>
      </c>
      <c r="J1" s="50" t="s">
        <v>96</v>
      </c>
      <c r="K1" s="49" t="s">
        <v>97</v>
      </c>
    </row>
    <row r="2" spans="1:11" x14ac:dyDescent="0.25">
      <c r="A2" s="107" t="str">
        <f>'Assessment Units'!D16</f>
        <v>Sweden</v>
      </c>
      <c r="B2" s="31" t="str">
        <f>'Assessment Units'!B16</f>
        <v>Bothnian Sea</v>
      </c>
      <c r="C2" s="31" t="str">
        <f>'Assessment Units'!C16</f>
        <v>BS</v>
      </c>
      <c r="D2" s="31" t="str">
        <f>'Assessment Units'!A16</f>
        <v>SEA-015</v>
      </c>
      <c r="E2" s="22" t="s">
        <v>277</v>
      </c>
      <c r="F2" s="97" t="s">
        <v>654</v>
      </c>
      <c r="G2" s="23">
        <v>134</v>
      </c>
      <c r="H2" s="23" t="s">
        <v>278</v>
      </c>
      <c r="I2" s="23" t="s">
        <v>279</v>
      </c>
      <c r="J2" s="23" t="s">
        <v>78</v>
      </c>
      <c r="K2" s="24" t="s">
        <v>245</v>
      </c>
    </row>
    <row r="3" spans="1:11" x14ac:dyDescent="0.25">
      <c r="A3" s="107" t="str">
        <f>'Assessment Units'!D16</f>
        <v>Sweden</v>
      </c>
      <c r="B3" s="31" t="str">
        <f>'Assessment Units'!B16</f>
        <v>Bothnian Sea</v>
      </c>
      <c r="C3" s="31" t="str">
        <f>'Assessment Units'!C16</f>
        <v>BS</v>
      </c>
      <c r="D3" s="31" t="str">
        <f>'Assessment Units'!A16</f>
        <v>SEA-015</v>
      </c>
      <c r="E3" s="22" t="s">
        <v>274</v>
      </c>
      <c r="F3" s="97" t="s">
        <v>261</v>
      </c>
      <c r="G3" s="23">
        <v>53</v>
      </c>
      <c r="H3" s="23" t="s">
        <v>275</v>
      </c>
      <c r="I3" s="23" t="s">
        <v>276</v>
      </c>
      <c r="J3" s="23" t="s">
        <v>78</v>
      </c>
      <c r="K3" s="24" t="s">
        <v>245</v>
      </c>
    </row>
    <row r="4" spans="1:11" x14ac:dyDescent="0.25">
      <c r="A4" s="107" t="str">
        <f>'Assessment Units'!D$16</f>
        <v>Sweden</v>
      </c>
      <c r="B4" s="31" t="str">
        <f>'Assessment Units'!B16</f>
        <v>Bothnian Sea</v>
      </c>
      <c r="C4" s="31" t="str">
        <f>'Assessment Units'!C16</f>
        <v>BS</v>
      </c>
      <c r="D4" s="31" t="str">
        <f>'Assessment Units'!A16</f>
        <v>SEA-015</v>
      </c>
      <c r="E4" s="22" t="s">
        <v>0</v>
      </c>
      <c r="F4" s="97" t="s">
        <v>261</v>
      </c>
      <c r="G4" s="23">
        <v>75</v>
      </c>
      <c r="H4" s="23" t="s">
        <v>1</v>
      </c>
      <c r="I4" s="23" t="s">
        <v>2</v>
      </c>
      <c r="J4" s="23" t="s">
        <v>78</v>
      </c>
      <c r="K4" s="24" t="s">
        <v>245</v>
      </c>
    </row>
    <row r="5" spans="1:11" x14ac:dyDescent="0.25">
      <c r="A5" s="107" t="str">
        <f>'Assessment Units'!D$16</f>
        <v>Sweden</v>
      </c>
      <c r="B5" s="31" t="str">
        <f>'Assessment Units'!B16</f>
        <v>Bothnian Sea</v>
      </c>
      <c r="C5" s="31" t="str">
        <f>C4</f>
        <v>BS</v>
      </c>
      <c r="D5" s="31" t="str">
        <f>D4</f>
        <v>SEA-015</v>
      </c>
      <c r="E5" s="22" t="s">
        <v>3</v>
      </c>
      <c r="F5" s="98" t="s">
        <v>260</v>
      </c>
      <c r="G5" s="23">
        <v>68</v>
      </c>
      <c r="H5" s="23" t="s">
        <v>4</v>
      </c>
      <c r="I5" s="23" t="s">
        <v>5</v>
      </c>
      <c r="J5" s="23" t="s">
        <v>78</v>
      </c>
      <c r="K5" s="24" t="s">
        <v>245</v>
      </c>
    </row>
    <row r="6" spans="1:11" x14ac:dyDescent="0.25">
      <c r="A6" s="107" t="str">
        <f>'Assessment Units'!D$16</f>
        <v>Sweden</v>
      </c>
      <c r="B6" s="107" t="s">
        <v>70</v>
      </c>
      <c r="C6" s="31" t="str">
        <f t="shared" ref="C6:C21" si="0">C5</f>
        <v>BS</v>
      </c>
      <c r="D6" s="31" t="str">
        <f t="shared" ref="D6:D21" si="1">D5</f>
        <v>SEA-015</v>
      </c>
      <c r="E6" s="22" t="s">
        <v>6</v>
      </c>
      <c r="F6" s="98" t="s">
        <v>260</v>
      </c>
      <c r="G6" s="23">
        <v>86</v>
      </c>
      <c r="H6" s="23" t="s">
        <v>7</v>
      </c>
      <c r="I6" s="23" t="s">
        <v>8</v>
      </c>
      <c r="J6" s="23" t="s">
        <v>78</v>
      </c>
      <c r="K6" s="24" t="s">
        <v>245</v>
      </c>
    </row>
    <row r="7" spans="1:11" x14ac:dyDescent="0.25">
      <c r="A7" s="107" t="str">
        <f>'Assessment Units'!D$16</f>
        <v>Sweden</v>
      </c>
      <c r="B7" s="107" t="s">
        <v>70</v>
      </c>
      <c r="C7" s="31" t="str">
        <f t="shared" si="0"/>
        <v>BS</v>
      </c>
      <c r="D7" s="31" t="str">
        <f t="shared" si="1"/>
        <v>SEA-015</v>
      </c>
      <c r="E7" s="22" t="s">
        <v>9</v>
      </c>
      <c r="F7" s="98" t="s">
        <v>262</v>
      </c>
      <c r="G7" s="23">
        <v>70</v>
      </c>
      <c r="H7" s="23" t="s">
        <v>10</v>
      </c>
      <c r="I7" s="23" t="s">
        <v>11</v>
      </c>
      <c r="J7" s="23" t="s">
        <v>78</v>
      </c>
      <c r="K7" s="24" t="s">
        <v>245</v>
      </c>
    </row>
    <row r="8" spans="1:11" x14ac:dyDescent="0.25">
      <c r="A8" s="107" t="str">
        <f>'Assessment Units'!D$16</f>
        <v>Sweden</v>
      </c>
      <c r="B8" s="107" t="s">
        <v>70</v>
      </c>
      <c r="C8" s="31" t="str">
        <f t="shared" si="0"/>
        <v>BS</v>
      </c>
      <c r="D8" s="31" t="str">
        <f t="shared" si="1"/>
        <v>SEA-015</v>
      </c>
      <c r="E8" s="22" t="s">
        <v>12</v>
      </c>
      <c r="F8" s="98" t="s">
        <v>262</v>
      </c>
      <c r="G8" s="23">
        <v>60</v>
      </c>
      <c r="H8" s="23" t="s">
        <v>13</v>
      </c>
      <c r="I8" s="23" t="s">
        <v>14</v>
      </c>
      <c r="J8" s="23" t="s">
        <v>78</v>
      </c>
      <c r="K8" s="24" t="s">
        <v>245</v>
      </c>
    </row>
    <row r="9" spans="1:11" x14ac:dyDescent="0.25">
      <c r="A9" s="107" t="str">
        <f>'Assessment Units'!D$16</f>
        <v>Sweden</v>
      </c>
      <c r="B9" s="107" t="s">
        <v>70</v>
      </c>
      <c r="C9" s="31" t="str">
        <f t="shared" si="0"/>
        <v>BS</v>
      </c>
      <c r="D9" s="31" t="str">
        <f t="shared" si="1"/>
        <v>SEA-015</v>
      </c>
      <c r="E9" s="22" t="s">
        <v>15</v>
      </c>
      <c r="F9" s="98" t="s">
        <v>242</v>
      </c>
      <c r="G9" s="23">
        <v>80</v>
      </c>
      <c r="H9" s="23" t="s">
        <v>16</v>
      </c>
      <c r="I9" s="23" t="s">
        <v>17</v>
      </c>
      <c r="J9" s="23" t="s">
        <v>78</v>
      </c>
      <c r="K9" s="24" t="s">
        <v>245</v>
      </c>
    </row>
    <row r="10" spans="1:11" x14ac:dyDescent="0.25">
      <c r="A10" s="107" t="str">
        <f>'Assessment Units'!D$16</f>
        <v>Sweden</v>
      </c>
      <c r="B10" s="107" t="s">
        <v>70</v>
      </c>
      <c r="C10" s="31" t="str">
        <f t="shared" si="0"/>
        <v>BS</v>
      </c>
      <c r="D10" s="31" t="str">
        <f t="shared" si="1"/>
        <v>SEA-015</v>
      </c>
      <c r="E10" s="22" t="s">
        <v>18</v>
      </c>
      <c r="F10" s="98" t="s">
        <v>242</v>
      </c>
      <c r="G10" s="23">
        <v>54</v>
      </c>
      <c r="H10" s="23" t="s">
        <v>19</v>
      </c>
      <c r="I10" s="23" t="s">
        <v>20</v>
      </c>
      <c r="J10" s="23" t="s">
        <v>78</v>
      </c>
      <c r="K10" s="24" t="s">
        <v>245</v>
      </c>
    </row>
    <row r="11" spans="1:11" x14ac:dyDescent="0.25">
      <c r="A11" s="107" t="str">
        <f>'Assessment Units'!D$16</f>
        <v>Sweden</v>
      </c>
      <c r="B11" s="107" t="s">
        <v>70</v>
      </c>
      <c r="C11" s="31" t="str">
        <f t="shared" si="0"/>
        <v>BS</v>
      </c>
      <c r="D11" s="31" t="str">
        <f t="shared" si="1"/>
        <v>SEA-015</v>
      </c>
      <c r="E11" s="22" t="s">
        <v>32</v>
      </c>
      <c r="F11" s="97" t="s">
        <v>264</v>
      </c>
      <c r="G11" s="23">
        <v>10</v>
      </c>
      <c r="H11" s="25" t="s">
        <v>34</v>
      </c>
      <c r="I11" s="25" t="s">
        <v>33</v>
      </c>
      <c r="J11" s="23" t="s">
        <v>78</v>
      </c>
      <c r="K11" s="24" t="s">
        <v>245</v>
      </c>
    </row>
    <row r="12" spans="1:11" x14ac:dyDescent="0.25">
      <c r="A12" s="107" t="str">
        <f>'Assessment Units'!D$16</f>
        <v>Sweden</v>
      </c>
      <c r="B12" s="107" t="s">
        <v>70</v>
      </c>
      <c r="C12" s="31" t="str">
        <f t="shared" si="0"/>
        <v>BS</v>
      </c>
      <c r="D12" s="31" t="str">
        <f t="shared" si="1"/>
        <v>SEA-015</v>
      </c>
      <c r="E12" s="22" t="s">
        <v>21</v>
      </c>
      <c r="F12" s="97" t="s">
        <v>264</v>
      </c>
      <c r="G12" s="23">
        <v>24</v>
      </c>
      <c r="H12" s="23" t="s">
        <v>22</v>
      </c>
      <c r="I12" s="23" t="s">
        <v>23</v>
      </c>
      <c r="J12" s="23" t="s">
        <v>78</v>
      </c>
      <c r="K12" s="24" t="s">
        <v>245</v>
      </c>
    </row>
    <row r="13" spans="1:11" x14ac:dyDescent="0.25">
      <c r="A13" s="107" t="str">
        <f>'Assessment Units'!D$16</f>
        <v>Sweden</v>
      </c>
      <c r="B13" s="107" t="s">
        <v>70</v>
      </c>
      <c r="C13" s="31" t="str">
        <f t="shared" si="0"/>
        <v>BS</v>
      </c>
      <c r="D13" s="31" t="str">
        <f t="shared" si="1"/>
        <v>SEA-015</v>
      </c>
      <c r="E13" s="22" t="s">
        <v>24</v>
      </c>
      <c r="F13" s="98" t="s">
        <v>263</v>
      </c>
      <c r="G13" s="23">
        <v>62</v>
      </c>
      <c r="H13" s="23" t="s">
        <v>25</v>
      </c>
      <c r="I13" s="23" t="s">
        <v>26</v>
      </c>
      <c r="J13" s="23" t="s">
        <v>78</v>
      </c>
      <c r="K13" s="24" t="s">
        <v>245</v>
      </c>
    </row>
    <row r="14" spans="1:11" x14ac:dyDescent="0.25">
      <c r="A14" s="107" t="str">
        <f>'Assessment Units'!D$16</f>
        <v>Sweden</v>
      </c>
      <c r="B14" s="107" t="s">
        <v>70</v>
      </c>
      <c r="C14" s="31" t="str">
        <f>C13</f>
        <v>BS</v>
      </c>
      <c r="D14" s="31" t="str">
        <f>D13</f>
        <v>SEA-015</v>
      </c>
      <c r="E14" s="22" t="s">
        <v>27</v>
      </c>
      <c r="F14" s="98" t="s">
        <v>263</v>
      </c>
      <c r="G14" s="23">
        <v>60</v>
      </c>
      <c r="H14" s="23" t="s">
        <v>28</v>
      </c>
      <c r="I14" s="23" t="s">
        <v>29</v>
      </c>
      <c r="J14" s="23" t="s">
        <v>78</v>
      </c>
      <c r="K14" s="24" t="s">
        <v>245</v>
      </c>
    </row>
    <row r="15" spans="1:11" x14ac:dyDescent="0.25">
      <c r="A15" s="107" t="str">
        <f>'Assessment Units'!D$16</f>
        <v>Sweden</v>
      </c>
      <c r="B15" s="107" t="s">
        <v>70</v>
      </c>
      <c r="C15" s="31" t="str">
        <f>C14</f>
        <v>BS</v>
      </c>
      <c r="D15" s="31" t="str">
        <f>D14</f>
        <v>SEA-015</v>
      </c>
      <c r="E15" s="22" t="s">
        <v>265</v>
      </c>
      <c r="F15" s="98" t="s">
        <v>263</v>
      </c>
      <c r="G15" s="23">
        <v>61</v>
      </c>
      <c r="H15" s="23" t="s">
        <v>30</v>
      </c>
      <c r="I15" s="23" t="s">
        <v>31</v>
      </c>
      <c r="J15" s="23" t="s">
        <v>78</v>
      </c>
      <c r="K15" s="24" t="s">
        <v>245</v>
      </c>
    </row>
    <row r="16" spans="1:11" x14ac:dyDescent="0.25">
      <c r="A16" s="107" t="str">
        <f>'Assessment Units'!D$16</f>
        <v>Sweden</v>
      </c>
      <c r="B16" s="107" t="s">
        <v>70</v>
      </c>
      <c r="C16" s="31" t="str">
        <f>C14</f>
        <v>BS</v>
      </c>
      <c r="D16" s="31" t="str">
        <f>D14</f>
        <v>SEA-015</v>
      </c>
      <c r="E16" s="22" t="s">
        <v>271</v>
      </c>
      <c r="F16" s="98" t="s">
        <v>271</v>
      </c>
      <c r="G16" s="23">
        <v>9</v>
      </c>
      <c r="H16" s="23" t="s">
        <v>272</v>
      </c>
      <c r="I16" s="23" t="s">
        <v>273</v>
      </c>
      <c r="J16" s="23" t="s">
        <v>79</v>
      </c>
      <c r="K16" s="24" t="s">
        <v>644</v>
      </c>
    </row>
    <row r="17" spans="1:11" x14ac:dyDescent="0.25">
      <c r="A17" s="107" t="str">
        <f>'Assessment Units'!D$16</f>
        <v>Sweden</v>
      </c>
      <c r="B17" s="107" t="s">
        <v>70</v>
      </c>
      <c r="C17" s="31" t="str">
        <f>C21</f>
        <v>BS</v>
      </c>
      <c r="D17" s="31" t="str">
        <f>D21</f>
        <v>SEA-015</v>
      </c>
      <c r="E17" s="21">
        <v>57</v>
      </c>
      <c r="F17" s="99" t="s">
        <v>242</v>
      </c>
      <c r="G17" s="23">
        <v>30</v>
      </c>
      <c r="H17" s="23" t="s">
        <v>267</v>
      </c>
      <c r="I17" s="23" t="s">
        <v>268</v>
      </c>
      <c r="J17" s="23" t="s">
        <v>79</v>
      </c>
      <c r="K17" s="24" t="s">
        <v>644</v>
      </c>
    </row>
    <row r="18" spans="1:11" x14ac:dyDescent="0.25">
      <c r="A18" s="107" t="str">
        <f>'Assessment Units'!D$16</f>
        <v>Sweden</v>
      </c>
      <c r="B18" s="107" t="s">
        <v>70</v>
      </c>
      <c r="C18" s="31" t="str">
        <f>C17</f>
        <v>BS</v>
      </c>
      <c r="D18" s="31" t="str">
        <f>D17</f>
        <v>SEA-015</v>
      </c>
      <c r="E18" s="21">
        <v>58</v>
      </c>
      <c r="F18" s="99" t="s">
        <v>242</v>
      </c>
      <c r="G18" s="23">
        <v>18</v>
      </c>
      <c r="H18" s="23" t="s">
        <v>269</v>
      </c>
      <c r="I18" s="23" t="s">
        <v>270</v>
      </c>
      <c r="J18" s="23" t="s">
        <v>79</v>
      </c>
      <c r="K18" s="24" t="s">
        <v>644</v>
      </c>
    </row>
    <row r="19" spans="1:11" x14ac:dyDescent="0.25">
      <c r="A19" s="107" t="str">
        <f>'Assessment Units'!D$16</f>
        <v>Sweden</v>
      </c>
      <c r="B19" s="107" t="s">
        <v>70</v>
      </c>
      <c r="C19" s="31" t="str">
        <f>C15</f>
        <v>BS</v>
      </c>
      <c r="D19" s="31" t="str">
        <f>D15</f>
        <v>SEA-015</v>
      </c>
      <c r="E19" s="21" t="s">
        <v>240</v>
      </c>
      <c r="F19" s="99" t="s">
        <v>240</v>
      </c>
      <c r="G19" s="21" t="s">
        <v>280</v>
      </c>
      <c r="H19" s="23" t="s">
        <v>19</v>
      </c>
      <c r="I19" s="23" t="s">
        <v>20</v>
      </c>
      <c r="J19" s="23" t="s">
        <v>79</v>
      </c>
      <c r="K19" s="24" t="s">
        <v>644</v>
      </c>
    </row>
    <row r="20" spans="1:11" x14ac:dyDescent="0.25">
      <c r="A20" s="107" t="str">
        <f>'Assessment Units'!D$16</f>
        <v>Sweden</v>
      </c>
      <c r="B20" s="107" t="s">
        <v>70</v>
      </c>
      <c r="C20" s="31" t="str">
        <f t="shared" si="0"/>
        <v>BS</v>
      </c>
      <c r="D20" s="31" t="str">
        <f t="shared" si="1"/>
        <v>SEA-015</v>
      </c>
      <c r="E20" s="21" t="s">
        <v>241</v>
      </c>
      <c r="F20" s="99" t="s">
        <v>241</v>
      </c>
      <c r="G20" s="21" t="s">
        <v>280</v>
      </c>
      <c r="H20" s="23" t="s">
        <v>19</v>
      </c>
      <c r="I20" s="23" t="s">
        <v>20</v>
      </c>
      <c r="J20" s="23" t="s">
        <v>79</v>
      </c>
      <c r="K20" s="24" t="s">
        <v>644</v>
      </c>
    </row>
    <row r="21" spans="1:11" ht="14.45" customHeight="1" x14ac:dyDescent="0.25">
      <c r="A21" s="107" t="str">
        <f>'Assessment Units'!D$16</f>
        <v>Sweden</v>
      </c>
      <c r="B21" s="107" t="s">
        <v>70</v>
      </c>
      <c r="C21" s="31" t="str">
        <f t="shared" si="0"/>
        <v>BS</v>
      </c>
      <c r="D21" s="31" t="str">
        <f t="shared" si="1"/>
        <v>SEA-015</v>
      </c>
      <c r="E21" s="21" t="s">
        <v>242</v>
      </c>
      <c r="F21" s="99" t="s">
        <v>242</v>
      </c>
      <c r="G21" s="21" t="s">
        <v>280</v>
      </c>
      <c r="H21" s="23" t="s">
        <v>19</v>
      </c>
      <c r="I21" s="23" t="s">
        <v>20</v>
      </c>
      <c r="J21" s="23" t="s">
        <v>79</v>
      </c>
      <c r="K21" s="24" t="s">
        <v>644</v>
      </c>
    </row>
    <row r="22" spans="1:11" x14ac:dyDescent="0.25">
      <c r="A22" s="107" t="str">
        <f>'Assessment Units'!E12</f>
        <v>Latvia</v>
      </c>
      <c r="B22" s="31" t="str">
        <f>'Assessment Units'!B12</f>
        <v>Gulf of Riga</v>
      </c>
      <c r="C22" s="107" t="str">
        <f>'Assessment Units'!C12</f>
        <v>GoR</v>
      </c>
      <c r="D22" s="31" t="str">
        <f>'Assessment Units'!A12</f>
        <v>SEA-011</v>
      </c>
      <c r="E22" s="21" t="s">
        <v>477</v>
      </c>
      <c r="F22" s="99" t="s">
        <v>646</v>
      </c>
      <c r="G22" s="167">
        <v>22</v>
      </c>
      <c r="H22" s="21" t="s">
        <v>522</v>
      </c>
      <c r="I22" s="21" t="s">
        <v>573</v>
      </c>
      <c r="J22" s="21" t="s">
        <v>78</v>
      </c>
      <c r="K22" s="172" t="s">
        <v>651</v>
      </c>
    </row>
    <row r="23" spans="1:11" x14ac:dyDescent="0.25">
      <c r="A23" s="107" t="str">
        <f>A22</f>
        <v>Latvia</v>
      </c>
      <c r="B23" s="107" t="str">
        <f t="shared" ref="B23:D23" si="2">B22</f>
        <v>Gulf of Riga</v>
      </c>
      <c r="C23" s="107" t="str">
        <f t="shared" si="2"/>
        <v>GoR</v>
      </c>
      <c r="D23" s="107" t="str">
        <f t="shared" si="2"/>
        <v>SEA-011</v>
      </c>
      <c r="E23" s="21" t="s">
        <v>478</v>
      </c>
      <c r="F23" s="99" t="s">
        <v>647</v>
      </c>
      <c r="G23" s="167">
        <v>41</v>
      </c>
      <c r="H23" s="21" t="s">
        <v>523</v>
      </c>
      <c r="I23" s="21" t="s">
        <v>574</v>
      </c>
      <c r="J23" s="21" t="s">
        <v>78</v>
      </c>
      <c r="K23" s="172" t="s">
        <v>651</v>
      </c>
    </row>
    <row r="24" spans="1:11" x14ac:dyDescent="0.25">
      <c r="A24" s="107" t="str">
        <f t="shared" ref="A24:A41" si="3">A23</f>
        <v>Latvia</v>
      </c>
      <c r="B24" s="107" t="str">
        <f t="shared" ref="B24:B41" si="4">B23</f>
        <v>Gulf of Riga</v>
      </c>
      <c r="C24" s="107" t="str">
        <f t="shared" ref="C24:C41" si="5">C23</f>
        <v>GoR</v>
      </c>
      <c r="D24" s="107" t="str">
        <f t="shared" ref="D24:D41" si="6">D23</f>
        <v>SEA-011</v>
      </c>
      <c r="E24" s="21" t="s">
        <v>479</v>
      </c>
      <c r="F24" s="99" t="s">
        <v>646</v>
      </c>
      <c r="G24" s="167">
        <v>37</v>
      </c>
      <c r="H24" s="21" t="s">
        <v>524</v>
      </c>
      <c r="I24" s="21" t="s">
        <v>575</v>
      </c>
      <c r="J24" s="21" t="s">
        <v>78</v>
      </c>
      <c r="K24" s="172" t="s">
        <v>651</v>
      </c>
    </row>
    <row r="25" spans="1:11" x14ac:dyDescent="0.25">
      <c r="A25" s="107" t="str">
        <f t="shared" si="3"/>
        <v>Latvia</v>
      </c>
      <c r="B25" s="107" t="str">
        <f t="shared" si="4"/>
        <v>Gulf of Riga</v>
      </c>
      <c r="C25" s="107" t="str">
        <f t="shared" si="5"/>
        <v>GoR</v>
      </c>
      <c r="D25" s="107" t="str">
        <f t="shared" si="6"/>
        <v>SEA-011</v>
      </c>
      <c r="E25" s="21" t="s">
        <v>480</v>
      </c>
      <c r="F25" s="99" t="s">
        <v>647</v>
      </c>
      <c r="G25" s="167">
        <v>31</v>
      </c>
      <c r="H25" s="21" t="s">
        <v>525</v>
      </c>
      <c r="I25" s="21" t="s">
        <v>576</v>
      </c>
      <c r="J25" s="21" t="s">
        <v>78</v>
      </c>
      <c r="K25" s="172" t="s">
        <v>651</v>
      </c>
    </row>
    <row r="26" spans="1:11" x14ac:dyDescent="0.25">
      <c r="A26" s="107" t="str">
        <f t="shared" si="3"/>
        <v>Latvia</v>
      </c>
      <c r="B26" s="107" t="str">
        <f t="shared" si="4"/>
        <v>Gulf of Riga</v>
      </c>
      <c r="C26" s="107" t="str">
        <f t="shared" si="5"/>
        <v>GoR</v>
      </c>
      <c r="D26" s="107" t="str">
        <f t="shared" si="6"/>
        <v>SEA-011</v>
      </c>
      <c r="E26" s="21" t="s">
        <v>481</v>
      </c>
      <c r="F26" s="99" t="s">
        <v>647</v>
      </c>
      <c r="G26" s="167">
        <v>36.1</v>
      </c>
      <c r="H26" s="21" t="s">
        <v>526</v>
      </c>
      <c r="I26" s="21" t="s">
        <v>577</v>
      </c>
      <c r="J26" s="21" t="s">
        <v>78</v>
      </c>
      <c r="K26" s="172" t="s">
        <v>651</v>
      </c>
    </row>
    <row r="27" spans="1:11" x14ac:dyDescent="0.25">
      <c r="A27" s="107" t="str">
        <f t="shared" si="3"/>
        <v>Latvia</v>
      </c>
      <c r="B27" s="107" t="str">
        <f t="shared" si="4"/>
        <v>Gulf of Riga</v>
      </c>
      <c r="C27" s="107" t="str">
        <f t="shared" si="5"/>
        <v>GoR</v>
      </c>
      <c r="D27" s="107" t="str">
        <f t="shared" si="6"/>
        <v>SEA-011</v>
      </c>
      <c r="E27" s="21" t="s">
        <v>482</v>
      </c>
      <c r="F27" s="99" t="s">
        <v>647</v>
      </c>
      <c r="G27" s="167">
        <v>32</v>
      </c>
      <c r="H27" s="21" t="s">
        <v>527</v>
      </c>
      <c r="I27" s="21" t="s">
        <v>578</v>
      </c>
      <c r="J27" s="21" t="s">
        <v>78</v>
      </c>
      <c r="K27" s="172" t="s">
        <v>651</v>
      </c>
    </row>
    <row r="28" spans="1:11" x14ac:dyDescent="0.25">
      <c r="A28" s="107" t="str">
        <f t="shared" si="3"/>
        <v>Latvia</v>
      </c>
      <c r="B28" s="107" t="str">
        <f t="shared" si="4"/>
        <v>Gulf of Riga</v>
      </c>
      <c r="C28" s="107" t="str">
        <f t="shared" si="5"/>
        <v>GoR</v>
      </c>
      <c r="D28" s="107" t="str">
        <f t="shared" si="6"/>
        <v>SEA-011</v>
      </c>
      <c r="E28" s="21" t="s">
        <v>483</v>
      </c>
      <c r="F28" s="99" t="s">
        <v>647</v>
      </c>
      <c r="G28" s="167">
        <v>45</v>
      </c>
      <c r="H28" s="21" t="s">
        <v>528</v>
      </c>
      <c r="I28" s="21" t="s">
        <v>579</v>
      </c>
      <c r="J28" s="21" t="s">
        <v>78</v>
      </c>
      <c r="K28" s="172" t="s">
        <v>651</v>
      </c>
    </row>
    <row r="29" spans="1:11" x14ac:dyDescent="0.25">
      <c r="A29" s="107" t="str">
        <f t="shared" si="3"/>
        <v>Latvia</v>
      </c>
      <c r="B29" s="107" t="str">
        <f t="shared" si="4"/>
        <v>Gulf of Riga</v>
      </c>
      <c r="C29" s="107" t="str">
        <f t="shared" si="5"/>
        <v>GoR</v>
      </c>
      <c r="D29" s="107" t="str">
        <f t="shared" si="6"/>
        <v>SEA-011</v>
      </c>
      <c r="E29" s="21" t="s">
        <v>484</v>
      </c>
      <c r="F29" s="99" t="s">
        <v>647</v>
      </c>
      <c r="G29" s="167">
        <v>46.5</v>
      </c>
      <c r="H29" s="21" t="s">
        <v>529</v>
      </c>
      <c r="I29" s="21" t="s">
        <v>580</v>
      </c>
      <c r="J29" s="21" t="s">
        <v>78</v>
      </c>
      <c r="K29" s="172" t="s">
        <v>651</v>
      </c>
    </row>
    <row r="30" spans="1:11" x14ac:dyDescent="0.25">
      <c r="A30" s="107" t="str">
        <f t="shared" si="3"/>
        <v>Latvia</v>
      </c>
      <c r="B30" s="107" t="str">
        <f t="shared" si="4"/>
        <v>Gulf of Riga</v>
      </c>
      <c r="C30" s="107" t="str">
        <f t="shared" si="5"/>
        <v>GoR</v>
      </c>
      <c r="D30" s="107" t="str">
        <f t="shared" si="6"/>
        <v>SEA-011</v>
      </c>
      <c r="E30" s="21" t="s">
        <v>485</v>
      </c>
      <c r="F30" s="99" t="s">
        <v>647</v>
      </c>
      <c r="G30" s="167">
        <v>55</v>
      </c>
      <c r="H30" s="21" t="s">
        <v>530</v>
      </c>
      <c r="I30" s="21" t="s">
        <v>581</v>
      </c>
      <c r="J30" s="21" t="s">
        <v>78</v>
      </c>
      <c r="K30" s="172" t="s">
        <v>651</v>
      </c>
    </row>
    <row r="31" spans="1:11" x14ac:dyDescent="0.25">
      <c r="A31" s="107" t="str">
        <f t="shared" si="3"/>
        <v>Latvia</v>
      </c>
      <c r="B31" s="107" t="str">
        <f t="shared" si="4"/>
        <v>Gulf of Riga</v>
      </c>
      <c r="C31" s="107" t="str">
        <f t="shared" si="5"/>
        <v>GoR</v>
      </c>
      <c r="D31" s="107" t="str">
        <f t="shared" si="6"/>
        <v>SEA-011</v>
      </c>
      <c r="E31" s="21" t="s">
        <v>486</v>
      </c>
      <c r="F31" s="99" t="s">
        <v>647</v>
      </c>
      <c r="G31" s="167">
        <v>43</v>
      </c>
      <c r="H31" s="21" t="s">
        <v>531</v>
      </c>
      <c r="I31" s="21" t="s">
        <v>582</v>
      </c>
      <c r="J31" s="21" t="s">
        <v>78</v>
      </c>
      <c r="K31" s="172" t="s">
        <v>651</v>
      </c>
    </row>
    <row r="32" spans="1:11" x14ac:dyDescent="0.25">
      <c r="A32" s="107" t="str">
        <f t="shared" si="3"/>
        <v>Latvia</v>
      </c>
      <c r="B32" s="107" t="str">
        <f t="shared" si="4"/>
        <v>Gulf of Riga</v>
      </c>
      <c r="C32" s="107" t="str">
        <f t="shared" si="5"/>
        <v>GoR</v>
      </c>
      <c r="D32" s="107" t="str">
        <f t="shared" si="6"/>
        <v>SEA-011</v>
      </c>
      <c r="E32" s="21" t="s">
        <v>487</v>
      </c>
      <c r="F32" s="99" t="s">
        <v>648</v>
      </c>
      <c r="G32" s="167">
        <v>28</v>
      </c>
      <c r="H32" s="21" t="s">
        <v>532</v>
      </c>
      <c r="I32" s="21" t="s">
        <v>583</v>
      </c>
      <c r="J32" s="21" t="s">
        <v>78</v>
      </c>
      <c r="K32" s="172" t="s">
        <v>642</v>
      </c>
    </row>
    <row r="33" spans="1:11" x14ac:dyDescent="0.25">
      <c r="A33" s="107" t="str">
        <f t="shared" si="3"/>
        <v>Latvia</v>
      </c>
      <c r="B33" s="107" t="str">
        <f t="shared" si="4"/>
        <v>Gulf of Riga</v>
      </c>
      <c r="C33" s="107" t="str">
        <f t="shared" si="5"/>
        <v>GoR</v>
      </c>
      <c r="D33" s="107" t="str">
        <f t="shared" si="6"/>
        <v>SEA-011</v>
      </c>
      <c r="E33" s="21" t="s">
        <v>488</v>
      </c>
      <c r="F33" s="99" t="s">
        <v>647</v>
      </c>
      <c r="G33" s="167">
        <v>44</v>
      </c>
      <c r="H33" s="21" t="s">
        <v>533</v>
      </c>
      <c r="I33" s="21" t="s">
        <v>584</v>
      </c>
      <c r="J33" s="21" t="s">
        <v>78</v>
      </c>
      <c r="K33" s="172" t="s">
        <v>651</v>
      </c>
    </row>
    <row r="34" spans="1:11" x14ac:dyDescent="0.25">
      <c r="A34" s="107" t="str">
        <f t="shared" si="3"/>
        <v>Latvia</v>
      </c>
      <c r="B34" s="107" t="str">
        <f t="shared" si="4"/>
        <v>Gulf of Riga</v>
      </c>
      <c r="C34" s="107" t="str">
        <f t="shared" si="5"/>
        <v>GoR</v>
      </c>
      <c r="D34" s="107" t="str">
        <f t="shared" si="6"/>
        <v>SEA-011</v>
      </c>
      <c r="E34" s="21" t="s">
        <v>489</v>
      </c>
      <c r="F34" s="99" t="s">
        <v>647</v>
      </c>
      <c r="G34" s="167">
        <v>41</v>
      </c>
      <c r="H34" s="21" t="s">
        <v>534</v>
      </c>
      <c r="I34" s="21" t="s">
        <v>585</v>
      </c>
      <c r="J34" s="21" t="s">
        <v>78</v>
      </c>
      <c r="K34" s="172" t="s">
        <v>651</v>
      </c>
    </row>
    <row r="35" spans="1:11" x14ac:dyDescent="0.25">
      <c r="A35" s="107" t="str">
        <f t="shared" si="3"/>
        <v>Latvia</v>
      </c>
      <c r="B35" s="107" t="str">
        <f t="shared" si="4"/>
        <v>Gulf of Riga</v>
      </c>
      <c r="C35" s="107" t="str">
        <f t="shared" si="5"/>
        <v>GoR</v>
      </c>
      <c r="D35" s="107" t="str">
        <f t="shared" si="6"/>
        <v>SEA-011</v>
      </c>
      <c r="E35" s="21" t="s">
        <v>490</v>
      </c>
      <c r="F35" s="99" t="s">
        <v>647</v>
      </c>
      <c r="G35" s="167">
        <v>41</v>
      </c>
      <c r="H35" s="21" t="s">
        <v>535</v>
      </c>
      <c r="I35" s="21" t="s">
        <v>586</v>
      </c>
      <c r="J35" s="21" t="s">
        <v>78</v>
      </c>
      <c r="K35" s="172" t="s">
        <v>651</v>
      </c>
    </row>
    <row r="36" spans="1:11" x14ac:dyDescent="0.25">
      <c r="A36" s="107" t="str">
        <f t="shared" si="3"/>
        <v>Latvia</v>
      </c>
      <c r="B36" s="107" t="str">
        <f t="shared" si="4"/>
        <v>Gulf of Riga</v>
      </c>
      <c r="C36" s="107" t="str">
        <f t="shared" si="5"/>
        <v>GoR</v>
      </c>
      <c r="D36" s="107" t="str">
        <f t="shared" si="6"/>
        <v>SEA-011</v>
      </c>
      <c r="E36" s="21" t="s">
        <v>491</v>
      </c>
      <c r="F36" s="99" t="s">
        <v>647</v>
      </c>
      <c r="G36" s="167">
        <v>67</v>
      </c>
      <c r="H36" s="21" t="s">
        <v>536</v>
      </c>
      <c r="I36" s="21" t="s">
        <v>587</v>
      </c>
      <c r="J36" s="21" t="s">
        <v>78</v>
      </c>
      <c r="K36" s="172" t="s">
        <v>651</v>
      </c>
    </row>
    <row r="37" spans="1:11" x14ac:dyDescent="0.25">
      <c r="A37" s="107" t="str">
        <f t="shared" si="3"/>
        <v>Latvia</v>
      </c>
      <c r="B37" s="107" t="str">
        <f t="shared" si="4"/>
        <v>Gulf of Riga</v>
      </c>
      <c r="C37" s="107" t="str">
        <f t="shared" si="5"/>
        <v>GoR</v>
      </c>
      <c r="D37" s="107" t="str">
        <f t="shared" si="6"/>
        <v>SEA-011</v>
      </c>
      <c r="E37" s="21" t="s">
        <v>492</v>
      </c>
      <c r="F37" s="99" t="s">
        <v>647</v>
      </c>
      <c r="G37" s="167">
        <v>22</v>
      </c>
      <c r="H37" s="21" t="s">
        <v>537</v>
      </c>
      <c r="I37" s="21" t="s">
        <v>588</v>
      </c>
      <c r="J37" s="21" t="s">
        <v>78</v>
      </c>
      <c r="K37" s="172" t="s">
        <v>651</v>
      </c>
    </row>
    <row r="38" spans="1:11" x14ac:dyDescent="0.25">
      <c r="A38" s="107" t="str">
        <f t="shared" si="3"/>
        <v>Latvia</v>
      </c>
      <c r="B38" s="107" t="str">
        <f t="shared" si="4"/>
        <v>Gulf of Riga</v>
      </c>
      <c r="C38" s="107" t="str">
        <f t="shared" si="5"/>
        <v>GoR</v>
      </c>
      <c r="D38" s="107" t="str">
        <f t="shared" si="6"/>
        <v>SEA-011</v>
      </c>
      <c r="E38" s="21" t="s">
        <v>493</v>
      </c>
      <c r="F38" s="99" t="s">
        <v>647</v>
      </c>
      <c r="G38" s="167">
        <v>25</v>
      </c>
      <c r="H38" s="21" t="s">
        <v>538</v>
      </c>
      <c r="I38" s="21" t="s">
        <v>589</v>
      </c>
      <c r="J38" s="21" t="s">
        <v>78</v>
      </c>
      <c r="K38" s="172" t="s">
        <v>651</v>
      </c>
    </row>
    <row r="39" spans="1:11" x14ac:dyDescent="0.25">
      <c r="A39" s="107" t="str">
        <f t="shared" si="3"/>
        <v>Latvia</v>
      </c>
      <c r="B39" s="107" t="str">
        <f t="shared" si="4"/>
        <v>Gulf of Riga</v>
      </c>
      <c r="C39" s="107" t="str">
        <f t="shared" si="5"/>
        <v>GoR</v>
      </c>
      <c r="D39" s="107" t="str">
        <f t="shared" si="6"/>
        <v>SEA-011</v>
      </c>
      <c r="E39" s="21" t="s">
        <v>494</v>
      </c>
      <c r="F39" s="99" t="s">
        <v>646</v>
      </c>
      <c r="G39" s="167">
        <v>22</v>
      </c>
      <c r="H39" s="21" t="s">
        <v>539</v>
      </c>
      <c r="I39" s="21" t="s">
        <v>590</v>
      </c>
      <c r="J39" s="21" t="s">
        <v>78</v>
      </c>
      <c r="K39" s="172" t="s">
        <v>651</v>
      </c>
    </row>
    <row r="40" spans="1:11" x14ac:dyDescent="0.25">
      <c r="A40" s="107" t="str">
        <f t="shared" si="3"/>
        <v>Latvia</v>
      </c>
      <c r="B40" s="107" t="str">
        <f t="shared" si="4"/>
        <v>Gulf of Riga</v>
      </c>
      <c r="C40" s="107" t="str">
        <f t="shared" si="5"/>
        <v>GoR</v>
      </c>
      <c r="D40" s="107" t="str">
        <f t="shared" si="6"/>
        <v>SEA-011</v>
      </c>
      <c r="E40" s="21" t="s">
        <v>495</v>
      </c>
      <c r="F40" s="99" t="s">
        <v>646</v>
      </c>
      <c r="G40" s="167">
        <v>21</v>
      </c>
      <c r="H40" s="21" t="s">
        <v>540</v>
      </c>
      <c r="I40" s="21" t="s">
        <v>591</v>
      </c>
      <c r="J40" s="21" t="s">
        <v>78</v>
      </c>
      <c r="K40" s="172" t="s">
        <v>651</v>
      </c>
    </row>
    <row r="41" spans="1:11" x14ac:dyDescent="0.25">
      <c r="A41" s="107" t="str">
        <f t="shared" si="3"/>
        <v>Latvia</v>
      </c>
      <c r="B41" s="107" t="str">
        <f t="shared" si="4"/>
        <v>Gulf of Riga</v>
      </c>
      <c r="C41" s="107" t="str">
        <f t="shared" si="5"/>
        <v>GoR</v>
      </c>
      <c r="D41" s="107" t="str">
        <f t="shared" si="6"/>
        <v>SEA-011</v>
      </c>
      <c r="E41" s="21" t="s">
        <v>496</v>
      </c>
      <c r="F41" s="99" t="s">
        <v>646</v>
      </c>
      <c r="G41" s="167">
        <v>1</v>
      </c>
      <c r="H41" s="21" t="s">
        <v>541</v>
      </c>
      <c r="I41" s="21" t="s">
        <v>592</v>
      </c>
      <c r="J41" s="21" t="s">
        <v>79</v>
      </c>
      <c r="K41" s="172" t="s">
        <v>643</v>
      </c>
    </row>
    <row r="42" spans="1:11" x14ac:dyDescent="0.25">
      <c r="A42" s="107" t="str">
        <f t="shared" ref="A42:A66" si="7">A41</f>
        <v>Latvia</v>
      </c>
      <c r="B42" s="107" t="str">
        <f t="shared" ref="B42:B68" si="8">B41</f>
        <v>Gulf of Riga</v>
      </c>
      <c r="C42" s="107" t="str">
        <f t="shared" ref="C42:C66" si="9">C41</f>
        <v>GoR</v>
      </c>
      <c r="D42" s="107" t="str">
        <f t="shared" ref="D42:D66" si="10">D41</f>
        <v>SEA-011</v>
      </c>
      <c r="E42" s="21" t="s">
        <v>497</v>
      </c>
      <c r="F42" s="99" t="s">
        <v>646</v>
      </c>
      <c r="G42" s="167">
        <v>12</v>
      </c>
      <c r="H42" s="21" t="s">
        <v>542</v>
      </c>
      <c r="I42" s="21" t="s">
        <v>593</v>
      </c>
      <c r="J42" s="21" t="s">
        <v>78</v>
      </c>
      <c r="K42" s="172" t="s">
        <v>651</v>
      </c>
    </row>
    <row r="43" spans="1:11" x14ac:dyDescent="0.25">
      <c r="A43" s="107" t="str">
        <f t="shared" si="7"/>
        <v>Latvia</v>
      </c>
      <c r="B43" s="107" t="str">
        <f t="shared" si="8"/>
        <v>Gulf of Riga</v>
      </c>
      <c r="C43" s="107" t="str">
        <f t="shared" si="9"/>
        <v>GoR</v>
      </c>
      <c r="D43" s="107" t="str">
        <f t="shared" si="10"/>
        <v>SEA-011</v>
      </c>
      <c r="E43" s="21" t="s">
        <v>498</v>
      </c>
      <c r="F43" s="99" t="s">
        <v>646</v>
      </c>
      <c r="G43" s="167">
        <v>1</v>
      </c>
      <c r="H43" s="21" t="s">
        <v>543</v>
      </c>
      <c r="I43" s="21" t="s">
        <v>594</v>
      </c>
      <c r="J43" s="21" t="s">
        <v>79</v>
      </c>
      <c r="K43" s="172" t="s">
        <v>643</v>
      </c>
    </row>
    <row r="44" spans="1:11" x14ac:dyDescent="0.25">
      <c r="A44" s="107" t="str">
        <f t="shared" si="7"/>
        <v>Latvia</v>
      </c>
      <c r="B44" s="107" t="str">
        <f t="shared" si="8"/>
        <v>Gulf of Riga</v>
      </c>
      <c r="C44" s="107" t="str">
        <f t="shared" si="9"/>
        <v>GoR</v>
      </c>
      <c r="D44" s="107" t="str">
        <f t="shared" si="10"/>
        <v>SEA-011</v>
      </c>
      <c r="E44" s="21" t="s">
        <v>499</v>
      </c>
      <c r="F44" s="99" t="s">
        <v>649</v>
      </c>
      <c r="G44" s="167">
        <v>12</v>
      </c>
      <c r="H44" s="21" t="s">
        <v>523</v>
      </c>
      <c r="I44" s="21" t="s">
        <v>595</v>
      </c>
      <c r="J44" s="21" t="s">
        <v>78</v>
      </c>
      <c r="K44" s="172" t="s">
        <v>651</v>
      </c>
    </row>
    <row r="45" spans="1:11" x14ac:dyDescent="0.25">
      <c r="A45" s="107" t="str">
        <f t="shared" si="7"/>
        <v>Latvia</v>
      </c>
      <c r="B45" s="107" t="str">
        <f t="shared" si="8"/>
        <v>Gulf of Riga</v>
      </c>
      <c r="C45" s="107" t="str">
        <f t="shared" si="9"/>
        <v>GoR</v>
      </c>
      <c r="D45" s="107" t="str">
        <f t="shared" si="10"/>
        <v>SEA-011</v>
      </c>
      <c r="E45" s="21" t="s">
        <v>500</v>
      </c>
      <c r="F45" s="99" t="s">
        <v>646</v>
      </c>
      <c r="G45" s="167">
        <v>24</v>
      </c>
      <c r="H45" s="21" t="s">
        <v>544</v>
      </c>
      <c r="I45" s="21" t="s">
        <v>596</v>
      </c>
      <c r="J45" s="21" t="s">
        <v>79</v>
      </c>
      <c r="K45" s="172" t="s">
        <v>652</v>
      </c>
    </row>
    <row r="46" spans="1:11" x14ac:dyDescent="0.25">
      <c r="A46" s="107" t="str">
        <f t="shared" si="7"/>
        <v>Latvia</v>
      </c>
      <c r="B46" s="107" t="str">
        <f t="shared" si="8"/>
        <v>Gulf of Riga</v>
      </c>
      <c r="C46" s="107" t="str">
        <f t="shared" si="9"/>
        <v>GoR</v>
      </c>
      <c r="D46" s="107" t="str">
        <f t="shared" si="10"/>
        <v>SEA-011</v>
      </c>
      <c r="E46" s="21" t="s">
        <v>501</v>
      </c>
      <c r="F46" s="99" t="s">
        <v>641</v>
      </c>
      <c r="G46" s="167">
        <v>11</v>
      </c>
      <c r="H46" s="21" t="s">
        <v>545</v>
      </c>
      <c r="I46" s="21" t="s">
        <v>588</v>
      </c>
      <c r="J46" s="21" t="s">
        <v>78</v>
      </c>
      <c r="K46" s="172" t="s">
        <v>642</v>
      </c>
    </row>
    <row r="47" spans="1:11" x14ac:dyDescent="0.25">
      <c r="A47" s="107" t="str">
        <f t="shared" si="7"/>
        <v>Latvia</v>
      </c>
      <c r="B47" s="107" t="str">
        <f t="shared" si="8"/>
        <v>Gulf of Riga</v>
      </c>
      <c r="C47" s="107" t="str">
        <f t="shared" si="9"/>
        <v>GoR</v>
      </c>
      <c r="D47" s="107" t="str">
        <f t="shared" si="10"/>
        <v>SEA-011</v>
      </c>
      <c r="E47" s="21" t="s">
        <v>502</v>
      </c>
      <c r="F47" s="99" t="s">
        <v>649</v>
      </c>
      <c r="G47" s="167">
        <v>1</v>
      </c>
      <c r="H47" s="21" t="s">
        <v>543</v>
      </c>
      <c r="I47" s="21" t="s">
        <v>597</v>
      </c>
      <c r="J47" s="21" t="s">
        <v>79</v>
      </c>
      <c r="K47" s="172" t="s">
        <v>643</v>
      </c>
    </row>
    <row r="48" spans="1:11" x14ac:dyDescent="0.25">
      <c r="A48" s="107" t="str">
        <f t="shared" si="7"/>
        <v>Latvia</v>
      </c>
      <c r="B48" s="107" t="str">
        <f t="shared" si="8"/>
        <v>Gulf of Riga</v>
      </c>
      <c r="C48" s="107" t="str">
        <f t="shared" si="9"/>
        <v>GoR</v>
      </c>
      <c r="D48" s="107" t="str">
        <f t="shared" si="10"/>
        <v>SEA-011</v>
      </c>
      <c r="E48" s="21" t="s">
        <v>503</v>
      </c>
      <c r="F48" s="99" t="s">
        <v>646</v>
      </c>
      <c r="G48" s="167">
        <v>1</v>
      </c>
      <c r="H48" s="21" t="s">
        <v>546</v>
      </c>
      <c r="I48" s="21" t="s">
        <v>598</v>
      </c>
      <c r="J48" s="21" t="s">
        <v>79</v>
      </c>
      <c r="K48" s="172" t="s">
        <v>643</v>
      </c>
    </row>
    <row r="49" spans="1:11" x14ac:dyDescent="0.25">
      <c r="A49" s="107" t="str">
        <f t="shared" si="7"/>
        <v>Latvia</v>
      </c>
      <c r="B49" s="107" t="str">
        <f t="shared" si="8"/>
        <v>Gulf of Riga</v>
      </c>
      <c r="C49" s="107" t="str">
        <f t="shared" si="9"/>
        <v>GoR</v>
      </c>
      <c r="D49" s="107" t="str">
        <f t="shared" si="10"/>
        <v>SEA-011</v>
      </c>
      <c r="E49" s="21" t="s">
        <v>504</v>
      </c>
      <c r="F49" s="99" t="s">
        <v>646</v>
      </c>
      <c r="G49" s="167">
        <v>1</v>
      </c>
      <c r="H49" s="21" t="s">
        <v>547</v>
      </c>
      <c r="I49" s="21" t="s">
        <v>599</v>
      </c>
      <c r="J49" s="21" t="s">
        <v>79</v>
      </c>
      <c r="K49" s="172" t="s">
        <v>643</v>
      </c>
    </row>
    <row r="50" spans="1:11" x14ac:dyDescent="0.25">
      <c r="A50" s="107" t="str">
        <f t="shared" si="7"/>
        <v>Latvia</v>
      </c>
      <c r="B50" s="107" t="str">
        <f t="shared" si="8"/>
        <v>Gulf of Riga</v>
      </c>
      <c r="C50" s="107" t="str">
        <f t="shared" si="9"/>
        <v>GoR</v>
      </c>
      <c r="D50" s="107" t="str">
        <f t="shared" si="10"/>
        <v>SEA-011</v>
      </c>
      <c r="E50" s="21" t="s">
        <v>505</v>
      </c>
      <c r="F50" s="99" t="s">
        <v>649</v>
      </c>
      <c r="G50" s="167">
        <v>1</v>
      </c>
      <c r="H50" s="21" t="s">
        <v>548</v>
      </c>
      <c r="I50" s="21" t="s">
        <v>600</v>
      </c>
      <c r="J50" s="21" t="s">
        <v>79</v>
      </c>
      <c r="K50" s="172" t="s">
        <v>643</v>
      </c>
    </row>
    <row r="51" spans="1:11" x14ac:dyDescent="0.25">
      <c r="A51" s="107" t="str">
        <f t="shared" si="7"/>
        <v>Latvia</v>
      </c>
      <c r="B51" s="107" t="str">
        <f t="shared" si="8"/>
        <v>Gulf of Riga</v>
      </c>
      <c r="C51" s="107" t="str">
        <f t="shared" si="9"/>
        <v>GoR</v>
      </c>
      <c r="D51" s="107" t="str">
        <f t="shared" si="10"/>
        <v>SEA-011</v>
      </c>
      <c r="E51" s="21" t="s">
        <v>506</v>
      </c>
      <c r="F51" s="99" t="s">
        <v>647</v>
      </c>
      <c r="G51" s="167">
        <v>41.25</v>
      </c>
      <c r="H51" s="21" t="s">
        <v>548</v>
      </c>
      <c r="I51" s="21" t="s">
        <v>594</v>
      </c>
      <c r="J51" s="21" t="s">
        <v>78</v>
      </c>
      <c r="K51" s="172" t="s">
        <v>651</v>
      </c>
    </row>
    <row r="52" spans="1:11" x14ac:dyDescent="0.25">
      <c r="A52" s="107" t="str">
        <f t="shared" si="7"/>
        <v>Latvia</v>
      </c>
      <c r="B52" s="107" t="str">
        <f t="shared" si="8"/>
        <v>Gulf of Riga</v>
      </c>
      <c r="C52" s="107" t="str">
        <f t="shared" si="9"/>
        <v>GoR</v>
      </c>
      <c r="D52" s="107" t="str">
        <f t="shared" si="10"/>
        <v>SEA-011</v>
      </c>
      <c r="E52" s="21" t="s">
        <v>507</v>
      </c>
      <c r="F52" s="99" t="s">
        <v>647</v>
      </c>
      <c r="G52" s="167">
        <v>20</v>
      </c>
      <c r="H52" s="21" t="s">
        <v>549</v>
      </c>
      <c r="I52" s="21" t="s">
        <v>601</v>
      </c>
      <c r="J52" s="21" t="s">
        <v>78</v>
      </c>
      <c r="K52" s="172" t="s">
        <v>651</v>
      </c>
    </row>
    <row r="53" spans="1:11" x14ac:dyDescent="0.25">
      <c r="A53" s="107" t="str">
        <f t="shared" si="7"/>
        <v>Latvia</v>
      </c>
      <c r="B53" s="107" t="str">
        <f t="shared" si="8"/>
        <v>Gulf of Riga</v>
      </c>
      <c r="C53" s="107" t="str">
        <f t="shared" si="9"/>
        <v>GoR</v>
      </c>
      <c r="D53" s="107" t="str">
        <f t="shared" si="10"/>
        <v>SEA-011</v>
      </c>
      <c r="E53" s="21" t="s">
        <v>508</v>
      </c>
      <c r="F53" s="99" t="s">
        <v>646</v>
      </c>
      <c r="G53" s="167"/>
      <c r="H53" s="21" t="s">
        <v>550</v>
      </c>
      <c r="I53" s="21" t="s">
        <v>602</v>
      </c>
      <c r="J53" s="21" t="s">
        <v>78</v>
      </c>
      <c r="K53" s="172" t="s">
        <v>651</v>
      </c>
    </row>
    <row r="54" spans="1:11" x14ac:dyDescent="0.25">
      <c r="A54" s="107" t="str">
        <f t="shared" si="7"/>
        <v>Latvia</v>
      </c>
      <c r="B54" s="107" t="str">
        <f t="shared" si="8"/>
        <v>Gulf of Riga</v>
      </c>
      <c r="C54" s="107" t="str">
        <f t="shared" si="9"/>
        <v>GoR</v>
      </c>
      <c r="D54" s="107" t="str">
        <f t="shared" si="10"/>
        <v>SEA-011</v>
      </c>
      <c r="E54" s="21" t="s">
        <v>509</v>
      </c>
      <c r="F54" s="99" t="s">
        <v>650</v>
      </c>
      <c r="G54" s="167">
        <v>1</v>
      </c>
      <c r="H54" s="21" t="s">
        <v>551</v>
      </c>
      <c r="I54" s="21" t="s">
        <v>603</v>
      </c>
      <c r="J54" s="21" t="s">
        <v>79</v>
      </c>
      <c r="K54" s="172" t="s">
        <v>643</v>
      </c>
    </row>
    <row r="55" spans="1:11" x14ac:dyDescent="0.25">
      <c r="A55" s="107" t="str">
        <f t="shared" si="7"/>
        <v>Latvia</v>
      </c>
      <c r="B55" s="107" t="str">
        <f t="shared" si="8"/>
        <v>Gulf of Riga</v>
      </c>
      <c r="C55" s="107" t="str">
        <f t="shared" si="9"/>
        <v>GoR</v>
      </c>
      <c r="D55" s="107" t="str">
        <f t="shared" si="10"/>
        <v>SEA-011</v>
      </c>
      <c r="E55" s="21" t="s">
        <v>510</v>
      </c>
      <c r="F55" s="99" t="s">
        <v>650</v>
      </c>
      <c r="G55" s="167">
        <v>10</v>
      </c>
      <c r="H55" s="21" t="s">
        <v>552</v>
      </c>
      <c r="I55" s="21" t="s">
        <v>604</v>
      </c>
      <c r="J55" s="21" t="s">
        <v>78</v>
      </c>
      <c r="K55" s="172" t="s">
        <v>651</v>
      </c>
    </row>
    <row r="56" spans="1:11" x14ac:dyDescent="0.25">
      <c r="A56" s="107" t="str">
        <f t="shared" si="7"/>
        <v>Latvia</v>
      </c>
      <c r="B56" s="107" t="str">
        <f t="shared" si="8"/>
        <v>Gulf of Riga</v>
      </c>
      <c r="C56" s="107" t="str">
        <f t="shared" si="9"/>
        <v>GoR</v>
      </c>
      <c r="D56" s="107" t="str">
        <f t="shared" si="10"/>
        <v>SEA-011</v>
      </c>
      <c r="E56" s="21" t="s">
        <v>511</v>
      </c>
      <c r="F56" s="99" t="s">
        <v>650</v>
      </c>
      <c r="G56" s="167"/>
      <c r="H56" s="21" t="s">
        <v>553</v>
      </c>
      <c r="I56" s="21" t="s">
        <v>605</v>
      </c>
      <c r="J56" s="21" t="s">
        <v>78</v>
      </c>
      <c r="K56" s="172" t="s">
        <v>651</v>
      </c>
    </row>
    <row r="57" spans="1:11" x14ac:dyDescent="0.25">
      <c r="A57" s="107" t="str">
        <f t="shared" si="7"/>
        <v>Latvia</v>
      </c>
      <c r="B57" s="107" t="str">
        <f t="shared" si="8"/>
        <v>Gulf of Riga</v>
      </c>
      <c r="C57" s="107" t="str">
        <f t="shared" si="9"/>
        <v>GoR</v>
      </c>
      <c r="D57" s="107" t="str">
        <f t="shared" si="10"/>
        <v>SEA-011</v>
      </c>
      <c r="E57" s="21" t="s">
        <v>512</v>
      </c>
      <c r="F57" s="99" t="s">
        <v>647</v>
      </c>
      <c r="G57" s="167">
        <v>27.058823529411764</v>
      </c>
      <c r="H57" s="21" t="s">
        <v>554</v>
      </c>
      <c r="I57" s="21" t="s">
        <v>606</v>
      </c>
      <c r="J57" s="21" t="s">
        <v>79</v>
      </c>
      <c r="K57" s="172" t="s">
        <v>643</v>
      </c>
    </row>
    <row r="58" spans="1:11" x14ac:dyDescent="0.25">
      <c r="A58" s="107" t="str">
        <f t="shared" si="7"/>
        <v>Latvia</v>
      </c>
      <c r="B58" s="107" t="str">
        <f t="shared" si="8"/>
        <v>Gulf of Riga</v>
      </c>
      <c r="C58" s="107" t="str">
        <f t="shared" si="9"/>
        <v>GoR</v>
      </c>
      <c r="D58" s="107" t="str">
        <f t="shared" si="10"/>
        <v>SEA-011</v>
      </c>
      <c r="E58" s="21" t="s">
        <v>513</v>
      </c>
      <c r="F58" s="99" t="s">
        <v>647</v>
      </c>
      <c r="G58" s="167">
        <v>27</v>
      </c>
      <c r="H58" s="21" t="s">
        <v>555</v>
      </c>
      <c r="I58" s="21" t="s">
        <v>607</v>
      </c>
      <c r="J58" s="21" t="s">
        <v>79</v>
      </c>
      <c r="K58" s="172" t="s">
        <v>643</v>
      </c>
    </row>
    <row r="59" spans="1:11" x14ac:dyDescent="0.25">
      <c r="A59" s="107" t="str">
        <f t="shared" si="7"/>
        <v>Latvia</v>
      </c>
      <c r="B59" s="107" t="str">
        <f t="shared" si="8"/>
        <v>Gulf of Riga</v>
      </c>
      <c r="C59" s="107" t="str">
        <f t="shared" si="9"/>
        <v>GoR</v>
      </c>
      <c r="D59" s="107" t="str">
        <f t="shared" si="10"/>
        <v>SEA-011</v>
      </c>
      <c r="E59" s="21" t="s">
        <v>514</v>
      </c>
      <c r="F59" s="99" t="s">
        <v>646</v>
      </c>
      <c r="G59" s="167">
        <v>1</v>
      </c>
      <c r="H59" s="21" t="s">
        <v>544</v>
      </c>
      <c r="I59" s="21" t="s">
        <v>608</v>
      </c>
      <c r="J59" s="21" t="s">
        <v>79</v>
      </c>
      <c r="K59" s="172" t="s">
        <v>643</v>
      </c>
    </row>
    <row r="60" spans="1:11" x14ac:dyDescent="0.25">
      <c r="A60" s="107" t="str">
        <f t="shared" si="7"/>
        <v>Latvia</v>
      </c>
      <c r="B60" s="107" t="str">
        <f t="shared" si="8"/>
        <v>Gulf of Riga</v>
      </c>
      <c r="C60" s="107" t="str">
        <f t="shared" si="9"/>
        <v>GoR</v>
      </c>
      <c r="D60" s="107" t="str">
        <f t="shared" si="10"/>
        <v>SEA-011</v>
      </c>
      <c r="E60" s="21" t="s">
        <v>515</v>
      </c>
      <c r="F60" s="99" t="s">
        <v>650</v>
      </c>
      <c r="G60" s="167">
        <v>10.5</v>
      </c>
      <c r="H60" s="21" t="s">
        <v>556</v>
      </c>
      <c r="I60" s="21" t="s">
        <v>598</v>
      </c>
      <c r="J60" s="21" t="s">
        <v>78</v>
      </c>
      <c r="K60" s="172" t="s">
        <v>651</v>
      </c>
    </row>
    <row r="61" spans="1:11" x14ac:dyDescent="0.25">
      <c r="A61" s="107" t="str">
        <f t="shared" si="7"/>
        <v>Latvia</v>
      </c>
      <c r="B61" s="107" t="str">
        <f t="shared" si="8"/>
        <v>Gulf of Riga</v>
      </c>
      <c r="C61" s="107" t="str">
        <f t="shared" si="9"/>
        <v>GoR</v>
      </c>
      <c r="D61" s="107" t="str">
        <f t="shared" si="10"/>
        <v>SEA-011</v>
      </c>
      <c r="E61" s="21" t="s">
        <v>516</v>
      </c>
      <c r="F61" s="99" t="s">
        <v>646</v>
      </c>
      <c r="G61" s="167">
        <v>11</v>
      </c>
      <c r="H61" s="21" t="s">
        <v>540</v>
      </c>
      <c r="I61" s="21" t="s">
        <v>609</v>
      </c>
      <c r="J61" s="21" t="s">
        <v>78</v>
      </c>
      <c r="K61" s="172" t="s">
        <v>651</v>
      </c>
    </row>
    <row r="62" spans="1:11" x14ac:dyDescent="0.25">
      <c r="A62" s="107" t="str">
        <f t="shared" si="7"/>
        <v>Latvia</v>
      </c>
      <c r="B62" s="107" t="str">
        <f t="shared" si="8"/>
        <v>Gulf of Riga</v>
      </c>
      <c r="C62" s="107" t="str">
        <f t="shared" si="9"/>
        <v>GoR</v>
      </c>
      <c r="D62" s="107" t="str">
        <f t="shared" si="10"/>
        <v>SEA-011</v>
      </c>
      <c r="E62" s="21" t="s">
        <v>517</v>
      </c>
      <c r="F62" s="99" t="s">
        <v>649</v>
      </c>
      <c r="G62" s="167">
        <v>11.5</v>
      </c>
      <c r="H62" s="21" t="s">
        <v>557</v>
      </c>
      <c r="I62" s="21" t="s">
        <v>610</v>
      </c>
      <c r="J62" s="21" t="s">
        <v>78</v>
      </c>
      <c r="K62" s="172" t="s">
        <v>651</v>
      </c>
    </row>
    <row r="63" spans="1:11" x14ac:dyDescent="0.25">
      <c r="A63" s="107" t="str">
        <f t="shared" si="7"/>
        <v>Latvia</v>
      </c>
      <c r="B63" s="107" t="str">
        <f t="shared" si="8"/>
        <v>Gulf of Riga</v>
      </c>
      <c r="C63" s="107" t="str">
        <f t="shared" si="9"/>
        <v>GoR</v>
      </c>
      <c r="D63" s="107" t="str">
        <f t="shared" si="10"/>
        <v>SEA-011</v>
      </c>
      <c r="E63" s="21" t="s">
        <v>518</v>
      </c>
      <c r="F63" s="99" t="s">
        <v>649</v>
      </c>
      <c r="G63" s="167">
        <v>10.5</v>
      </c>
      <c r="H63" s="21" t="s">
        <v>558</v>
      </c>
      <c r="I63" s="21" t="s">
        <v>611</v>
      </c>
      <c r="J63" s="21" t="s">
        <v>78</v>
      </c>
      <c r="K63" s="172" t="s">
        <v>651</v>
      </c>
    </row>
    <row r="64" spans="1:11" x14ac:dyDescent="0.25">
      <c r="A64" s="107" t="str">
        <f t="shared" si="7"/>
        <v>Latvia</v>
      </c>
      <c r="B64" s="107" t="str">
        <f t="shared" si="8"/>
        <v>Gulf of Riga</v>
      </c>
      <c r="C64" s="107" t="str">
        <f t="shared" si="9"/>
        <v>GoR</v>
      </c>
      <c r="D64" s="107" t="str">
        <f t="shared" si="10"/>
        <v>SEA-011</v>
      </c>
      <c r="E64" s="21" t="s">
        <v>519</v>
      </c>
      <c r="F64" s="99" t="s">
        <v>649</v>
      </c>
      <c r="G64" s="167">
        <v>12</v>
      </c>
      <c r="H64" s="21" t="s">
        <v>559</v>
      </c>
      <c r="I64" s="21" t="s">
        <v>612</v>
      </c>
      <c r="J64" s="21" t="s">
        <v>78</v>
      </c>
      <c r="K64" s="172" t="s">
        <v>651</v>
      </c>
    </row>
    <row r="65" spans="1:11" x14ac:dyDescent="0.25">
      <c r="A65" s="107" t="str">
        <f t="shared" si="7"/>
        <v>Latvia</v>
      </c>
      <c r="B65" s="107" t="str">
        <f t="shared" si="8"/>
        <v>Gulf of Riga</v>
      </c>
      <c r="C65" s="107" t="str">
        <f t="shared" si="9"/>
        <v>GoR</v>
      </c>
      <c r="D65" s="107" t="str">
        <f t="shared" si="10"/>
        <v>SEA-011</v>
      </c>
      <c r="E65" s="21" t="s">
        <v>520</v>
      </c>
      <c r="F65" s="99" t="s">
        <v>649</v>
      </c>
      <c r="G65" s="167">
        <v>12</v>
      </c>
      <c r="H65" s="21" t="s">
        <v>560</v>
      </c>
      <c r="I65" s="21" t="s">
        <v>613</v>
      </c>
      <c r="J65" s="21" t="s">
        <v>78</v>
      </c>
      <c r="K65" s="172" t="s">
        <v>651</v>
      </c>
    </row>
    <row r="66" spans="1:11" x14ac:dyDescent="0.25">
      <c r="A66" s="107" t="str">
        <f t="shared" si="7"/>
        <v>Latvia</v>
      </c>
      <c r="B66" s="107" t="str">
        <f t="shared" si="8"/>
        <v>Gulf of Riga</v>
      </c>
      <c r="C66" s="107" t="str">
        <f t="shared" si="9"/>
        <v>GoR</v>
      </c>
      <c r="D66" s="107" t="str">
        <f t="shared" si="10"/>
        <v>SEA-011</v>
      </c>
      <c r="E66" s="21" t="s">
        <v>521</v>
      </c>
      <c r="F66" s="99" t="s">
        <v>647</v>
      </c>
      <c r="G66" s="167">
        <v>11</v>
      </c>
      <c r="H66" s="21" t="s">
        <v>561</v>
      </c>
      <c r="I66" s="21" t="s">
        <v>614</v>
      </c>
      <c r="J66" s="21" t="s">
        <v>78</v>
      </c>
      <c r="K66" s="172" t="s">
        <v>651</v>
      </c>
    </row>
    <row r="67" spans="1:11" x14ac:dyDescent="0.25">
      <c r="A67" s="107" t="str">
        <f>'Assessment Units'!D12</f>
        <v>Estonia</v>
      </c>
      <c r="B67" s="107" t="str">
        <f t="shared" si="8"/>
        <v>Gulf of Riga</v>
      </c>
      <c r="C67" s="107" t="str">
        <f t="shared" ref="C67:C68" si="11">C66</f>
        <v>GoR</v>
      </c>
      <c r="D67" s="107" t="str">
        <f t="shared" ref="D67:D68" si="12">D66</f>
        <v>SEA-011</v>
      </c>
      <c r="E67" s="21" t="s">
        <v>481</v>
      </c>
      <c r="F67" s="170" t="s">
        <v>653</v>
      </c>
      <c r="G67" s="167">
        <v>36.1</v>
      </c>
      <c r="H67" s="21" t="s">
        <v>562</v>
      </c>
      <c r="I67" s="21" t="s">
        <v>615</v>
      </c>
      <c r="J67" s="21" t="s">
        <v>78</v>
      </c>
      <c r="K67" s="172" t="s">
        <v>642</v>
      </c>
    </row>
    <row r="68" spans="1:11" x14ac:dyDescent="0.25">
      <c r="A68" s="107" t="str">
        <f>A67</f>
        <v>Estonia</v>
      </c>
      <c r="B68" s="107" t="str">
        <f t="shared" si="8"/>
        <v>Gulf of Riga</v>
      </c>
      <c r="C68" s="107" t="str">
        <f t="shared" si="11"/>
        <v>GoR</v>
      </c>
      <c r="D68" s="107" t="str">
        <f t="shared" si="12"/>
        <v>SEA-011</v>
      </c>
      <c r="E68" s="21" t="s">
        <v>626</v>
      </c>
      <c r="F68" s="170" t="s">
        <v>636</v>
      </c>
      <c r="G68" s="167">
        <v>13</v>
      </c>
      <c r="H68" s="21" t="s">
        <v>563</v>
      </c>
      <c r="I68" s="21" t="s">
        <v>616</v>
      </c>
      <c r="J68" s="21" t="s">
        <v>79</v>
      </c>
      <c r="K68" s="172" t="s">
        <v>643</v>
      </c>
    </row>
    <row r="69" spans="1:11" x14ac:dyDescent="0.25">
      <c r="A69" s="107" t="str">
        <f t="shared" ref="A69:A77" si="13">A68</f>
        <v>Estonia</v>
      </c>
      <c r="B69" s="107" t="str">
        <f t="shared" ref="B69:B77" si="14">B68</f>
        <v>Gulf of Riga</v>
      </c>
      <c r="C69" s="107" t="str">
        <f t="shared" ref="C69:C77" si="15">C68</f>
        <v>GoR</v>
      </c>
      <c r="D69" s="107" t="str">
        <f t="shared" ref="D69:D77" si="16">D68</f>
        <v>SEA-011</v>
      </c>
      <c r="E69" s="21" t="s">
        <v>627</v>
      </c>
      <c r="F69" s="170" t="s">
        <v>641</v>
      </c>
      <c r="G69" s="167">
        <v>5</v>
      </c>
      <c r="H69" s="21" t="s">
        <v>564</v>
      </c>
      <c r="I69" s="21" t="s">
        <v>617</v>
      </c>
      <c r="J69" s="21" t="s">
        <v>79</v>
      </c>
      <c r="K69" s="172" t="s">
        <v>643</v>
      </c>
    </row>
    <row r="70" spans="1:11" x14ac:dyDescent="0.25">
      <c r="A70" s="107" t="str">
        <f t="shared" si="13"/>
        <v>Estonia</v>
      </c>
      <c r="B70" s="107" t="str">
        <f t="shared" si="14"/>
        <v>Gulf of Riga</v>
      </c>
      <c r="C70" s="107" t="str">
        <f t="shared" si="15"/>
        <v>GoR</v>
      </c>
      <c r="D70" s="107" t="str">
        <f t="shared" si="16"/>
        <v>SEA-011</v>
      </c>
      <c r="E70" s="21" t="s">
        <v>628</v>
      </c>
      <c r="F70" s="170" t="s">
        <v>645</v>
      </c>
      <c r="G70" s="167">
        <v>16</v>
      </c>
      <c r="H70" s="21" t="s">
        <v>565</v>
      </c>
      <c r="I70" s="21" t="s">
        <v>618</v>
      </c>
      <c r="J70" s="21" t="s">
        <v>79</v>
      </c>
      <c r="K70" s="172" t="s">
        <v>643</v>
      </c>
    </row>
    <row r="71" spans="1:11" x14ac:dyDescent="0.25">
      <c r="A71" s="107" t="str">
        <f t="shared" si="13"/>
        <v>Estonia</v>
      </c>
      <c r="B71" s="107" t="str">
        <f t="shared" si="14"/>
        <v>Gulf of Riga</v>
      </c>
      <c r="C71" s="107" t="str">
        <f t="shared" si="15"/>
        <v>GoR</v>
      </c>
      <c r="D71" s="107" t="str">
        <f t="shared" si="16"/>
        <v>SEA-011</v>
      </c>
      <c r="E71" s="21" t="s">
        <v>629</v>
      </c>
      <c r="F71" s="170" t="s">
        <v>653</v>
      </c>
      <c r="G71" s="167">
        <v>40</v>
      </c>
      <c r="H71" s="21" t="s">
        <v>566</v>
      </c>
      <c r="I71" s="21" t="s">
        <v>619</v>
      </c>
      <c r="J71" s="21" t="s">
        <v>79</v>
      </c>
      <c r="K71" s="172" t="s">
        <v>643</v>
      </c>
    </row>
    <row r="72" spans="1:11" x14ac:dyDescent="0.25">
      <c r="A72" s="107" t="str">
        <f t="shared" si="13"/>
        <v>Estonia</v>
      </c>
      <c r="B72" s="107" t="str">
        <f t="shared" si="14"/>
        <v>Gulf of Riga</v>
      </c>
      <c r="C72" s="107" t="str">
        <f t="shared" si="15"/>
        <v>GoR</v>
      </c>
      <c r="D72" s="107" t="str">
        <f t="shared" si="16"/>
        <v>SEA-011</v>
      </c>
      <c r="E72" s="21" t="s">
        <v>630</v>
      </c>
      <c r="F72" s="99" t="s">
        <v>647</v>
      </c>
      <c r="G72" s="167">
        <v>25.95</v>
      </c>
      <c r="H72" s="21" t="s">
        <v>567</v>
      </c>
      <c r="I72" s="21" t="s">
        <v>620</v>
      </c>
      <c r="J72" s="21" t="s">
        <v>79</v>
      </c>
      <c r="K72" s="172" t="s">
        <v>643</v>
      </c>
    </row>
    <row r="73" spans="1:11" x14ac:dyDescent="0.25">
      <c r="A73" s="107" t="str">
        <f t="shared" si="13"/>
        <v>Estonia</v>
      </c>
      <c r="B73" s="107" t="str">
        <f t="shared" si="14"/>
        <v>Gulf of Riga</v>
      </c>
      <c r="C73" s="107" t="str">
        <f t="shared" si="15"/>
        <v>GoR</v>
      </c>
      <c r="D73" s="107" t="str">
        <f t="shared" si="16"/>
        <v>SEA-011</v>
      </c>
      <c r="E73" s="21" t="s">
        <v>631</v>
      </c>
      <c r="F73" s="99" t="s">
        <v>636</v>
      </c>
      <c r="G73" s="167">
        <v>7.3</v>
      </c>
      <c r="H73" s="21" t="s">
        <v>568</v>
      </c>
      <c r="I73" s="21" t="s">
        <v>621</v>
      </c>
      <c r="J73" s="21" t="s">
        <v>79</v>
      </c>
      <c r="K73" s="172" t="s">
        <v>643</v>
      </c>
    </row>
    <row r="74" spans="1:11" x14ac:dyDescent="0.25">
      <c r="A74" s="107" t="str">
        <f t="shared" si="13"/>
        <v>Estonia</v>
      </c>
      <c r="B74" s="107" t="str">
        <f t="shared" si="14"/>
        <v>Gulf of Riga</v>
      </c>
      <c r="C74" s="107" t="str">
        <f t="shared" si="15"/>
        <v>GoR</v>
      </c>
      <c r="D74" s="107" t="str">
        <f t="shared" si="16"/>
        <v>SEA-011</v>
      </c>
      <c r="E74" s="21" t="s">
        <v>632</v>
      </c>
      <c r="F74" s="99" t="s">
        <v>636</v>
      </c>
      <c r="G74" s="167">
        <v>20</v>
      </c>
      <c r="H74" s="21" t="s">
        <v>569</v>
      </c>
      <c r="I74" s="21" t="s">
        <v>622</v>
      </c>
      <c r="J74" s="21" t="s">
        <v>79</v>
      </c>
      <c r="K74" s="172" t="s">
        <v>643</v>
      </c>
    </row>
    <row r="75" spans="1:11" x14ac:dyDescent="0.25">
      <c r="A75" s="107" t="str">
        <f t="shared" si="13"/>
        <v>Estonia</v>
      </c>
      <c r="B75" s="107" t="str">
        <f t="shared" si="14"/>
        <v>Gulf of Riga</v>
      </c>
      <c r="C75" s="107" t="str">
        <f t="shared" si="15"/>
        <v>GoR</v>
      </c>
      <c r="D75" s="107" t="str">
        <f t="shared" si="16"/>
        <v>SEA-011</v>
      </c>
      <c r="E75" s="21" t="s">
        <v>633</v>
      </c>
      <c r="F75" s="99" t="s">
        <v>636</v>
      </c>
      <c r="G75" s="167">
        <v>21.5</v>
      </c>
      <c r="H75" s="21" t="s">
        <v>570</v>
      </c>
      <c r="I75" s="21" t="s">
        <v>623</v>
      </c>
      <c r="J75" s="21" t="s">
        <v>79</v>
      </c>
      <c r="K75" s="172" t="s">
        <v>643</v>
      </c>
    </row>
    <row r="76" spans="1:11" x14ac:dyDescent="0.25">
      <c r="A76" s="107" t="str">
        <f t="shared" si="13"/>
        <v>Estonia</v>
      </c>
      <c r="B76" s="107" t="str">
        <f t="shared" si="14"/>
        <v>Gulf of Riga</v>
      </c>
      <c r="C76" s="107" t="str">
        <f t="shared" si="15"/>
        <v>GoR</v>
      </c>
      <c r="D76" s="107" t="str">
        <f t="shared" si="16"/>
        <v>SEA-011</v>
      </c>
      <c r="E76" s="21" t="s">
        <v>634</v>
      </c>
      <c r="F76" s="99" t="s">
        <v>636</v>
      </c>
      <c r="G76" s="167">
        <v>7.8</v>
      </c>
      <c r="H76" s="21" t="s">
        <v>571</v>
      </c>
      <c r="I76" s="21" t="s">
        <v>624</v>
      </c>
      <c r="J76" s="21" t="s">
        <v>79</v>
      </c>
      <c r="K76" s="172" t="s">
        <v>643</v>
      </c>
    </row>
    <row r="77" spans="1:11" x14ac:dyDescent="0.25">
      <c r="A77" s="107" t="str">
        <f t="shared" si="13"/>
        <v>Estonia</v>
      </c>
      <c r="B77" s="107" t="str">
        <f t="shared" si="14"/>
        <v>Gulf of Riga</v>
      </c>
      <c r="C77" s="107" t="str">
        <f t="shared" si="15"/>
        <v>GoR</v>
      </c>
      <c r="D77" s="107" t="str">
        <f t="shared" si="16"/>
        <v>SEA-011</v>
      </c>
      <c r="E77" s="21" t="s">
        <v>635</v>
      </c>
      <c r="F77" s="99" t="s">
        <v>636</v>
      </c>
      <c r="G77" s="167">
        <v>11</v>
      </c>
      <c r="H77" s="21" t="s">
        <v>572</v>
      </c>
      <c r="I77" s="21" t="s">
        <v>625</v>
      </c>
      <c r="J77" s="21" t="s">
        <v>79</v>
      </c>
      <c r="K77" s="172" t="s">
        <v>643</v>
      </c>
    </row>
  </sheetData>
  <phoneticPr fontId="31" type="noConversion"/>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97E51-4409-4E3B-8F08-AF27342DC342}">
  <sheetPr>
    <tabColor rgb="FFFFFF99"/>
  </sheetPr>
  <dimension ref="A1:I18"/>
  <sheetViews>
    <sheetView workbookViewId="0">
      <selection activeCell="H5" sqref="H5"/>
    </sheetView>
  </sheetViews>
  <sheetFormatPr defaultRowHeight="15" x14ac:dyDescent="0.25"/>
  <cols>
    <col min="1" max="1" width="18.42578125" customWidth="1"/>
    <col min="2" max="2" width="38.140625" customWidth="1"/>
    <col min="3" max="3" width="12.85546875" customWidth="1"/>
    <col min="4" max="9" width="15.5703125" bestFit="1" customWidth="1"/>
  </cols>
  <sheetData>
    <row r="1" spans="1:9" x14ac:dyDescent="0.25">
      <c r="A1" s="47" t="s">
        <v>41</v>
      </c>
      <c r="B1" s="47" t="s">
        <v>75</v>
      </c>
      <c r="C1" s="48" t="s">
        <v>82</v>
      </c>
      <c r="D1" s="48" t="s">
        <v>287</v>
      </c>
      <c r="E1" s="48" t="s">
        <v>287</v>
      </c>
      <c r="F1" s="48" t="s">
        <v>287</v>
      </c>
      <c r="G1" s="48" t="s">
        <v>287</v>
      </c>
      <c r="H1" s="48" t="s">
        <v>287</v>
      </c>
      <c r="I1" s="48" t="s">
        <v>287</v>
      </c>
    </row>
    <row r="2" spans="1:9" x14ac:dyDescent="0.25">
      <c r="A2" s="37" t="s">
        <v>42</v>
      </c>
      <c r="B2" s="37" t="s">
        <v>43</v>
      </c>
      <c r="C2" s="38" t="s">
        <v>147</v>
      </c>
      <c r="D2" s="38" t="s">
        <v>178</v>
      </c>
      <c r="E2" s="38" t="s">
        <v>40</v>
      </c>
      <c r="F2" s="38"/>
      <c r="G2" s="38"/>
      <c r="H2" s="38"/>
      <c r="I2" s="38"/>
    </row>
    <row r="3" spans="1:9" x14ac:dyDescent="0.25">
      <c r="A3" s="37" t="s">
        <v>44</v>
      </c>
      <c r="B3" s="37" t="s">
        <v>45</v>
      </c>
      <c r="C3" s="38" t="s">
        <v>141</v>
      </c>
      <c r="D3" s="38" t="s">
        <v>178</v>
      </c>
      <c r="E3" s="38" t="s">
        <v>173</v>
      </c>
      <c r="F3" s="38"/>
      <c r="G3" s="38"/>
      <c r="H3" s="38"/>
      <c r="I3" s="38"/>
    </row>
    <row r="4" spans="1:9" x14ac:dyDescent="0.25">
      <c r="A4" s="37" t="s">
        <v>46</v>
      </c>
      <c r="B4" s="37" t="s">
        <v>47</v>
      </c>
      <c r="C4" s="38" t="s">
        <v>146</v>
      </c>
      <c r="D4" s="38" t="s">
        <v>178</v>
      </c>
      <c r="E4" s="38" t="s">
        <v>173</v>
      </c>
      <c r="F4" s="38"/>
      <c r="G4" s="38"/>
      <c r="H4" s="38"/>
      <c r="I4" s="38"/>
    </row>
    <row r="5" spans="1:9" x14ac:dyDescent="0.25">
      <c r="A5" s="37" t="s">
        <v>48</v>
      </c>
      <c r="B5" s="37" t="s">
        <v>49</v>
      </c>
      <c r="C5" s="38" t="s">
        <v>145</v>
      </c>
      <c r="D5" s="38" t="s">
        <v>178</v>
      </c>
      <c r="E5" s="38" t="s">
        <v>173</v>
      </c>
      <c r="F5" s="38"/>
      <c r="G5" s="38"/>
      <c r="H5" s="38"/>
      <c r="I5" s="38"/>
    </row>
    <row r="6" spans="1:9" x14ac:dyDescent="0.25">
      <c r="A6" s="37" t="s">
        <v>50</v>
      </c>
      <c r="B6" s="37" t="s">
        <v>51</v>
      </c>
      <c r="C6" s="38" t="s">
        <v>144</v>
      </c>
      <c r="D6" s="38" t="s">
        <v>178</v>
      </c>
      <c r="E6" s="38" t="s">
        <v>173</v>
      </c>
      <c r="F6" s="38"/>
      <c r="G6" s="38"/>
      <c r="H6" s="38"/>
      <c r="I6" s="38"/>
    </row>
    <row r="7" spans="1:9" x14ac:dyDescent="0.25">
      <c r="A7" s="37" t="s">
        <v>52</v>
      </c>
      <c r="B7" s="37" t="s">
        <v>53</v>
      </c>
      <c r="C7" s="38" t="s">
        <v>143</v>
      </c>
      <c r="D7" s="38" t="s">
        <v>178</v>
      </c>
      <c r="E7" s="38" t="s">
        <v>173</v>
      </c>
      <c r="F7" s="38" t="s">
        <v>40</v>
      </c>
      <c r="G7" s="38"/>
      <c r="H7" s="38"/>
      <c r="I7" s="38"/>
    </row>
    <row r="8" spans="1:9" x14ac:dyDescent="0.25">
      <c r="A8" s="37" t="s">
        <v>54</v>
      </c>
      <c r="B8" s="37" t="s">
        <v>55</v>
      </c>
      <c r="C8" s="38" t="s">
        <v>142</v>
      </c>
      <c r="D8" s="38" t="s">
        <v>40</v>
      </c>
      <c r="E8" s="38" t="s">
        <v>172</v>
      </c>
      <c r="F8" s="38" t="s">
        <v>173</v>
      </c>
      <c r="G8" s="38"/>
      <c r="H8" s="38"/>
      <c r="I8" s="38"/>
    </row>
    <row r="9" spans="1:9" x14ac:dyDescent="0.25">
      <c r="A9" s="37" t="s">
        <v>56</v>
      </c>
      <c r="B9" s="37" t="s">
        <v>57</v>
      </c>
      <c r="C9" s="38" t="s">
        <v>141</v>
      </c>
      <c r="D9" s="38" t="s">
        <v>172</v>
      </c>
      <c r="E9" s="38"/>
      <c r="F9" s="38"/>
      <c r="G9" s="38"/>
      <c r="H9" s="38"/>
      <c r="I9" s="38"/>
    </row>
    <row r="10" spans="1:9" x14ac:dyDescent="0.25">
      <c r="A10" s="37" t="s">
        <v>58</v>
      </c>
      <c r="B10" s="37" t="s">
        <v>59</v>
      </c>
      <c r="C10" s="38" t="s">
        <v>140</v>
      </c>
      <c r="D10" s="38" t="s">
        <v>175</v>
      </c>
      <c r="E10" s="38" t="s">
        <v>176</v>
      </c>
      <c r="F10" s="38" t="s">
        <v>40</v>
      </c>
      <c r="G10" s="38" t="s">
        <v>174</v>
      </c>
      <c r="H10" s="38" t="s">
        <v>177</v>
      </c>
      <c r="I10" s="38" t="s">
        <v>172</v>
      </c>
    </row>
    <row r="11" spans="1:9" x14ac:dyDescent="0.25">
      <c r="A11" s="37" t="s">
        <v>60</v>
      </c>
      <c r="B11" s="37" t="s">
        <v>61</v>
      </c>
      <c r="C11" s="38" t="s">
        <v>37</v>
      </c>
      <c r="D11" s="38" t="s">
        <v>40</v>
      </c>
      <c r="E11" s="38" t="s">
        <v>174</v>
      </c>
      <c r="F11" s="38"/>
      <c r="G11" s="38"/>
      <c r="H11" s="38"/>
      <c r="I11" s="38"/>
    </row>
    <row r="12" spans="1:9" x14ac:dyDescent="0.25">
      <c r="A12" s="37" t="s">
        <v>62</v>
      </c>
      <c r="B12" s="37" t="s">
        <v>63</v>
      </c>
      <c r="C12" s="38" t="s">
        <v>77</v>
      </c>
      <c r="D12" s="38" t="s">
        <v>175</v>
      </c>
      <c r="E12" s="38" t="s">
        <v>176</v>
      </c>
      <c r="F12" s="38"/>
      <c r="G12" s="38"/>
      <c r="H12" s="38"/>
      <c r="I12" s="38"/>
    </row>
    <row r="13" spans="1:9" x14ac:dyDescent="0.25">
      <c r="A13" s="37" t="s">
        <v>64</v>
      </c>
      <c r="B13" s="37" t="s">
        <v>65</v>
      </c>
      <c r="C13" s="38" t="s">
        <v>36</v>
      </c>
      <c r="D13" s="38" t="s">
        <v>175</v>
      </c>
      <c r="E13" s="38" t="s">
        <v>174</v>
      </c>
      <c r="F13" s="38" t="s">
        <v>40</v>
      </c>
      <c r="G13" s="38"/>
      <c r="H13" s="38"/>
      <c r="I13" s="38"/>
    </row>
    <row r="14" spans="1:9" x14ac:dyDescent="0.25">
      <c r="A14" s="37" t="s">
        <v>66</v>
      </c>
      <c r="B14" s="37" t="s">
        <v>67</v>
      </c>
      <c r="C14" s="38" t="s">
        <v>81</v>
      </c>
      <c r="D14" s="38" t="s">
        <v>175</v>
      </c>
      <c r="E14" s="38" t="s">
        <v>174</v>
      </c>
      <c r="F14" s="38"/>
      <c r="G14" s="38"/>
      <c r="H14" s="38"/>
      <c r="I14" s="38"/>
    </row>
    <row r="15" spans="1:9" x14ac:dyDescent="0.25">
      <c r="A15" s="37" t="s">
        <v>68</v>
      </c>
      <c r="B15" s="37" t="s">
        <v>76</v>
      </c>
      <c r="C15" s="38" t="s">
        <v>139</v>
      </c>
      <c r="D15" s="38" t="s">
        <v>40</v>
      </c>
      <c r="E15" s="38" t="s">
        <v>174</v>
      </c>
      <c r="F15" s="38"/>
      <c r="G15" s="38"/>
      <c r="H15" s="38"/>
      <c r="I15" s="38"/>
    </row>
    <row r="16" spans="1:9" x14ac:dyDescent="0.25">
      <c r="A16" s="37" t="s">
        <v>69</v>
      </c>
      <c r="B16" s="37" t="s">
        <v>70</v>
      </c>
      <c r="C16" s="38" t="s">
        <v>39</v>
      </c>
      <c r="D16" s="38" t="s">
        <v>40</v>
      </c>
      <c r="E16" s="38" t="s">
        <v>174</v>
      </c>
      <c r="F16" s="38"/>
      <c r="G16" s="38"/>
      <c r="H16" s="38"/>
      <c r="I16" s="38"/>
    </row>
    <row r="17" spans="1:9" x14ac:dyDescent="0.25">
      <c r="A17" s="37" t="s">
        <v>71</v>
      </c>
      <c r="B17" s="37" t="s">
        <v>72</v>
      </c>
      <c r="C17" s="38" t="s">
        <v>137</v>
      </c>
      <c r="D17" s="38" t="s">
        <v>40</v>
      </c>
      <c r="E17" s="38" t="s">
        <v>174</v>
      </c>
      <c r="F17" s="38"/>
      <c r="G17" s="38"/>
      <c r="H17" s="38"/>
      <c r="I17" s="38"/>
    </row>
    <row r="18" spans="1:9" x14ac:dyDescent="0.25">
      <c r="A18" s="37" t="s">
        <v>73</v>
      </c>
      <c r="B18" s="37" t="s">
        <v>74</v>
      </c>
      <c r="C18" s="38" t="s">
        <v>138</v>
      </c>
      <c r="D18" s="38" t="s">
        <v>40</v>
      </c>
      <c r="E18" s="38" t="s">
        <v>174</v>
      </c>
      <c r="F18" s="38"/>
      <c r="G18" s="38"/>
      <c r="H18" s="38"/>
      <c r="I18" s="3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39DDC-3A04-4561-86E7-36F46F28FCDE}">
  <sheetPr>
    <tabColor rgb="FF92D050"/>
  </sheetPr>
  <dimension ref="A1:D13"/>
  <sheetViews>
    <sheetView workbookViewId="0">
      <selection activeCell="F13" sqref="F13"/>
    </sheetView>
  </sheetViews>
  <sheetFormatPr defaultRowHeight="15" x14ac:dyDescent="0.25"/>
  <cols>
    <col min="1" max="1" width="25.140625" customWidth="1"/>
    <col min="2" max="2" width="14.85546875" customWidth="1"/>
    <col min="3" max="3" width="11.7109375" customWidth="1"/>
    <col min="4" max="4" width="20.85546875" customWidth="1"/>
  </cols>
  <sheetData>
    <row r="1" spans="1:4" x14ac:dyDescent="0.25">
      <c r="A1" s="46" t="s">
        <v>154</v>
      </c>
      <c r="B1" s="46" t="s">
        <v>133</v>
      </c>
      <c r="C1" s="46" t="s">
        <v>155</v>
      </c>
      <c r="D1" s="46" t="s">
        <v>156</v>
      </c>
    </row>
    <row r="2" spans="1:4" x14ac:dyDescent="0.25">
      <c r="A2" s="111" t="s">
        <v>80</v>
      </c>
      <c r="B2" s="26" t="s">
        <v>134</v>
      </c>
      <c r="C2" s="27" t="s">
        <v>157</v>
      </c>
      <c r="D2" s="40" t="s">
        <v>220</v>
      </c>
    </row>
    <row r="3" spans="1:4" x14ac:dyDescent="0.25">
      <c r="A3" s="111" t="s">
        <v>283</v>
      </c>
      <c r="B3" s="26" t="s">
        <v>134</v>
      </c>
      <c r="C3" s="27" t="s">
        <v>289</v>
      </c>
      <c r="D3" s="40" t="s">
        <v>220</v>
      </c>
    </row>
    <row r="4" spans="1:4" x14ac:dyDescent="0.25">
      <c r="A4" s="111" t="s">
        <v>290</v>
      </c>
      <c r="B4" s="26" t="s">
        <v>134</v>
      </c>
      <c r="C4" s="27" t="s">
        <v>291</v>
      </c>
      <c r="D4" s="40" t="s">
        <v>220</v>
      </c>
    </row>
    <row r="5" spans="1:4" x14ac:dyDescent="0.25">
      <c r="A5" s="111" t="s">
        <v>203</v>
      </c>
      <c r="B5" s="26" t="s">
        <v>204</v>
      </c>
      <c r="C5" s="27" t="s">
        <v>205</v>
      </c>
      <c r="D5" s="40" t="s">
        <v>220</v>
      </c>
    </row>
    <row r="6" spans="1:4" x14ac:dyDescent="0.25">
      <c r="A6" s="112" t="s">
        <v>118</v>
      </c>
      <c r="B6" s="27" t="s">
        <v>135</v>
      </c>
      <c r="C6" s="27" t="s">
        <v>292</v>
      </c>
      <c r="D6" s="40" t="s">
        <v>220</v>
      </c>
    </row>
    <row r="7" spans="1:4" x14ac:dyDescent="0.25">
      <c r="A7" s="112" t="s">
        <v>158</v>
      </c>
      <c r="B7" s="27" t="s">
        <v>159</v>
      </c>
      <c r="C7" s="27" t="s">
        <v>194</v>
      </c>
      <c r="D7" s="40" t="s">
        <v>220</v>
      </c>
    </row>
    <row r="8" spans="1:4" x14ac:dyDescent="0.25">
      <c r="A8" s="112" t="s">
        <v>191</v>
      </c>
      <c r="B8" s="27" t="s">
        <v>192</v>
      </c>
      <c r="C8" s="27" t="s">
        <v>193</v>
      </c>
      <c r="D8" s="40" t="s">
        <v>220</v>
      </c>
    </row>
    <row r="13" spans="1:4" ht="14.45" customHeight="1" x14ac:dyDescent="0.7">
      <c r="B13" s="59"/>
    </row>
  </sheetData>
  <phoneticPr fontId="3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9FCD5-9F60-4355-A5B1-A7CDC794C4A7}">
  <sheetPr>
    <tabColor rgb="FFFFFF99"/>
  </sheetPr>
  <dimension ref="A1:A11"/>
  <sheetViews>
    <sheetView workbookViewId="0">
      <selection activeCell="C8" sqref="C8"/>
    </sheetView>
  </sheetViews>
  <sheetFormatPr defaultRowHeight="15" x14ac:dyDescent="0.25"/>
  <cols>
    <col min="1" max="1" width="18.42578125" customWidth="1"/>
  </cols>
  <sheetData>
    <row r="1" spans="1:1" x14ac:dyDescent="0.25">
      <c r="A1" s="48" t="s">
        <v>219</v>
      </c>
    </row>
    <row r="2" spans="1:1" x14ac:dyDescent="0.25">
      <c r="A2" s="66" t="s">
        <v>233</v>
      </c>
    </row>
    <row r="3" spans="1:1" x14ac:dyDescent="0.25">
      <c r="A3" s="66" t="s">
        <v>249</v>
      </c>
    </row>
    <row r="4" spans="1:1" x14ac:dyDescent="0.25">
      <c r="A4" s="66" t="s">
        <v>250</v>
      </c>
    </row>
    <row r="5" spans="1:1" x14ac:dyDescent="0.25">
      <c r="A5" s="66" t="s">
        <v>234</v>
      </c>
    </row>
    <row r="6" spans="1:1" x14ac:dyDescent="0.25">
      <c r="A6" s="85" t="s">
        <v>235</v>
      </c>
    </row>
    <row r="7" spans="1:1" x14ac:dyDescent="0.25">
      <c r="A7" s="66" t="s">
        <v>246</v>
      </c>
    </row>
    <row r="11" spans="1:1" ht="14.45" customHeigh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664A6-4F06-4751-A642-9322A6BDAD19}">
  <sheetPr>
    <tabColor rgb="FFFFFF99"/>
  </sheetPr>
  <dimension ref="A1:A12"/>
  <sheetViews>
    <sheetView workbookViewId="0">
      <selection activeCell="A5" sqref="A5"/>
    </sheetView>
  </sheetViews>
  <sheetFormatPr defaultRowHeight="15" x14ac:dyDescent="0.25"/>
  <cols>
    <col min="1" max="1" width="19.85546875" customWidth="1"/>
  </cols>
  <sheetData>
    <row r="1" spans="1:1" x14ac:dyDescent="0.25">
      <c r="A1" s="48" t="s">
        <v>207</v>
      </c>
    </row>
    <row r="2" spans="1:1" x14ac:dyDescent="0.25">
      <c r="A2" s="66" t="s">
        <v>102</v>
      </c>
    </row>
    <row r="3" spans="1:1" x14ac:dyDescent="0.25">
      <c r="A3" s="66" t="s">
        <v>202</v>
      </c>
    </row>
    <row r="4" spans="1:1" s="171" customFormat="1" x14ac:dyDescent="0.25">
      <c r="A4" s="66" t="s">
        <v>666</v>
      </c>
    </row>
    <row r="5" spans="1:1" x14ac:dyDescent="0.25">
      <c r="A5" s="66" t="s">
        <v>206</v>
      </c>
    </row>
    <row r="6" spans="1:1" x14ac:dyDescent="0.25">
      <c r="A6" s="66" t="s">
        <v>208</v>
      </c>
    </row>
    <row r="7" spans="1:1" x14ac:dyDescent="0.25">
      <c r="A7" s="66" t="s">
        <v>132</v>
      </c>
    </row>
    <row r="8" spans="1:1" x14ac:dyDescent="0.25">
      <c r="A8" s="66" t="s">
        <v>200</v>
      </c>
    </row>
    <row r="9" spans="1:1" x14ac:dyDescent="0.25">
      <c r="A9" s="66" t="s">
        <v>195</v>
      </c>
    </row>
    <row r="10" spans="1:1" x14ac:dyDescent="0.25">
      <c r="A10" s="66" t="s">
        <v>247</v>
      </c>
    </row>
    <row r="11" spans="1:1" ht="14.45" customHeight="1" x14ac:dyDescent="0.25">
      <c r="A11" s="66" t="s">
        <v>282</v>
      </c>
    </row>
    <row r="12" spans="1:1" x14ac:dyDescent="0.25">
      <c r="A12" s="66" t="s">
        <v>655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AD5BA-1DD6-4C37-894C-89121C61FE0B}">
  <sheetPr>
    <tabColor rgb="FFFF99FF"/>
  </sheetPr>
  <dimension ref="A1:H16"/>
  <sheetViews>
    <sheetView topLeftCell="A5" zoomScale="70" zoomScaleNormal="70" workbookViewId="0">
      <selection activeCell="G12" sqref="G12"/>
    </sheetView>
  </sheetViews>
  <sheetFormatPr defaultColWidth="9.140625" defaultRowHeight="15" x14ac:dyDescent="0.25"/>
  <cols>
    <col min="1" max="1" width="17.5703125" customWidth="1"/>
    <col min="2" max="2" width="16.5703125" customWidth="1"/>
    <col min="3" max="3" width="36.5703125" customWidth="1"/>
    <col min="4" max="4" width="61.7109375" customWidth="1"/>
    <col min="5" max="5" width="30.5703125" customWidth="1"/>
    <col min="6" max="6" width="24.42578125" customWidth="1"/>
    <col min="7" max="7" width="20.7109375" customWidth="1"/>
    <col min="8" max="8" width="15.85546875" bestFit="1" customWidth="1"/>
  </cols>
  <sheetData>
    <row r="1" spans="1:8" ht="45.75" thickBot="1" x14ac:dyDescent="0.3">
      <c r="A1" s="28" t="s">
        <v>105</v>
      </c>
      <c r="B1" s="28" t="s">
        <v>211</v>
      </c>
      <c r="C1" s="28" t="s">
        <v>106</v>
      </c>
      <c r="D1" s="28" t="s">
        <v>114</v>
      </c>
      <c r="E1" s="28" t="s">
        <v>101</v>
      </c>
      <c r="F1" s="60" t="s">
        <v>180</v>
      </c>
      <c r="G1" s="93" t="s">
        <v>258</v>
      </c>
      <c r="H1" s="93" t="s">
        <v>259</v>
      </c>
    </row>
    <row r="2" spans="1:8" ht="30" x14ac:dyDescent="0.25">
      <c r="A2" s="39" t="s">
        <v>104</v>
      </c>
      <c r="B2" s="39" t="s">
        <v>212</v>
      </c>
      <c r="C2" s="39" t="s">
        <v>103</v>
      </c>
      <c r="D2" s="39" t="s">
        <v>116</v>
      </c>
      <c r="E2" s="39" t="s">
        <v>126</v>
      </c>
      <c r="F2" s="41" t="s">
        <v>181</v>
      </c>
      <c r="G2" s="41" t="s">
        <v>255</v>
      </c>
      <c r="H2" s="41" t="s">
        <v>256</v>
      </c>
    </row>
    <row r="3" spans="1:8" ht="30" x14ac:dyDescent="0.25">
      <c r="A3" s="61" t="s">
        <v>107</v>
      </c>
      <c r="B3" s="39" t="s">
        <v>212</v>
      </c>
      <c r="C3" s="41" t="s">
        <v>115</v>
      </c>
      <c r="D3" s="41" t="s">
        <v>117</v>
      </c>
      <c r="E3" s="41" t="s">
        <v>127</v>
      </c>
      <c r="F3" s="41" t="s">
        <v>181</v>
      </c>
      <c r="G3" s="41" t="s">
        <v>255</v>
      </c>
      <c r="H3" s="41" t="s">
        <v>256</v>
      </c>
    </row>
    <row r="4" spans="1:8" ht="30" x14ac:dyDescent="0.25">
      <c r="A4" s="61" t="s">
        <v>100</v>
      </c>
      <c r="B4" s="61" t="s">
        <v>213</v>
      </c>
      <c r="C4" s="63" t="s">
        <v>99</v>
      </c>
      <c r="D4" s="63" t="s">
        <v>120</v>
      </c>
      <c r="E4" s="62" t="s">
        <v>121</v>
      </c>
      <c r="F4" s="41" t="s">
        <v>182</v>
      </c>
      <c r="G4" s="41" t="s">
        <v>253</v>
      </c>
      <c r="H4" s="41" t="s">
        <v>254</v>
      </c>
    </row>
    <row r="5" spans="1:8" ht="45" x14ac:dyDescent="0.25">
      <c r="A5" s="61" t="s">
        <v>108</v>
      </c>
      <c r="B5" s="61" t="s">
        <v>213</v>
      </c>
      <c r="C5" s="61" t="s">
        <v>109</v>
      </c>
      <c r="D5" s="41" t="s">
        <v>122</v>
      </c>
      <c r="E5" s="61" t="s">
        <v>110</v>
      </c>
      <c r="F5" s="41" t="s">
        <v>181</v>
      </c>
      <c r="G5" s="41" t="s">
        <v>253</v>
      </c>
      <c r="H5" s="41" t="s">
        <v>254</v>
      </c>
    </row>
    <row r="6" spans="1:8" ht="30" x14ac:dyDescent="0.25">
      <c r="A6" s="61" t="s">
        <v>111</v>
      </c>
      <c r="B6" s="61" t="s">
        <v>213</v>
      </c>
      <c r="C6" s="41" t="s">
        <v>113</v>
      </c>
      <c r="D6" s="41" t="s">
        <v>123</v>
      </c>
      <c r="E6" s="41" t="s">
        <v>124</v>
      </c>
      <c r="F6" s="41" t="s">
        <v>228</v>
      </c>
      <c r="G6" s="41" t="s">
        <v>255</v>
      </c>
      <c r="H6" s="41" t="s">
        <v>256</v>
      </c>
    </row>
    <row r="7" spans="1:8" ht="30" x14ac:dyDescent="0.25">
      <c r="A7" s="61" t="s">
        <v>112</v>
      </c>
      <c r="B7" s="61" t="s">
        <v>213</v>
      </c>
      <c r="C7" s="61" t="s">
        <v>125</v>
      </c>
      <c r="D7" s="41" t="s">
        <v>129</v>
      </c>
      <c r="E7" s="41" t="s">
        <v>128</v>
      </c>
      <c r="F7" s="41" t="s">
        <v>228</v>
      </c>
      <c r="G7" s="41" t="s">
        <v>255</v>
      </c>
      <c r="H7" s="41" t="s">
        <v>256</v>
      </c>
    </row>
    <row r="8" spans="1:8" ht="60" x14ac:dyDescent="0.25">
      <c r="A8" s="41" t="s">
        <v>214</v>
      </c>
      <c r="B8" s="61" t="s">
        <v>213</v>
      </c>
      <c r="C8" s="41" t="s">
        <v>215</v>
      </c>
      <c r="D8" s="41" t="s">
        <v>131</v>
      </c>
      <c r="E8" s="61" t="s">
        <v>130</v>
      </c>
      <c r="F8" s="41" t="s">
        <v>181</v>
      </c>
      <c r="G8" s="41" t="s">
        <v>257</v>
      </c>
      <c r="H8" s="41" t="s">
        <v>254</v>
      </c>
    </row>
    <row r="9" spans="1:8" ht="75" x14ac:dyDescent="0.25">
      <c r="A9" s="41" t="s">
        <v>638</v>
      </c>
      <c r="B9" s="61" t="s">
        <v>213</v>
      </c>
      <c r="C9" s="39" t="s">
        <v>639</v>
      </c>
      <c r="D9" s="41" t="s">
        <v>640</v>
      </c>
      <c r="E9" s="61" t="s">
        <v>232</v>
      </c>
      <c r="F9" s="41" t="s">
        <v>228</v>
      </c>
      <c r="G9" s="41" t="s">
        <v>255</v>
      </c>
      <c r="H9" s="41" t="s">
        <v>256</v>
      </c>
    </row>
    <row r="10" spans="1:8" ht="60" x14ac:dyDescent="0.25">
      <c r="A10" s="41" t="s">
        <v>229</v>
      </c>
      <c r="B10" s="64" t="s">
        <v>213</v>
      </c>
      <c r="C10" s="64" t="s">
        <v>230</v>
      </c>
      <c r="D10" s="41" t="s">
        <v>231</v>
      </c>
      <c r="E10" s="61" t="s">
        <v>232</v>
      </c>
      <c r="F10" s="39" t="s">
        <v>637</v>
      </c>
      <c r="G10" s="41" t="s">
        <v>255</v>
      </c>
      <c r="H10" s="41" t="s">
        <v>256</v>
      </c>
    </row>
    <row r="11" spans="1:8" ht="60" x14ac:dyDescent="0.25">
      <c r="A11" s="61" t="s">
        <v>209</v>
      </c>
      <c r="B11" s="39" t="s">
        <v>212</v>
      </c>
      <c r="C11" s="61" t="s">
        <v>225</v>
      </c>
      <c r="D11" s="41" t="s">
        <v>216</v>
      </c>
      <c r="E11" s="61" t="s">
        <v>210</v>
      </c>
      <c r="F11" s="39" t="s">
        <v>183</v>
      </c>
      <c r="G11" s="41" t="s">
        <v>253</v>
      </c>
      <c r="H11" s="41" t="s">
        <v>254</v>
      </c>
    </row>
    <row r="12" spans="1:8" ht="60" x14ac:dyDescent="0.25">
      <c r="A12" s="61" t="s">
        <v>223</v>
      </c>
      <c r="B12" s="39" t="s">
        <v>212</v>
      </c>
      <c r="C12" s="61" t="s">
        <v>224</v>
      </c>
      <c r="D12" s="41" t="s">
        <v>226</v>
      </c>
      <c r="E12" s="61" t="s">
        <v>210</v>
      </c>
      <c r="F12" s="39" t="s">
        <v>183</v>
      </c>
      <c r="G12" s="41" t="s">
        <v>253</v>
      </c>
      <c r="H12" s="41" t="s">
        <v>254</v>
      </c>
    </row>
    <row r="13" spans="1:8" ht="30" x14ac:dyDescent="0.25">
      <c r="A13" s="57" t="s">
        <v>179</v>
      </c>
      <c r="B13" s="61" t="s">
        <v>213</v>
      </c>
      <c r="C13" s="58" t="s">
        <v>184</v>
      </c>
      <c r="D13" s="41" t="s">
        <v>185</v>
      </c>
      <c r="E13" s="57" t="s">
        <v>186</v>
      </c>
      <c r="F13" s="39" t="s">
        <v>183</v>
      </c>
      <c r="G13" s="41" t="s">
        <v>255</v>
      </c>
      <c r="H13" s="41" t="s">
        <v>256</v>
      </c>
    </row>
    <row r="14" spans="1:8" ht="60" x14ac:dyDescent="0.25">
      <c r="A14" s="61" t="s">
        <v>188</v>
      </c>
      <c r="B14" s="61" t="s">
        <v>212</v>
      </c>
      <c r="C14" s="61" t="s">
        <v>187</v>
      </c>
      <c r="D14" s="41" t="s">
        <v>189</v>
      </c>
      <c r="E14" s="61" t="s">
        <v>190</v>
      </c>
      <c r="F14" s="39" t="s">
        <v>183</v>
      </c>
      <c r="G14" s="41" t="s">
        <v>255</v>
      </c>
      <c r="H14" s="41" t="s">
        <v>256</v>
      </c>
    </row>
    <row r="15" spans="1:8" ht="60" x14ac:dyDescent="0.25">
      <c r="A15" s="61" t="s">
        <v>196</v>
      </c>
      <c r="B15" s="61" t="s">
        <v>213</v>
      </c>
      <c r="C15" s="41" t="s">
        <v>197</v>
      </c>
      <c r="D15" s="41" t="s">
        <v>198</v>
      </c>
      <c r="E15" s="61" t="s">
        <v>199</v>
      </c>
      <c r="F15" s="39" t="s">
        <v>637</v>
      </c>
      <c r="G15" s="41" t="s">
        <v>255</v>
      </c>
      <c r="H15" s="41" t="s">
        <v>256</v>
      </c>
    </row>
    <row r="16" spans="1:8" ht="75" x14ac:dyDescent="0.25">
      <c r="A16" s="61" t="s">
        <v>217</v>
      </c>
      <c r="B16" s="39" t="s">
        <v>212</v>
      </c>
      <c r="C16" s="61" t="s">
        <v>218</v>
      </c>
      <c r="D16" s="41" t="s">
        <v>221</v>
      </c>
      <c r="E16" s="61" t="s">
        <v>222</v>
      </c>
      <c r="F16" s="39" t="s">
        <v>227</v>
      </c>
      <c r="G16" s="41" t="s">
        <v>255</v>
      </c>
      <c r="H16" s="41" t="s">
        <v>256</v>
      </c>
    </row>
  </sheetData>
  <phoneticPr fontId="3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249977111117893"/>
  </sheetPr>
  <dimension ref="A1:K44"/>
  <sheetViews>
    <sheetView workbookViewId="0">
      <selection activeCell="H36" sqref="H36"/>
    </sheetView>
  </sheetViews>
  <sheetFormatPr defaultRowHeight="15" x14ac:dyDescent="0.25"/>
  <cols>
    <col min="1" max="1" width="12.5703125" customWidth="1"/>
    <col min="2" max="2" width="12.5703125" style="110" customWidth="1"/>
    <col min="3" max="3" width="20.140625" customWidth="1"/>
    <col min="4" max="4" width="27.140625" customWidth="1"/>
    <col min="5" max="6" width="20" customWidth="1"/>
    <col min="7" max="7" width="10.5703125" customWidth="1"/>
    <col min="9" max="9" width="33.28515625" customWidth="1"/>
  </cols>
  <sheetData>
    <row r="1" spans="1:11" ht="75" x14ac:dyDescent="0.25">
      <c r="A1" s="50" t="s">
        <v>89</v>
      </c>
      <c r="B1" s="50" t="s">
        <v>288</v>
      </c>
      <c r="C1" s="50" t="s">
        <v>161</v>
      </c>
      <c r="D1" s="50" t="s">
        <v>148</v>
      </c>
      <c r="E1" s="50" t="s">
        <v>293</v>
      </c>
      <c r="F1" s="80" t="s">
        <v>294</v>
      </c>
      <c r="G1" s="80" t="s">
        <v>201</v>
      </c>
      <c r="H1" s="80" t="s">
        <v>244</v>
      </c>
      <c r="I1" s="80" t="s">
        <v>656</v>
      </c>
    </row>
    <row r="2" spans="1:11" x14ac:dyDescent="0.25">
      <c r="A2" s="33" t="str">
        <f>'Assessment Units'!C16</f>
        <v>BS</v>
      </c>
      <c r="B2" s="33" t="str">
        <f>Stations!C2</f>
        <v>BS</v>
      </c>
      <c r="C2" s="33" t="str">
        <f>Species!C$2</f>
        <v>Ma</v>
      </c>
      <c r="D2" s="36" t="str">
        <f>'BE rationale'!A$2</f>
        <v>PE</v>
      </c>
      <c r="E2" s="65" t="str">
        <f>Tissues!A$3</f>
        <v>brood</v>
      </c>
      <c r="F2" s="35" t="str">
        <f>Sex!A$3</f>
        <v>Gravid females</v>
      </c>
      <c r="G2" s="108">
        <v>0.06</v>
      </c>
      <c r="H2" s="113">
        <f t="shared" ref="H2:H7" si="0">G2</f>
        <v>0.06</v>
      </c>
    </row>
    <row r="3" spans="1:11" x14ac:dyDescent="0.25">
      <c r="A3" s="33"/>
      <c r="B3" s="33" t="str">
        <f>Stations!C22</f>
        <v>GoR</v>
      </c>
      <c r="C3" s="33" t="str">
        <f>Species!C$2</f>
        <v>Ma</v>
      </c>
      <c r="D3" s="36" t="str">
        <f>'BE rationale'!A$2</f>
        <v>PE</v>
      </c>
      <c r="E3" s="65" t="str">
        <f>Tissues!A$3</f>
        <v>brood</v>
      </c>
      <c r="F3" s="35" t="str">
        <f>Sex!A$3</f>
        <v>Gravid females</v>
      </c>
      <c r="G3" s="108">
        <v>0.06</v>
      </c>
      <c r="H3" s="113">
        <f t="shared" si="0"/>
        <v>0.06</v>
      </c>
    </row>
    <row r="4" spans="1:11" x14ac:dyDescent="0.25">
      <c r="A4" s="33"/>
      <c r="B4" s="33" t="str">
        <f>Stations!C22</f>
        <v>GoR</v>
      </c>
      <c r="C4" s="33" t="str">
        <f>Species!C4</f>
        <v>Poro</v>
      </c>
      <c r="D4" s="36" t="str">
        <f>'BE rationale'!A$2</f>
        <v>PE</v>
      </c>
      <c r="E4" s="65" t="str">
        <f>Tissues!A$3</f>
        <v>brood</v>
      </c>
      <c r="F4" s="35" t="str">
        <f>Sex!A$3</f>
        <v>Gravid females</v>
      </c>
      <c r="G4" s="108">
        <v>0.05</v>
      </c>
      <c r="H4" s="113">
        <f t="shared" si="0"/>
        <v>0.05</v>
      </c>
    </row>
    <row r="5" spans="1:11" x14ac:dyDescent="0.25">
      <c r="A5" s="34" t="str">
        <f>A2</f>
        <v>BS</v>
      </c>
      <c r="B5" s="34" t="str">
        <f>'Assessment Units'!C$16</f>
        <v>BS</v>
      </c>
      <c r="C5" s="33" t="str">
        <f>Species!C$2</f>
        <v>Ma</v>
      </c>
      <c r="D5" s="36" t="str">
        <f>'BE rationale'!A$3</f>
        <v>PF</v>
      </c>
      <c r="E5" s="65" t="str">
        <f>Tissues!A$3</f>
        <v>brood</v>
      </c>
      <c r="F5" s="35" t="str">
        <f>Sex!A$3</f>
        <v>Gravid females</v>
      </c>
      <c r="G5" s="115">
        <v>0.3</v>
      </c>
      <c r="H5" s="114">
        <f t="shared" si="0"/>
        <v>0.3</v>
      </c>
    </row>
    <row r="6" spans="1:11" x14ac:dyDescent="0.25">
      <c r="A6" s="34"/>
      <c r="B6" s="34" t="str">
        <f>'Assessment Units'!C12</f>
        <v>GoR</v>
      </c>
      <c r="C6" s="33" t="str">
        <f>Species!C$2</f>
        <v>Ma</v>
      </c>
      <c r="D6" s="36" t="str">
        <f>'BE rationale'!A$3</f>
        <v>PF</v>
      </c>
      <c r="E6" s="65" t="str">
        <f>Tissues!A$3</f>
        <v>brood</v>
      </c>
      <c r="F6" s="35" t="str">
        <f>Sex!A$3</f>
        <v>Gravid females</v>
      </c>
      <c r="G6" s="115">
        <v>0.22</v>
      </c>
      <c r="H6" s="114">
        <f t="shared" si="0"/>
        <v>0.22</v>
      </c>
    </row>
    <row r="7" spans="1:11" x14ac:dyDescent="0.25">
      <c r="A7" s="34"/>
      <c r="B7" s="34" t="str">
        <f>Stations!C22</f>
        <v>GoR</v>
      </c>
      <c r="C7" s="33" t="str">
        <f>Species!C4</f>
        <v>Poro</v>
      </c>
      <c r="D7" s="36" t="str">
        <f>'BE rationale'!A$3</f>
        <v>PF</v>
      </c>
      <c r="E7" s="65" t="str">
        <f>Tissues!A$3</f>
        <v>brood</v>
      </c>
      <c r="F7" s="35" t="str">
        <f>Sex!A$3</f>
        <v>Gravid females</v>
      </c>
      <c r="G7" s="115">
        <v>0.2</v>
      </c>
      <c r="H7" s="114">
        <f t="shared" si="0"/>
        <v>0.2</v>
      </c>
      <c r="I7" s="171"/>
    </row>
    <row r="8" spans="1:11" x14ac:dyDescent="0.25">
      <c r="A8" s="34" t="str">
        <f>A5</f>
        <v>BS</v>
      </c>
      <c r="B8" s="34" t="str">
        <f>'Assessment Units'!C$16</f>
        <v>BS</v>
      </c>
      <c r="C8" s="34" t="str">
        <f>C5</f>
        <v>Ma</v>
      </c>
      <c r="D8" s="36" t="str">
        <f>'BE rationale'!A4</f>
        <v>AChE</v>
      </c>
      <c r="E8" s="34" t="str">
        <f>Tissues!A2</f>
        <v>whole body</v>
      </c>
      <c r="F8" s="35" t="str">
        <f>Sex!A4</f>
        <v>De-brooded females</v>
      </c>
      <c r="G8" s="94">
        <v>13.7</v>
      </c>
      <c r="H8" s="95">
        <f>G8*0.7</f>
        <v>9.5899999999999981</v>
      </c>
    </row>
    <row r="9" spans="1:11" x14ac:dyDescent="0.25">
      <c r="A9" s="34"/>
      <c r="B9" s="34" t="str">
        <f>'Assessment Units'!C12</f>
        <v>GoR</v>
      </c>
      <c r="C9" s="34" t="str">
        <f>C5</f>
        <v>Ma</v>
      </c>
      <c r="D9" s="36" t="str">
        <f>'BE rationale'!A4</f>
        <v>AChE</v>
      </c>
      <c r="E9" s="34" t="str">
        <f>Tissues!A2</f>
        <v>whole body</v>
      </c>
      <c r="F9" s="35" t="str">
        <f>Sex!A4</f>
        <v>De-brooded females</v>
      </c>
      <c r="G9" s="94">
        <f>[1]AChE!$N$2</f>
        <v>29</v>
      </c>
      <c r="H9" s="95">
        <f>G9*0.7</f>
        <v>20.299999999999997</v>
      </c>
    </row>
    <row r="10" spans="1:11" s="171" customFormat="1" x14ac:dyDescent="0.25">
      <c r="A10" s="34"/>
      <c r="B10" s="34" t="str">
        <f>'Assessment Units'!C12</f>
        <v>GoR</v>
      </c>
      <c r="C10" s="34" t="str">
        <f>Species!C5</f>
        <v>Mb</v>
      </c>
      <c r="D10" s="36" t="str">
        <f>'BE rationale'!A4</f>
        <v>AChE</v>
      </c>
      <c r="E10" s="34" t="str">
        <f>Tissues!A12</f>
        <v>digestive gland/foot</v>
      </c>
      <c r="F10" s="35" t="str">
        <f>Sex!A6</f>
        <v>Mixed</v>
      </c>
      <c r="G10" s="94">
        <f>[2]AChE!$N$2</f>
        <v>4.191540296918399</v>
      </c>
      <c r="H10" s="95">
        <f>G10*0.7</f>
        <v>2.9340782078428793</v>
      </c>
    </row>
    <row r="11" spans="1:11" s="171" customFormat="1" x14ac:dyDescent="0.25">
      <c r="A11" s="34"/>
      <c r="B11" s="34" t="str">
        <f>B10</f>
        <v>GoR</v>
      </c>
      <c r="C11" s="34" t="str">
        <f>Species!C4</f>
        <v>Poro</v>
      </c>
      <c r="D11" s="36" t="str">
        <f>'BE rationale'!A4</f>
        <v>AChE</v>
      </c>
      <c r="E11" s="34" t="str">
        <f>Tissues!A2</f>
        <v>whole body</v>
      </c>
      <c r="F11" s="35" t="str">
        <f>Sex!A2</f>
        <v>Females</v>
      </c>
      <c r="G11" s="94">
        <f>[3]AChE!$N$2</f>
        <v>25.400000000000006</v>
      </c>
      <c r="H11" s="95">
        <f>G11*0.7</f>
        <v>17.78</v>
      </c>
      <c r="I11" s="171" t="s">
        <v>657</v>
      </c>
    </row>
    <row r="12" spans="1:11" x14ac:dyDescent="0.25">
      <c r="A12" s="34" t="str">
        <f>A8</f>
        <v>BS</v>
      </c>
      <c r="B12" s="34" t="str">
        <f>'Assessment Units'!C$16</f>
        <v>BS</v>
      </c>
      <c r="C12" s="34" t="str">
        <f>C8</f>
        <v>Ma</v>
      </c>
      <c r="D12" s="36" t="str">
        <f>'BE rationale'!A5</f>
        <v>RNA/DNA</v>
      </c>
      <c r="E12" s="34" t="str">
        <f>Tissues!A2</f>
        <v>whole body</v>
      </c>
      <c r="F12" s="35" t="str">
        <f>Sex!A4</f>
        <v>De-brooded females</v>
      </c>
      <c r="G12" s="96">
        <v>1.9702775806999999</v>
      </c>
      <c r="H12" s="95">
        <f t="shared" ref="H12:H35" si="1">G12*0.7</f>
        <v>1.3791943064899999</v>
      </c>
      <c r="K12" s="162"/>
    </row>
    <row r="13" spans="1:11" x14ac:dyDescent="0.25">
      <c r="A13" s="34" t="str">
        <f>A8</f>
        <v>BS</v>
      </c>
      <c r="B13" s="34" t="str">
        <f>'Assessment Units'!C$16</f>
        <v>BS</v>
      </c>
      <c r="C13" s="34" t="str">
        <f>Species!C2</f>
        <v>Ma</v>
      </c>
      <c r="D13" s="36" t="str">
        <f>'BE rationale'!A7</f>
        <v>TBARS</v>
      </c>
      <c r="E13" s="34" t="str">
        <f>Tissues!A2</f>
        <v>whole body</v>
      </c>
      <c r="F13" s="35" t="str">
        <f>Sex!A4</f>
        <v>De-brooded females</v>
      </c>
      <c r="G13" s="96">
        <v>0.49418894089999998</v>
      </c>
      <c r="H13" s="95">
        <f>G13*1.3</f>
        <v>0.64244562316999998</v>
      </c>
    </row>
    <row r="14" spans="1:11" x14ac:dyDescent="0.25">
      <c r="A14" s="34"/>
      <c r="B14" s="34" t="str">
        <f>'Assessment Units'!C12</f>
        <v>GoR</v>
      </c>
      <c r="C14" s="34" t="str">
        <f>Species!C2</f>
        <v>Ma</v>
      </c>
      <c r="D14" s="36" t="str">
        <f>'BE rationale'!A7</f>
        <v>TBARS</v>
      </c>
      <c r="E14" s="34" t="str">
        <f>Tissues!A2</f>
        <v>whole body</v>
      </c>
      <c r="F14" s="35" t="str">
        <f>Sex!A4</f>
        <v>De-brooded females</v>
      </c>
      <c r="G14" s="96">
        <v>5.5940000000000021</v>
      </c>
      <c r="H14" s="95">
        <f t="shared" ref="H14:H15" si="2">G14*1.3</f>
        <v>7.2722000000000033</v>
      </c>
    </row>
    <row r="15" spans="1:11" s="171" customFormat="1" x14ac:dyDescent="0.25">
      <c r="A15" s="34"/>
      <c r="B15" s="34" t="str">
        <f>B14</f>
        <v>GoR</v>
      </c>
      <c r="C15" s="34" t="str">
        <f>Species!C4</f>
        <v>Poro</v>
      </c>
      <c r="D15" s="36" t="str">
        <f>'BE rationale'!A7</f>
        <v>TBARS</v>
      </c>
      <c r="E15" s="34" t="str">
        <f>Tissues!A2</f>
        <v>whole body</v>
      </c>
      <c r="F15" s="35" t="str">
        <f>Sex!A2</f>
        <v>Females</v>
      </c>
      <c r="G15" s="96">
        <f>[3]TBARS!$N$2</f>
        <v>1.5209999999999999</v>
      </c>
      <c r="H15" s="95">
        <f t="shared" si="2"/>
        <v>1.9773000000000001</v>
      </c>
    </row>
    <row r="16" spans="1:11" x14ac:dyDescent="0.25">
      <c r="A16" s="34" t="str">
        <f>A13</f>
        <v>BS</v>
      </c>
      <c r="B16" s="34" t="str">
        <f>'Assessment Units'!C$16</f>
        <v>BS</v>
      </c>
      <c r="C16" s="34" t="str">
        <f>Species!C2</f>
        <v>Ma</v>
      </c>
      <c r="D16" s="36" t="str">
        <f>'BE rationale'!A8</f>
        <v>ORAC/TBARS (Redox index)</v>
      </c>
      <c r="E16" s="34" t="str">
        <f>Tissues!A2</f>
        <v>whole body</v>
      </c>
      <c r="F16" s="35" t="str">
        <f>Sex!A4</f>
        <v>De-brooded females</v>
      </c>
      <c r="G16" s="96">
        <v>0.35930149</v>
      </c>
      <c r="H16" s="95">
        <f t="shared" si="1"/>
        <v>0.25151104299999999</v>
      </c>
    </row>
    <row r="17" spans="1:9" x14ac:dyDescent="0.25">
      <c r="A17" s="34"/>
      <c r="B17" s="34" t="str">
        <f>'Assessment Units'!C12</f>
        <v>GoR</v>
      </c>
      <c r="C17" s="34" t="str">
        <f>Species!C2</f>
        <v>Ma</v>
      </c>
      <c r="D17" s="36" t="str">
        <f>'BE rationale'!A10</f>
        <v>CAT</v>
      </c>
      <c r="E17" s="34" t="str">
        <f>Tissues!A2</f>
        <v>whole body</v>
      </c>
      <c r="F17" s="35" t="str">
        <f>Sex!A4</f>
        <v>De-brooded females</v>
      </c>
      <c r="G17" s="94">
        <v>173.78300000000004</v>
      </c>
      <c r="H17" s="95">
        <f>G17*1.3</f>
        <v>225.91790000000006</v>
      </c>
    </row>
    <row r="18" spans="1:9" s="171" customFormat="1" x14ac:dyDescent="0.25">
      <c r="A18" s="34"/>
      <c r="B18" s="34" t="str">
        <f>'Assessment Units'!C12</f>
        <v>GoR</v>
      </c>
      <c r="C18" s="34" t="str">
        <f>Species!C5</f>
        <v>Mb</v>
      </c>
      <c r="D18" s="36" t="str">
        <f>'BE rationale'!A10</f>
        <v>CAT</v>
      </c>
      <c r="E18" s="34" t="str">
        <f>Tissues!A12</f>
        <v>digestive gland/foot</v>
      </c>
      <c r="F18" s="35" t="str">
        <f>Sex!A6</f>
        <v>Mixed</v>
      </c>
      <c r="G18" s="94">
        <v>89.019000000000062</v>
      </c>
      <c r="H18" s="95">
        <f t="shared" ref="H18:H25" si="3">G18*1.3</f>
        <v>115.72470000000008</v>
      </c>
    </row>
    <row r="19" spans="1:9" s="171" customFormat="1" x14ac:dyDescent="0.25">
      <c r="A19" s="34"/>
      <c r="B19" s="34" t="str">
        <f>B18</f>
        <v>GoR</v>
      </c>
      <c r="C19" s="34" t="str">
        <f>Species!C4</f>
        <v>Poro</v>
      </c>
      <c r="D19" s="36" t="str">
        <f>'BE rationale'!A10</f>
        <v>CAT</v>
      </c>
      <c r="E19" s="34" t="str">
        <f>Tissues!A2</f>
        <v>whole body</v>
      </c>
      <c r="F19" s="35" t="str">
        <f>Sex!A2</f>
        <v>Females</v>
      </c>
      <c r="G19" s="94">
        <f>[3]CAT!$N$2</f>
        <v>119.465</v>
      </c>
      <c r="H19" s="95">
        <f t="shared" si="3"/>
        <v>155.30450000000002</v>
      </c>
      <c r="I19" s="171" t="s">
        <v>657</v>
      </c>
    </row>
    <row r="20" spans="1:9" x14ac:dyDescent="0.25">
      <c r="A20" s="34"/>
      <c r="B20" s="34" t="str">
        <f>B17</f>
        <v>GoR</v>
      </c>
      <c r="C20" s="34" t="str">
        <f>C17</f>
        <v>Ma</v>
      </c>
      <c r="D20" s="36" t="str">
        <f>'BE rationale'!A15</f>
        <v>GST</v>
      </c>
      <c r="E20" s="34" t="str">
        <f>Tissues!A2</f>
        <v>whole body</v>
      </c>
      <c r="F20" s="35" t="str">
        <f>Sex!A4</f>
        <v>De-brooded females</v>
      </c>
      <c r="G20" s="94">
        <v>149.79500000000002</v>
      </c>
      <c r="H20" s="95">
        <f t="shared" si="3"/>
        <v>194.73350000000002</v>
      </c>
    </row>
    <row r="21" spans="1:9" s="171" customFormat="1" x14ac:dyDescent="0.25">
      <c r="A21" s="34"/>
      <c r="B21" s="34" t="str">
        <f>B20</f>
        <v>GoR</v>
      </c>
      <c r="C21" s="34" t="str">
        <f>Species!C5</f>
        <v>Mb</v>
      </c>
      <c r="D21" s="36" t="str">
        <f>'BE rationale'!A15</f>
        <v>GST</v>
      </c>
      <c r="E21" s="34" t="str">
        <f>Tissues!A12</f>
        <v>digestive gland/foot</v>
      </c>
      <c r="F21" s="35" t="str">
        <f>Sex!A6</f>
        <v>Mixed</v>
      </c>
      <c r="G21" s="94">
        <v>480.50572487947659</v>
      </c>
      <c r="H21" s="95">
        <f t="shared" si="3"/>
        <v>624.65744234331953</v>
      </c>
    </row>
    <row r="22" spans="1:9" s="171" customFormat="1" x14ac:dyDescent="0.25">
      <c r="A22" s="34"/>
      <c r="B22" s="34" t="str">
        <f>B21</f>
        <v>GoR</v>
      </c>
      <c r="C22" s="34" t="str">
        <f>Species!C4</f>
        <v>Poro</v>
      </c>
      <c r="D22" s="36" t="str">
        <f>'BE rationale'!A15</f>
        <v>GST</v>
      </c>
      <c r="E22" s="34" t="str">
        <f>Tissues!A2</f>
        <v>whole body</v>
      </c>
      <c r="F22" s="35" t="str">
        <f>Sex!A2</f>
        <v>Females</v>
      </c>
      <c r="G22" s="94">
        <v>237.5</v>
      </c>
      <c r="H22" s="95">
        <f t="shared" si="3"/>
        <v>308.75</v>
      </c>
      <c r="I22" s="171" t="s">
        <v>657</v>
      </c>
    </row>
    <row r="23" spans="1:9" x14ac:dyDescent="0.25">
      <c r="A23" s="34"/>
      <c r="B23" s="34" t="str">
        <f>'Assessment Units'!C12</f>
        <v>GoR</v>
      </c>
      <c r="C23" s="34" t="str">
        <f>C20</f>
        <v>Ma</v>
      </c>
      <c r="D23" s="36" t="str">
        <f>'BE rationale'!A9</f>
        <v>GR</v>
      </c>
      <c r="E23" s="34" t="str">
        <f>Tissues!A2</f>
        <v>whole body</v>
      </c>
      <c r="F23" s="35" t="str">
        <f>Sex!A4</f>
        <v>De-brooded females</v>
      </c>
      <c r="G23" s="94">
        <v>6.7640000000000011</v>
      </c>
      <c r="H23" s="95">
        <f t="shared" si="3"/>
        <v>8.7932000000000023</v>
      </c>
    </row>
    <row r="24" spans="1:9" s="171" customFormat="1" x14ac:dyDescent="0.25">
      <c r="A24" s="34"/>
      <c r="B24" s="34" t="str">
        <f>'Assessment Units'!C12</f>
        <v>GoR</v>
      </c>
      <c r="C24" s="34" t="str">
        <f>Species!C5</f>
        <v>Mb</v>
      </c>
      <c r="D24" s="36" t="str">
        <f>'BE rationale'!A9</f>
        <v>GR</v>
      </c>
      <c r="E24" s="34" t="str">
        <f>Tissues!A12</f>
        <v>digestive gland/foot</v>
      </c>
      <c r="F24" s="35" t="str">
        <f>Sex!A6</f>
        <v>Mixed</v>
      </c>
      <c r="G24" s="94">
        <v>25.629652960916328</v>
      </c>
      <c r="H24" s="95">
        <f t="shared" si="3"/>
        <v>33.318548849191231</v>
      </c>
    </row>
    <row r="25" spans="1:9" s="171" customFormat="1" x14ac:dyDescent="0.25">
      <c r="A25" s="34"/>
      <c r="B25" s="34" t="str">
        <f>B24</f>
        <v>GoR</v>
      </c>
      <c r="C25" s="34" t="str">
        <f>Species!C4</f>
        <v>Poro</v>
      </c>
      <c r="D25" s="36" t="str">
        <f>'BE rationale'!A9</f>
        <v>GR</v>
      </c>
      <c r="E25" s="34" t="str">
        <f>Tissues!A2</f>
        <v>whole body</v>
      </c>
      <c r="F25" s="35" t="str">
        <f>Sex!A2</f>
        <v>Females</v>
      </c>
      <c r="G25" s="94">
        <v>5.1960000000000006</v>
      </c>
      <c r="H25" s="95">
        <f t="shared" si="3"/>
        <v>6.7548000000000012</v>
      </c>
      <c r="I25" s="171" t="s">
        <v>657</v>
      </c>
    </row>
    <row r="26" spans="1:9" x14ac:dyDescent="0.25">
      <c r="A26" s="34" t="str">
        <f>A16</f>
        <v>BS</v>
      </c>
      <c r="B26" s="34" t="str">
        <f>'Assessment Units'!C$16</f>
        <v>BS</v>
      </c>
      <c r="C26" s="35" t="str">
        <f>Species!C6</f>
        <v>Pefl</v>
      </c>
      <c r="D26" s="35" t="str">
        <f>'BE rationale'!A13</f>
        <v>EROD</v>
      </c>
      <c r="E26" s="34" t="str">
        <f>Tissues!A9</f>
        <v>blood</v>
      </c>
      <c r="F26" s="35" t="str">
        <f>Sex!A2</f>
        <v>Females</v>
      </c>
      <c r="G26" s="94">
        <v>276</v>
      </c>
      <c r="H26" s="95">
        <f>G26*1.3</f>
        <v>358.8</v>
      </c>
    </row>
    <row r="27" spans="1:9" x14ac:dyDescent="0.25">
      <c r="A27" s="34" t="s">
        <v>39</v>
      </c>
      <c r="B27" s="34" t="str">
        <f>'Assessment Units'!C$16</f>
        <v>BS</v>
      </c>
      <c r="C27" s="35" t="str">
        <f>Species!C6</f>
        <v>Pefl</v>
      </c>
      <c r="D27" s="35" t="s">
        <v>179</v>
      </c>
      <c r="E27" s="34" t="s">
        <v>195</v>
      </c>
      <c r="F27" s="35" t="str">
        <f>Sex!A5</f>
        <v>Males</v>
      </c>
      <c r="G27" s="94">
        <v>405</v>
      </c>
      <c r="H27" s="95">
        <f>G27*1.3</f>
        <v>526.5</v>
      </c>
    </row>
    <row r="28" spans="1:9" x14ac:dyDescent="0.25">
      <c r="A28" s="34" t="str">
        <f>A26</f>
        <v>BS</v>
      </c>
      <c r="B28" s="34" t="str">
        <f>'Assessment Units'!C$16</f>
        <v>BS</v>
      </c>
      <c r="C28" s="35" t="str">
        <f>C26</f>
        <v>Pefl</v>
      </c>
      <c r="D28" s="35" t="str">
        <f>'BE rationale'!A14</f>
        <v>GLU</v>
      </c>
      <c r="E28" s="34" t="str">
        <f>Tissues!A9</f>
        <v>blood</v>
      </c>
      <c r="F28" s="35" t="str">
        <f>Sex!A6</f>
        <v>Mixed</v>
      </c>
      <c r="G28" s="94">
        <v>11.6</v>
      </c>
      <c r="H28" s="95">
        <f>G28*1.3</f>
        <v>15.08</v>
      </c>
    </row>
    <row r="29" spans="1:9" x14ac:dyDescent="0.25">
      <c r="A29" s="34" t="str">
        <f t="shared" ref="A29:A30" si="4">A28</f>
        <v>BS</v>
      </c>
      <c r="B29" s="34" t="str">
        <f>'Assessment Units'!C$16</f>
        <v>BS</v>
      </c>
      <c r="C29" s="35" t="str">
        <f t="shared" ref="C29:C30" si="5">C28</f>
        <v>Pefl</v>
      </c>
      <c r="D29" s="36" t="str">
        <f>'BE rationale'!A4</f>
        <v>AChE</v>
      </c>
      <c r="E29" s="35" t="str">
        <f>Tissues!A8</f>
        <v>liver</v>
      </c>
      <c r="F29" s="35" t="str">
        <f>Sex!A6</f>
        <v>Mixed</v>
      </c>
      <c r="G29" s="96">
        <v>15.547000000000001</v>
      </c>
      <c r="H29" s="95">
        <f t="shared" si="1"/>
        <v>10.882899999999999</v>
      </c>
    </row>
    <row r="30" spans="1:9" x14ac:dyDescent="0.25">
      <c r="A30" s="34" t="str">
        <f t="shared" si="4"/>
        <v>BS</v>
      </c>
      <c r="B30" s="34" t="str">
        <f>'Assessment Units'!C$16</f>
        <v>BS</v>
      </c>
      <c r="C30" s="35" t="str">
        <f t="shared" si="5"/>
        <v>Pefl</v>
      </c>
      <c r="D30" s="35" t="str">
        <f>'BE rationale'!A15</f>
        <v>GST</v>
      </c>
      <c r="E30" s="35" t="str">
        <f>Tissues!A8</f>
        <v>liver</v>
      </c>
      <c r="F30" s="35" t="str">
        <f>Sex!A6</f>
        <v>Mixed</v>
      </c>
      <c r="G30" s="96">
        <v>0.16650000000000001</v>
      </c>
      <c r="H30" s="95">
        <f>G30*1.3</f>
        <v>0.21645000000000003</v>
      </c>
    </row>
    <row r="31" spans="1:9" x14ac:dyDescent="0.25">
      <c r="A31" s="34" t="str">
        <f>'Assessment Units'!C16</f>
        <v>BS</v>
      </c>
      <c r="B31" s="34" t="str">
        <f>'Assessment Units'!C$16</f>
        <v>BS</v>
      </c>
      <c r="C31" s="35" t="str">
        <f>Species!C6</f>
        <v>Pefl</v>
      </c>
      <c r="D31" s="35" t="str">
        <f>'BE rationale'!A16</f>
        <v>VTG</v>
      </c>
      <c r="E31" s="35" t="str">
        <f>Tissues!A9</f>
        <v>blood</v>
      </c>
      <c r="F31" s="35" t="str">
        <f>Sex!A5</f>
        <v>Males</v>
      </c>
      <c r="G31" s="94">
        <v>0.66600000000000004</v>
      </c>
      <c r="H31" s="95">
        <f>G31*1.3</f>
        <v>0.86580000000000013</v>
      </c>
    </row>
    <row r="32" spans="1:9" x14ac:dyDescent="0.25">
      <c r="A32" s="34" t="str">
        <f>'Assessment Units'!C16</f>
        <v>BS</v>
      </c>
      <c r="B32" s="34" t="str">
        <f>'Assessment Units'!C$16</f>
        <v>BS</v>
      </c>
      <c r="C32" s="34" t="str">
        <f>Species!C6</f>
        <v>Pefl</v>
      </c>
      <c r="D32" s="34" t="str">
        <f>'BE rationale'!A11</f>
        <v>GSI</v>
      </c>
      <c r="E32" s="34" t="str">
        <f>Tissues!A2</f>
        <v>whole body</v>
      </c>
      <c r="F32" s="35" t="str">
        <f>Sex!A2</f>
        <v>Females</v>
      </c>
      <c r="G32" s="96">
        <v>3.1480000000000001</v>
      </c>
      <c r="H32" s="95">
        <f t="shared" si="1"/>
        <v>2.2035999999999998</v>
      </c>
    </row>
    <row r="33" spans="1:8" x14ac:dyDescent="0.25">
      <c r="A33" s="34" t="str">
        <f>'Assessment Units'!C16</f>
        <v>BS</v>
      </c>
      <c r="B33" s="34" t="str">
        <f>'Assessment Units'!C$16</f>
        <v>BS</v>
      </c>
      <c r="C33" s="34" t="str">
        <f>Species!C6</f>
        <v>Pefl</v>
      </c>
      <c r="D33" s="34" t="str">
        <f>'BE rationale'!A11</f>
        <v>GSI</v>
      </c>
      <c r="E33" s="34" t="str">
        <f>Tissues!A2</f>
        <v>whole body</v>
      </c>
      <c r="F33" s="35" t="str">
        <f>Sex!A5</f>
        <v>Males</v>
      </c>
      <c r="G33" s="96">
        <v>5.0220000000000002</v>
      </c>
      <c r="H33" s="95">
        <f t="shared" si="1"/>
        <v>3.5154000000000001</v>
      </c>
    </row>
    <row r="34" spans="1:8" x14ac:dyDescent="0.25">
      <c r="A34" s="34" t="str">
        <f>'Assessment Units'!C16</f>
        <v>BS</v>
      </c>
      <c r="B34" s="34" t="str">
        <f>'Assessment Units'!C$16</f>
        <v>BS</v>
      </c>
      <c r="C34" s="34" t="str">
        <f>Species!C6</f>
        <v>Pefl</v>
      </c>
      <c r="D34" s="34" t="str">
        <f>'BE rationale'!A12</f>
        <v>LSI</v>
      </c>
      <c r="E34" s="34" t="str">
        <f>Tissues!A2</f>
        <v>whole body</v>
      </c>
      <c r="F34" s="35" t="str">
        <f>Sex!A2</f>
        <v>Females</v>
      </c>
      <c r="G34" s="96">
        <v>1.4550000000000001</v>
      </c>
      <c r="H34" s="95">
        <f t="shared" si="1"/>
        <v>1.0185</v>
      </c>
    </row>
    <row r="35" spans="1:8" x14ac:dyDescent="0.25">
      <c r="A35" s="34" t="str">
        <f>'Assessment Units'!C16</f>
        <v>BS</v>
      </c>
      <c r="B35" s="34" t="str">
        <f>'Assessment Units'!C$16</f>
        <v>BS</v>
      </c>
      <c r="C35" s="34" t="str">
        <f>Species!C6</f>
        <v>Pefl</v>
      </c>
      <c r="D35" s="34" t="str">
        <f>'BE rationale'!A12</f>
        <v>LSI</v>
      </c>
      <c r="E35" s="34" t="str">
        <f>Tissues!A2</f>
        <v>whole body</v>
      </c>
      <c r="F35" s="35" t="str">
        <f>Sex!A5</f>
        <v>Males</v>
      </c>
      <c r="G35" s="96">
        <v>1.319</v>
      </c>
      <c r="H35" s="95">
        <f t="shared" si="1"/>
        <v>0.9232999999999999</v>
      </c>
    </row>
    <row r="36" spans="1:8" x14ac:dyDescent="0.25">
      <c r="A36" s="34" t="str">
        <f>'Assessment Units'!C16</f>
        <v>BS</v>
      </c>
      <c r="B36" s="109"/>
    </row>
    <row r="37" spans="1:8" x14ac:dyDescent="0.25">
      <c r="A37" s="34" t="str">
        <f>'Assessment Units'!C16</f>
        <v>BS</v>
      </c>
      <c r="B37" s="109"/>
    </row>
    <row r="38" spans="1:8" x14ac:dyDescent="0.25">
      <c r="A38" s="34" t="str">
        <f>'Assessment Units'!C16</f>
        <v>BS</v>
      </c>
      <c r="B38" s="109"/>
    </row>
    <row r="39" spans="1:8" x14ac:dyDescent="0.25">
      <c r="A39" s="34" t="str">
        <f>'Assessment Units'!C16</f>
        <v>BS</v>
      </c>
      <c r="B39" s="109"/>
    </row>
    <row r="40" spans="1:8" x14ac:dyDescent="0.25">
      <c r="A40" s="34" t="str">
        <f>'Assessment Units'!C16</f>
        <v>BS</v>
      </c>
      <c r="B40" s="109"/>
    </row>
    <row r="41" spans="1:8" x14ac:dyDescent="0.25">
      <c r="A41" s="34" t="str">
        <f>'Assessment Units'!C16</f>
        <v>BS</v>
      </c>
      <c r="B41" s="109"/>
    </row>
    <row r="42" spans="1:8" x14ac:dyDescent="0.25">
      <c r="A42" s="34" t="str">
        <f>'Assessment Units'!C16</f>
        <v>BS</v>
      </c>
      <c r="B42" s="109"/>
    </row>
    <row r="43" spans="1:8" x14ac:dyDescent="0.25">
      <c r="A43" s="34" t="str">
        <f>'Assessment Units'!C16</f>
        <v>BS</v>
      </c>
      <c r="B43" s="109"/>
    </row>
    <row r="44" spans="1:8" x14ac:dyDescent="0.25">
      <c r="A44" s="34" t="str">
        <f>'Assessment Units'!C16</f>
        <v>BS</v>
      </c>
      <c r="B44" s="109"/>
    </row>
  </sheetData>
  <autoFilter ref="A1:H44" xr:uid="{00000000-0001-0000-0500-000000000000}"/>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2ACBB-2A99-4488-8468-69756E15C368}">
  <sheetPr>
    <tabColor theme="9" tint="0.39997558519241921"/>
  </sheetPr>
  <dimension ref="A1:O39"/>
  <sheetViews>
    <sheetView topLeftCell="A11" workbookViewId="0">
      <selection activeCell="U23" sqref="U23"/>
    </sheetView>
  </sheetViews>
  <sheetFormatPr defaultColWidth="9.140625" defaultRowHeight="15" x14ac:dyDescent="0.25"/>
  <cols>
    <col min="1" max="1" width="14" style="171" customWidth="1"/>
    <col min="2" max="2" width="8.7109375" style="171" customWidth="1"/>
    <col min="3" max="3" width="13.85546875" style="171" customWidth="1"/>
    <col min="4" max="4" width="9.7109375" style="171" customWidth="1"/>
    <col min="5" max="5" width="21.7109375" style="171" customWidth="1"/>
    <col min="6" max="6" width="13.42578125" style="171" customWidth="1"/>
    <col min="7" max="7" width="8.85546875" style="171" customWidth="1"/>
    <col min="8" max="9" width="9.5703125" style="171" customWidth="1"/>
    <col min="10" max="10" width="9.42578125" style="171" customWidth="1"/>
    <col min="11" max="11" width="9.28515625" style="171" customWidth="1"/>
    <col min="12" max="12" width="11.28515625" style="171" customWidth="1"/>
    <col min="13" max="13" width="11.42578125" style="171" customWidth="1"/>
    <col min="14" max="14" width="10.7109375" style="171" customWidth="1"/>
    <col min="15" max="15" width="10.5703125" style="171" customWidth="1"/>
    <col min="16" max="16384" width="9.140625" style="171"/>
  </cols>
  <sheetData>
    <row r="1" spans="1:15" ht="60" x14ac:dyDescent="0.25">
      <c r="A1" s="51" t="str">
        <f>'BS_BAC exceedance'!A1</f>
        <v>YEAR</v>
      </c>
      <c r="B1" s="53" t="str">
        <f>'BS_BAC exceedance'!B1</f>
        <v>Basin</v>
      </c>
      <c r="C1" s="203" t="s">
        <v>469</v>
      </c>
      <c r="D1" s="203" t="s">
        <v>470</v>
      </c>
      <c r="E1" s="51" t="str">
        <f>'BS_BAC exceedance'!C1</f>
        <v>Station</v>
      </c>
      <c r="F1" s="203" t="str">
        <f>'BS_BAC exceedance'!E1</f>
        <v>Assessment result per station</v>
      </c>
      <c r="G1" s="203" t="str">
        <f>'BS_BAC exceedance'!F1</f>
        <v>N markers used</v>
      </c>
      <c r="H1" s="159" t="str">
        <f>'BS_BAC exceedance'!G1</f>
        <v>N markers non-GES</v>
      </c>
      <c r="I1" s="159" t="s">
        <v>468</v>
      </c>
      <c r="J1" s="159" t="str">
        <f>'BS_BAC exceedance'!H1</f>
        <v>N markers Exposure</v>
      </c>
      <c r="K1" s="159" t="str">
        <f>'BS_BAC exceedance'!I1</f>
        <v>N markers Effect</v>
      </c>
      <c r="L1" s="159" t="str">
        <f>'BS_BAC exceedance'!J1</f>
        <v>N markers Exposure = non-GES</v>
      </c>
      <c r="M1" s="159" t="str">
        <f>'BS_BAC exceedance'!K1</f>
        <v>N markers Effect = non-GES</v>
      </c>
      <c r="N1" s="159" t="str">
        <f>'BS_BAC exceedance'!L1</f>
        <v>%Exposure markers exceeding BAC</v>
      </c>
      <c r="O1" s="159" t="str">
        <f>'BS_BAC exceedance'!M1</f>
        <v>%Effect markers exceeding BAC</v>
      </c>
    </row>
    <row r="2" spans="1:15" x14ac:dyDescent="0.25">
      <c r="A2" s="213"/>
      <c r="B2" s="213" t="s">
        <v>77</v>
      </c>
      <c r="C2" s="214" cm="1">
        <f t="array" ref="C2">COUNTIF(F3:F39, 0) / SUMPRODUCT(--(LEN(F3:F39) &gt; 0)) * 100</f>
        <v>35.135135135135137</v>
      </c>
      <c r="D2" s="213" t="str">
        <f>IF(C2&gt;50, "sub-GES", "GES")</f>
        <v>GES</v>
      </c>
      <c r="E2" s="213"/>
      <c r="F2" s="213"/>
      <c r="G2" s="213"/>
      <c r="H2" s="213"/>
      <c r="I2" s="213"/>
      <c r="J2" s="213"/>
      <c r="K2" s="213"/>
      <c r="L2" s="213"/>
      <c r="M2" s="213"/>
      <c r="N2" s="213"/>
      <c r="O2" s="213"/>
    </row>
    <row r="3" spans="1:15" x14ac:dyDescent="0.25">
      <c r="A3" s="177" t="s">
        <v>664</v>
      </c>
      <c r="B3" s="215" t="str">
        <f>'GoR_BAC exceedance'!B2</f>
        <v>GoR</v>
      </c>
      <c r="C3" s="164"/>
      <c r="D3" s="164"/>
      <c r="E3" s="216" t="str">
        <f>'GoR_BAC exceedance'!C2</f>
        <v>101A</v>
      </c>
      <c r="F3" s="161">
        <f>'GoR_BAC exceedance'!E2</f>
        <v>1</v>
      </c>
      <c r="G3" s="161">
        <f>'GoR_BAC exceedance'!F2</f>
        <v>11</v>
      </c>
      <c r="H3" s="161">
        <f>'GoR_BAC exceedance'!G2</f>
        <v>5</v>
      </c>
      <c r="I3" s="161">
        <f t="shared" ref="I3" si="0">100*H3/G3</f>
        <v>45.454545454545453</v>
      </c>
      <c r="J3" s="161">
        <f>'GoR_BAC exceedance'!H2</f>
        <v>9</v>
      </c>
      <c r="K3" s="161">
        <f>'GoR_BAC exceedance'!I2</f>
        <v>2</v>
      </c>
      <c r="L3" s="161">
        <f>'GoR_BAC exceedance'!J2</f>
        <v>4</v>
      </c>
      <c r="M3" s="161">
        <f>'GoR_BAC exceedance'!K2</f>
        <v>1</v>
      </c>
      <c r="N3" s="161">
        <f>'GoR_BAC exceedance'!L2</f>
        <v>44.444444444444443</v>
      </c>
      <c r="O3" s="161">
        <f>'GoR_BAC exceedance'!M2</f>
        <v>50</v>
      </c>
    </row>
    <row r="4" spans="1:15" x14ac:dyDescent="0.25">
      <c r="A4" s="177" t="s">
        <v>664</v>
      </c>
      <c r="B4" s="215" t="str">
        <f>'GoR_BAC exceedance'!B3</f>
        <v>GoR</v>
      </c>
      <c r="C4" s="164"/>
      <c r="D4" s="164"/>
      <c r="E4" s="216" t="str">
        <f>'GoR_BAC exceedance'!C3</f>
        <v>167B</v>
      </c>
      <c r="F4" s="161">
        <f>'GoR_BAC exceedance'!E3</f>
        <v>0</v>
      </c>
      <c r="G4" s="161">
        <f>'GoR_BAC exceedance'!F3</f>
        <v>11</v>
      </c>
      <c r="H4" s="161">
        <f>'GoR_BAC exceedance'!G3</f>
        <v>7</v>
      </c>
      <c r="I4" s="161">
        <f t="shared" ref="I4:I39" si="1">100*H4/G4</f>
        <v>63.636363636363633</v>
      </c>
      <c r="J4" s="161">
        <f>'GoR_BAC exceedance'!H3</f>
        <v>9</v>
      </c>
      <c r="K4" s="161">
        <f>'GoR_BAC exceedance'!I3</f>
        <v>2</v>
      </c>
      <c r="L4" s="161">
        <f>'GoR_BAC exceedance'!J3</f>
        <v>6</v>
      </c>
      <c r="M4" s="161">
        <f>'GoR_BAC exceedance'!K3</f>
        <v>1</v>
      </c>
      <c r="N4" s="161">
        <f>'GoR_BAC exceedance'!L3</f>
        <v>66.666666666666671</v>
      </c>
      <c r="O4" s="161">
        <f>'GoR_BAC exceedance'!M3</f>
        <v>50</v>
      </c>
    </row>
    <row r="5" spans="1:15" x14ac:dyDescent="0.25">
      <c r="A5" s="177" t="s">
        <v>664</v>
      </c>
      <c r="B5" s="215" t="str">
        <f>'GoR_BAC exceedance'!B4</f>
        <v>GoR</v>
      </c>
      <c r="C5" s="164"/>
      <c r="D5" s="164"/>
      <c r="E5" s="216" t="str">
        <f>'GoR_BAC exceedance'!C4</f>
        <v>160B</v>
      </c>
      <c r="F5" s="161">
        <f>'GoR_BAC exceedance'!E4</f>
        <v>0</v>
      </c>
      <c r="G5" s="161">
        <f>'GoR_BAC exceedance'!F4</f>
        <v>11</v>
      </c>
      <c r="H5" s="161">
        <f>'GoR_BAC exceedance'!G4</f>
        <v>8</v>
      </c>
      <c r="I5" s="161">
        <f t="shared" si="1"/>
        <v>72.727272727272734</v>
      </c>
      <c r="J5" s="161">
        <f>'GoR_BAC exceedance'!H4</f>
        <v>9</v>
      </c>
      <c r="K5" s="161">
        <f>'GoR_BAC exceedance'!I4</f>
        <v>2</v>
      </c>
      <c r="L5" s="161">
        <f>'GoR_BAC exceedance'!J4</f>
        <v>6</v>
      </c>
      <c r="M5" s="161">
        <f>'GoR_BAC exceedance'!K4</f>
        <v>2</v>
      </c>
      <c r="N5" s="161">
        <f>'GoR_BAC exceedance'!L4</f>
        <v>66.666666666666671</v>
      </c>
      <c r="O5" s="161">
        <f>'GoR_BAC exceedance'!M4</f>
        <v>100</v>
      </c>
    </row>
    <row r="6" spans="1:15" x14ac:dyDescent="0.25">
      <c r="A6" s="177" t="s">
        <v>664</v>
      </c>
      <c r="B6" s="215" t="str">
        <f>'GoR_BAC exceedance'!B5</f>
        <v>GoR</v>
      </c>
      <c r="C6" s="164"/>
      <c r="D6" s="164"/>
      <c r="E6" s="216" t="str">
        <f>'GoR_BAC exceedance'!C5</f>
        <v>VAD2</v>
      </c>
      <c r="F6" s="161">
        <f>'GoR_BAC exceedance'!E5</f>
        <v>1</v>
      </c>
      <c r="G6" s="161">
        <f>'GoR_BAC exceedance'!F5</f>
        <v>11</v>
      </c>
      <c r="H6" s="161">
        <f>'GoR_BAC exceedance'!G5</f>
        <v>5</v>
      </c>
      <c r="I6" s="161">
        <f t="shared" si="1"/>
        <v>45.454545454545453</v>
      </c>
      <c r="J6" s="161">
        <f>'GoR_BAC exceedance'!H5</f>
        <v>9</v>
      </c>
      <c r="K6" s="161">
        <f>'GoR_BAC exceedance'!I5</f>
        <v>2</v>
      </c>
      <c r="L6" s="161">
        <f>'GoR_BAC exceedance'!J5</f>
        <v>4</v>
      </c>
      <c r="M6" s="161">
        <f>'GoR_BAC exceedance'!K5</f>
        <v>1</v>
      </c>
      <c r="N6" s="161">
        <f>'GoR_BAC exceedance'!L5</f>
        <v>44.444444444444443</v>
      </c>
      <c r="O6" s="161">
        <f>'GoR_BAC exceedance'!M5</f>
        <v>50</v>
      </c>
    </row>
    <row r="7" spans="1:15" x14ac:dyDescent="0.25">
      <c r="A7" s="177" t="s">
        <v>664</v>
      </c>
      <c r="B7" s="215" t="str">
        <f>'GoR_BAC exceedance'!B6</f>
        <v>GoR</v>
      </c>
      <c r="C7" s="164"/>
      <c r="D7" s="164"/>
      <c r="E7" s="216" t="str">
        <f>'GoR_BAC exceedance'!C6</f>
        <v>163B</v>
      </c>
      <c r="F7" s="161">
        <f>'GoR_BAC exceedance'!E6</f>
        <v>1</v>
      </c>
      <c r="G7" s="161">
        <f>'GoR_BAC exceedance'!F6</f>
        <v>11</v>
      </c>
      <c r="H7" s="161">
        <f>'GoR_BAC exceedance'!G6</f>
        <v>4</v>
      </c>
      <c r="I7" s="161">
        <f t="shared" si="1"/>
        <v>36.363636363636367</v>
      </c>
      <c r="J7" s="161">
        <f>'GoR_BAC exceedance'!H6</f>
        <v>9</v>
      </c>
      <c r="K7" s="161">
        <f>'GoR_BAC exceedance'!I6</f>
        <v>2</v>
      </c>
      <c r="L7" s="161">
        <f>'GoR_BAC exceedance'!J6</f>
        <v>4</v>
      </c>
      <c r="M7" s="161">
        <f>'GoR_BAC exceedance'!K6</f>
        <v>0</v>
      </c>
      <c r="N7" s="161">
        <f>'GoR_BAC exceedance'!L6</f>
        <v>44.444444444444443</v>
      </c>
      <c r="O7" s="161">
        <f>'GoR_BAC exceedance'!M6</f>
        <v>0</v>
      </c>
    </row>
    <row r="8" spans="1:15" x14ac:dyDescent="0.25">
      <c r="A8" s="177" t="s">
        <v>664</v>
      </c>
      <c r="B8" s="215" t="str">
        <f>'GoR_BAC exceedance'!B7</f>
        <v>GoR</v>
      </c>
      <c r="C8" s="164"/>
      <c r="D8" s="164"/>
      <c r="E8" s="216" t="str">
        <f>'GoR_BAC exceedance'!C7</f>
        <v>162B</v>
      </c>
      <c r="F8" s="161">
        <f>'GoR_BAC exceedance'!E7</f>
        <v>0</v>
      </c>
      <c r="G8" s="161">
        <f>'GoR_BAC exceedance'!F7</f>
        <v>11</v>
      </c>
      <c r="H8" s="161">
        <f>'GoR_BAC exceedance'!G7</f>
        <v>6</v>
      </c>
      <c r="I8" s="161">
        <f t="shared" si="1"/>
        <v>54.545454545454547</v>
      </c>
      <c r="J8" s="161">
        <f>'GoR_BAC exceedance'!H7</f>
        <v>9</v>
      </c>
      <c r="K8" s="161">
        <f>'GoR_BAC exceedance'!I7</f>
        <v>2</v>
      </c>
      <c r="L8" s="161">
        <f>'GoR_BAC exceedance'!J7</f>
        <v>4</v>
      </c>
      <c r="M8" s="161">
        <f>'GoR_BAC exceedance'!K7</f>
        <v>2</v>
      </c>
      <c r="N8" s="161">
        <f>'GoR_BAC exceedance'!L7</f>
        <v>44.444444444444443</v>
      </c>
      <c r="O8" s="161">
        <f>'GoR_BAC exceedance'!M7</f>
        <v>100</v>
      </c>
    </row>
    <row r="9" spans="1:15" x14ac:dyDescent="0.25">
      <c r="A9" s="177" t="s">
        <v>664</v>
      </c>
      <c r="B9" s="215" t="str">
        <f>'GoR_BAC exceedance'!B8</f>
        <v>GoR</v>
      </c>
      <c r="C9" s="164"/>
      <c r="D9" s="164"/>
      <c r="E9" s="216" t="str">
        <f>'GoR_BAC exceedance'!C8</f>
        <v>111</v>
      </c>
      <c r="F9" s="161">
        <f>'GoR_BAC exceedance'!E8</f>
        <v>1</v>
      </c>
      <c r="G9" s="161">
        <f>'GoR_BAC exceedance'!F8</f>
        <v>11</v>
      </c>
      <c r="H9" s="161">
        <f>'GoR_BAC exceedance'!G8</f>
        <v>4</v>
      </c>
      <c r="I9" s="161">
        <f t="shared" si="1"/>
        <v>36.363636363636367</v>
      </c>
      <c r="J9" s="161">
        <f>'GoR_BAC exceedance'!H8</f>
        <v>9</v>
      </c>
      <c r="K9" s="161">
        <f>'GoR_BAC exceedance'!I8</f>
        <v>2</v>
      </c>
      <c r="L9" s="161">
        <f>'GoR_BAC exceedance'!J8</f>
        <v>2</v>
      </c>
      <c r="M9" s="161">
        <f>'GoR_BAC exceedance'!K8</f>
        <v>2</v>
      </c>
      <c r="N9" s="161">
        <f>'GoR_BAC exceedance'!L8</f>
        <v>22.222222222222221</v>
      </c>
      <c r="O9" s="161">
        <f>'GoR_BAC exceedance'!M8</f>
        <v>100</v>
      </c>
    </row>
    <row r="10" spans="1:15" x14ac:dyDescent="0.25">
      <c r="A10" s="177" t="s">
        <v>664</v>
      </c>
      <c r="B10" s="215" t="str">
        <f>'GoR_BAC exceedance'!B9</f>
        <v>GoR</v>
      </c>
      <c r="C10" s="164"/>
      <c r="D10" s="164"/>
      <c r="E10" s="216" t="str">
        <f>'GoR_BAC exceedance'!C9</f>
        <v>114A</v>
      </c>
      <c r="F10" s="161">
        <f>'GoR_BAC exceedance'!E9</f>
        <v>0</v>
      </c>
      <c r="G10" s="161">
        <f>'GoR_BAC exceedance'!F9</f>
        <v>11</v>
      </c>
      <c r="H10" s="161">
        <f>'GoR_BAC exceedance'!G9</f>
        <v>6</v>
      </c>
      <c r="I10" s="161">
        <f t="shared" si="1"/>
        <v>54.545454545454547</v>
      </c>
      <c r="J10" s="161">
        <f>'GoR_BAC exceedance'!H9</f>
        <v>9</v>
      </c>
      <c r="K10" s="161">
        <f>'GoR_BAC exceedance'!I9</f>
        <v>2</v>
      </c>
      <c r="L10" s="161">
        <f>'GoR_BAC exceedance'!J9</f>
        <v>4</v>
      </c>
      <c r="M10" s="161">
        <f>'GoR_BAC exceedance'!K9</f>
        <v>2</v>
      </c>
      <c r="N10" s="161">
        <f>'GoR_BAC exceedance'!L9</f>
        <v>44.444444444444443</v>
      </c>
      <c r="O10" s="161">
        <f>'GoR_BAC exceedance'!M9</f>
        <v>100</v>
      </c>
    </row>
    <row r="11" spans="1:15" x14ac:dyDescent="0.25">
      <c r="A11" s="177" t="s">
        <v>664</v>
      </c>
      <c r="B11" s="215" t="str">
        <f>'GoR_BAC exceedance'!B10</f>
        <v>GoR</v>
      </c>
      <c r="C11" s="164"/>
      <c r="D11" s="164"/>
      <c r="E11" s="216" t="str">
        <f>'GoR_BAC exceedance'!C10</f>
        <v>G3</v>
      </c>
      <c r="F11" s="161">
        <f>'GoR_BAC exceedance'!E10</f>
        <v>0</v>
      </c>
      <c r="G11" s="161">
        <f>'GoR_BAC exceedance'!F10</f>
        <v>3</v>
      </c>
      <c r="H11" s="161">
        <f>'GoR_BAC exceedance'!G10</f>
        <v>3</v>
      </c>
      <c r="I11" s="161">
        <f t="shared" si="1"/>
        <v>100</v>
      </c>
      <c r="J11" s="161">
        <f>'GoR_BAC exceedance'!H10</f>
        <v>1</v>
      </c>
      <c r="K11" s="161">
        <f>'GoR_BAC exceedance'!I10</f>
        <v>2</v>
      </c>
      <c r="L11" s="161">
        <f>'GoR_BAC exceedance'!J10</f>
        <v>1</v>
      </c>
      <c r="M11" s="161">
        <f>'GoR_BAC exceedance'!K10</f>
        <v>2</v>
      </c>
      <c r="N11" s="161">
        <f>'GoR_BAC exceedance'!L10</f>
        <v>100</v>
      </c>
      <c r="O11" s="161">
        <f>'GoR_BAC exceedance'!M10</f>
        <v>100</v>
      </c>
    </row>
    <row r="12" spans="1:15" x14ac:dyDescent="0.25">
      <c r="A12" s="177" t="s">
        <v>664</v>
      </c>
      <c r="B12" s="215" t="str">
        <f>'GoR_BAC exceedance'!B11</f>
        <v>GoR</v>
      </c>
      <c r="C12" s="164"/>
      <c r="D12" s="164"/>
      <c r="E12" s="216" t="str">
        <f>'GoR_BAC exceedance'!C11</f>
        <v>107</v>
      </c>
      <c r="F12" s="161">
        <f>'GoR_BAC exceedance'!E11</f>
        <v>0</v>
      </c>
      <c r="G12" s="161">
        <f>'GoR_BAC exceedance'!F11</f>
        <v>11</v>
      </c>
      <c r="H12" s="161">
        <f>'GoR_BAC exceedance'!G11</f>
        <v>7</v>
      </c>
      <c r="I12" s="161">
        <f t="shared" si="1"/>
        <v>63.636363636363633</v>
      </c>
      <c r="J12" s="161">
        <f>'GoR_BAC exceedance'!H11</f>
        <v>9</v>
      </c>
      <c r="K12" s="161">
        <f>'GoR_BAC exceedance'!I11</f>
        <v>2</v>
      </c>
      <c r="L12" s="161">
        <f>'GoR_BAC exceedance'!J11</f>
        <v>5</v>
      </c>
      <c r="M12" s="161">
        <f>'GoR_BAC exceedance'!K11</f>
        <v>2</v>
      </c>
      <c r="N12" s="161">
        <f>'GoR_BAC exceedance'!L11</f>
        <v>55.555555555555557</v>
      </c>
      <c r="O12" s="161">
        <f>'GoR_BAC exceedance'!M11</f>
        <v>100</v>
      </c>
    </row>
    <row r="13" spans="1:15" x14ac:dyDescent="0.25">
      <c r="A13" s="177" t="s">
        <v>664</v>
      </c>
      <c r="B13" s="215" t="str">
        <f>'GoR_BAC exceedance'!B12</f>
        <v>GoR</v>
      </c>
      <c r="C13" s="164"/>
      <c r="D13" s="164"/>
      <c r="E13" s="216" t="str">
        <f>'GoR_BAC exceedance'!C12</f>
        <v>135</v>
      </c>
      <c r="F13" s="161">
        <f>'GoR_BAC exceedance'!E12</f>
        <v>0</v>
      </c>
      <c r="G13" s="161">
        <f>'GoR_BAC exceedance'!F12</f>
        <v>7</v>
      </c>
      <c r="H13" s="161">
        <f>'GoR_BAC exceedance'!G12</f>
        <v>7</v>
      </c>
      <c r="I13" s="161">
        <f t="shared" si="1"/>
        <v>100</v>
      </c>
      <c r="J13" s="161">
        <f>'GoR_BAC exceedance'!H12</f>
        <v>5</v>
      </c>
      <c r="K13" s="161">
        <f>'GoR_BAC exceedance'!I12</f>
        <v>2</v>
      </c>
      <c r="L13" s="161">
        <f>'GoR_BAC exceedance'!J12</f>
        <v>5</v>
      </c>
      <c r="M13" s="161">
        <f>'GoR_BAC exceedance'!K12</f>
        <v>2</v>
      </c>
      <c r="N13" s="161">
        <f>'GoR_BAC exceedance'!L12</f>
        <v>100</v>
      </c>
      <c r="O13" s="161">
        <f>'GoR_BAC exceedance'!M12</f>
        <v>100</v>
      </c>
    </row>
    <row r="14" spans="1:15" x14ac:dyDescent="0.25">
      <c r="A14" s="177" t="s">
        <v>664</v>
      </c>
      <c r="B14" s="215" t="str">
        <f>'GoR_BAC exceedance'!B13</f>
        <v>GoR</v>
      </c>
      <c r="C14" s="164"/>
      <c r="D14" s="164"/>
      <c r="E14" s="216" t="str">
        <f>'GoR_BAC exceedance'!C13</f>
        <v>102A</v>
      </c>
      <c r="F14" s="161">
        <f>'GoR_BAC exceedance'!E13</f>
        <v>1</v>
      </c>
      <c r="G14" s="161">
        <f>'GoR_BAC exceedance'!F13</f>
        <v>5</v>
      </c>
      <c r="H14" s="161">
        <f>'GoR_BAC exceedance'!G13</f>
        <v>1</v>
      </c>
      <c r="I14" s="161">
        <f t="shared" si="1"/>
        <v>20</v>
      </c>
      <c r="J14" s="161">
        <f>'GoR_BAC exceedance'!H13</f>
        <v>5</v>
      </c>
      <c r="K14" s="161">
        <f>'GoR_BAC exceedance'!I13</f>
        <v>0</v>
      </c>
      <c r="L14" s="161">
        <f>'GoR_BAC exceedance'!J13</f>
        <v>1</v>
      </c>
      <c r="M14" s="161">
        <f>'GoR_BAC exceedance'!K13</f>
        <v>0</v>
      </c>
      <c r="N14" s="161">
        <f>'GoR_BAC exceedance'!L13</f>
        <v>20</v>
      </c>
      <c r="O14" s="220"/>
    </row>
    <row r="15" spans="1:15" s="14" customFormat="1" x14ac:dyDescent="0.25">
      <c r="A15" s="177" t="s">
        <v>664</v>
      </c>
      <c r="B15" s="215" t="str">
        <f>'GoR_BAC exceedance'!B14</f>
        <v>GoR</v>
      </c>
      <c r="C15" s="164"/>
      <c r="D15" s="164"/>
      <c r="E15" s="216" t="str">
        <f>'GoR_BAC exceedance'!C14</f>
        <v>137A</v>
      </c>
      <c r="F15" s="161">
        <f>'GoR_BAC exceedance'!E14</f>
        <v>0</v>
      </c>
      <c r="G15" s="161">
        <f>'GoR_BAC exceedance'!F14</f>
        <v>7</v>
      </c>
      <c r="H15" s="161">
        <f>'GoR_BAC exceedance'!G14</f>
        <v>5</v>
      </c>
      <c r="I15" s="161">
        <f t="shared" si="1"/>
        <v>71.428571428571431</v>
      </c>
      <c r="J15" s="161">
        <f>'GoR_BAC exceedance'!H14</f>
        <v>5</v>
      </c>
      <c r="K15" s="161">
        <f>'GoR_BAC exceedance'!I14</f>
        <v>2</v>
      </c>
      <c r="L15" s="161">
        <f>'GoR_BAC exceedance'!J14</f>
        <v>3</v>
      </c>
      <c r="M15" s="161">
        <f>'GoR_BAC exceedance'!K14</f>
        <v>2</v>
      </c>
      <c r="N15" s="161">
        <f>'GoR_BAC exceedance'!L14</f>
        <v>60</v>
      </c>
      <c r="O15" s="161">
        <f>'GoR_BAC exceedance'!M14</f>
        <v>100</v>
      </c>
    </row>
    <row r="16" spans="1:15" x14ac:dyDescent="0.25">
      <c r="A16" s="177" t="s">
        <v>664</v>
      </c>
      <c r="B16" s="215" t="str">
        <f>'GoR_BAC exceedance'!B15</f>
        <v>GoR</v>
      </c>
      <c r="C16" s="164"/>
      <c r="D16" s="164"/>
      <c r="E16" s="216" t="str">
        <f>'GoR_BAC exceedance'!C15</f>
        <v>142</v>
      </c>
      <c r="F16" s="161">
        <f>'GoR_BAC exceedance'!E15</f>
        <v>0</v>
      </c>
      <c r="G16" s="161">
        <f>'GoR_BAC exceedance'!F15</f>
        <v>5</v>
      </c>
      <c r="H16" s="161">
        <f>'GoR_BAC exceedance'!G15</f>
        <v>3</v>
      </c>
      <c r="I16" s="161">
        <f t="shared" si="1"/>
        <v>60</v>
      </c>
      <c r="J16" s="161">
        <f>'GoR_BAC exceedance'!H15</f>
        <v>5</v>
      </c>
      <c r="K16" s="161">
        <f>'GoR_BAC exceedance'!I15</f>
        <v>0</v>
      </c>
      <c r="L16" s="161">
        <f>'GoR_BAC exceedance'!J15</f>
        <v>3</v>
      </c>
      <c r="M16" s="161">
        <f>'GoR_BAC exceedance'!K15</f>
        <v>0</v>
      </c>
      <c r="N16" s="161">
        <f>'GoR_BAC exceedance'!L15</f>
        <v>60</v>
      </c>
      <c r="O16" s="220"/>
    </row>
    <row r="17" spans="1:15" x14ac:dyDescent="0.25">
      <c r="A17" s="177" t="s">
        <v>664</v>
      </c>
      <c r="B17" s="215" t="str">
        <f>'GoR_BAC exceedance'!B16</f>
        <v>GoR</v>
      </c>
      <c r="C17" s="164"/>
      <c r="D17" s="164"/>
      <c r="E17" s="216" t="str">
        <f>'GoR_BAC exceedance'!C16</f>
        <v>VAD5</v>
      </c>
      <c r="F17" s="161">
        <f>'GoR_BAC exceedance'!E16</f>
        <v>1</v>
      </c>
      <c r="G17" s="161">
        <f>'GoR_BAC exceedance'!F16</f>
        <v>11</v>
      </c>
      <c r="H17" s="161">
        <f>'GoR_BAC exceedance'!G16</f>
        <v>4</v>
      </c>
      <c r="I17" s="161">
        <f t="shared" si="1"/>
        <v>36.363636363636367</v>
      </c>
      <c r="J17" s="161">
        <f>'GoR_BAC exceedance'!H16</f>
        <v>9</v>
      </c>
      <c r="K17" s="161">
        <f>'GoR_BAC exceedance'!I16</f>
        <v>2</v>
      </c>
      <c r="L17" s="161">
        <f>'GoR_BAC exceedance'!J16</f>
        <v>2</v>
      </c>
      <c r="M17" s="161">
        <f>'GoR_BAC exceedance'!K16</f>
        <v>2</v>
      </c>
      <c r="N17" s="161">
        <f>'GoR_BAC exceedance'!L16</f>
        <v>22.222222222222221</v>
      </c>
      <c r="O17" s="161">
        <f>'GoR_BAC exceedance'!M16</f>
        <v>100</v>
      </c>
    </row>
    <row r="18" spans="1:15" x14ac:dyDescent="0.25">
      <c r="A18" s="177" t="s">
        <v>664</v>
      </c>
      <c r="B18" s="215" t="str">
        <f>'GoR_BAC exceedance'!B17</f>
        <v>GoR</v>
      </c>
      <c r="C18" s="164"/>
      <c r="D18" s="164"/>
      <c r="E18" s="216" t="str">
        <f>'GoR_BAC exceedance'!C17</f>
        <v>L1</v>
      </c>
      <c r="F18" s="161">
        <f>'GoR_BAC exceedance'!E17</f>
        <v>1</v>
      </c>
      <c r="G18" s="161">
        <f>'GoR_BAC exceedance'!F17</f>
        <v>7</v>
      </c>
      <c r="H18" s="161">
        <f>'GoR_BAC exceedance'!G17</f>
        <v>3</v>
      </c>
      <c r="I18" s="161">
        <f t="shared" si="1"/>
        <v>42.857142857142854</v>
      </c>
      <c r="J18" s="161">
        <f>'GoR_BAC exceedance'!H17</f>
        <v>7</v>
      </c>
      <c r="K18" s="161">
        <f>'GoR_BAC exceedance'!I17</f>
        <v>0</v>
      </c>
      <c r="L18" s="161">
        <f>'GoR_BAC exceedance'!J17</f>
        <v>3</v>
      </c>
      <c r="M18" s="161">
        <f>'GoR_BAC exceedance'!K17</f>
        <v>0</v>
      </c>
      <c r="N18" s="161">
        <f>'GoR_BAC exceedance'!L17</f>
        <v>42.857142857142854</v>
      </c>
      <c r="O18" s="220"/>
    </row>
    <row r="19" spans="1:15" x14ac:dyDescent="0.25">
      <c r="A19" s="177" t="s">
        <v>664</v>
      </c>
      <c r="B19" s="215" t="str">
        <f>'GoR_BAC exceedance'!B18</f>
        <v>GoR</v>
      </c>
      <c r="C19" s="164"/>
      <c r="D19" s="164"/>
      <c r="E19" s="216" t="str">
        <f>'GoR_BAC exceedance'!C18</f>
        <v>L6</v>
      </c>
      <c r="F19" s="161">
        <f>'GoR_BAC exceedance'!E18</f>
        <v>1</v>
      </c>
      <c r="G19" s="161">
        <f>'GoR_BAC exceedance'!F18</f>
        <v>4</v>
      </c>
      <c r="H19" s="161">
        <f>'GoR_BAC exceedance'!G18</f>
        <v>2</v>
      </c>
      <c r="I19" s="161">
        <f t="shared" si="1"/>
        <v>50</v>
      </c>
      <c r="J19" s="161">
        <f>'GoR_BAC exceedance'!H18</f>
        <v>2</v>
      </c>
      <c r="K19" s="161">
        <f>'GoR_BAC exceedance'!I18</f>
        <v>2</v>
      </c>
      <c r="L19" s="161">
        <f>'GoR_BAC exceedance'!J18</f>
        <v>0</v>
      </c>
      <c r="M19" s="161">
        <f>'GoR_BAC exceedance'!K18</f>
        <v>2</v>
      </c>
      <c r="N19" s="161">
        <f>'GoR_BAC exceedance'!L18</f>
        <v>0</v>
      </c>
      <c r="O19" s="161">
        <f>'GoR_BAC exceedance'!M18</f>
        <v>100</v>
      </c>
    </row>
    <row r="20" spans="1:15" x14ac:dyDescent="0.25">
      <c r="A20" s="177" t="s">
        <v>664</v>
      </c>
      <c r="B20" s="215" t="str">
        <f>'GoR_BAC exceedance'!B19</f>
        <v>GoR</v>
      </c>
      <c r="C20" s="164"/>
      <c r="D20" s="164"/>
      <c r="E20" s="216" t="str">
        <f>'GoR_BAC exceedance'!C19</f>
        <v>L9</v>
      </c>
      <c r="F20" s="161">
        <f>'GoR_BAC exceedance'!E19</f>
        <v>1</v>
      </c>
      <c r="G20" s="161">
        <f>'GoR_BAC exceedance'!F19</f>
        <v>7</v>
      </c>
      <c r="H20" s="161">
        <f>'GoR_BAC exceedance'!G19</f>
        <v>2</v>
      </c>
      <c r="I20" s="161">
        <f t="shared" si="1"/>
        <v>28.571428571428573</v>
      </c>
      <c r="J20" s="161">
        <f>'GoR_BAC exceedance'!H19</f>
        <v>5</v>
      </c>
      <c r="K20" s="161">
        <f>'GoR_BAC exceedance'!I19</f>
        <v>2</v>
      </c>
      <c r="L20" s="161">
        <f>'GoR_BAC exceedance'!J19</f>
        <v>1</v>
      </c>
      <c r="M20" s="161">
        <f>'GoR_BAC exceedance'!K19</f>
        <v>1</v>
      </c>
      <c r="N20" s="161">
        <f>'GoR_BAC exceedance'!L19</f>
        <v>20</v>
      </c>
      <c r="O20" s="161">
        <f>'GoR_BAC exceedance'!M19</f>
        <v>50</v>
      </c>
    </row>
    <row r="21" spans="1:15" x14ac:dyDescent="0.25">
      <c r="A21" s="177" t="s">
        <v>664</v>
      </c>
      <c r="B21" s="215" t="str">
        <f>'GoR_BAC exceedance'!B20</f>
        <v>GoR</v>
      </c>
      <c r="C21" s="164"/>
      <c r="D21" s="164"/>
      <c r="E21" s="216" t="str">
        <f>'GoR_BAC exceedance'!C20</f>
        <v>N</v>
      </c>
      <c r="F21" s="161">
        <f>'GoR_BAC exceedance'!E20</f>
        <v>1</v>
      </c>
      <c r="G21" s="161">
        <f>'GoR_BAC exceedance'!F20</f>
        <v>10</v>
      </c>
      <c r="H21" s="161">
        <f>'GoR_BAC exceedance'!G20</f>
        <v>4</v>
      </c>
      <c r="I21" s="161">
        <f t="shared" si="1"/>
        <v>40</v>
      </c>
      <c r="J21" s="161">
        <f>'GoR_BAC exceedance'!H20</f>
        <v>8</v>
      </c>
      <c r="K21" s="161">
        <f>'GoR_BAC exceedance'!I20</f>
        <v>2</v>
      </c>
      <c r="L21" s="161">
        <f>'GoR_BAC exceedance'!J20</f>
        <v>4</v>
      </c>
      <c r="M21" s="161">
        <f>'GoR_BAC exceedance'!K20</f>
        <v>0</v>
      </c>
      <c r="N21" s="161">
        <f>'GoR_BAC exceedance'!L20</f>
        <v>50</v>
      </c>
      <c r="O21" s="161">
        <f>'GoR_BAC exceedance'!M20</f>
        <v>0</v>
      </c>
    </row>
    <row r="22" spans="1:15" x14ac:dyDescent="0.25">
      <c r="A22" s="177" t="s">
        <v>664</v>
      </c>
      <c r="B22" s="215" t="str">
        <f>'GoR_BAC exceedance'!B21</f>
        <v>GoR</v>
      </c>
      <c r="C22" s="164"/>
      <c r="D22" s="164"/>
      <c r="E22" s="216" t="str">
        <f>'GoR_BAC exceedance'!C21</f>
        <v>125</v>
      </c>
      <c r="F22" s="161">
        <f>'GoR_BAC exceedance'!E21</f>
        <v>1</v>
      </c>
      <c r="G22" s="161">
        <f>'GoR_BAC exceedance'!F21</f>
        <v>4</v>
      </c>
      <c r="H22" s="161">
        <f>'GoR_BAC exceedance'!G21</f>
        <v>1</v>
      </c>
      <c r="I22" s="161">
        <f t="shared" si="1"/>
        <v>25</v>
      </c>
      <c r="J22" s="161">
        <f>'GoR_BAC exceedance'!H21</f>
        <v>4</v>
      </c>
      <c r="K22" s="161">
        <f>'GoR_BAC exceedance'!I21</f>
        <v>0</v>
      </c>
      <c r="L22" s="161">
        <f>'GoR_BAC exceedance'!J21</f>
        <v>1</v>
      </c>
      <c r="M22" s="161">
        <f>'GoR_BAC exceedance'!K21</f>
        <v>0</v>
      </c>
      <c r="N22" s="161">
        <f>'GoR_BAC exceedance'!L21</f>
        <v>25</v>
      </c>
      <c r="O22" s="161">
        <f>'GoR_BAC exceedance'!M21</f>
        <v>0</v>
      </c>
    </row>
    <row r="23" spans="1:15" x14ac:dyDescent="0.25">
      <c r="A23" s="177" t="s">
        <v>664</v>
      </c>
      <c r="B23" s="215" t="str">
        <f>'GoR_BAC exceedance'!B23</f>
        <v>GoR</v>
      </c>
      <c r="C23" s="217"/>
      <c r="D23" s="217"/>
      <c r="E23" s="216" t="str">
        <f>'GoR_BAC exceedance'!C22</f>
        <v>K21</v>
      </c>
      <c r="F23" s="161">
        <f>'GoR_BAC exceedance'!E22</f>
        <v>1</v>
      </c>
      <c r="G23" s="161">
        <f>'GoR_BAC exceedance'!F22</f>
        <v>4</v>
      </c>
      <c r="H23" s="161">
        <f>'GoR_BAC exceedance'!G22</f>
        <v>0</v>
      </c>
      <c r="I23" s="161">
        <f t="shared" si="1"/>
        <v>0</v>
      </c>
      <c r="J23" s="161">
        <f>'GoR_BAC exceedance'!H22</f>
        <v>4</v>
      </c>
      <c r="K23" s="161">
        <f>'GoR_BAC exceedance'!I22</f>
        <v>0</v>
      </c>
      <c r="L23" s="161">
        <f>'GoR_BAC exceedance'!J22</f>
        <v>0</v>
      </c>
      <c r="M23" s="161">
        <f>'GoR_BAC exceedance'!K22</f>
        <v>0</v>
      </c>
      <c r="N23" s="161">
        <f>'GoR_BAC exceedance'!L22</f>
        <v>0</v>
      </c>
      <c r="O23" s="161">
        <f>'GoR_BAC exceedance'!M22</f>
        <v>0</v>
      </c>
    </row>
    <row r="24" spans="1:15" x14ac:dyDescent="0.25">
      <c r="A24" s="177" t="s">
        <v>664</v>
      </c>
      <c r="B24" s="215" t="str">
        <f>'GoR_BAC exceedance'!B24</f>
        <v>GoR</v>
      </c>
      <c r="C24" s="217"/>
      <c r="D24" s="217"/>
      <c r="E24" s="216" t="str">
        <f>'GoR_BAC exceedance'!C23</f>
        <v>L11</v>
      </c>
      <c r="F24" s="161">
        <f>'GoR_BAC exceedance'!E23</f>
        <v>1</v>
      </c>
      <c r="G24" s="161">
        <f>'GoR_BAC exceedance'!F23</f>
        <v>3</v>
      </c>
      <c r="H24" s="161">
        <f>'GoR_BAC exceedance'!G23</f>
        <v>1</v>
      </c>
      <c r="I24" s="161">
        <f t="shared" si="1"/>
        <v>33.333333333333336</v>
      </c>
      <c r="J24" s="161">
        <f>'GoR_BAC exceedance'!H23</f>
        <v>3</v>
      </c>
      <c r="K24" s="161">
        <f>'GoR_BAC exceedance'!I23</f>
        <v>0</v>
      </c>
      <c r="L24" s="161">
        <f>'GoR_BAC exceedance'!J23</f>
        <v>1</v>
      </c>
      <c r="M24" s="161">
        <f>'GoR_BAC exceedance'!K23</f>
        <v>0</v>
      </c>
      <c r="N24" s="161">
        <f>'GoR_BAC exceedance'!L23</f>
        <v>33.333333333333336</v>
      </c>
      <c r="O24" s="161">
        <f>'GoR_BAC exceedance'!M23</f>
        <v>0</v>
      </c>
    </row>
    <row r="25" spans="1:15" x14ac:dyDescent="0.25">
      <c r="A25" s="177" t="s">
        <v>664</v>
      </c>
      <c r="B25" s="215" t="str">
        <f>'GoR_BAC exceedance'!B25</f>
        <v>GoR</v>
      </c>
      <c r="C25" s="217"/>
      <c r="D25" s="217"/>
      <c r="E25" s="216" t="str">
        <f>'GoR_BAC exceedance'!C24</f>
        <v>L4</v>
      </c>
      <c r="F25" s="161">
        <f>'GoR_BAC exceedance'!E24</f>
        <v>1</v>
      </c>
      <c r="G25" s="161">
        <f>'GoR_BAC exceedance'!F24</f>
        <v>3</v>
      </c>
      <c r="H25" s="161">
        <f>'GoR_BAC exceedance'!G24</f>
        <v>1</v>
      </c>
      <c r="I25" s="161">
        <f t="shared" si="1"/>
        <v>33.333333333333336</v>
      </c>
      <c r="J25" s="161">
        <f>'GoR_BAC exceedance'!H24</f>
        <v>3</v>
      </c>
      <c r="K25" s="161">
        <f>'GoR_BAC exceedance'!I24</f>
        <v>0</v>
      </c>
      <c r="L25" s="161">
        <f>'GoR_BAC exceedance'!J24</f>
        <v>1</v>
      </c>
      <c r="M25" s="161">
        <f>'GoR_BAC exceedance'!K24</f>
        <v>0</v>
      </c>
      <c r="N25" s="161">
        <f>'GoR_BAC exceedance'!L24</f>
        <v>33.333333333333336</v>
      </c>
      <c r="O25" s="161">
        <f>'GoR_BAC exceedance'!M24</f>
        <v>0</v>
      </c>
    </row>
    <row r="26" spans="1:15" x14ac:dyDescent="0.25">
      <c r="A26" s="177" t="s">
        <v>664</v>
      </c>
      <c r="B26" s="215" t="str">
        <f>'GoR_BAC exceedance'!B26</f>
        <v>GoR</v>
      </c>
      <c r="C26" s="217"/>
      <c r="D26" s="217"/>
      <c r="E26" s="216" t="str">
        <f>'GoR_BAC exceedance'!C25</f>
        <v>S4</v>
      </c>
      <c r="F26" s="161">
        <f>'GoR_BAC exceedance'!E25</f>
        <v>0</v>
      </c>
      <c r="G26" s="161">
        <f>'GoR_BAC exceedance'!F25</f>
        <v>4</v>
      </c>
      <c r="H26" s="161">
        <f>'GoR_BAC exceedance'!G25</f>
        <v>3</v>
      </c>
      <c r="I26" s="161">
        <f t="shared" si="1"/>
        <v>75</v>
      </c>
      <c r="J26" s="161">
        <f>'GoR_BAC exceedance'!H25</f>
        <v>4</v>
      </c>
      <c r="K26" s="161">
        <f>'GoR_BAC exceedance'!I25</f>
        <v>0</v>
      </c>
      <c r="L26" s="161">
        <f>'GoR_BAC exceedance'!J25</f>
        <v>3</v>
      </c>
      <c r="M26" s="161">
        <f>'GoR_BAC exceedance'!K25</f>
        <v>0</v>
      </c>
      <c r="N26" s="161">
        <f>'GoR_BAC exceedance'!L25</f>
        <v>75</v>
      </c>
      <c r="O26" s="161">
        <f>'GoR_BAC exceedance'!M25</f>
        <v>0</v>
      </c>
    </row>
    <row r="27" spans="1:15" x14ac:dyDescent="0.25">
      <c r="A27" s="177" t="s">
        <v>664</v>
      </c>
      <c r="B27" s="215" t="str">
        <f>'GoR_BAC exceedance'!B27</f>
        <v>GoR</v>
      </c>
      <c r="C27" s="217"/>
      <c r="D27" s="217"/>
      <c r="E27" s="216" t="str">
        <f>'GoR_BAC exceedance'!C26</f>
        <v>V1</v>
      </c>
      <c r="F27" s="161">
        <f>'GoR_BAC exceedance'!E26</f>
        <v>1</v>
      </c>
      <c r="G27" s="161">
        <f>'GoR_BAC exceedance'!F26</f>
        <v>4</v>
      </c>
      <c r="H27" s="161">
        <f>'GoR_BAC exceedance'!G26</f>
        <v>1</v>
      </c>
      <c r="I27" s="161">
        <f t="shared" si="1"/>
        <v>25</v>
      </c>
      <c r="J27" s="161">
        <f>'GoR_BAC exceedance'!H26</f>
        <v>4</v>
      </c>
      <c r="K27" s="161">
        <f>'GoR_BAC exceedance'!I26</f>
        <v>0</v>
      </c>
      <c r="L27" s="161">
        <f>'GoR_BAC exceedance'!J26</f>
        <v>1</v>
      </c>
      <c r="M27" s="161">
        <f>'GoR_BAC exceedance'!K26</f>
        <v>0</v>
      </c>
      <c r="N27" s="161">
        <f>'GoR_BAC exceedance'!L26</f>
        <v>25</v>
      </c>
      <c r="O27" s="161">
        <f>'GoR_BAC exceedance'!M26</f>
        <v>0</v>
      </c>
    </row>
    <row r="28" spans="1:15" x14ac:dyDescent="0.25">
      <c r="A28" s="177" t="s">
        <v>664</v>
      </c>
      <c r="B28" s="215" t="str">
        <f>'GoR_BAC exceedance'!B28</f>
        <v>GoR</v>
      </c>
      <c r="C28" s="217"/>
      <c r="D28" s="217"/>
      <c r="E28" s="216" t="str">
        <f>'GoR_BAC exceedance'!C27</f>
        <v>V2</v>
      </c>
      <c r="F28" s="161">
        <f>'GoR_BAC exceedance'!E27</f>
        <v>1</v>
      </c>
      <c r="G28" s="161">
        <f>'GoR_BAC exceedance'!F27</f>
        <v>4</v>
      </c>
      <c r="H28" s="161">
        <f>'GoR_BAC exceedance'!G27</f>
        <v>1</v>
      </c>
      <c r="I28" s="161">
        <f t="shared" si="1"/>
        <v>25</v>
      </c>
      <c r="J28" s="161">
        <f>'GoR_BAC exceedance'!H27</f>
        <v>4</v>
      </c>
      <c r="K28" s="161">
        <f>'GoR_BAC exceedance'!I27</f>
        <v>0</v>
      </c>
      <c r="L28" s="161">
        <f>'GoR_BAC exceedance'!J27</f>
        <v>1</v>
      </c>
      <c r="M28" s="161">
        <f>'GoR_BAC exceedance'!K27</f>
        <v>0</v>
      </c>
      <c r="N28" s="161">
        <f>'GoR_BAC exceedance'!L27</f>
        <v>25</v>
      </c>
      <c r="O28" s="161">
        <f>'GoR_BAC exceedance'!M27</f>
        <v>0</v>
      </c>
    </row>
    <row r="29" spans="1:15" x14ac:dyDescent="0.25">
      <c r="A29" s="177" t="s">
        <v>664</v>
      </c>
      <c r="B29" s="215" t="str">
        <f>'GoR_BAC exceedance'!B29</f>
        <v>GoR</v>
      </c>
      <c r="C29" s="217"/>
      <c r="D29" s="217"/>
      <c r="E29" s="216" t="str">
        <f>'GoR_BAC exceedance'!C28</f>
        <v>V3</v>
      </c>
      <c r="F29" s="161">
        <f>'GoR_BAC exceedance'!E28</f>
        <v>1</v>
      </c>
      <c r="G29" s="161">
        <f>'GoR_BAC exceedance'!F28</f>
        <v>4</v>
      </c>
      <c r="H29" s="161">
        <f>'GoR_BAC exceedance'!G28</f>
        <v>2</v>
      </c>
      <c r="I29" s="161">
        <f t="shared" si="1"/>
        <v>50</v>
      </c>
      <c r="J29" s="161">
        <f>'GoR_BAC exceedance'!H28</f>
        <v>4</v>
      </c>
      <c r="K29" s="161">
        <f>'GoR_BAC exceedance'!I28</f>
        <v>0</v>
      </c>
      <c r="L29" s="161">
        <f>'GoR_BAC exceedance'!J28</f>
        <v>2</v>
      </c>
      <c r="M29" s="161">
        <f>'GoR_BAC exceedance'!K28</f>
        <v>0</v>
      </c>
      <c r="N29" s="161">
        <f>'GoR_BAC exceedance'!L28</f>
        <v>50</v>
      </c>
      <c r="O29" s="161">
        <f>'GoR_BAC exceedance'!M28</f>
        <v>0</v>
      </c>
    </row>
    <row r="30" spans="1:15" x14ac:dyDescent="0.25">
      <c r="A30" s="177" t="s">
        <v>664</v>
      </c>
      <c r="B30" s="215" t="str">
        <f>'GoR_BAC exceedance'!B30</f>
        <v>GoR</v>
      </c>
      <c r="C30" s="217"/>
      <c r="D30" s="217"/>
      <c r="E30" s="216" t="str">
        <f>'GoR_BAC exceedance'!C29</f>
        <v>V4</v>
      </c>
      <c r="F30" s="161">
        <f>'GoR_BAC exceedance'!E29</f>
        <v>0</v>
      </c>
      <c r="G30" s="161">
        <f>'GoR_BAC exceedance'!F29</f>
        <v>4</v>
      </c>
      <c r="H30" s="161">
        <f>'GoR_BAC exceedance'!G29</f>
        <v>3</v>
      </c>
      <c r="I30" s="161">
        <f t="shared" si="1"/>
        <v>75</v>
      </c>
      <c r="J30" s="161">
        <f>'GoR_BAC exceedance'!H29</f>
        <v>4</v>
      </c>
      <c r="K30" s="161">
        <f>'GoR_BAC exceedance'!I29</f>
        <v>0</v>
      </c>
      <c r="L30" s="161">
        <f>'GoR_BAC exceedance'!J29</f>
        <v>3</v>
      </c>
      <c r="M30" s="161">
        <f>'GoR_BAC exceedance'!K29</f>
        <v>0</v>
      </c>
      <c r="N30" s="161">
        <f>'GoR_BAC exceedance'!L29</f>
        <v>75</v>
      </c>
      <c r="O30" s="161">
        <f>'GoR_BAC exceedance'!M29</f>
        <v>0</v>
      </c>
    </row>
    <row r="31" spans="1:15" x14ac:dyDescent="0.25">
      <c r="A31" s="177" t="s">
        <v>664</v>
      </c>
      <c r="B31" s="215" t="str">
        <f>'GoR_BAC exceedance'!B31</f>
        <v>GoR</v>
      </c>
      <c r="C31" s="217"/>
      <c r="D31" s="217"/>
      <c r="E31" s="216" t="str">
        <f>'GoR_BAC exceedance'!C30</f>
        <v>V5</v>
      </c>
      <c r="F31" s="161">
        <f>'GoR_BAC exceedance'!E30</f>
        <v>1</v>
      </c>
      <c r="G31" s="161">
        <f>'GoR_BAC exceedance'!F30</f>
        <v>4</v>
      </c>
      <c r="H31" s="161">
        <f>'GoR_BAC exceedance'!G30</f>
        <v>2</v>
      </c>
      <c r="I31" s="161">
        <f t="shared" si="1"/>
        <v>50</v>
      </c>
      <c r="J31" s="161">
        <f>'GoR_BAC exceedance'!H30</f>
        <v>4</v>
      </c>
      <c r="K31" s="161">
        <f>'GoR_BAC exceedance'!I30</f>
        <v>0</v>
      </c>
      <c r="L31" s="161">
        <f>'GoR_BAC exceedance'!J30</f>
        <v>2</v>
      </c>
      <c r="M31" s="161">
        <f>'GoR_BAC exceedance'!K30</f>
        <v>0</v>
      </c>
      <c r="N31" s="161">
        <f>'GoR_BAC exceedance'!L30</f>
        <v>50</v>
      </c>
      <c r="O31" s="161">
        <f>'GoR_BAC exceedance'!M30</f>
        <v>0</v>
      </c>
    </row>
    <row r="32" spans="1:15" x14ac:dyDescent="0.25">
      <c r="A32" s="177" t="s">
        <v>664</v>
      </c>
      <c r="B32" s="215" t="str">
        <f>'GoR_BAC exceedance'!B32</f>
        <v>GoR</v>
      </c>
      <c r="C32" s="217"/>
      <c r="D32" s="217"/>
      <c r="E32" s="216" t="str">
        <f>'GoR_BAC exceedance'!C31</f>
        <v>SA</v>
      </c>
      <c r="F32" s="161">
        <f>'GoR_BAC exceedance'!E31</f>
        <v>1</v>
      </c>
      <c r="G32" s="161">
        <f>'GoR_BAC exceedance'!F31</f>
        <v>7</v>
      </c>
      <c r="H32" s="161">
        <f>'GoR_BAC exceedance'!G31</f>
        <v>1</v>
      </c>
      <c r="I32" s="161">
        <f t="shared" si="1"/>
        <v>14.285714285714286</v>
      </c>
      <c r="J32" s="161">
        <f>'GoR_BAC exceedance'!H31</f>
        <v>5</v>
      </c>
      <c r="K32" s="161">
        <f>'GoR_BAC exceedance'!I31</f>
        <v>2</v>
      </c>
      <c r="L32" s="161">
        <f>'GoR_BAC exceedance'!J31</f>
        <v>0</v>
      </c>
      <c r="M32" s="161">
        <f>'GoR_BAC exceedance'!K31</f>
        <v>1</v>
      </c>
      <c r="N32" s="161">
        <f>'GoR_BAC exceedance'!L31</f>
        <v>0</v>
      </c>
      <c r="O32" s="161">
        <f>'GoR_BAC exceedance'!M31</f>
        <v>50</v>
      </c>
    </row>
    <row r="33" spans="1:15" x14ac:dyDescent="0.25">
      <c r="A33" s="177" t="s">
        <v>664</v>
      </c>
      <c r="B33" s="215" t="str">
        <f>'GoR_BAC exceedance'!B33</f>
        <v>GoR</v>
      </c>
      <c r="C33" s="217"/>
      <c r="D33" s="217"/>
      <c r="E33" s="216" t="str">
        <f>'GoR_BAC exceedance'!C32</f>
        <v>LIE</v>
      </c>
      <c r="F33" s="161">
        <f>'GoR_BAC exceedance'!E32</f>
        <v>1</v>
      </c>
      <c r="G33" s="161">
        <f>'GoR_BAC exceedance'!F32</f>
        <v>7</v>
      </c>
      <c r="H33" s="161">
        <f>'GoR_BAC exceedance'!G32</f>
        <v>1</v>
      </c>
      <c r="I33" s="161">
        <f t="shared" si="1"/>
        <v>14.285714285714286</v>
      </c>
      <c r="J33" s="161">
        <f>'GoR_BAC exceedance'!H32</f>
        <v>5</v>
      </c>
      <c r="K33" s="161">
        <f>'GoR_BAC exceedance'!I32</f>
        <v>2</v>
      </c>
      <c r="L33" s="161">
        <f>'GoR_BAC exceedance'!J32</f>
        <v>0</v>
      </c>
      <c r="M33" s="161">
        <f>'GoR_BAC exceedance'!K32</f>
        <v>1</v>
      </c>
      <c r="N33" s="161">
        <f>'GoR_BAC exceedance'!L32</f>
        <v>0</v>
      </c>
      <c r="O33" s="161">
        <f>'GoR_BAC exceedance'!M32</f>
        <v>50</v>
      </c>
    </row>
    <row r="34" spans="1:15" x14ac:dyDescent="0.25">
      <c r="A34" s="177" t="s">
        <v>664</v>
      </c>
      <c r="B34" s="215" t="str">
        <f>'GoR_BAC exceedance'!B34</f>
        <v>GoR</v>
      </c>
      <c r="C34" s="217"/>
      <c r="D34" s="217"/>
      <c r="E34" s="216" t="str">
        <f>'GoR_BAC exceedance'!C33</f>
        <v>ME</v>
      </c>
      <c r="F34" s="161">
        <f>'GoR_BAC exceedance'!E33</f>
        <v>0</v>
      </c>
      <c r="G34" s="161">
        <f>'GoR_BAC exceedance'!F33</f>
        <v>5</v>
      </c>
      <c r="H34" s="161">
        <f>'GoR_BAC exceedance'!G33</f>
        <v>3</v>
      </c>
      <c r="I34" s="161">
        <f t="shared" si="1"/>
        <v>60</v>
      </c>
      <c r="J34" s="161">
        <f>'GoR_BAC exceedance'!H33</f>
        <v>3</v>
      </c>
      <c r="K34" s="161">
        <f>'GoR_BAC exceedance'!I33</f>
        <v>2</v>
      </c>
      <c r="L34" s="161">
        <f>'GoR_BAC exceedance'!J33</f>
        <v>3</v>
      </c>
      <c r="M34" s="161">
        <f>'GoR_BAC exceedance'!K33</f>
        <v>0</v>
      </c>
      <c r="N34" s="161">
        <f>'GoR_BAC exceedance'!L33</f>
        <v>100</v>
      </c>
      <c r="O34" s="161">
        <f>'GoR_BAC exceedance'!M33</f>
        <v>0</v>
      </c>
    </row>
    <row r="35" spans="1:15" x14ac:dyDescent="0.25">
      <c r="A35" s="177" t="s">
        <v>664</v>
      </c>
      <c r="B35" s="215" t="str">
        <f>'GoR_BAC exceedance'!B35</f>
        <v>GoR</v>
      </c>
      <c r="C35" s="217"/>
      <c r="D35" s="217"/>
      <c r="E35" s="216" t="str">
        <f>'GoR_BAC exceedance'!C34</f>
        <v>KA</v>
      </c>
      <c r="F35" s="161">
        <f>'GoR_BAC exceedance'!E34</f>
        <v>1</v>
      </c>
      <c r="G35" s="161">
        <f>'GoR_BAC exceedance'!F34</f>
        <v>5</v>
      </c>
      <c r="H35" s="161">
        <f>'GoR_BAC exceedance'!G34</f>
        <v>2</v>
      </c>
      <c r="I35" s="161">
        <f t="shared" si="1"/>
        <v>40</v>
      </c>
      <c r="J35" s="161">
        <f>'GoR_BAC exceedance'!H34</f>
        <v>3</v>
      </c>
      <c r="K35" s="161">
        <f>'GoR_BAC exceedance'!I34</f>
        <v>2</v>
      </c>
      <c r="L35" s="161">
        <f>'GoR_BAC exceedance'!J34</f>
        <v>1</v>
      </c>
      <c r="M35" s="161">
        <f>'GoR_BAC exceedance'!K34</f>
        <v>1</v>
      </c>
      <c r="N35" s="161">
        <f>'GoR_BAC exceedance'!L34</f>
        <v>33.333333333333336</v>
      </c>
      <c r="O35" s="161">
        <f>'GoR_BAC exceedance'!M34</f>
        <v>50</v>
      </c>
    </row>
    <row r="36" spans="1:15" x14ac:dyDescent="0.25">
      <c r="A36" s="177" t="s">
        <v>664</v>
      </c>
      <c r="B36" s="215" t="str">
        <f>'GoR_BAC exceedance'!B36</f>
        <v>GoR</v>
      </c>
      <c r="C36" s="217"/>
      <c r="D36" s="217"/>
      <c r="E36" s="216" t="str">
        <f>'GoR_BAC exceedance'!C35</f>
        <v>DU</v>
      </c>
      <c r="F36" s="161">
        <f>'GoR_BAC exceedance'!E35</f>
        <v>0</v>
      </c>
      <c r="G36" s="161">
        <f>'GoR_BAC exceedance'!F35</f>
        <v>5</v>
      </c>
      <c r="H36" s="161">
        <f>'GoR_BAC exceedance'!G35</f>
        <v>3</v>
      </c>
      <c r="I36" s="161">
        <f t="shared" si="1"/>
        <v>60</v>
      </c>
      <c r="J36" s="161">
        <f>'GoR_BAC exceedance'!H35</f>
        <v>3</v>
      </c>
      <c r="K36" s="161">
        <f>'GoR_BAC exceedance'!I35</f>
        <v>2</v>
      </c>
      <c r="L36" s="161">
        <f>'GoR_BAC exceedance'!J35</f>
        <v>3</v>
      </c>
      <c r="M36" s="161">
        <f>'GoR_BAC exceedance'!K35</f>
        <v>0</v>
      </c>
      <c r="N36" s="161">
        <f>'GoR_BAC exceedance'!L35</f>
        <v>100</v>
      </c>
      <c r="O36" s="161">
        <f>'GoR_BAC exceedance'!M35</f>
        <v>0</v>
      </c>
    </row>
    <row r="37" spans="1:15" x14ac:dyDescent="0.25">
      <c r="A37" s="177" t="s">
        <v>664</v>
      </c>
      <c r="B37" s="215" t="str">
        <f>'GoR_BAC exceedance'!B37</f>
        <v>GoR</v>
      </c>
      <c r="C37" s="217"/>
      <c r="D37" s="217"/>
      <c r="E37" s="216" t="str">
        <f>'GoR_BAC exceedance'!C36</f>
        <v>VE</v>
      </c>
      <c r="F37" s="161">
        <f>'GoR_BAC exceedance'!E36</f>
        <v>1</v>
      </c>
      <c r="G37" s="161">
        <f>'GoR_BAC exceedance'!F36</f>
        <v>7</v>
      </c>
      <c r="H37" s="161">
        <f>'GoR_BAC exceedance'!G36</f>
        <v>2</v>
      </c>
      <c r="I37" s="161">
        <f t="shared" si="1"/>
        <v>28.571428571428573</v>
      </c>
      <c r="J37" s="161">
        <f>'GoR_BAC exceedance'!H36</f>
        <v>5</v>
      </c>
      <c r="K37" s="161">
        <f>'GoR_BAC exceedance'!I36</f>
        <v>2</v>
      </c>
      <c r="L37" s="161">
        <f>'GoR_BAC exceedance'!J36</f>
        <v>1</v>
      </c>
      <c r="M37" s="161">
        <f>'GoR_BAC exceedance'!K36</f>
        <v>1</v>
      </c>
      <c r="N37" s="161">
        <f>'GoR_BAC exceedance'!L36</f>
        <v>20</v>
      </c>
      <c r="O37" s="161">
        <f>'GoR_BAC exceedance'!M36</f>
        <v>50</v>
      </c>
    </row>
    <row r="38" spans="1:15" x14ac:dyDescent="0.25">
      <c r="A38" s="177" t="s">
        <v>664</v>
      </c>
      <c r="B38" s="215" t="str">
        <f>'GoR_BAC exceedance'!B38</f>
        <v>GoR</v>
      </c>
      <c r="C38" s="217"/>
      <c r="D38" s="217"/>
      <c r="E38" s="216" t="str">
        <f>'GoR_BAC exceedance'!C37</f>
        <v>LI</v>
      </c>
      <c r="F38" s="161">
        <f>'GoR_BAC exceedance'!E37</f>
        <v>1</v>
      </c>
      <c r="G38" s="161">
        <f>'GoR_BAC exceedance'!F37</f>
        <v>7</v>
      </c>
      <c r="H38" s="161">
        <f>'GoR_BAC exceedance'!G37</f>
        <v>2</v>
      </c>
      <c r="I38" s="161">
        <f t="shared" si="1"/>
        <v>28.571428571428573</v>
      </c>
      <c r="J38" s="161">
        <f>'GoR_BAC exceedance'!H37</f>
        <v>5</v>
      </c>
      <c r="K38" s="161">
        <f>'GoR_BAC exceedance'!I37</f>
        <v>2</v>
      </c>
      <c r="L38" s="161">
        <f>'GoR_BAC exceedance'!J37</f>
        <v>1</v>
      </c>
      <c r="M38" s="161">
        <f>'GoR_BAC exceedance'!K37</f>
        <v>1</v>
      </c>
      <c r="N38" s="161">
        <f>'GoR_BAC exceedance'!L37</f>
        <v>20</v>
      </c>
      <c r="O38" s="161">
        <f>'GoR_BAC exceedance'!M37</f>
        <v>50</v>
      </c>
    </row>
    <row r="39" spans="1:15" x14ac:dyDescent="0.25">
      <c r="A39" s="177" t="s">
        <v>664</v>
      </c>
      <c r="B39" s="215">
        <f>'GoR_BAC exceedance'!B39</f>
        <v>0</v>
      </c>
      <c r="C39" s="217"/>
      <c r="D39" s="217"/>
      <c r="E39" s="216" t="str">
        <f>'GoR_BAC exceedance'!C38</f>
        <v>BO</v>
      </c>
      <c r="F39" s="161">
        <f>'GoR_BAC exceedance'!E38</f>
        <v>1</v>
      </c>
      <c r="G39" s="161">
        <f>'GoR_BAC exceedance'!F38</f>
        <v>7</v>
      </c>
      <c r="H39" s="161">
        <f>'GoR_BAC exceedance'!G38</f>
        <v>3</v>
      </c>
      <c r="I39" s="161">
        <f t="shared" si="1"/>
        <v>42.857142857142854</v>
      </c>
      <c r="J39" s="161">
        <f>'GoR_BAC exceedance'!H38</f>
        <v>5</v>
      </c>
      <c r="K39" s="161">
        <f>'GoR_BAC exceedance'!I38</f>
        <v>2</v>
      </c>
      <c r="L39" s="161">
        <f>'GoR_BAC exceedance'!J38</f>
        <v>2</v>
      </c>
      <c r="M39" s="161">
        <f>'GoR_BAC exceedance'!K38</f>
        <v>1</v>
      </c>
      <c r="N39" s="161">
        <f>'GoR_BAC exceedance'!L38</f>
        <v>40</v>
      </c>
      <c r="O39" s="161">
        <f>'GoR_BAC exceedance'!M38</f>
        <v>50</v>
      </c>
    </row>
  </sheetData>
  <phoneticPr fontId="31" type="noConversion"/>
  <pageMargins left="0.7" right="0.7" top="0.75" bottom="0.75" header="0.3" footer="0.3"/>
  <pageSetup paperSize="9" orientation="portrait" r:id="rId1"/>
  <drawing r:id="rId2"/>
  <legacyDrawing r:id="rId3"/>
  <oleObjects>
    <mc:AlternateContent xmlns:mc="http://schemas.openxmlformats.org/markup-compatibility/2006">
      <mc:Choice Requires="x14">
        <oleObject progId="Prism10.Document" shapeId="38918" r:id="rId4">
          <objectPr defaultSize="0" r:id="rId5">
            <anchor moveWithCells="1">
              <from>
                <xdr:col>15</xdr:col>
                <xdr:colOff>581025</xdr:colOff>
                <xdr:row>0</xdr:row>
                <xdr:rowOff>0</xdr:rowOff>
              </from>
              <to>
                <xdr:col>23</xdr:col>
                <xdr:colOff>571500</xdr:colOff>
                <xdr:row>12</xdr:row>
                <xdr:rowOff>180975</xdr:rowOff>
              </to>
            </anchor>
          </objectPr>
        </oleObject>
      </mc:Choice>
      <mc:Fallback>
        <oleObject progId="Prism10.Document" shapeId="38918"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249977111117893"/>
  </sheetPr>
  <dimension ref="A1:O23"/>
  <sheetViews>
    <sheetView workbookViewId="0">
      <selection activeCell="O34" sqref="O34"/>
    </sheetView>
  </sheetViews>
  <sheetFormatPr defaultRowHeight="15" x14ac:dyDescent="0.25"/>
  <cols>
    <col min="2" max="2" width="8.7109375" customWidth="1"/>
    <col min="3" max="3" width="13.85546875" customWidth="1"/>
    <col min="4" max="4" width="9.7109375" customWidth="1"/>
    <col min="5" max="5" width="21.7109375" customWidth="1"/>
    <col min="6" max="6" width="13.42578125" customWidth="1"/>
    <col min="7" max="7" width="8.85546875" customWidth="1"/>
    <col min="8" max="9" width="9.5703125" customWidth="1"/>
    <col min="10" max="10" width="9.42578125" customWidth="1"/>
    <col min="11" max="11" width="7.5703125" customWidth="1"/>
    <col min="12" max="12" width="11.28515625" customWidth="1"/>
    <col min="13" max="13" width="11.42578125" customWidth="1"/>
    <col min="14" max="14" width="10.7109375" customWidth="1"/>
    <col min="15" max="15" width="10.5703125" customWidth="1"/>
  </cols>
  <sheetData>
    <row r="1" spans="1:15" ht="60" x14ac:dyDescent="0.25">
      <c r="A1" s="51" t="str">
        <f>'BS_BAC exceedance'!A1</f>
        <v>YEAR</v>
      </c>
      <c r="B1" s="53" t="str">
        <f>'BS_BAC exceedance'!B1</f>
        <v>Basin</v>
      </c>
      <c r="C1" s="203" t="s">
        <v>469</v>
      </c>
      <c r="D1" s="203" t="s">
        <v>470</v>
      </c>
      <c r="E1" s="51" t="str">
        <f>'BS_BAC exceedance'!C1</f>
        <v>Station</v>
      </c>
      <c r="F1" s="203" t="str">
        <f>'BS_BAC exceedance'!E1</f>
        <v>Assessment result per station</v>
      </c>
      <c r="G1" s="203" t="str">
        <f>'BS_BAC exceedance'!F1</f>
        <v>N markers used</v>
      </c>
      <c r="H1" s="159" t="str">
        <f>'BS_BAC exceedance'!G1</f>
        <v>N markers non-GES</v>
      </c>
      <c r="I1" s="159" t="s">
        <v>468</v>
      </c>
      <c r="J1" s="159" t="str">
        <f>'BS_BAC exceedance'!H1</f>
        <v>N markers Exposure</v>
      </c>
      <c r="K1" s="159" t="str">
        <f>'BS_BAC exceedance'!I1</f>
        <v>N markers Effect</v>
      </c>
      <c r="L1" s="159" t="str">
        <f>'BS_BAC exceedance'!J1</f>
        <v>N markers Exposure = non-GES</v>
      </c>
      <c r="M1" s="159" t="str">
        <f>'BS_BAC exceedance'!K1</f>
        <v>N markers Effect = non-GES</v>
      </c>
      <c r="N1" s="159" t="str">
        <f>'BS_BAC exceedance'!L1</f>
        <v>%Exposure markers exceeding BAC</v>
      </c>
      <c r="O1" s="159" t="str">
        <f>'BS_BAC exceedance'!M1</f>
        <v>%Effect markers exceeding BAC</v>
      </c>
    </row>
    <row r="2" spans="1:15" x14ac:dyDescent="0.25">
      <c r="A2" s="202"/>
      <c r="B2" s="204" t="s">
        <v>39</v>
      </c>
      <c r="C2" s="212" cm="1">
        <f t="array" ref="C2">COUNTIF(F15:F22, 0) / SUMPRODUCT(--(LEN(F15:F22) &gt; 0)) * 100</f>
        <v>62.5</v>
      </c>
      <c r="D2" s="204" t="str">
        <f>IF(C2&gt;50, "sub-GES", "GES")</f>
        <v>sub-GES</v>
      </c>
      <c r="E2" s="204"/>
      <c r="F2" s="204"/>
      <c r="G2" s="204"/>
      <c r="H2" s="204"/>
      <c r="I2" s="204"/>
      <c r="J2" s="204"/>
      <c r="K2" s="204"/>
      <c r="L2" s="204"/>
      <c r="M2" s="204"/>
      <c r="N2" s="204"/>
      <c r="O2" s="204"/>
    </row>
    <row r="3" spans="1:15" x14ac:dyDescent="0.25">
      <c r="A3" s="55">
        <f>'BS_BAC exceedance'!A3</f>
        <v>2018</v>
      </c>
      <c r="B3" s="103" t="str">
        <f>'BS_BAC exceedance'!B3</f>
        <v>BS</v>
      </c>
      <c r="C3" s="164"/>
      <c r="D3" s="164"/>
      <c r="E3" s="55" t="str">
        <f>'BS_BAC exceedance'!C3</f>
        <v>G 10</v>
      </c>
      <c r="F3" s="161" t="str">
        <f>'BS_BAC exceedance'!E3</f>
        <v>NA</v>
      </c>
      <c r="G3" s="161">
        <f>'BS_BAC exceedance'!F3</f>
        <v>2</v>
      </c>
      <c r="H3" s="161">
        <f>'BS_BAC exceedance'!G3</f>
        <v>0</v>
      </c>
      <c r="I3" s="161">
        <f t="shared" ref="I3:I14" si="0">100*H3/G3</f>
        <v>0</v>
      </c>
      <c r="J3" s="161">
        <f>'BS_BAC exceedance'!H3</f>
        <v>0</v>
      </c>
      <c r="K3" s="161">
        <f>'BS_BAC exceedance'!I3</f>
        <v>2</v>
      </c>
      <c r="L3" s="161">
        <f>'BS_BAC exceedance'!J3</f>
        <v>0</v>
      </c>
      <c r="M3" s="161">
        <f>'BS_BAC exceedance'!K3</f>
        <v>0</v>
      </c>
      <c r="N3" s="161">
        <f>'BS_BAC exceedance'!L3</f>
        <v>0</v>
      </c>
      <c r="O3" s="161">
        <f>'BS_BAC exceedance'!M3</f>
        <v>0</v>
      </c>
    </row>
    <row r="4" spans="1:15" x14ac:dyDescent="0.25">
      <c r="A4" s="55">
        <f>'BS_BAC exceedance'!A4</f>
        <v>2018</v>
      </c>
      <c r="B4" s="103" t="str">
        <f>'BS_BAC exceedance'!B4</f>
        <v>BS</v>
      </c>
      <c r="C4" s="164"/>
      <c r="D4" s="164"/>
      <c r="E4" s="55" t="str">
        <f>'BS_BAC exceedance'!C4</f>
        <v>G 11</v>
      </c>
      <c r="F4" s="161" t="str">
        <f>'BS_BAC exceedance'!E4</f>
        <v>NA</v>
      </c>
      <c r="G4" s="161">
        <f>'BS_BAC exceedance'!F4</f>
        <v>2</v>
      </c>
      <c r="H4" s="161">
        <f>'BS_BAC exceedance'!G4</f>
        <v>0</v>
      </c>
      <c r="I4" s="161">
        <f t="shared" si="0"/>
        <v>0</v>
      </c>
      <c r="J4" s="161">
        <f>'BS_BAC exceedance'!H4</f>
        <v>0</v>
      </c>
      <c r="K4" s="161">
        <f>'BS_BAC exceedance'!I4</f>
        <v>2</v>
      </c>
      <c r="L4" s="161">
        <f>'BS_BAC exceedance'!J4</f>
        <v>0</v>
      </c>
      <c r="M4" s="161">
        <f>'BS_BAC exceedance'!K4</f>
        <v>0</v>
      </c>
      <c r="N4" s="161">
        <f>'BS_BAC exceedance'!L4</f>
        <v>0</v>
      </c>
      <c r="O4" s="161">
        <f>'BS_BAC exceedance'!M4</f>
        <v>0</v>
      </c>
    </row>
    <row r="5" spans="1:15" x14ac:dyDescent="0.25">
      <c r="A5" s="55">
        <f>'BS_BAC exceedance'!A5</f>
        <v>2018</v>
      </c>
      <c r="B5" s="103" t="str">
        <f>'BS_BAC exceedance'!B5</f>
        <v>BS</v>
      </c>
      <c r="C5" s="164"/>
      <c r="D5" s="164"/>
      <c r="E5" s="55" t="str">
        <f>'BS_BAC exceedance'!C5</f>
        <v>N 4-1</v>
      </c>
      <c r="F5" s="161" t="str">
        <f>'BS_BAC exceedance'!E5</f>
        <v>NA</v>
      </c>
      <c r="G5" s="161">
        <f>'BS_BAC exceedance'!F5</f>
        <v>2</v>
      </c>
      <c r="H5" s="161">
        <f>'BS_BAC exceedance'!G5</f>
        <v>0</v>
      </c>
      <c r="I5" s="161">
        <f t="shared" si="0"/>
        <v>0</v>
      </c>
      <c r="J5" s="161">
        <f>'BS_BAC exceedance'!H5</f>
        <v>0</v>
      </c>
      <c r="K5" s="161">
        <f>'BS_BAC exceedance'!I5</f>
        <v>2</v>
      </c>
      <c r="L5" s="161">
        <f>'BS_BAC exceedance'!J5</f>
        <v>0</v>
      </c>
      <c r="M5" s="161">
        <f>'BS_BAC exceedance'!K5</f>
        <v>0</v>
      </c>
      <c r="N5" s="161">
        <f>'BS_BAC exceedance'!L5</f>
        <v>0</v>
      </c>
      <c r="O5" s="161">
        <f>'BS_BAC exceedance'!M5</f>
        <v>0</v>
      </c>
    </row>
    <row r="6" spans="1:15" x14ac:dyDescent="0.25">
      <c r="A6" s="55">
        <f>'BS_BAC exceedance'!A6</f>
        <v>2018</v>
      </c>
      <c r="B6" s="103" t="str">
        <f>'BS_BAC exceedance'!B6</f>
        <v>BS</v>
      </c>
      <c r="C6" s="164"/>
      <c r="D6" s="164"/>
      <c r="E6" s="55" t="str">
        <f>'BS_BAC exceedance'!C6</f>
        <v>N 4-3</v>
      </c>
      <c r="F6" s="161" t="str">
        <f>'BS_BAC exceedance'!E6</f>
        <v>NA</v>
      </c>
      <c r="G6" s="161">
        <f>'BS_BAC exceedance'!F6</f>
        <v>2</v>
      </c>
      <c r="H6" s="161">
        <f>'BS_BAC exceedance'!G6</f>
        <v>0</v>
      </c>
      <c r="I6" s="161">
        <f t="shared" si="0"/>
        <v>0</v>
      </c>
      <c r="J6" s="161">
        <f>'BS_BAC exceedance'!H6</f>
        <v>0</v>
      </c>
      <c r="K6" s="161">
        <f>'BS_BAC exceedance'!I6</f>
        <v>2</v>
      </c>
      <c r="L6" s="161">
        <f>'BS_BAC exceedance'!J6</f>
        <v>0</v>
      </c>
      <c r="M6" s="161">
        <f>'BS_BAC exceedance'!K6</f>
        <v>0</v>
      </c>
      <c r="N6" s="161">
        <f>'BS_BAC exceedance'!L6</f>
        <v>0</v>
      </c>
      <c r="O6" s="161">
        <f>'BS_BAC exceedance'!M6</f>
        <v>0</v>
      </c>
    </row>
    <row r="7" spans="1:15" x14ac:dyDescent="0.25">
      <c r="A7" s="55">
        <f>'BS_BAC exceedance'!A7</f>
        <v>2018</v>
      </c>
      <c r="B7" s="103" t="str">
        <f>'BS_BAC exceedance'!B7</f>
        <v>BS</v>
      </c>
      <c r="C7" s="164"/>
      <c r="D7" s="164"/>
      <c r="E7" s="55" t="str">
        <f>'BS_BAC exceedance'!C7</f>
        <v>Åv 1</v>
      </c>
      <c r="F7" s="161" t="str">
        <f>'BS_BAC exceedance'!E7</f>
        <v>NA</v>
      </c>
      <c r="G7" s="161">
        <f>'BS_BAC exceedance'!F7</f>
        <v>2</v>
      </c>
      <c r="H7" s="161">
        <f>'BS_BAC exceedance'!G7</f>
        <v>1</v>
      </c>
      <c r="I7" s="161">
        <f t="shared" si="0"/>
        <v>50</v>
      </c>
      <c r="J7" s="161">
        <f>'BS_BAC exceedance'!H7</f>
        <v>0</v>
      </c>
      <c r="K7" s="161">
        <f>'BS_BAC exceedance'!I7</f>
        <v>2</v>
      </c>
      <c r="L7" s="161">
        <f>'BS_BAC exceedance'!J7</f>
        <v>0</v>
      </c>
      <c r="M7" s="161">
        <f>'BS_BAC exceedance'!K7</f>
        <v>1</v>
      </c>
      <c r="N7" s="161">
        <f>'BS_BAC exceedance'!L7</f>
        <v>0</v>
      </c>
      <c r="O7" s="161">
        <f>'BS_BAC exceedance'!M7</f>
        <v>0</v>
      </c>
    </row>
    <row r="8" spans="1:15" x14ac:dyDescent="0.25">
      <c r="A8" s="55">
        <f>'BS_BAC exceedance'!A8</f>
        <v>2018</v>
      </c>
      <c r="B8" s="103" t="str">
        <f>'BS_BAC exceedance'!B8</f>
        <v>BS</v>
      </c>
      <c r="C8" s="164"/>
      <c r="D8" s="164"/>
      <c r="E8" s="55" t="str">
        <f>'BS_BAC exceedance'!C8</f>
        <v>Åv 2</v>
      </c>
      <c r="F8" s="161" t="str">
        <f>'BS_BAC exceedance'!E8</f>
        <v>NA</v>
      </c>
      <c r="G8" s="161">
        <f>'BS_BAC exceedance'!F8</f>
        <v>2</v>
      </c>
      <c r="H8" s="161">
        <f>'BS_BAC exceedance'!G8</f>
        <v>2</v>
      </c>
      <c r="I8" s="161">
        <f t="shared" si="0"/>
        <v>100</v>
      </c>
      <c r="J8" s="161">
        <f>'BS_BAC exceedance'!H8</f>
        <v>0</v>
      </c>
      <c r="K8" s="161">
        <f>'BS_BAC exceedance'!I8</f>
        <v>2</v>
      </c>
      <c r="L8" s="161">
        <f>'BS_BAC exceedance'!J8</f>
        <v>0</v>
      </c>
      <c r="M8" s="161">
        <f>'BS_BAC exceedance'!K8</f>
        <v>2</v>
      </c>
      <c r="N8" s="161">
        <f>'BS_BAC exceedance'!L8</f>
        <v>0</v>
      </c>
      <c r="O8" s="161">
        <f>'BS_BAC exceedance'!M8</f>
        <v>0</v>
      </c>
    </row>
    <row r="9" spans="1:15" x14ac:dyDescent="0.25">
      <c r="A9" s="55">
        <f>'BS_BAC exceedance'!A9</f>
        <v>2018</v>
      </c>
      <c r="B9" s="103" t="str">
        <f>'BS_BAC exceedance'!B9</f>
        <v>BS</v>
      </c>
      <c r="C9" s="164"/>
      <c r="D9" s="164"/>
      <c r="E9" s="55" t="str">
        <f>'BS_BAC exceedance'!C9</f>
        <v>Su 4</v>
      </c>
      <c r="F9" s="161" t="str">
        <f>'BS_BAC exceedance'!E9</f>
        <v>NA</v>
      </c>
      <c r="G9" s="161">
        <f>'BS_BAC exceedance'!F9</f>
        <v>2</v>
      </c>
      <c r="H9" s="161">
        <f>'BS_BAC exceedance'!G9</f>
        <v>2</v>
      </c>
      <c r="I9" s="161">
        <f t="shared" si="0"/>
        <v>100</v>
      </c>
      <c r="J9" s="161">
        <f>'BS_BAC exceedance'!H9</f>
        <v>0</v>
      </c>
      <c r="K9" s="161">
        <f>'BS_BAC exceedance'!I9</f>
        <v>2</v>
      </c>
      <c r="L9" s="161">
        <f>'BS_BAC exceedance'!J9</f>
        <v>0</v>
      </c>
      <c r="M9" s="161">
        <f>'BS_BAC exceedance'!K9</f>
        <v>2</v>
      </c>
      <c r="N9" s="161">
        <f>'BS_BAC exceedance'!L9</f>
        <v>0</v>
      </c>
      <c r="O9" s="161">
        <f>'BS_BAC exceedance'!M9</f>
        <v>0</v>
      </c>
    </row>
    <row r="10" spans="1:15" x14ac:dyDescent="0.25">
      <c r="A10" s="55">
        <f>'BS_BAC exceedance'!A10</f>
        <v>2018</v>
      </c>
      <c r="B10" s="103" t="str">
        <f>'BS_BAC exceedance'!B10</f>
        <v>BS</v>
      </c>
      <c r="C10" s="164"/>
      <c r="D10" s="164"/>
      <c r="E10" s="55" t="str">
        <f>'BS_BAC exceedance'!C10</f>
        <v>Su 5</v>
      </c>
      <c r="F10" s="161" t="str">
        <f>'BS_BAC exceedance'!E10</f>
        <v>NA</v>
      </c>
      <c r="G10" s="161">
        <f>'BS_BAC exceedance'!F10</f>
        <v>2</v>
      </c>
      <c r="H10" s="161">
        <f>'BS_BAC exceedance'!G10</f>
        <v>2</v>
      </c>
      <c r="I10" s="161">
        <f t="shared" si="0"/>
        <v>100</v>
      </c>
      <c r="J10" s="161">
        <f>'BS_BAC exceedance'!H10</f>
        <v>0</v>
      </c>
      <c r="K10" s="161">
        <f>'BS_BAC exceedance'!I10</f>
        <v>2</v>
      </c>
      <c r="L10" s="161">
        <f>'BS_BAC exceedance'!J10</f>
        <v>0</v>
      </c>
      <c r="M10" s="161">
        <f>'BS_BAC exceedance'!K10</f>
        <v>2</v>
      </c>
      <c r="N10" s="161">
        <f>'BS_BAC exceedance'!L10</f>
        <v>0</v>
      </c>
      <c r="O10" s="161">
        <f>'BS_BAC exceedance'!M10</f>
        <v>0</v>
      </c>
    </row>
    <row r="11" spans="1:15" x14ac:dyDescent="0.25">
      <c r="A11" s="55">
        <f>'BS_BAC exceedance'!A11</f>
        <v>2018</v>
      </c>
      <c r="B11" s="103" t="str">
        <f>'BS_BAC exceedance'!B11</f>
        <v>BS</v>
      </c>
      <c r="C11" s="164"/>
      <c r="D11" s="164"/>
      <c r="E11" s="55" t="str">
        <f>'BS_BAC exceedance'!C11</f>
        <v>R 2-4</v>
      </c>
      <c r="F11" s="161" t="str">
        <f>'BS_BAC exceedance'!E11</f>
        <v>NA</v>
      </c>
      <c r="G11" s="161">
        <f>'BS_BAC exceedance'!F11</f>
        <v>2</v>
      </c>
      <c r="H11" s="161">
        <f>'BS_BAC exceedance'!G11</f>
        <v>0</v>
      </c>
      <c r="I11" s="161">
        <f t="shared" si="0"/>
        <v>0</v>
      </c>
      <c r="J11" s="161">
        <f>'BS_BAC exceedance'!H11</f>
        <v>0</v>
      </c>
      <c r="K11" s="161">
        <f>'BS_BAC exceedance'!I11</f>
        <v>2</v>
      </c>
      <c r="L11" s="161">
        <f>'BS_BAC exceedance'!J11</f>
        <v>0</v>
      </c>
      <c r="M11" s="161">
        <f>'BS_BAC exceedance'!K11</f>
        <v>0</v>
      </c>
      <c r="N11" s="161">
        <f>'BS_BAC exceedance'!L11</f>
        <v>0</v>
      </c>
      <c r="O11" s="161">
        <f>'BS_BAC exceedance'!M11</f>
        <v>0</v>
      </c>
    </row>
    <row r="12" spans="1:15" x14ac:dyDescent="0.25">
      <c r="A12" s="55">
        <f>'BS_BAC exceedance'!A12</f>
        <v>2018</v>
      </c>
      <c r="B12" s="103" t="str">
        <f>'BS_BAC exceedance'!B12</f>
        <v>BS</v>
      </c>
      <c r="C12" s="164"/>
      <c r="D12" s="164"/>
      <c r="E12" s="55" t="str">
        <f>'BS_BAC exceedance'!C12</f>
        <v>R 2-13</v>
      </c>
      <c r="F12" s="161" t="str">
        <f>'BS_BAC exceedance'!E12</f>
        <v>NA</v>
      </c>
      <c r="G12" s="161">
        <f>'BS_BAC exceedance'!F12</f>
        <v>2</v>
      </c>
      <c r="H12" s="161">
        <f>'BS_BAC exceedance'!G12</f>
        <v>1</v>
      </c>
      <c r="I12" s="161">
        <f t="shared" si="0"/>
        <v>50</v>
      </c>
      <c r="J12" s="161">
        <f>'BS_BAC exceedance'!H12</f>
        <v>0</v>
      </c>
      <c r="K12" s="161">
        <f>'BS_BAC exceedance'!I12</f>
        <v>2</v>
      </c>
      <c r="L12" s="161">
        <f>'BS_BAC exceedance'!J12</f>
        <v>0</v>
      </c>
      <c r="M12" s="161">
        <f>'BS_BAC exceedance'!K12</f>
        <v>1</v>
      </c>
      <c r="N12" s="161">
        <f>'BS_BAC exceedance'!L12</f>
        <v>0</v>
      </c>
      <c r="O12" s="161">
        <f>'BS_BAC exceedance'!M12</f>
        <v>0</v>
      </c>
    </row>
    <row r="13" spans="1:15" x14ac:dyDescent="0.25">
      <c r="A13" s="55">
        <f>'BS_BAC exceedance'!A13</f>
        <v>2018</v>
      </c>
      <c r="B13" s="103" t="str">
        <f>'BS_BAC exceedance'!B13</f>
        <v>BS</v>
      </c>
      <c r="C13" s="164"/>
      <c r="D13" s="164"/>
      <c r="E13" s="55" t="str">
        <f>'BS_BAC exceedance'!C13</f>
        <v>N 2-4</v>
      </c>
      <c r="F13" s="161" t="str">
        <f>'BS_BAC exceedance'!E13</f>
        <v>NA</v>
      </c>
      <c r="G13" s="161">
        <f>'BS_BAC exceedance'!F13</f>
        <v>2</v>
      </c>
      <c r="H13" s="161">
        <f>'BS_BAC exceedance'!G13</f>
        <v>1</v>
      </c>
      <c r="I13" s="161">
        <f t="shared" si="0"/>
        <v>50</v>
      </c>
      <c r="J13" s="161">
        <f>'BS_BAC exceedance'!H13</f>
        <v>0</v>
      </c>
      <c r="K13" s="161">
        <f>'BS_BAC exceedance'!I13</f>
        <v>2</v>
      </c>
      <c r="L13" s="161">
        <f>'BS_BAC exceedance'!J13</f>
        <v>0</v>
      </c>
      <c r="M13" s="161">
        <f>'BS_BAC exceedance'!K13</f>
        <v>1</v>
      </c>
      <c r="N13" s="161">
        <f>'BS_BAC exceedance'!L13</f>
        <v>0</v>
      </c>
      <c r="O13" s="161">
        <f>'BS_BAC exceedance'!M13</f>
        <v>0</v>
      </c>
    </row>
    <row r="14" spans="1:15" x14ac:dyDescent="0.25">
      <c r="A14" s="55">
        <f>'BS_BAC exceedance'!A14</f>
        <v>2018</v>
      </c>
      <c r="B14" s="103" t="str">
        <f>'BS_BAC exceedance'!B14</f>
        <v>BS</v>
      </c>
      <c r="C14" s="164"/>
      <c r="D14" s="164"/>
      <c r="E14" s="55" t="str">
        <f>'BS_BAC exceedance'!C14</f>
        <v>N 2-3</v>
      </c>
      <c r="F14" s="161" t="str">
        <f>'BS_BAC exceedance'!E14</f>
        <v>NA</v>
      </c>
      <c r="G14" s="161">
        <f>'BS_BAC exceedance'!F14</f>
        <v>2</v>
      </c>
      <c r="H14" s="161">
        <f>'BS_BAC exceedance'!G14</f>
        <v>0</v>
      </c>
      <c r="I14" s="161">
        <f t="shared" si="0"/>
        <v>0</v>
      </c>
      <c r="J14" s="161">
        <f>'BS_BAC exceedance'!H14</f>
        <v>0</v>
      </c>
      <c r="K14" s="161">
        <f>'BS_BAC exceedance'!I14</f>
        <v>2</v>
      </c>
      <c r="L14" s="161">
        <f>'BS_BAC exceedance'!J14</f>
        <v>0</v>
      </c>
      <c r="M14" s="161">
        <f>'BS_BAC exceedance'!K14</f>
        <v>0</v>
      </c>
      <c r="N14" s="161">
        <f>'BS_BAC exceedance'!L14</f>
        <v>0</v>
      </c>
      <c r="O14" s="161">
        <f>'BS_BAC exceedance'!M14</f>
        <v>0</v>
      </c>
    </row>
    <row r="15" spans="1:15" s="14" customFormat="1" x14ac:dyDescent="0.25">
      <c r="A15" s="55">
        <f>'BS_BAC exceedance'!A2</f>
        <v>2018</v>
      </c>
      <c r="B15" s="103" t="str">
        <f>'BS_BAC exceedance'!B2</f>
        <v>BS</v>
      </c>
      <c r="C15" s="164"/>
      <c r="D15" s="164"/>
      <c r="E15" s="55" t="str">
        <f>'BS_BAC exceedance'!C2</f>
        <v>N 26</v>
      </c>
      <c r="F15" s="161">
        <f>'BS_BAC exceedance'!E2</f>
        <v>0</v>
      </c>
      <c r="G15" s="161">
        <f>'BS_BAC exceedance'!F2</f>
        <v>6</v>
      </c>
      <c r="H15" s="161">
        <f>'BS_BAC exceedance'!G2</f>
        <v>4</v>
      </c>
      <c r="I15" s="161">
        <f>100*H15/G15</f>
        <v>66.666666666666671</v>
      </c>
      <c r="J15" s="161">
        <f>'BS_BAC exceedance'!H2</f>
        <v>4</v>
      </c>
      <c r="K15" s="161">
        <f>'BS_BAC exceedance'!I2</f>
        <v>2</v>
      </c>
      <c r="L15" s="161">
        <f>'BS_BAC exceedance'!J2</f>
        <v>2</v>
      </c>
      <c r="M15" s="161">
        <f>'BS_BAC exceedance'!K2</f>
        <v>2</v>
      </c>
      <c r="N15" s="161">
        <f>'BS_BAC exceedance'!L2</f>
        <v>50</v>
      </c>
      <c r="O15" s="161">
        <f>'BS_BAC exceedance'!M2</f>
        <v>100</v>
      </c>
    </row>
    <row r="16" spans="1:15" x14ac:dyDescent="0.25">
      <c r="A16" s="55">
        <f>'BS_BAC exceedance'!A15</f>
        <v>2018</v>
      </c>
      <c r="B16" s="103" t="str">
        <f>'BS_BAC exceedance'!B15</f>
        <v>BS</v>
      </c>
      <c r="C16" s="164"/>
      <c r="D16" s="164"/>
      <c r="E16" s="55" t="str">
        <f>'BS_BAC exceedance'!C15</f>
        <v>SR1A</v>
      </c>
      <c r="F16" s="161">
        <f>'BS_BAC exceedance'!E15</f>
        <v>1</v>
      </c>
      <c r="G16" s="161">
        <f>'BS_BAC exceedance'!F15</f>
        <v>6</v>
      </c>
      <c r="H16" s="161">
        <f>'BS_BAC exceedance'!G15</f>
        <v>1</v>
      </c>
      <c r="I16" s="161">
        <f t="shared" ref="I16:I22" si="1">100*H16/G16</f>
        <v>16.666666666666668</v>
      </c>
      <c r="J16" s="161">
        <f>'BS_BAC exceedance'!H15</f>
        <v>4</v>
      </c>
      <c r="K16" s="161">
        <f>'BS_BAC exceedance'!I15</f>
        <v>2</v>
      </c>
      <c r="L16" s="161">
        <f>'BS_BAC exceedance'!J15</f>
        <v>1</v>
      </c>
      <c r="M16" s="161">
        <f>'BS_BAC exceedance'!K15</f>
        <v>0</v>
      </c>
      <c r="N16" s="161">
        <f>'BS_BAC exceedance'!L15</f>
        <v>25</v>
      </c>
      <c r="O16" s="161">
        <f>'BS_BAC exceedance'!M15</f>
        <v>0</v>
      </c>
    </row>
    <row r="17" spans="1:15" x14ac:dyDescent="0.25">
      <c r="A17" s="55">
        <f>'BS_BAC exceedance'!A16</f>
        <v>2018</v>
      </c>
      <c r="B17" s="103" t="str">
        <f>'BS_BAC exceedance'!B16</f>
        <v>BS</v>
      </c>
      <c r="C17" s="164"/>
      <c r="D17" s="164"/>
      <c r="E17" s="55">
        <f>'BS_BAC exceedance'!C16</f>
        <v>57</v>
      </c>
      <c r="F17" s="161">
        <f>'BS_BAC exceedance'!E16</f>
        <v>0</v>
      </c>
      <c r="G17" s="161">
        <f>'BS_BAC exceedance'!F16</f>
        <v>6</v>
      </c>
      <c r="H17" s="161">
        <f>'BS_BAC exceedance'!G16</f>
        <v>5</v>
      </c>
      <c r="I17" s="161">
        <f t="shared" si="1"/>
        <v>83.333333333333329</v>
      </c>
      <c r="J17" s="161">
        <f>'BS_BAC exceedance'!H16</f>
        <v>4</v>
      </c>
      <c r="K17" s="161">
        <f>'BS_BAC exceedance'!I16</f>
        <v>2</v>
      </c>
      <c r="L17" s="161">
        <f>'BS_BAC exceedance'!J16</f>
        <v>3</v>
      </c>
      <c r="M17" s="161">
        <f>'BS_BAC exceedance'!K16</f>
        <v>2</v>
      </c>
      <c r="N17" s="161">
        <f>'BS_BAC exceedance'!L16</f>
        <v>75</v>
      </c>
      <c r="O17" s="161">
        <f>'BS_BAC exceedance'!M16</f>
        <v>100</v>
      </c>
    </row>
    <row r="18" spans="1:15" x14ac:dyDescent="0.25">
      <c r="A18" s="55">
        <f>'BS_BAC exceedance'!A17</f>
        <v>2018</v>
      </c>
      <c r="B18" s="103" t="str">
        <f>'BS_BAC exceedance'!B17</f>
        <v>BS</v>
      </c>
      <c r="C18" s="164"/>
      <c r="D18" s="164"/>
      <c r="E18" s="55">
        <f>'BS_BAC exceedance'!C17</f>
        <v>58</v>
      </c>
      <c r="F18" s="161">
        <f>'BS_BAC exceedance'!E17</f>
        <v>0</v>
      </c>
      <c r="G18" s="161">
        <f>'BS_BAC exceedance'!F17</f>
        <v>6</v>
      </c>
      <c r="H18" s="161">
        <f>'BS_BAC exceedance'!G17</f>
        <v>6</v>
      </c>
      <c r="I18" s="161">
        <f t="shared" si="1"/>
        <v>100</v>
      </c>
      <c r="J18" s="161">
        <f>'BS_BAC exceedance'!H17</f>
        <v>4</v>
      </c>
      <c r="K18" s="161">
        <f>'BS_BAC exceedance'!I17</f>
        <v>2</v>
      </c>
      <c r="L18" s="161">
        <f>'BS_BAC exceedance'!J17</f>
        <v>4</v>
      </c>
      <c r="M18" s="161">
        <f>'BS_BAC exceedance'!K17</f>
        <v>2</v>
      </c>
      <c r="N18" s="161">
        <f>'BS_BAC exceedance'!L17</f>
        <v>100</v>
      </c>
      <c r="O18" s="161">
        <f>'BS_BAC exceedance'!M17</f>
        <v>100</v>
      </c>
    </row>
    <row r="19" spans="1:15" x14ac:dyDescent="0.25">
      <c r="A19" s="55">
        <f>'BS_BAC exceedance'!A18</f>
        <v>2018</v>
      </c>
      <c r="B19" s="103" t="str">
        <f>'BS_BAC exceedance'!B18</f>
        <v>BS</v>
      </c>
      <c r="C19" s="164"/>
      <c r="D19" s="164"/>
      <c r="E19" s="55" t="str">
        <f>'BS_BAC exceedance'!C18</f>
        <v>Norrsundet</v>
      </c>
      <c r="F19" s="161">
        <f>'BS_BAC exceedance'!E18</f>
        <v>0</v>
      </c>
      <c r="G19" s="161">
        <f>'BS_BAC exceedance'!F18</f>
        <v>16</v>
      </c>
      <c r="H19" s="161">
        <f>'BS_BAC exceedance'!G18</f>
        <v>9</v>
      </c>
      <c r="I19" s="161">
        <f t="shared" si="1"/>
        <v>56.25</v>
      </c>
      <c r="J19" s="161">
        <f>'BS_BAC exceedance'!H18</f>
        <v>8</v>
      </c>
      <c r="K19" s="161">
        <f>'BS_BAC exceedance'!I18</f>
        <v>8</v>
      </c>
      <c r="L19" s="161">
        <f>'BS_BAC exceedance'!J18</f>
        <v>5</v>
      </c>
      <c r="M19" s="161">
        <f>'BS_BAC exceedance'!K18</f>
        <v>4</v>
      </c>
      <c r="N19" s="161">
        <f>'BS_BAC exceedance'!L18</f>
        <v>62.5</v>
      </c>
      <c r="O19" s="161">
        <f>'BS_BAC exceedance'!M18</f>
        <v>50</v>
      </c>
    </row>
    <row r="20" spans="1:15" x14ac:dyDescent="0.25">
      <c r="A20" s="55">
        <f>'BS_BAC exceedance'!A19</f>
        <v>2018</v>
      </c>
      <c r="B20" s="103" t="str">
        <f>'BS_BAC exceedance'!B19</f>
        <v>BS</v>
      </c>
      <c r="C20" s="164"/>
      <c r="D20" s="164"/>
      <c r="E20" s="55" t="str">
        <f>'BS_BAC exceedance'!C19</f>
        <v>Skellefteå hamn</v>
      </c>
      <c r="F20" s="161">
        <f>'BS_BAC exceedance'!E19</f>
        <v>0</v>
      </c>
      <c r="G20" s="161">
        <f>'BS_BAC exceedance'!F19</f>
        <v>10</v>
      </c>
      <c r="H20" s="161">
        <f>'BS_BAC exceedance'!G19</f>
        <v>6</v>
      </c>
      <c r="I20" s="161">
        <f t="shared" si="1"/>
        <v>60</v>
      </c>
      <c r="J20" s="161">
        <f>'BS_BAC exceedance'!H19</f>
        <v>4</v>
      </c>
      <c r="K20" s="161">
        <f>'BS_BAC exceedance'!I19</f>
        <v>6</v>
      </c>
      <c r="L20" s="161">
        <f>'BS_BAC exceedance'!J19</f>
        <v>3</v>
      </c>
      <c r="M20" s="161">
        <f>'BS_BAC exceedance'!K19</f>
        <v>3</v>
      </c>
      <c r="N20" s="161">
        <f>'BS_BAC exceedance'!L19</f>
        <v>75</v>
      </c>
      <c r="O20" s="161">
        <f>'BS_BAC exceedance'!M19</f>
        <v>50</v>
      </c>
    </row>
    <row r="21" spans="1:15" x14ac:dyDescent="0.25">
      <c r="A21" s="55">
        <f>'BS_BAC exceedance'!A20</f>
        <v>2018</v>
      </c>
      <c r="B21" s="103" t="str">
        <f>'BS_BAC exceedance'!B20</f>
        <v>BS</v>
      </c>
      <c r="C21" s="164"/>
      <c r="D21" s="164"/>
      <c r="E21" s="55" t="str">
        <f>'BS_BAC exceedance'!C20</f>
        <v>Holmöarna</v>
      </c>
      <c r="F21" s="161">
        <f>'BS_BAC exceedance'!E20</f>
        <v>1</v>
      </c>
      <c r="G21" s="161">
        <f>'BS_BAC exceedance'!F20</f>
        <v>10</v>
      </c>
      <c r="H21" s="161">
        <f>'BS_BAC exceedance'!G20</f>
        <v>2</v>
      </c>
      <c r="I21" s="161">
        <f t="shared" si="1"/>
        <v>20</v>
      </c>
      <c r="J21" s="161">
        <f>'BS_BAC exceedance'!H20</f>
        <v>4</v>
      </c>
      <c r="K21" s="161">
        <f>'BS_BAC exceedance'!I20</f>
        <v>6</v>
      </c>
      <c r="L21" s="161">
        <f>'BS_BAC exceedance'!J20</f>
        <v>0</v>
      </c>
      <c r="M21" s="161">
        <f>'BS_BAC exceedance'!K20</f>
        <v>2</v>
      </c>
      <c r="N21" s="161">
        <f>'BS_BAC exceedance'!L20</f>
        <v>0</v>
      </c>
      <c r="O21" s="161">
        <f>'BS_BAC exceedance'!M20</f>
        <v>33.333333333333336</v>
      </c>
    </row>
    <row r="22" spans="1:15" x14ac:dyDescent="0.25">
      <c r="A22" s="55">
        <f>'BS_BAC exceedance'!A21</f>
        <v>2018</v>
      </c>
      <c r="B22" s="103" t="str">
        <f>'BS_BAC exceedance'!B21</f>
        <v>BS</v>
      </c>
      <c r="C22" s="164"/>
      <c r="D22" s="164"/>
      <c r="E22" s="55" t="str">
        <f>'BS_BAC exceedance'!C21</f>
        <v>Sundsvall</v>
      </c>
      <c r="F22" s="161">
        <f>'BS_BAC exceedance'!E21</f>
        <v>1</v>
      </c>
      <c r="G22" s="161">
        <f>'BS_BAC exceedance'!F21</f>
        <v>10</v>
      </c>
      <c r="H22" s="161">
        <f>'BS_BAC exceedance'!G21</f>
        <v>5</v>
      </c>
      <c r="I22" s="161">
        <f t="shared" si="1"/>
        <v>50</v>
      </c>
      <c r="J22" s="161">
        <f>'BS_BAC exceedance'!H21</f>
        <v>4</v>
      </c>
      <c r="K22" s="161">
        <f>'BS_BAC exceedance'!I21</f>
        <v>6</v>
      </c>
      <c r="L22" s="161">
        <f>'BS_BAC exceedance'!J21</f>
        <v>3</v>
      </c>
      <c r="M22" s="161">
        <f>'BS_BAC exceedance'!K21</f>
        <v>2</v>
      </c>
      <c r="N22" s="161">
        <f>'BS_BAC exceedance'!L21</f>
        <v>75</v>
      </c>
      <c r="O22" s="161">
        <f>'BS_BAC exceedance'!M21</f>
        <v>33.333333333333336</v>
      </c>
    </row>
    <row r="23" spans="1:15" x14ac:dyDescent="0.25">
      <c r="E23" s="171"/>
    </row>
  </sheetData>
  <pageMargins left="0.7" right="0.7" top="0.75" bottom="0.75" header="0.3" footer="0.3"/>
  <pageSetup paperSize="9" orientation="portrait" r:id="rId1"/>
  <drawing r:id="rId2"/>
  <legacyDrawing r:id="rId3"/>
  <oleObjects>
    <mc:AlternateContent xmlns:mc="http://schemas.openxmlformats.org/markup-compatibility/2006">
      <mc:Choice Requires="x14">
        <oleObject progId="Prism10.Document" shapeId="13317" r:id="rId4">
          <objectPr defaultSize="0" r:id="rId5">
            <anchor moveWithCells="1">
              <from>
                <xdr:col>16</xdr:col>
                <xdr:colOff>0</xdr:colOff>
                <xdr:row>0</xdr:row>
                <xdr:rowOff>0</xdr:rowOff>
              </from>
              <to>
                <xdr:col>24</xdr:col>
                <xdr:colOff>19050</xdr:colOff>
                <xdr:row>14</xdr:row>
                <xdr:rowOff>95250</xdr:rowOff>
              </to>
            </anchor>
          </objectPr>
        </oleObject>
      </mc:Choice>
      <mc:Fallback>
        <oleObject progId="Prism10.Document" shapeId="13317" r:id="rId4"/>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9E1FB-E24F-4704-A243-B631EC778BF0}">
  <sheetPr>
    <tabColor theme="7" tint="0.39997558519241921"/>
  </sheetPr>
  <dimension ref="A1:AF199"/>
  <sheetViews>
    <sheetView topLeftCell="G1" zoomScale="70" zoomScaleNormal="70" workbookViewId="0">
      <selection activeCell="P29" sqref="P29"/>
    </sheetView>
  </sheetViews>
  <sheetFormatPr defaultColWidth="8.85546875" defaultRowHeight="15" x14ac:dyDescent="0.25"/>
  <cols>
    <col min="1" max="1" width="11.42578125" style="7" customWidth="1"/>
    <col min="2" max="2" width="7.85546875" style="3" customWidth="1"/>
    <col min="3" max="3" width="15.5703125" style="1" customWidth="1"/>
    <col min="4" max="4" width="15.5703125" style="166" customWidth="1"/>
    <col min="5" max="5" width="13.5703125" style="171" customWidth="1"/>
    <col min="6" max="6" width="8.85546875" style="171"/>
    <col min="7" max="7" width="8.7109375" style="171" customWidth="1"/>
    <col min="8" max="8" width="11.5703125" style="171" customWidth="1"/>
    <col min="9" max="9" width="8.7109375" style="171" customWidth="1"/>
    <col min="10" max="10" width="11.5703125" style="171" customWidth="1"/>
    <col min="11" max="11" width="10.140625" style="171" customWidth="1"/>
    <col min="12" max="12" width="14" style="171" customWidth="1"/>
    <col min="13" max="13" width="13.85546875" style="171" customWidth="1"/>
    <col min="14" max="14" width="23.5703125" style="158" customWidth="1"/>
    <col min="15" max="15" width="8.140625" style="171" bestFit="1" customWidth="1"/>
    <col min="16" max="16" width="9" style="171" customWidth="1"/>
    <col min="17" max="17" width="8.28515625" style="171" customWidth="1"/>
    <col min="18" max="18" width="8.7109375" style="171" customWidth="1"/>
    <col min="19" max="19" width="9.7109375" style="171" customWidth="1"/>
    <col min="20" max="20" width="9.140625" style="171" customWidth="1"/>
    <col min="21" max="21" width="15.5703125" style="171" customWidth="1"/>
    <col min="22" max="22" width="12.85546875" style="171" customWidth="1"/>
    <col min="23" max="23" width="11.28515625" style="171" customWidth="1"/>
    <col min="24" max="24" width="9.140625" style="171" customWidth="1"/>
    <col min="25" max="25" width="11.42578125" style="171" customWidth="1"/>
    <col min="26" max="26" width="11" style="171" customWidth="1"/>
    <col min="27" max="27" width="10.42578125" style="171" customWidth="1"/>
    <col min="28" max="28" width="12.42578125" style="171" customWidth="1"/>
    <col min="29" max="29" width="11.85546875" style="171" customWidth="1"/>
    <col min="30" max="30" width="12.28515625" style="171" customWidth="1"/>
    <col min="31" max="31" width="11" style="171" customWidth="1"/>
    <col min="32" max="32" width="12.28515625" style="171" customWidth="1"/>
    <col min="33" max="16384" width="8.85546875" style="171"/>
  </cols>
  <sheetData>
    <row r="1" spans="1:32" s="14" customFormat="1" ht="63.95" customHeight="1" x14ac:dyDescent="0.25">
      <c r="A1" s="51" t="s">
        <v>35</v>
      </c>
      <c r="B1" s="53" t="s">
        <v>38</v>
      </c>
      <c r="C1" s="198" t="s">
        <v>83</v>
      </c>
      <c r="D1" s="229" t="s">
        <v>475</v>
      </c>
      <c r="E1" s="200" t="s">
        <v>460</v>
      </c>
      <c r="F1" s="148" t="s">
        <v>458</v>
      </c>
      <c r="G1" s="149" t="s">
        <v>459</v>
      </c>
      <c r="H1" s="159" t="s">
        <v>462</v>
      </c>
      <c r="I1" s="149" t="s">
        <v>463</v>
      </c>
      <c r="J1" s="159" t="s">
        <v>464</v>
      </c>
      <c r="K1" s="149" t="s">
        <v>465</v>
      </c>
      <c r="L1" s="159" t="s">
        <v>467</v>
      </c>
      <c r="M1" s="149" t="s">
        <v>466</v>
      </c>
      <c r="N1" s="231" t="s">
        <v>676</v>
      </c>
      <c r="O1" s="156" t="str">
        <f>'GoR Data summary'!G1 &amp; ", " &amp; 'GoR Data summary'!D3 &amp; ", " &amp; 'GoR Data summary'!E3</f>
        <v>PE, Ma, Females</v>
      </c>
      <c r="P1" s="155" t="str">
        <f>'GoR Data summary'!H1 &amp; ", " &amp; 'GoR Data summary'!D3 &amp; ", " &amp; 'GoR Data summary'!E3</f>
        <v>PF, Ma, Females</v>
      </c>
      <c r="Q1" s="154" t="str">
        <f>'GoR Data summary'!G1 &amp; ", " &amp; 'GoR Data summary'!D45 &amp; ", " &amp; 'GoR Data summary'!E45</f>
        <v>PE, Poro, Females</v>
      </c>
      <c r="R1" s="154" t="str">
        <f>'GoR Data summary'!H1 &amp; ", " &amp; 'GoR Data summary'!D45 &amp; ", " &amp; 'GoR Data summary'!E45</f>
        <v>PF, Poro, Females</v>
      </c>
      <c r="S1" s="54" t="str">
        <f>'GoR Data summary'!I1  &amp; ", " &amp; 'GoR Data summary'!D3 &amp; ", " &amp; 'GoR Data summary'!E3</f>
        <v>AChE, Ma, Females</v>
      </c>
      <c r="T1" s="54" t="str">
        <f>'GoR Data summary'!K1 &amp; ", " &amp; 'GoR Data summary'!D3 &amp; ", " &amp; 'GoR Data summary'!E3</f>
        <v>CAT, Ma, Females</v>
      </c>
      <c r="U1" s="54" t="str">
        <f>'GoR Data summary'!M1 &amp; ", " &amp; 'GoR Data summary'!D3 &amp; ", " &amp; 'GoR Data summary'!E3</f>
        <v>GST, Ma, Females</v>
      </c>
      <c r="V1" s="54" t="str">
        <f>'GoR Data summary'!O1 &amp; ", " &amp; 'GoR Data summary'!D3 &amp; ", " &amp; 'GoR Data summary'!E3</f>
        <v>GR, Ma, Females</v>
      </c>
      <c r="W1" s="147" t="str">
        <f>'GoR Data summary'!Q1 &amp; ", " &amp; 'GoR Data summary'!D3 &amp; ", " &amp; 'GoR Data summary'!E3</f>
        <v>TBARS, Ma, Females</v>
      </c>
      <c r="X1" s="147" t="str">
        <f>'GoR Data summary'!I1  &amp; ", " &amp; 'GoR Data summary'!D22 &amp; ", " &amp; 'GoR Data summary'!E22</f>
        <v>AChE, Mb, Mixed</v>
      </c>
      <c r="Y1" s="147" t="str">
        <f>'GoR Data summary'!K1 &amp; ", " &amp; 'GoR Data summary'!D22 &amp; ", " &amp; 'GoR Data summary'!E22</f>
        <v>CAT, Mb, Mixed</v>
      </c>
      <c r="Z1" s="147" t="str">
        <f>'GoR Data summary'!M1 &amp; ", " &amp; 'GoR Data summary'!D22 &amp; ", " &amp; 'GoR Data summary'!E22</f>
        <v>GST, Mb, Mixed</v>
      </c>
      <c r="AA1" s="147" t="str">
        <f>'GoR Data summary'!O1 &amp; ", " &amp; 'GoR Data summary'!D22 &amp; ", " &amp; 'GoR Data summary'!E22</f>
        <v>GR, Mb, Mixed</v>
      </c>
      <c r="AB1" s="54" t="str">
        <f>'GoR Data summary'!I1  &amp; ", " &amp; 'GoR Data summary'!D45 &amp; ", " &amp; 'GoR Data summary'!E45</f>
        <v>AChE, Poro, Females</v>
      </c>
      <c r="AC1" s="54" t="str">
        <f>'GoR Data summary'!K1 &amp; ", " &amp; 'GoR Data summary'!D45 &amp; ", " &amp; 'GoR Data summary'!E45</f>
        <v>CAT, Poro, Females</v>
      </c>
      <c r="AD1" s="54" t="str">
        <f>'GoR Data summary'!M1 &amp; ", " &amp; 'GoR Data summary'!D45 &amp; ", " &amp; 'GoR Data summary'!E45</f>
        <v>GST, Poro, Females</v>
      </c>
      <c r="AE1" s="54" t="str">
        <f>'GoR Data summary'!O1 &amp; ", " &amp; 'GoR Data summary'!D45 &amp; ", " &amp; 'GoR Data summary'!E45</f>
        <v>GR, Poro, Females</v>
      </c>
      <c r="AF1" s="53" t="str">
        <f>'GoR Data summary'!Q1 &amp; ", " &amp; 'GoR Data summary'!D45 &amp; ", " &amp; 'GoR Data summary'!E45</f>
        <v>TBARS, Poro, Females</v>
      </c>
    </row>
    <row r="2" spans="1:32" x14ac:dyDescent="0.25">
      <c r="A2" s="55" t="str">
        <f>'GoR Data summary'!A3</f>
        <v>2020-2022</v>
      </c>
      <c r="B2" s="103" t="str">
        <f>'GoR Data summary'!B9</f>
        <v>GoR</v>
      </c>
      <c r="C2" s="199" t="str">
        <f>'GoR Data summary'!C3</f>
        <v>101A</v>
      </c>
      <c r="D2" s="230"/>
      <c r="E2" s="201">
        <f t="shared" ref="E2" si="0">IF(F2&lt;=0,"",IF(F2&lt;3,"NA",IF(G2/F2&gt;0.5,0,1)))</f>
        <v>1</v>
      </c>
      <c r="F2" s="56" cm="1">
        <f t="array" ref="F2">SUMPRODUCT(--(LEN(O2:AF2) &gt; 0))</f>
        <v>11</v>
      </c>
      <c r="G2" s="56">
        <f>COUNTIF(O2:AF2, 0)</f>
        <v>5</v>
      </c>
      <c r="H2" s="56" cm="1">
        <f t="array" ref="H2">SUMPRODUCT(--(LEN(S2:AF2) &gt; 0))</f>
        <v>9</v>
      </c>
      <c r="I2" s="56" cm="1">
        <f t="array" ref="I2">SUMPRODUCT(--(LEN(O2:R2) &gt; 0))</f>
        <v>2</v>
      </c>
      <c r="J2" s="56">
        <f>COUNTIF(S2:AF2, 0)</f>
        <v>4</v>
      </c>
      <c r="K2" s="56">
        <f>COUNTIF(O2:R2, 0)</f>
        <v>1</v>
      </c>
      <c r="L2" s="56">
        <f>100*J2/H2</f>
        <v>44.444444444444443</v>
      </c>
      <c r="M2" s="56">
        <f>100*K2/I2</f>
        <v>50</v>
      </c>
      <c r="N2" s="232"/>
      <c r="O2" s="195" t="str">
        <f>IF(NOT(ISBLANK('GoR Data summary'!G3)), IF('GoR Data summary'!G3 &gt; TV!$G$3, "0", "1"), "")</f>
        <v>1</v>
      </c>
      <c r="P2" s="153" t="str">
        <f>IF(NOT(ISBLANK('GoR Data summary'!H3)), IF('GoR Data summary'!H3 &gt; TV!$G$6, "0", "1"), "")</f>
        <v>0</v>
      </c>
      <c r="S2" s="153" t="str">
        <f>IF(NOT(ISBLANK('GoR Data summary'!I3)), IF('GoR Data summary'!I3 &lt; TV!$G$9, "0", "1"), "")</f>
        <v>0</v>
      </c>
      <c r="T2" s="153" t="str">
        <f>IF(NOT(ISBLANK('GoR Data summary'!K3)), IF('GoR Data summary'!K3 &gt; TV!$G$17, "0", "1"), "")</f>
        <v>0</v>
      </c>
      <c r="U2" s="153" t="str">
        <f>IF(NOT(ISBLANK('GoR Data summary'!M3)), IF('GoR Data summary'!M3 &gt; TV!$G$20, "0", "1"), "")</f>
        <v>0</v>
      </c>
      <c r="V2" s="153" t="str">
        <f>IF(NOT(ISBLANK('GoR Data summary'!O3)), IF('GoR Data summary'!O3 &gt; TV!$G$23, "0", "1"), "")</f>
        <v>1</v>
      </c>
      <c r="W2" s="153" t="str">
        <f>IF(NOT(ISBLANK('GoR Data summary'!Q3)), IF('GoR Data summary'!Q3 &gt; TV!$G$14, "0", "1"), "")</f>
        <v>1</v>
      </c>
      <c r="X2" s="153" t="str">
        <f>IF(NOT(ISBLANK('GoR Data summary'!I29)), IF('GoR Data summary'!I29 &lt; TV!$G$10, "0", "1"), "")</f>
        <v>1</v>
      </c>
      <c r="Y2" s="153" t="str">
        <f>IF(NOT(ISBLANK('GoR Data summary'!K29)), IF('GoR Data summary'!K29 &gt; TV!$G$18, "0", "1"), "")</f>
        <v>1</v>
      </c>
      <c r="Z2" s="153" t="str">
        <f>IF(NOT(ISBLANK('GoR Data summary'!M29)), IF('GoR Data summary'!M29 &gt; TV!$G$21, "0", "1"), "")</f>
        <v>0</v>
      </c>
      <c r="AA2" s="153" t="str">
        <f>IF(NOT(ISBLANK('GoR Data summary'!O29)), IF('GoR Data summary'!O29 &gt; TV!$G$24, "0", "1"), "")</f>
        <v>1</v>
      </c>
    </row>
    <row r="3" spans="1:32" x14ac:dyDescent="0.25">
      <c r="A3" s="55" t="str">
        <f>'GoR Data summary'!A4</f>
        <v>2020-2022</v>
      </c>
      <c r="B3" s="103" t="str">
        <f>'GoR Data summary'!B10</f>
        <v>GoR</v>
      </c>
      <c r="C3" s="199" t="str">
        <f>'GoR Data summary'!C4</f>
        <v>167B</v>
      </c>
      <c r="D3" s="230"/>
      <c r="E3" s="201">
        <f t="shared" ref="E3:E38" si="1">IF(F3&lt;=0,"",IF(F3&lt;3,"NA",IF(G3/F3&gt;0.5,0,1)))</f>
        <v>0</v>
      </c>
      <c r="F3" s="56" cm="1">
        <f t="array" ref="F3">SUMPRODUCT(--(LEN(O3:AF3) &gt; 0))</f>
        <v>11</v>
      </c>
      <c r="G3" s="56">
        <f t="shared" ref="G3:G38" si="2">COUNTIF(O3:AF3, 0)</f>
        <v>7</v>
      </c>
      <c r="H3" s="56" cm="1">
        <f t="array" ref="H3">SUMPRODUCT(--(LEN(S3:AF3) &gt; 0))</f>
        <v>9</v>
      </c>
      <c r="I3" s="56" cm="1">
        <f t="array" ref="I3">SUMPRODUCT(--(LEN(O3:R3) &gt; 0))</f>
        <v>2</v>
      </c>
      <c r="J3" s="56">
        <f t="shared" ref="J3:J38" si="3">COUNTIF(S3:AF3, 0)</f>
        <v>6</v>
      </c>
      <c r="K3" s="56">
        <f t="shared" ref="K3:K38" si="4">COUNTIF(O3:R3, 0)</f>
        <v>1</v>
      </c>
      <c r="L3" s="56">
        <f t="shared" ref="L3:L38" si="5">100*J3/H3</f>
        <v>66.666666666666671</v>
      </c>
      <c r="M3" s="56">
        <f t="shared" ref="M3:M38" si="6">100*K3/I3</f>
        <v>50</v>
      </c>
      <c r="N3" s="232"/>
      <c r="O3" s="195" t="str">
        <f>IF(NOT(ISBLANK('GoR Data summary'!G4)), IF('GoR Data summary'!G4 &gt; TV!$G$3, "0", "1"), "")</f>
        <v>1</v>
      </c>
      <c r="P3" s="153" t="str">
        <f>IF(NOT(ISBLANK('GoR Data summary'!H4)), IF('GoR Data summary'!H4 &gt; TV!$G$6, "0", "1"), "")</f>
        <v>0</v>
      </c>
      <c r="S3" s="153" t="str">
        <f>IF(NOT(ISBLANK('GoR Data summary'!I4)), IF('GoR Data summary'!I4 &lt; TV!$G$9, "0", "1"), "")</f>
        <v>0</v>
      </c>
      <c r="T3" s="153" t="str">
        <f>IF(NOT(ISBLANK('GoR Data summary'!K4)), IF('GoR Data summary'!K4 &gt; TV!$G$17, "0", "1"), "")</f>
        <v>0</v>
      </c>
      <c r="U3" s="153" t="str">
        <f>IF(NOT(ISBLANK('GoR Data summary'!M4)), IF('GoR Data summary'!M4 &gt; TV!$G$20, "0", "1"), "")</f>
        <v>0</v>
      </c>
      <c r="V3" s="153" t="str">
        <f>IF(NOT(ISBLANK('GoR Data summary'!O4)), IF('GoR Data summary'!O4 &gt; TV!$G$23, "0", "1"), "")</f>
        <v>1</v>
      </c>
      <c r="W3" s="153" t="str">
        <f>IF(NOT(ISBLANK('GoR Data summary'!Q4)), IF('GoR Data summary'!Q4 &gt; TV!$G$14, "0", "1"), "")</f>
        <v>0</v>
      </c>
      <c r="X3" s="153" t="str">
        <f>IF(NOT(ISBLANK('GoR Data summary'!I22)), IF('GoR Data summary'!I22 &lt; TV!$G$10, "0", "1"), "")</f>
        <v>1</v>
      </c>
      <c r="Y3" s="153" t="str">
        <f>IF(NOT(ISBLANK('GoR Data summary'!K22)), IF('GoR Data summary'!K22 &gt; TV!$G$18, "0", "1"), "")</f>
        <v>0</v>
      </c>
      <c r="Z3" s="153" t="str">
        <f>IF(NOT(ISBLANK('GoR Data summary'!M22)), IF('GoR Data summary'!M22 &gt; TV!$G$21, "0", "1"), "")</f>
        <v>0</v>
      </c>
      <c r="AA3" s="153" t="str">
        <f>IF(NOT(ISBLANK('GoR Data summary'!O22)), IF('GoR Data summary'!O22 &gt; TV!$G$24, "0", "1"), "")</f>
        <v>1</v>
      </c>
    </row>
    <row r="4" spans="1:32" x14ac:dyDescent="0.25">
      <c r="A4" s="55" t="str">
        <f>'GoR Data summary'!A5</f>
        <v>2020-2022</v>
      </c>
      <c r="B4" s="103" t="str">
        <f>'GoR Data summary'!B11</f>
        <v>GoR</v>
      </c>
      <c r="C4" s="199" t="str">
        <f>'GoR Data summary'!C5</f>
        <v>160B</v>
      </c>
      <c r="D4" s="230"/>
      <c r="E4" s="201">
        <f t="shared" si="1"/>
        <v>0</v>
      </c>
      <c r="F4" s="56" cm="1">
        <f t="array" ref="F4">SUMPRODUCT(--(LEN(O4:AF4) &gt; 0))</f>
        <v>11</v>
      </c>
      <c r="G4" s="56">
        <f t="shared" si="2"/>
        <v>8</v>
      </c>
      <c r="H4" s="56" cm="1">
        <f t="array" ref="H4">SUMPRODUCT(--(LEN(S4:AF4) &gt; 0))</f>
        <v>9</v>
      </c>
      <c r="I4" s="56" cm="1">
        <f t="array" ref="I4">SUMPRODUCT(--(LEN(O4:R4) &gt; 0))</f>
        <v>2</v>
      </c>
      <c r="J4" s="56">
        <f t="shared" si="3"/>
        <v>6</v>
      </c>
      <c r="K4" s="56">
        <f t="shared" si="4"/>
        <v>2</v>
      </c>
      <c r="L4" s="56">
        <f t="shared" si="5"/>
        <v>66.666666666666671</v>
      </c>
      <c r="M4" s="56">
        <f t="shared" si="6"/>
        <v>100</v>
      </c>
      <c r="N4" s="232"/>
      <c r="O4" s="195" t="str">
        <f>IF(NOT(ISBLANK('GoR Data summary'!G5)), IF('GoR Data summary'!G5 &gt; TV!$G$3, "0", "1"), "")</f>
        <v>0</v>
      </c>
      <c r="P4" s="153" t="str">
        <f>IF(NOT(ISBLANK('GoR Data summary'!H5)), IF('GoR Data summary'!H5 &gt; TV!$G$6, "0", "1"), "")</f>
        <v>0</v>
      </c>
      <c r="S4" s="153" t="str">
        <f>IF(NOT(ISBLANK('GoR Data summary'!I5)), IF('GoR Data summary'!I5 &lt; TV!$G$9, "0", "1"), "")</f>
        <v>1</v>
      </c>
      <c r="T4" s="153" t="str">
        <f>IF(NOT(ISBLANK('GoR Data summary'!K5)), IF('GoR Data summary'!K5 &gt; TV!$G$17, "0", "1"), "")</f>
        <v>0</v>
      </c>
      <c r="U4" s="153" t="str">
        <f>IF(NOT(ISBLANK('GoR Data summary'!M5)), IF('GoR Data summary'!M5 &gt; TV!$G$20, "0", "1"), "")</f>
        <v>0</v>
      </c>
      <c r="V4" s="153" t="str">
        <f>IF(NOT(ISBLANK('GoR Data summary'!O5)), IF('GoR Data summary'!O5 &gt; TV!$G$23, "0", "1"), "")</f>
        <v>0</v>
      </c>
      <c r="W4" s="153" t="str">
        <f>IF(NOT(ISBLANK('GoR Data summary'!Q5)), IF('GoR Data summary'!Q5 &gt; TV!$G$14, "0", "1"), "")</f>
        <v>0</v>
      </c>
      <c r="X4" s="153" t="str">
        <f>IF(NOT(ISBLANK('GoR Data summary'!I27)), IF('GoR Data summary'!I27 &lt; TV!$G$10, "0", "1"), "")</f>
        <v>1</v>
      </c>
      <c r="Y4" s="153" t="str">
        <f>IF(NOT(ISBLANK('GoR Data summary'!K27)), IF('GoR Data summary'!K27 &gt; TV!$G$18, "0", "1"), "")</f>
        <v>0</v>
      </c>
      <c r="Z4" s="153" t="str">
        <f>IF(NOT(ISBLANK('GoR Data summary'!M27)), IF('GoR Data summary'!M27 &gt; TV!$G$21, "0", "1"), "")</f>
        <v>0</v>
      </c>
      <c r="AA4" s="153" t="str">
        <f>IF(NOT(ISBLANK('GoR Data summary'!O27)), IF('GoR Data summary'!O27 &gt; TV!$G$24, "0", "1"), "")</f>
        <v>1</v>
      </c>
    </row>
    <row r="5" spans="1:32" x14ac:dyDescent="0.25">
      <c r="A5" s="55" t="str">
        <f>'GoR Data summary'!A6</f>
        <v>2020-2022</v>
      </c>
      <c r="B5" s="103" t="str">
        <f>'GoR Data summary'!B12</f>
        <v>GoR</v>
      </c>
      <c r="C5" s="199" t="str">
        <f>'GoR Data summary'!C6</f>
        <v>VAD2</v>
      </c>
      <c r="D5" s="230"/>
      <c r="E5" s="201">
        <f t="shared" si="1"/>
        <v>1</v>
      </c>
      <c r="F5" s="56" cm="1">
        <f t="array" ref="F5">SUMPRODUCT(--(LEN(O5:AF5) &gt; 0))</f>
        <v>11</v>
      </c>
      <c r="G5" s="56">
        <f t="shared" si="2"/>
        <v>5</v>
      </c>
      <c r="H5" s="56" cm="1">
        <f t="array" ref="H5">SUMPRODUCT(--(LEN(S5:AF5) &gt; 0))</f>
        <v>9</v>
      </c>
      <c r="I5" s="56" cm="1">
        <f t="array" ref="I5">SUMPRODUCT(--(LEN(O5:R5) &gt; 0))</f>
        <v>2</v>
      </c>
      <c r="J5" s="56">
        <f t="shared" si="3"/>
        <v>4</v>
      </c>
      <c r="K5" s="56">
        <f t="shared" si="4"/>
        <v>1</v>
      </c>
      <c r="L5" s="56">
        <f t="shared" si="5"/>
        <v>44.444444444444443</v>
      </c>
      <c r="M5" s="56">
        <f t="shared" si="6"/>
        <v>50</v>
      </c>
      <c r="N5" s="232"/>
      <c r="O5" s="195" t="str">
        <f>IF(NOT(ISBLANK('GoR Data summary'!G6)), IF('GoR Data summary'!G6 &gt; TV!$G$3, "0", "1"), "")</f>
        <v>1</v>
      </c>
      <c r="P5" s="153" t="str">
        <f>IF(NOT(ISBLANK('GoR Data summary'!H6)), IF('GoR Data summary'!H6 &gt; TV!$G$6, "0", "1"), "")</f>
        <v>0</v>
      </c>
      <c r="S5" s="153" t="str">
        <f>IF(NOT(ISBLANK('GoR Data summary'!I6)), IF('GoR Data summary'!I6 &lt; TV!$G$9, "0", "1"), "")</f>
        <v>0</v>
      </c>
      <c r="T5" s="153" t="str">
        <f>IF(NOT(ISBLANK('GoR Data summary'!K6)), IF('GoR Data summary'!K6 &gt; TV!$G$17, "0", "1"), "")</f>
        <v>0</v>
      </c>
      <c r="U5" s="153" t="str">
        <f>IF(NOT(ISBLANK('GoR Data summary'!M6)), IF('GoR Data summary'!M6 &gt; TV!$G$20, "0", "1"), "")</f>
        <v>0</v>
      </c>
      <c r="V5" s="153" t="str">
        <f>IF(NOT(ISBLANK('GoR Data summary'!O6)), IF('GoR Data summary'!O6 &gt; TV!$G$23, "0", "1"), "")</f>
        <v>1</v>
      </c>
      <c r="W5" s="153" t="str">
        <f>IF(NOT(ISBLANK('GoR Data summary'!Q6)), IF('GoR Data summary'!Q6 &gt; TV!$G$14, "0", "1"), "")</f>
        <v>1</v>
      </c>
      <c r="X5" s="153" t="str">
        <f>IF(NOT(ISBLANK('GoR Data summary'!I25)), IF('GoR Data summary'!I25 &lt; TV!$G$10, "0", "1"), "")</f>
        <v>1</v>
      </c>
      <c r="Y5" s="153" t="str">
        <f>IF(NOT(ISBLANK('GoR Data summary'!K25)), IF('GoR Data summary'!K25 &gt; TV!$G$18, "0", "1"), "")</f>
        <v>1</v>
      </c>
      <c r="Z5" s="153" t="str">
        <f>IF(NOT(ISBLANK('GoR Data summary'!M25)), IF('GoR Data summary'!M25 &gt; TV!$G$21, "0", "1"), "")</f>
        <v>0</v>
      </c>
      <c r="AA5" s="153" t="str">
        <f>IF(NOT(ISBLANK('GoR Data summary'!O25)), IF('GoR Data summary'!O25 &gt; TV!$G$24, "0", "1"), "")</f>
        <v>1</v>
      </c>
    </row>
    <row r="6" spans="1:32" x14ac:dyDescent="0.25">
      <c r="A6" s="55" t="str">
        <f>'GoR Data summary'!A7</f>
        <v>2020-2022</v>
      </c>
      <c r="B6" s="103" t="str">
        <f>'GoR Data summary'!B13</f>
        <v>GoR</v>
      </c>
      <c r="C6" s="199" t="str">
        <f>'GoR Data summary'!C7</f>
        <v>163B</v>
      </c>
      <c r="D6" s="230"/>
      <c r="E6" s="201">
        <f t="shared" si="1"/>
        <v>1</v>
      </c>
      <c r="F6" s="56" cm="1">
        <f t="array" ref="F6">SUMPRODUCT(--(LEN(O6:AF6) &gt; 0))</f>
        <v>11</v>
      </c>
      <c r="G6" s="56">
        <f t="shared" si="2"/>
        <v>4</v>
      </c>
      <c r="H6" s="56" cm="1">
        <f t="array" ref="H6">SUMPRODUCT(--(LEN(S6:AF6) &gt; 0))</f>
        <v>9</v>
      </c>
      <c r="I6" s="56" cm="1">
        <f t="array" ref="I6">SUMPRODUCT(--(LEN(O6:R6) &gt; 0))</f>
        <v>2</v>
      </c>
      <c r="J6" s="56">
        <f t="shared" si="3"/>
        <v>4</v>
      </c>
      <c r="K6" s="56">
        <f t="shared" si="4"/>
        <v>0</v>
      </c>
      <c r="L6" s="56">
        <f t="shared" si="5"/>
        <v>44.444444444444443</v>
      </c>
      <c r="M6" s="56">
        <f t="shared" si="6"/>
        <v>0</v>
      </c>
      <c r="N6" s="232"/>
      <c r="O6" s="195" t="str">
        <f>IF(NOT(ISBLANK('GoR Data summary'!G7)), IF('GoR Data summary'!G7 &gt; TV!$G$3, "0", "1"), "")</f>
        <v>1</v>
      </c>
      <c r="P6" s="153" t="str">
        <f>IF(NOT(ISBLANK('GoR Data summary'!H7)), IF('GoR Data summary'!H7 &gt; TV!$G$6, "0", "1"), "")</f>
        <v>1</v>
      </c>
      <c r="S6" s="153" t="str">
        <f>IF(NOT(ISBLANK('GoR Data summary'!I7)), IF('GoR Data summary'!I7 &lt; TV!$G$9, "0", "1"), "")</f>
        <v>1</v>
      </c>
      <c r="T6" s="153" t="str">
        <f>IF(NOT(ISBLANK('GoR Data summary'!K7)), IF('GoR Data summary'!K7 &gt; TV!$G$17, "0", "1"), "")</f>
        <v>0</v>
      </c>
      <c r="U6" s="153" t="str">
        <f>IF(NOT(ISBLANK('GoR Data summary'!M7)), IF('GoR Data summary'!M7 &gt; TV!$G$20, "0", "1"), "")</f>
        <v>0</v>
      </c>
      <c r="V6" s="153" t="str">
        <f>IF(NOT(ISBLANK('GoR Data summary'!O7)), IF('GoR Data summary'!O7 &gt; TV!$G$23, "0", "1"), "")</f>
        <v>1</v>
      </c>
      <c r="W6" s="153" t="str">
        <f>IF(NOT(ISBLANK('GoR Data summary'!Q7)), IF('GoR Data summary'!Q7 &gt; TV!$G$14, "0", "1"), "")</f>
        <v>0</v>
      </c>
      <c r="X6" s="153" t="str">
        <f>IF(NOT(ISBLANK('GoR Data summary'!I30)), IF('GoR Data summary'!I30 &lt; TV!$G$10, "0", "1"), "")</f>
        <v>1</v>
      </c>
      <c r="Y6" s="153" t="str">
        <f>IF(NOT(ISBLANK('GoR Data summary'!K30)), IF('GoR Data summary'!K30 &gt; TV!$G$18, "0", "1"), "")</f>
        <v>1</v>
      </c>
      <c r="Z6" s="153" t="str">
        <f>IF(NOT(ISBLANK('GoR Data summary'!M30)), IF('GoR Data summary'!M30 &gt; TV!$G$21, "0", "1"), "")</f>
        <v>0</v>
      </c>
      <c r="AA6" s="153" t="str">
        <f>IF(NOT(ISBLANK('GoR Data summary'!O30)), IF('GoR Data summary'!O30 &gt; TV!$G$24, "0", "1"), "")</f>
        <v>1</v>
      </c>
    </row>
    <row r="7" spans="1:32" x14ac:dyDescent="0.25">
      <c r="A7" s="55" t="str">
        <f>'GoR Data summary'!A8</f>
        <v>2020-2022</v>
      </c>
      <c r="B7" s="103" t="str">
        <f>'GoR Data summary'!B14</f>
        <v>GoR</v>
      </c>
      <c r="C7" s="199" t="str">
        <f>'GoR Data summary'!C8</f>
        <v>162B</v>
      </c>
      <c r="D7" s="230"/>
      <c r="E7" s="201">
        <f t="shared" si="1"/>
        <v>0</v>
      </c>
      <c r="F7" s="56" cm="1">
        <f t="array" ref="F7">SUMPRODUCT(--(LEN(O7:AF7) &gt; 0))</f>
        <v>11</v>
      </c>
      <c r="G7" s="56">
        <f t="shared" si="2"/>
        <v>6</v>
      </c>
      <c r="H7" s="56" cm="1">
        <f t="array" ref="H7">SUMPRODUCT(--(LEN(S7:AF7) &gt; 0))</f>
        <v>9</v>
      </c>
      <c r="I7" s="56" cm="1">
        <f t="array" ref="I7">SUMPRODUCT(--(LEN(O7:R7) &gt; 0))</f>
        <v>2</v>
      </c>
      <c r="J7" s="56">
        <f t="shared" si="3"/>
        <v>4</v>
      </c>
      <c r="K7" s="56">
        <f t="shared" si="4"/>
        <v>2</v>
      </c>
      <c r="L7" s="56">
        <f t="shared" si="5"/>
        <v>44.444444444444443</v>
      </c>
      <c r="M7" s="56">
        <f t="shared" si="6"/>
        <v>100</v>
      </c>
      <c r="N7" s="232"/>
      <c r="O7" s="195" t="str">
        <f>IF(NOT(ISBLANK('GoR Data summary'!G8)), IF('GoR Data summary'!G8 &gt; TV!$G$3, "0", "1"), "")</f>
        <v>0</v>
      </c>
      <c r="P7" s="153" t="str">
        <f>IF(NOT(ISBLANK('GoR Data summary'!H8)), IF('GoR Data summary'!H8 &gt; TV!$G$6, "0", "1"), "")</f>
        <v>0</v>
      </c>
      <c r="S7" s="153" t="str">
        <f>IF(NOT(ISBLANK('GoR Data summary'!I8)), IF('GoR Data summary'!I8 &lt; TV!$G$9, "0", "1"), "")</f>
        <v>0</v>
      </c>
      <c r="T7" s="153" t="str">
        <f>IF(NOT(ISBLANK('GoR Data summary'!K8)), IF('GoR Data summary'!K8 &gt; TV!$G$17, "0", "1"), "")</f>
        <v>1</v>
      </c>
      <c r="U7" s="153" t="str">
        <f>IF(NOT(ISBLANK('GoR Data summary'!M8)), IF('GoR Data summary'!M8 &gt; TV!$G$20, "0", "1"), "")</f>
        <v>1</v>
      </c>
      <c r="V7" s="153" t="str">
        <f>IF(NOT(ISBLANK('GoR Data summary'!O8)), IF('GoR Data summary'!O8 &gt; TV!$G$23, "0", "1"), "")</f>
        <v>1</v>
      </c>
      <c r="W7" s="153" t="str">
        <f>IF(NOT(ISBLANK('GoR Data summary'!Q8)), IF('GoR Data summary'!Q8 &gt; TV!$G$14, "0", "1"), "")</f>
        <v>0</v>
      </c>
      <c r="X7" s="153" t="str">
        <f>IF(NOT(ISBLANK('GoR Data summary'!I28)), IF('GoR Data summary'!I28 &lt; TV!$G$10, "0", "1"), "")</f>
        <v>1</v>
      </c>
      <c r="Y7" s="153" t="str">
        <f>IF(NOT(ISBLANK('GoR Data summary'!K28)), IF('GoR Data summary'!K28 &gt; TV!$G$18, "0", "1"), "")</f>
        <v>0</v>
      </c>
      <c r="Z7" s="153" t="str">
        <f>IF(NOT(ISBLANK('GoR Data summary'!M28)), IF('GoR Data summary'!M28 &gt; TV!$G$21, "0", "1"), "")</f>
        <v>0</v>
      </c>
      <c r="AA7" s="153" t="str">
        <f>IF(NOT(ISBLANK('GoR Data summary'!O28)), IF('GoR Data summary'!O28 &gt; TV!$G$24, "0", "1"), "")</f>
        <v>1</v>
      </c>
    </row>
    <row r="8" spans="1:32" x14ac:dyDescent="0.25">
      <c r="A8" s="55" t="str">
        <f>'GoR Data summary'!A9</f>
        <v>2020-2022</v>
      </c>
      <c r="B8" s="103" t="str">
        <f>'GoR Data summary'!B15</f>
        <v>GoR</v>
      </c>
      <c r="C8" s="199" t="str">
        <f>'GoR Data summary'!C9</f>
        <v>111</v>
      </c>
      <c r="D8" s="230"/>
      <c r="E8" s="201">
        <f t="shared" si="1"/>
        <v>1</v>
      </c>
      <c r="F8" s="56" cm="1">
        <f t="array" ref="F8">SUMPRODUCT(--(LEN(O8:AF8) &gt; 0))</f>
        <v>11</v>
      </c>
      <c r="G8" s="56">
        <f t="shared" si="2"/>
        <v>4</v>
      </c>
      <c r="H8" s="56" cm="1">
        <f t="array" ref="H8">SUMPRODUCT(--(LEN(S8:AF8) &gt; 0))</f>
        <v>9</v>
      </c>
      <c r="I8" s="56" cm="1">
        <f t="array" ref="I8">SUMPRODUCT(--(LEN(O8:R8) &gt; 0))</f>
        <v>2</v>
      </c>
      <c r="J8" s="56">
        <f t="shared" si="3"/>
        <v>2</v>
      </c>
      <c r="K8" s="56">
        <f t="shared" si="4"/>
        <v>2</v>
      </c>
      <c r="L8" s="56">
        <f t="shared" si="5"/>
        <v>22.222222222222221</v>
      </c>
      <c r="M8" s="56">
        <f t="shared" si="6"/>
        <v>100</v>
      </c>
      <c r="N8" s="232"/>
      <c r="O8" s="195" t="str">
        <f>IF(NOT(ISBLANK('GoR Data summary'!G9)), IF('GoR Data summary'!G9 &gt; TV!$G$3, "0", "1"), "")</f>
        <v>0</v>
      </c>
      <c r="P8" s="153" t="str">
        <f>IF(NOT(ISBLANK('GoR Data summary'!H9)), IF('GoR Data summary'!H9 &gt; TV!$G$6, "0", "1"), "")</f>
        <v>0</v>
      </c>
      <c r="S8" s="153" t="str">
        <f>IF(NOT(ISBLANK('GoR Data summary'!I9)), IF('GoR Data summary'!I9 &lt; TV!$G$9, "0", "1"), "")</f>
        <v>1</v>
      </c>
      <c r="T8" s="153" t="str">
        <f>IF(NOT(ISBLANK('GoR Data summary'!K9)), IF('GoR Data summary'!K9 &gt; TV!$G$17, "0", "1"), "")</f>
        <v>1</v>
      </c>
      <c r="U8" s="153" t="str">
        <f>IF(NOT(ISBLANK('GoR Data summary'!M9)), IF('GoR Data summary'!M9 &gt; TV!$G$20, "0", "1"), "")</f>
        <v>1</v>
      </c>
      <c r="V8" s="153" t="str">
        <f>IF(NOT(ISBLANK('GoR Data summary'!O9)), IF('GoR Data summary'!O9 &gt; TV!$G$23, "0", "1"), "")</f>
        <v>1</v>
      </c>
      <c r="W8" s="153" t="str">
        <f>IF(NOT(ISBLANK('GoR Data summary'!Q9)), IF('GoR Data summary'!Q9 &gt; TV!$G$14, "0", "1"), "")</f>
        <v>1</v>
      </c>
      <c r="X8" s="153" t="str">
        <f>IF(NOT(ISBLANK('GoR Data summary'!I24)), IF('GoR Data summary'!I24 &lt; TV!$G$10, "0", "1"), "")</f>
        <v>1</v>
      </c>
      <c r="Y8" s="153" t="str">
        <f>IF(NOT(ISBLANK('GoR Data summary'!K24)), IF('GoR Data summary'!K24 &gt; TV!$G$18, "0", "1"), "")</f>
        <v>0</v>
      </c>
      <c r="Z8" s="153" t="str">
        <f>IF(NOT(ISBLANK('GoR Data summary'!M24)), IF('GoR Data summary'!M24 &gt; TV!$G$21, "0", "1"), "")</f>
        <v>0</v>
      </c>
      <c r="AA8" s="153" t="str">
        <f>IF(NOT(ISBLANK('GoR Data summary'!O24)), IF('GoR Data summary'!O24 &gt; TV!$G$24, "0", "1"), "")</f>
        <v>1</v>
      </c>
    </row>
    <row r="9" spans="1:32" x14ac:dyDescent="0.25">
      <c r="A9" s="55" t="str">
        <f>'GoR Data summary'!A10</f>
        <v>2020-2022</v>
      </c>
      <c r="B9" s="103" t="str">
        <f>'GoR Data summary'!B16</f>
        <v>GoR</v>
      </c>
      <c r="C9" s="199" t="str">
        <f>'GoR Data summary'!C10</f>
        <v>114A</v>
      </c>
      <c r="D9" s="230"/>
      <c r="E9" s="201">
        <f t="shared" si="1"/>
        <v>0</v>
      </c>
      <c r="F9" s="56" cm="1">
        <f t="array" ref="F9">SUMPRODUCT(--(LEN(O9:AF9) &gt; 0))</f>
        <v>11</v>
      </c>
      <c r="G9" s="56">
        <f t="shared" si="2"/>
        <v>6</v>
      </c>
      <c r="H9" s="56" cm="1">
        <f t="array" ref="H9">SUMPRODUCT(--(LEN(S9:AF9) &gt; 0))</f>
        <v>9</v>
      </c>
      <c r="I9" s="56" cm="1">
        <f t="array" ref="I9">SUMPRODUCT(--(LEN(O9:R9) &gt; 0))</f>
        <v>2</v>
      </c>
      <c r="J9" s="56">
        <f t="shared" si="3"/>
        <v>4</v>
      </c>
      <c r="K9" s="56">
        <f t="shared" si="4"/>
        <v>2</v>
      </c>
      <c r="L9" s="56">
        <f t="shared" si="5"/>
        <v>44.444444444444443</v>
      </c>
      <c r="M9" s="56">
        <f t="shared" si="6"/>
        <v>100</v>
      </c>
      <c r="N9" s="232"/>
      <c r="O9" s="195" t="str">
        <f>IF(NOT(ISBLANK('GoR Data summary'!G10)), IF('GoR Data summary'!G10 &gt; TV!$G$3, "0", "1"), "")</f>
        <v>0</v>
      </c>
      <c r="P9" s="153" t="str">
        <f>IF(NOT(ISBLANK('GoR Data summary'!H10)), IF('GoR Data summary'!H10 &gt; TV!$G$6, "0", "1"), "")</f>
        <v>0</v>
      </c>
      <c r="S9" s="153" t="str">
        <f>IF(NOT(ISBLANK('GoR Data summary'!I10)), IF('GoR Data summary'!I10 &lt; TV!$G$9, "0", "1"), "")</f>
        <v>0</v>
      </c>
      <c r="T9" s="153" t="str">
        <f>IF(NOT(ISBLANK('GoR Data summary'!K10)), IF('GoR Data summary'!K10 &gt; TV!$G$17, "0", "1"), "")</f>
        <v>1</v>
      </c>
      <c r="U9" s="153" t="str">
        <f>IF(NOT(ISBLANK('GoR Data summary'!M10)), IF('GoR Data summary'!M10 &gt; TV!$G$20, "0", "1"), "")</f>
        <v>1</v>
      </c>
      <c r="V9" s="153" t="str">
        <f>IF(NOT(ISBLANK('GoR Data summary'!O10)), IF('GoR Data summary'!O10 &gt; TV!$G$23, "0", "1"), "")</f>
        <v>1</v>
      </c>
      <c r="W9" s="153" t="str">
        <f>IF(NOT(ISBLANK('GoR Data summary'!Q10)), IF('GoR Data summary'!Q10 &gt; TV!$G$14, "0", "1"), "")</f>
        <v>0</v>
      </c>
      <c r="X9" s="153" t="str">
        <f>IF(NOT(ISBLANK('GoR Data summary'!I23)), IF('GoR Data summary'!I23 &lt; TV!$G$10, "0", "1"), "")</f>
        <v>1</v>
      </c>
      <c r="Y9" s="153" t="str">
        <f>IF(NOT(ISBLANK('GoR Data summary'!K23)), IF('GoR Data summary'!K23 &gt; TV!$G$18, "0", "1"), "")</f>
        <v>0</v>
      </c>
      <c r="Z9" s="153" t="str">
        <f>IF(NOT(ISBLANK('GoR Data summary'!M23)), IF('GoR Data summary'!M23 &gt; TV!$G$21, "0", "1"), "")</f>
        <v>0</v>
      </c>
      <c r="AA9" s="153" t="str">
        <f>IF(NOT(ISBLANK('GoR Data summary'!O23)), IF('GoR Data summary'!O23 &gt; TV!$G$24, "0", "1"), "")</f>
        <v>1</v>
      </c>
    </row>
    <row r="10" spans="1:32" x14ac:dyDescent="0.25">
      <c r="A10" s="55" t="str">
        <f>'GoR Data summary'!A11</f>
        <v>2020-2022</v>
      </c>
      <c r="B10" s="103" t="str">
        <f>'GoR Data summary'!B17</f>
        <v>GoR</v>
      </c>
      <c r="C10" s="199" t="str">
        <f>'GoR Data summary'!C11</f>
        <v>G3</v>
      </c>
      <c r="D10" s="230"/>
      <c r="E10" s="201">
        <f t="shared" si="1"/>
        <v>0</v>
      </c>
      <c r="F10" s="56" cm="1">
        <f t="array" ref="F10">SUMPRODUCT(--(LEN(O10:AF10) &gt; 0))</f>
        <v>3</v>
      </c>
      <c r="G10" s="56">
        <f t="shared" si="2"/>
        <v>3</v>
      </c>
      <c r="H10" s="56" cm="1">
        <f t="array" ref="H10">SUMPRODUCT(--(LEN(S10:AF10) &gt; 0))</f>
        <v>1</v>
      </c>
      <c r="I10" s="56" cm="1">
        <f t="array" ref="I10">SUMPRODUCT(--(LEN(O10:R10) &gt; 0))</f>
        <v>2</v>
      </c>
      <c r="J10" s="56">
        <f t="shared" si="3"/>
        <v>1</v>
      </c>
      <c r="K10" s="56">
        <f t="shared" si="4"/>
        <v>2</v>
      </c>
      <c r="L10" s="56">
        <f t="shared" si="5"/>
        <v>100</v>
      </c>
      <c r="M10" s="56">
        <f t="shared" si="6"/>
        <v>100</v>
      </c>
      <c r="N10" s="232"/>
      <c r="O10" s="195" t="str">
        <f>IF(NOT(ISBLANK('GoR Data summary'!G11)), IF('GoR Data summary'!G11 &gt; TV!$G$3, "0", "1"), "")</f>
        <v>0</v>
      </c>
      <c r="P10" s="153" t="str">
        <f>IF(NOT(ISBLANK('GoR Data summary'!H11)), IF('GoR Data summary'!H11 &gt; TV!$G$6, "0", "1"), "")</f>
        <v>0</v>
      </c>
      <c r="S10" s="153" t="str">
        <f>IF(NOT(ISBLANK('GoR Data summary'!I11)), IF('GoR Data summary'!I11 &lt; TV!$G$9, "0", "1"), "")</f>
        <v>0</v>
      </c>
      <c r="T10" s="153" t="str">
        <f>IF(NOT(ISBLANK('GoR Data summary'!K11)), IF('GoR Data summary'!K11 &gt; TV!$G$17, "0", "1"), "")</f>
        <v/>
      </c>
      <c r="U10" s="153" t="str">
        <f>IF(NOT(ISBLANK('GoR Data summary'!M11)), IF('GoR Data summary'!M11 &gt; TV!$G$20, "0", "1"), "")</f>
        <v/>
      </c>
      <c r="V10" s="153" t="str">
        <f>IF(NOT(ISBLANK('GoR Data summary'!O11)), IF('GoR Data summary'!O11 &gt; TV!$G$23, "0", "1"), "")</f>
        <v/>
      </c>
      <c r="W10" s="153" t="str">
        <f>IF(NOT(ISBLANK('GoR Data summary'!Q11)), IF('GoR Data summary'!Q11 &gt; TV!$G$14, "0", "1"), "")</f>
        <v/>
      </c>
      <c r="X10" s="152"/>
      <c r="Y10" s="152"/>
      <c r="Z10" s="152"/>
      <c r="AA10" s="152"/>
    </row>
    <row r="11" spans="1:32" x14ac:dyDescent="0.25">
      <c r="A11" s="55" t="str">
        <f>'GoR Data summary'!A12</f>
        <v>2020-2022</v>
      </c>
      <c r="B11" s="103" t="str">
        <f>'GoR Data summary'!B18</f>
        <v>GoR</v>
      </c>
      <c r="C11" s="199" t="str">
        <f>'GoR Data summary'!C12</f>
        <v>107</v>
      </c>
      <c r="D11" s="230"/>
      <c r="E11" s="201">
        <f t="shared" si="1"/>
        <v>0</v>
      </c>
      <c r="F11" s="56" cm="1">
        <f t="array" ref="F11">SUMPRODUCT(--(LEN(O11:AF11) &gt; 0))</f>
        <v>11</v>
      </c>
      <c r="G11" s="56">
        <f t="shared" si="2"/>
        <v>7</v>
      </c>
      <c r="H11" s="56" cm="1">
        <f t="array" ref="H11">SUMPRODUCT(--(LEN(S11:AF11) &gt; 0))</f>
        <v>9</v>
      </c>
      <c r="I11" s="56" cm="1">
        <f t="array" ref="I11">SUMPRODUCT(--(LEN(O11:R11) &gt; 0))</f>
        <v>2</v>
      </c>
      <c r="J11" s="56">
        <f t="shared" si="3"/>
        <v>5</v>
      </c>
      <c r="K11" s="56">
        <f t="shared" si="4"/>
        <v>2</v>
      </c>
      <c r="L11" s="56">
        <f t="shared" si="5"/>
        <v>55.555555555555557</v>
      </c>
      <c r="M11" s="56">
        <f t="shared" si="6"/>
        <v>100</v>
      </c>
      <c r="N11" s="232"/>
      <c r="O11" s="195" t="str">
        <f>IF(NOT(ISBLANK('GoR Data summary'!G12)), IF('GoR Data summary'!G12 &gt; TV!$G$3, "0", "1"), "")</f>
        <v>0</v>
      </c>
      <c r="P11" s="153" t="str">
        <f>IF(NOT(ISBLANK('GoR Data summary'!H12)), IF('GoR Data summary'!H12 &gt; TV!$G$6, "0", "1"), "")</f>
        <v>0</v>
      </c>
      <c r="S11" s="153" t="str">
        <f>IF(NOT(ISBLANK('GoR Data summary'!I12)), IF('GoR Data summary'!I12 &lt; TV!$G$9, "0", "1"), "")</f>
        <v>0</v>
      </c>
      <c r="T11" s="153" t="str">
        <f>IF(NOT(ISBLANK('GoR Data summary'!K12)), IF('GoR Data summary'!K12 &gt; TV!$G$17, "0", "1"), "")</f>
        <v>0</v>
      </c>
      <c r="U11" s="153" t="str">
        <f>IF(NOT(ISBLANK('GoR Data summary'!M12)), IF('GoR Data summary'!M12 &gt; TV!$G$20, "0", "1"), "")</f>
        <v>0</v>
      </c>
      <c r="V11" s="153" t="str">
        <f>IF(NOT(ISBLANK('GoR Data summary'!O12)), IF('GoR Data summary'!O12 &gt; TV!$G$23, "0", "1"), "")</f>
        <v>1</v>
      </c>
      <c r="W11" s="153" t="str">
        <f>IF(NOT(ISBLANK('GoR Data summary'!Q12)), IF('GoR Data summary'!Q12 &gt; TV!$G$14, "0", "1"), "")</f>
        <v>0</v>
      </c>
      <c r="X11" s="153" t="str">
        <f>IF(NOT(ISBLANK('GoR Data summary'!I26)), IF('GoR Data summary'!I26 &lt; TV!$G$10, "0", "1"), "")</f>
        <v>1</v>
      </c>
      <c r="Y11" s="153" t="str">
        <f>IF(NOT(ISBLANK('GoR Data summary'!K26)), IF('GoR Data summary'!K26 &gt; TV!$G$18, "0", "1"), "")</f>
        <v>1</v>
      </c>
      <c r="Z11" s="153" t="str">
        <f>IF(NOT(ISBLANK('GoR Data summary'!M26)), IF('GoR Data summary'!M26 &gt; TV!$G$21, "0", "1"), "")</f>
        <v>0</v>
      </c>
      <c r="AA11" s="153" t="str">
        <f>IF(NOT(ISBLANK('GoR Data summary'!O26)), IF('GoR Data summary'!O26 &gt; TV!$G$24, "0", "1"), "")</f>
        <v>1</v>
      </c>
    </row>
    <row r="12" spans="1:32" x14ac:dyDescent="0.25">
      <c r="A12" s="55" t="str">
        <f>'GoR Data summary'!A13</f>
        <v>2020-2022</v>
      </c>
      <c r="B12" s="103" t="str">
        <f>'GoR Data summary'!B19</f>
        <v>GoR</v>
      </c>
      <c r="C12" s="199" t="str">
        <f>'GoR Data summary'!C13</f>
        <v>135</v>
      </c>
      <c r="D12" s="230"/>
      <c r="E12" s="201">
        <f t="shared" si="1"/>
        <v>0</v>
      </c>
      <c r="F12" s="56" cm="1">
        <f t="array" ref="F12">SUMPRODUCT(--(LEN(O12:AF12) &gt; 0))</f>
        <v>7</v>
      </c>
      <c r="G12" s="56">
        <f t="shared" si="2"/>
        <v>7</v>
      </c>
      <c r="H12" s="56" cm="1">
        <f t="array" ref="H12">SUMPRODUCT(--(LEN(S12:AF12) &gt; 0))</f>
        <v>5</v>
      </c>
      <c r="I12" s="56" cm="1">
        <f t="array" ref="I12">SUMPRODUCT(--(LEN(O12:R12) &gt; 0))</f>
        <v>2</v>
      </c>
      <c r="J12" s="56">
        <f t="shared" si="3"/>
        <v>5</v>
      </c>
      <c r="K12" s="56">
        <f t="shared" si="4"/>
        <v>2</v>
      </c>
      <c r="L12" s="56">
        <f t="shared" si="5"/>
        <v>100</v>
      </c>
      <c r="M12" s="56">
        <f t="shared" si="6"/>
        <v>100</v>
      </c>
      <c r="N12" s="232"/>
      <c r="O12" s="195" t="str">
        <f>IF(NOT(ISBLANK('GoR Data summary'!G13)), IF('GoR Data summary'!G13 &gt; TV!$G$3, "0", "1"), "")</f>
        <v>0</v>
      </c>
      <c r="P12" s="153" t="str">
        <f>IF(NOT(ISBLANK('GoR Data summary'!H13)), IF('GoR Data summary'!H13 &gt; TV!$G$6, "0", "1"), "")</f>
        <v>0</v>
      </c>
      <c r="S12" s="153" t="str">
        <f>IF(NOT(ISBLANK('GoR Data summary'!I13)), IF('GoR Data summary'!I13 &lt; TV!$G$9, "0", "1"), "")</f>
        <v>0</v>
      </c>
      <c r="T12" s="153" t="str">
        <f>IF(NOT(ISBLANK('GoR Data summary'!K13)), IF('GoR Data summary'!K13 &gt; TV!$G$17, "0", "1"), "")</f>
        <v>0</v>
      </c>
      <c r="U12" s="153" t="str">
        <f>IF(NOT(ISBLANK('GoR Data summary'!M13)), IF('GoR Data summary'!M13 &gt; TV!$G$20, "0", "1"), "")</f>
        <v>0</v>
      </c>
      <c r="V12" s="153" t="str">
        <f>IF(NOT(ISBLANK('GoR Data summary'!O13)), IF('GoR Data summary'!O13 &gt; TV!$G$23, "0", "1"), "")</f>
        <v>0</v>
      </c>
      <c r="W12" s="153" t="str">
        <f>IF(NOT(ISBLANK('GoR Data summary'!Q13)), IF('GoR Data summary'!Q13 &gt; TV!$G$14, "0", "1"), "")</f>
        <v>0</v>
      </c>
      <c r="X12" s="152"/>
      <c r="Y12" s="152"/>
      <c r="Z12" s="152"/>
      <c r="AA12" s="152"/>
    </row>
    <row r="13" spans="1:32" x14ac:dyDescent="0.25">
      <c r="A13" s="55" t="str">
        <f>'GoR Data summary'!A14</f>
        <v>2020-2022</v>
      </c>
      <c r="B13" s="103" t="str">
        <f>'GoR Data summary'!B20</f>
        <v>GoR</v>
      </c>
      <c r="C13" s="199" t="str">
        <f>'GoR Data summary'!C14</f>
        <v>102A</v>
      </c>
      <c r="D13" s="230"/>
      <c r="E13" s="201">
        <f t="shared" si="1"/>
        <v>1</v>
      </c>
      <c r="F13" s="56" cm="1">
        <f t="array" ref="F13">SUMPRODUCT(--(LEN(O13:AF13) &gt; 0))</f>
        <v>5</v>
      </c>
      <c r="G13" s="56">
        <f t="shared" si="2"/>
        <v>1</v>
      </c>
      <c r="H13" s="56" cm="1">
        <f t="array" ref="H13">SUMPRODUCT(--(LEN(S13:AF13) &gt; 0))</f>
        <v>5</v>
      </c>
      <c r="I13" s="56" cm="1">
        <f t="array" ref="I13">SUMPRODUCT(--(LEN(O13:R13) &gt; 0))</f>
        <v>0</v>
      </c>
      <c r="J13" s="56">
        <f t="shared" si="3"/>
        <v>1</v>
      </c>
      <c r="K13" s="56">
        <f t="shared" si="4"/>
        <v>0</v>
      </c>
      <c r="L13" s="56">
        <f t="shared" si="5"/>
        <v>20</v>
      </c>
      <c r="M13" s="56"/>
      <c r="N13" s="232"/>
      <c r="O13" s="195" t="str">
        <f>IF(NOT(ISBLANK('GoR Data summary'!G14)), IF('GoR Data summary'!G14 &gt; TV!$G$3, "0", "1"), "")</f>
        <v/>
      </c>
      <c r="P13" s="153" t="str">
        <f>IF(NOT(ISBLANK('GoR Data summary'!H14)), IF('GoR Data summary'!H14 &gt; TV!$G$6, "0", "1"), "")</f>
        <v/>
      </c>
      <c r="S13" s="153" t="str">
        <f>IF(NOT(ISBLANK('GoR Data summary'!I14)), IF('GoR Data summary'!I14 &lt; TV!$G$9, "0", "1"), "")</f>
        <v>1</v>
      </c>
      <c r="T13" s="153" t="str">
        <f>IF(NOT(ISBLANK('GoR Data summary'!K14)), IF('GoR Data summary'!K14 &gt; TV!$G$17, "0", "1"), "")</f>
        <v>1</v>
      </c>
      <c r="U13" s="153" t="str">
        <f>IF(NOT(ISBLANK('GoR Data summary'!M14)), IF('GoR Data summary'!M14 &gt; TV!$G$20, "0", "1"), "")</f>
        <v>1</v>
      </c>
      <c r="V13" s="153" t="str">
        <f>IF(NOT(ISBLANK('GoR Data summary'!O14)), IF('GoR Data summary'!O14 &gt; TV!$G$23, "0", "1"), "")</f>
        <v>0</v>
      </c>
      <c r="W13" s="153" t="str">
        <f>IF(NOT(ISBLANK('GoR Data summary'!Q14)), IF('GoR Data summary'!Q14 &gt; TV!$G$14, "0", "1"), "")</f>
        <v>1</v>
      </c>
      <c r="X13" s="152"/>
      <c r="Y13" s="152"/>
      <c r="Z13" s="152"/>
      <c r="AA13" s="152"/>
    </row>
    <row r="14" spans="1:32" x14ac:dyDescent="0.25">
      <c r="A14" s="55" t="str">
        <f>'GoR Data summary'!A15</f>
        <v>2020-2022</v>
      </c>
      <c r="B14" s="103" t="str">
        <f>'GoR Data summary'!B21</f>
        <v>GoR</v>
      </c>
      <c r="C14" s="55" t="str">
        <f>'GoR Data summary'!C15</f>
        <v>137A</v>
      </c>
      <c r="D14" s="196"/>
      <c r="E14" s="201">
        <f t="shared" si="1"/>
        <v>0</v>
      </c>
      <c r="F14" s="56" cm="1">
        <f t="array" ref="F14">SUMPRODUCT(--(LEN(O14:AF14) &gt; 0))</f>
        <v>7</v>
      </c>
      <c r="G14" s="56">
        <f t="shared" si="2"/>
        <v>5</v>
      </c>
      <c r="H14" s="56" cm="1">
        <f t="array" ref="H14">SUMPRODUCT(--(LEN(S14:AF14) &gt; 0))</f>
        <v>5</v>
      </c>
      <c r="I14" s="56" cm="1">
        <f t="array" ref="I14">SUMPRODUCT(--(LEN(O14:R14) &gt; 0))</f>
        <v>2</v>
      </c>
      <c r="J14" s="56">
        <f t="shared" si="3"/>
        <v>3</v>
      </c>
      <c r="K14" s="56">
        <f t="shared" si="4"/>
        <v>2</v>
      </c>
      <c r="L14" s="56">
        <f t="shared" si="5"/>
        <v>60</v>
      </c>
      <c r="M14" s="56">
        <f t="shared" si="6"/>
        <v>100</v>
      </c>
      <c r="N14" s="232"/>
      <c r="O14" s="195" t="str">
        <f>IF(NOT(ISBLANK('GoR Data summary'!G15)), IF('GoR Data summary'!G15 &gt; TV!$G$3, "0", "1"), "")</f>
        <v>0</v>
      </c>
      <c r="P14" s="153" t="str">
        <f>IF(NOT(ISBLANK('GoR Data summary'!H15)), IF('GoR Data summary'!H15 &gt; TV!$G$6, "0", "1"), "")</f>
        <v>0</v>
      </c>
      <c r="S14" s="153" t="str">
        <f>IF(NOT(ISBLANK('GoR Data summary'!I15)), IF('GoR Data summary'!I15 &lt; TV!$G$9, "0", "1"), "")</f>
        <v>0</v>
      </c>
      <c r="T14" s="153" t="str">
        <f>IF(NOT(ISBLANK('GoR Data summary'!K15)), IF('GoR Data summary'!K15 &gt; TV!$G$17, "0", "1"), "")</f>
        <v>1</v>
      </c>
      <c r="U14" s="153" t="str">
        <f>IF(NOT(ISBLANK('GoR Data summary'!M15)), IF('GoR Data summary'!M15 &gt; TV!$G$20, "0", "1"), "")</f>
        <v>1</v>
      </c>
      <c r="V14" s="153" t="str">
        <f>IF(NOT(ISBLANK('GoR Data summary'!O15)), IF('GoR Data summary'!O15 &gt; TV!$G$23, "0", "1"), "")</f>
        <v>0</v>
      </c>
      <c r="W14" s="153" t="str">
        <f>IF(NOT(ISBLANK('GoR Data summary'!Q15)), IF('GoR Data summary'!Q15 &gt; TV!$G$14, "0", "1"), "")</f>
        <v>0</v>
      </c>
      <c r="X14" s="152"/>
      <c r="Y14" s="152"/>
      <c r="Z14" s="152"/>
      <c r="AA14" s="152"/>
    </row>
    <row r="15" spans="1:32" x14ac:dyDescent="0.25">
      <c r="A15" s="55" t="str">
        <f>'GoR Data summary'!A16</f>
        <v>2020-2022</v>
      </c>
      <c r="B15" s="103" t="str">
        <f>'GoR Data summary'!B22</f>
        <v>GoR</v>
      </c>
      <c r="C15" s="55" t="str">
        <f>'GoR Data summary'!C16</f>
        <v>142</v>
      </c>
      <c r="D15" s="196"/>
      <c r="E15" s="201">
        <f t="shared" si="1"/>
        <v>0</v>
      </c>
      <c r="F15" s="56" cm="1">
        <f t="array" ref="F15">SUMPRODUCT(--(LEN(O15:AF15) &gt; 0))</f>
        <v>5</v>
      </c>
      <c r="G15" s="56">
        <f t="shared" si="2"/>
        <v>3</v>
      </c>
      <c r="H15" s="56" cm="1">
        <f t="array" ref="H15">SUMPRODUCT(--(LEN(S15:AF15) &gt; 0))</f>
        <v>5</v>
      </c>
      <c r="I15" s="56" cm="1">
        <f t="array" ref="I15">SUMPRODUCT(--(LEN(O15:R15) &gt; 0))</f>
        <v>0</v>
      </c>
      <c r="J15" s="56">
        <f t="shared" si="3"/>
        <v>3</v>
      </c>
      <c r="K15" s="56">
        <f t="shared" si="4"/>
        <v>0</v>
      </c>
      <c r="L15" s="56">
        <f t="shared" si="5"/>
        <v>60</v>
      </c>
      <c r="M15" s="56"/>
      <c r="N15" s="233"/>
      <c r="O15" s="195" t="str">
        <f>IF(NOT(ISBLANK('GoR Data summary'!G16)), IF('GoR Data summary'!G16 &gt; TV!$G$3, "0", "1"), "")</f>
        <v/>
      </c>
      <c r="P15" s="153" t="str">
        <f>IF(NOT(ISBLANK('GoR Data summary'!H16)), IF('GoR Data summary'!H16 &gt; TV!$G$6, "0", "1"), "")</f>
        <v/>
      </c>
      <c r="S15" s="153" t="str">
        <f>IF(NOT(ISBLANK('GoR Data summary'!I16)), IF('GoR Data summary'!I16 &lt; TV!$G$9, "0", "1"), "")</f>
        <v>0</v>
      </c>
      <c r="T15" s="153" t="str">
        <f>IF(NOT(ISBLANK('GoR Data summary'!K16)), IF('GoR Data summary'!K16 &gt; TV!$G$17, "0", "1"), "")</f>
        <v>0</v>
      </c>
      <c r="U15" s="153" t="str">
        <f>IF(NOT(ISBLANK('GoR Data summary'!M16)), IF('GoR Data summary'!M16 &gt; TV!$G$20, "0", "1"), "")</f>
        <v>1</v>
      </c>
      <c r="V15" s="153" t="str">
        <f>IF(NOT(ISBLANK('GoR Data summary'!O16)), IF('GoR Data summary'!O16 &gt; TV!$G$23, "0", "1"), "")</f>
        <v>0</v>
      </c>
      <c r="W15" s="153" t="str">
        <f>IF(NOT(ISBLANK('GoR Data summary'!Q16)), IF('GoR Data summary'!Q16 &gt; TV!$G$14, "0", "1"), "")</f>
        <v>1</v>
      </c>
      <c r="X15" s="152"/>
      <c r="Y15" s="152"/>
      <c r="Z15" s="152"/>
      <c r="AA15" s="152"/>
    </row>
    <row r="16" spans="1:32" x14ac:dyDescent="0.25">
      <c r="A16" s="55" t="str">
        <f>'GoR Data summary'!A17</f>
        <v>2020-2022</v>
      </c>
      <c r="B16" s="103" t="str">
        <f>'GoR Data summary'!B23</f>
        <v>GoR</v>
      </c>
      <c r="C16" s="55" t="str">
        <f>'GoR Data summary'!C17</f>
        <v>VAD5</v>
      </c>
      <c r="D16" s="196"/>
      <c r="E16" s="201">
        <f t="shared" si="1"/>
        <v>1</v>
      </c>
      <c r="F16" s="56" cm="1">
        <f t="array" ref="F16">SUMPRODUCT(--(LEN(O16:AF16) &gt; 0))</f>
        <v>11</v>
      </c>
      <c r="G16" s="56">
        <f t="shared" si="2"/>
        <v>4</v>
      </c>
      <c r="H16" s="56" cm="1">
        <f t="array" ref="H16">SUMPRODUCT(--(LEN(S16:AF16) &gt; 0))</f>
        <v>9</v>
      </c>
      <c r="I16" s="56" cm="1">
        <f t="array" ref="I16">SUMPRODUCT(--(LEN(O16:R16) &gt; 0))</f>
        <v>2</v>
      </c>
      <c r="J16" s="56">
        <f t="shared" si="3"/>
        <v>2</v>
      </c>
      <c r="K16" s="56">
        <f t="shared" si="4"/>
        <v>2</v>
      </c>
      <c r="L16" s="56">
        <f t="shared" si="5"/>
        <v>22.222222222222221</v>
      </c>
      <c r="M16" s="56">
        <f t="shared" si="6"/>
        <v>100</v>
      </c>
      <c r="N16" s="233"/>
      <c r="O16" s="195" t="str">
        <f>IF(NOT(ISBLANK('GoR Data summary'!G17)), IF('GoR Data summary'!G17 &gt; TV!$G$3, "0", "1"), "")</f>
        <v>0</v>
      </c>
      <c r="P16" s="153" t="str">
        <f>IF(NOT(ISBLANK('GoR Data summary'!H17)), IF('GoR Data summary'!H17 &gt; TV!$G$6, "0", "1"), "")</f>
        <v>0</v>
      </c>
      <c r="S16" s="153" t="str">
        <f>IF(NOT(ISBLANK('GoR Data summary'!I17)), IF('GoR Data summary'!I17 &lt; TV!$G$9, "0", "1"), "")</f>
        <v>0</v>
      </c>
      <c r="T16" s="153" t="str">
        <f>IF(NOT(ISBLANK('GoR Data summary'!K17)), IF('GoR Data summary'!K17 &gt; TV!$G$17, "0", "1"), "")</f>
        <v>1</v>
      </c>
      <c r="U16" s="153" t="str">
        <f>IF(NOT(ISBLANK('GoR Data summary'!M17)), IF('GoR Data summary'!M17 &gt; TV!$G$20, "0", "1"), "")</f>
        <v>1</v>
      </c>
      <c r="V16" s="153" t="str">
        <f>IF(NOT(ISBLANK('GoR Data summary'!O17)), IF('GoR Data summary'!O17 &gt; TV!$G$23, "0", "1"), "")</f>
        <v>0</v>
      </c>
      <c r="W16" s="153" t="str">
        <f>IF(NOT(ISBLANK('GoR Data summary'!Q17)), IF('GoR Data summary'!Q17 &gt; TV!$G$14, "0", "1"), "")</f>
        <v>1</v>
      </c>
      <c r="X16" s="153" t="str">
        <f>IF(NOT(ISBLANK('GoR Data summary'!I32)), IF('GoR Data summary'!I32 &lt; TV!$G$10, "0", "1"), "")</f>
        <v>1</v>
      </c>
      <c r="Y16" s="153" t="str">
        <f>IF(NOT(ISBLANK('GoR Data summary'!K32)), IF('GoR Data summary'!K32 &gt; TV!$G$18, "0", "1"), "")</f>
        <v>1</v>
      </c>
      <c r="Z16" s="153" t="str">
        <f>IF(NOT(ISBLANK('GoR Data summary'!M32)), IF('GoR Data summary'!M32 &gt; TV!$G$21, "0", "1"), "")</f>
        <v>1</v>
      </c>
      <c r="AA16" s="153" t="str">
        <f>IF(NOT(ISBLANK('GoR Data summary'!O32)), IF('GoR Data summary'!O32 &gt; TV!$G$24, "0", "1"), "")</f>
        <v>1</v>
      </c>
    </row>
    <row r="17" spans="1:32" x14ac:dyDescent="0.25">
      <c r="A17" s="55" t="str">
        <f>'GoR Data summary'!A18</f>
        <v>2020-2022</v>
      </c>
      <c r="B17" s="103" t="str">
        <f>'GoR Data summary'!B24</f>
        <v>GoR</v>
      </c>
      <c r="C17" s="55" t="str">
        <f>'GoR Data summary'!C18</f>
        <v>L1</v>
      </c>
      <c r="D17" s="196"/>
      <c r="E17" s="201">
        <f t="shared" si="1"/>
        <v>1</v>
      </c>
      <c r="F17" s="56" cm="1">
        <f t="array" ref="F17">SUMPRODUCT(--(LEN(O17:AF17) &gt; 0))</f>
        <v>7</v>
      </c>
      <c r="G17" s="56">
        <f t="shared" si="2"/>
        <v>3</v>
      </c>
      <c r="H17" s="56" cm="1">
        <f t="array" ref="H17">SUMPRODUCT(--(LEN(S17:AF17) &gt; 0))</f>
        <v>7</v>
      </c>
      <c r="I17" s="56" cm="1">
        <f t="array" ref="I17">SUMPRODUCT(--(LEN(O17:R17) &gt; 0))</f>
        <v>0</v>
      </c>
      <c r="J17" s="56">
        <f t="shared" si="3"/>
        <v>3</v>
      </c>
      <c r="K17" s="56">
        <f t="shared" si="4"/>
        <v>0</v>
      </c>
      <c r="L17" s="56">
        <f t="shared" si="5"/>
        <v>42.857142857142854</v>
      </c>
      <c r="M17" s="56"/>
      <c r="O17" s="195" t="str">
        <f>IF(NOT(ISBLANK('GoR Data summary'!G18)), IF('GoR Data summary'!G18 &gt; TV!$G$3, "0", "1"), "")</f>
        <v/>
      </c>
      <c r="P17" s="153" t="str">
        <f>IF(NOT(ISBLANK('GoR Data summary'!H18)), IF('GoR Data summary'!H18 &gt; TV!$G$6, "0", "1"), "")</f>
        <v/>
      </c>
      <c r="S17" s="153" t="str">
        <f>IF(NOT(ISBLANK('GoR Data summary'!I18)), IF('GoR Data summary'!I18 &lt; TV!$G$9, "0", "1"), "")</f>
        <v>0</v>
      </c>
      <c r="T17" s="153" t="str">
        <f>IF(NOT(ISBLANK('GoR Data summary'!K18)), IF('GoR Data summary'!K18 &gt; TV!$G$17, "0", "1"), "")</f>
        <v>1</v>
      </c>
      <c r="U17" s="153" t="str">
        <f>IF(NOT(ISBLANK('GoR Data summary'!M18)), IF('GoR Data summary'!M18 &gt; TV!$G$20, "0", "1"), "")</f>
        <v>1</v>
      </c>
      <c r="V17" s="153" t="str">
        <f>IF(NOT(ISBLANK('GoR Data summary'!O18)), IF('GoR Data summary'!O18 &gt; TV!$G$23, "0", "1"), "")</f>
        <v/>
      </c>
      <c r="W17" s="153" t="str">
        <f>IF(NOT(ISBLANK('GoR Data summary'!Q18)), IF('GoR Data summary'!Q18 &gt; TV!$G$14, "0", "1"), "")</f>
        <v/>
      </c>
      <c r="X17" s="153" t="str">
        <f>IF(NOT(ISBLANK('GoR Data summary'!I35)), IF('GoR Data summary'!I35 &lt; TV!$G$10, "0", "1"), "")</f>
        <v>0</v>
      </c>
      <c r="Y17" s="153" t="str">
        <f>IF(NOT(ISBLANK('GoR Data summary'!K35)), IF('GoR Data summary'!K35 &gt; TV!$G$18, "0", "1"), "")</f>
        <v>1</v>
      </c>
      <c r="Z17" s="153" t="str">
        <f>IF(NOT(ISBLANK('GoR Data summary'!M35)), IF('GoR Data summary'!M35 &gt; TV!$G$21, "0", "1"), "")</f>
        <v>1</v>
      </c>
      <c r="AA17" s="153" t="str">
        <f>IF(NOT(ISBLANK('GoR Data summary'!O35)), IF('GoR Data summary'!O35 &gt; TV!$G$24, "0", "1"), "")</f>
        <v>0</v>
      </c>
    </row>
    <row r="18" spans="1:32" x14ac:dyDescent="0.25">
      <c r="A18" s="55" t="str">
        <f>'GoR Data summary'!A19</f>
        <v>2020-2022</v>
      </c>
      <c r="B18" s="103" t="str">
        <f>'GoR Data summary'!B25</f>
        <v>GoR</v>
      </c>
      <c r="C18" s="55" t="str">
        <f>'GoR Data summary'!C19</f>
        <v>L6</v>
      </c>
      <c r="D18" s="196"/>
      <c r="E18" s="201">
        <f t="shared" si="1"/>
        <v>1</v>
      </c>
      <c r="F18" s="56" cm="1">
        <f t="array" ref="F18">SUMPRODUCT(--(LEN(O18:AF18) &gt; 0))</f>
        <v>4</v>
      </c>
      <c r="G18" s="56">
        <f t="shared" si="2"/>
        <v>2</v>
      </c>
      <c r="H18" s="56" cm="1">
        <f t="array" ref="H18">SUMPRODUCT(--(LEN(S18:AF18) &gt; 0))</f>
        <v>2</v>
      </c>
      <c r="I18" s="56" cm="1">
        <f t="array" ref="I18">SUMPRODUCT(--(LEN(O18:R18) &gt; 0))</f>
        <v>2</v>
      </c>
      <c r="J18" s="56">
        <f t="shared" si="3"/>
        <v>0</v>
      </c>
      <c r="K18" s="56">
        <f t="shared" si="4"/>
        <v>2</v>
      </c>
      <c r="L18" s="56">
        <f t="shared" si="5"/>
        <v>0</v>
      </c>
      <c r="M18" s="56">
        <f t="shared" si="6"/>
        <v>100</v>
      </c>
      <c r="O18" s="195" t="str">
        <f>IF(NOT(ISBLANK('GoR Data summary'!G19)), IF('GoR Data summary'!G19 &gt; TV!$G$3, "0", "1"), "")</f>
        <v>0</v>
      </c>
      <c r="P18" s="153" t="str">
        <f>IF(NOT(ISBLANK('GoR Data summary'!H19)), IF('GoR Data summary'!H19 &gt; TV!$G$6, "0", "1"), "")</f>
        <v>0</v>
      </c>
      <c r="S18" s="153" t="str">
        <f>IF(NOT(ISBLANK('GoR Data summary'!I19)), IF('GoR Data summary'!I19 &lt; TV!$G$9, "0", "1"), "")</f>
        <v/>
      </c>
      <c r="T18" s="153" t="str">
        <f>IF(NOT(ISBLANK('GoR Data summary'!K19)), IF('GoR Data summary'!K19 &gt; TV!$G$17, "0", "1"), "")</f>
        <v>1</v>
      </c>
      <c r="U18" s="153" t="str">
        <f>IF(NOT(ISBLANK('GoR Data summary'!M19)), IF('GoR Data summary'!M19 &gt; TV!$G$20, "0", "1"), "")</f>
        <v>1</v>
      </c>
      <c r="V18" s="153" t="str">
        <f>IF(NOT(ISBLANK('GoR Data summary'!O19)), IF('GoR Data summary'!O19 &gt; TV!$G$23, "0", "1"), "")</f>
        <v/>
      </c>
      <c r="W18" s="153" t="str">
        <f>IF(NOT(ISBLANK('GoR Data summary'!Q19)), IF('GoR Data summary'!Q19 &gt; TV!$G$14, "0", "1"), "")</f>
        <v/>
      </c>
      <c r="X18" s="153"/>
      <c r="Y18" s="153"/>
      <c r="Z18" s="153"/>
      <c r="AA18" s="153"/>
    </row>
    <row r="19" spans="1:32" ht="17.100000000000001" customHeight="1" x14ac:dyDescent="0.25">
      <c r="A19" s="55" t="str">
        <f>'GoR Data summary'!A20</f>
        <v>2020-2022</v>
      </c>
      <c r="B19" s="103" t="str">
        <f>'GoR Data summary'!B26</f>
        <v>GoR</v>
      </c>
      <c r="C19" s="55" t="str">
        <f>'GoR Data summary'!C20</f>
        <v>L9</v>
      </c>
      <c r="D19" s="196"/>
      <c r="E19" s="201">
        <f t="shared" si="1"/>
        <v>1</v>
      </c>
      <c r="F19" s="56" cm="1">
        <f t="array" ref="F19">SUMPRODUCT(--(LEN(O19:AF19) &gt; 0))</f>
        <v>7</v>
      </c>
      <c r="G19" s="56">
        <f t="shared" si="2"/>
        <v>2</v>
      </c>
      <c r="H19" s="56" cm="1">
        <f t="array" ref="H19">SUMPRODUCT(--(LEN(S19:AF19) &gt; 0))</f>
        <v>5</v>
      </c>
      <c r="I19" s="56" cm="1">
        <f t="array" ref="I19">SUMPRODUCT(--(LEN(O19:R19) &gt; 0))</f>
        <v>2</v>
      </c>
      <c r="J19" s="56">
        <f t="shared" si="3"/>
        <v>1</v>
      </c>
      <c r="K19" s="56">
        <f t="shared" si="4"/>
        <v>1</v>
      </c>
      <c r="L19" s="56">
        <f t="shared" si="5"/>
        <v>20</v>
      </c>
      <c r="M19" s="56">
        <f t="shared" si="6"/>
        <v>50</v>
      </c>
      <c r="O19" s="195" t="str">
        <f>IF(NOT(ISBLANK('GoR Data summary'!G20)), IF('GoR Data summary'!G20 &gt; TV!$G$3, "0", "1"), "")</f>
        <v>0</v>
      </c>
      <c r="P19" s="153" t="str">
        <f>IF(NOT(ISBLANK('GoR Data summary'!H20)), IF('GoR Data summary'!H20 &gt; TV!$G$6, "0", "1"), "")</f>
        <v>1</v>
      </c>
      <c r="S19" s="153" t="str">
        <f>IF(NOT(ISBLANK('GoR Data summary'!I20)), IF('GoR Data summary'!I20 &lt; TV!$G$9, "0", "1"), "")</f>
        <v/>
      </c>
      <c r="T19" s="153" t="str">
        <f>IF(NOT(ISBLANK('GoR Data summary'!K20)), IF('GoR Data summary'!K20 &gt; TV!$G$17, "0", "1"), "")</f>
        <v>1</v>
      </c>
      <c r="U19" s="153" t="str">
        <f>IF(NOT(ISBLANK('GoR Data summary'!M20)), IF('GoR Data summary'!M20 &gt; TV!$G$20, "0", "1"), "")</f>
        <v>1</v>
      </c>
      <c r="V19" s="153" t="str">
        <f>IF(NOT(ISBLANK('GoR Data summary'!O20)), IF('GoR Data summary'!O20 &gt; TV!$G$23, "0", "1"), "")</f>
        <v/>
      </c>
      <c r="W19" s="153" t="str">
        <f>IF(NOT(ISBLANK('GoR Data summary'!Q20)), IF('GoR Data summary'!Q20 &gt; TV!$G$14, "0", "1"), "")</f>
        <v/>
      </c>
      <c r="X19" s="153" t="str">
        <f>IF(NOT(ISBLANK('GoR Data summary'!I37)), IF('GoR Data summary'!I37 &lt; TV!$G$10, "0", "1"), "")</f>
        <v>1</v>
      </c>
      <c r="Y19" s="153" t="str">
        <f>IF(NOT(ISBLANK('GoR Data summary'!K37)), IF('GoR Data summary'!K37 &gt; TV!$G$18, "0", "1"), "")</f>
        <v/>
      </c>
      <c r="Z19" s="153" t="str">
        <f>IF(NOT(ISBLANK('GoR Data summary'!M37)), IF('GoR Data summary'!M37 &gt; TV!$G$21, "0", "1"), "")</f>
        <v>1</v>
      </c>
      <c r="AA19" s="153" t="str">
        <f>IF(NOT(ISBLANK('GoR Data summary'!O37)), IF('GoR Data summary'!O37 &gt; TV!$G$24, "0", "1"), "")</f>
        <v>0</v>
      </c>
    </row>
    <row r="20" spans="1:32" x14ac:dyDescent="0.25">
      <c r="A20" s="55" t="str">
        <f>'GoR Data summary'!A21</f>
        <v>2020-2022</v>
      </c>
      <c r="B20" s="103" t="str">
        <f>'GoR Data summary'!B27</f>
        <v>GoR</v>
      </c>
      <c r="C20" s="55" t="str">
        <f>'GoR Data summary'!C21</f>
        <v>N</v>
      </c>
      <c r="D20" s="196"/>
      <c r="E20" s="201">
        <f t="shared" si="1"/>
        <v>1</v>
      </c>
      <c r="F20" s="56" cm="1">
        <f t="array" ref="F20">SUMPRODUCT(--(LEN(O20:AF20) &gt; 0))</f>
        <v>10</v>
      </c>
      <c r="G20" s="56">
        <f t="shared" si="2"/>
        <v>4</v>
      </c>
      <c r="H20" s="56" cm="1">
        <f t="array" ref="H20">SUMPRODUCT(--(LEN(S20:AF20) &gt; 0))</f>
        <v>8</v>
      </c>
      <c r="I20" s="56" cm="1">
        <f t="array" ref="I20">SUMPRODUCT(--(LEN(O20:R20) &gt; 0))</f>
        <v>2</v>
      </c>
      <c r="J20" s="56">
        <f t="shared" si="3"/>
        <v>4</v>
      </c>
      <c r="K20" s="56">
        <f t="shared" si="4"/>
        <v>0</v>
      </c>
      <c r="L20" s="56">
        <f t="shared" si="5"/>
        <v>50</v>
      </c>
      <c r="M20" s="56">
        <f t="shared" si="6"/>
        <v>0</v>
      </c>
      <c r="O20" s="195" t="str">
        <f>IF(NOT(ISBLANK('GoR Data summary'!G21)), IF('GoR Data summary'!G21 &gt; TV!$G$3, "0", "1"), "")</f>
        <v>1</v>
      </c>
      <c r="P20" s="153" t="str">
        <f>IF(NOT(ISBLANK('GoR Data summary'!H21)), IF('GoR Data summary'!H21 &gt; TV!$G$6, "0", "1"), "")</f>
        <v>1</v>
      </c>
      <c r="S20" s="153" t="str">
        <f>IF(NOT(ISBLANK('GoR Data summary'!I21)), IF('GoR Data summary'!I21 &lt; TV!$G$9, "0", "1"), "")</f>
        <v>1</v>
      </c>
      <c r="T20" s="153" t="str">
        <f>IF(NOT(ISBLANK('GoR Data summary'!K21)), IF('GoR Data summary'!K21 &gt; TV!$G$17, "0", "1"), "")</f>
        <v>1</v>
      </c>
      <c r="U20" s="153" t="str">
        <f>IF(NOT(ISBLANK('GoR Data summary'!M21)), IF('GoR Data summary'!M21 &gt; TV!$G$20, "0", "1"), "")</f>
        <v>1</v>
      </c>
      <c r="V20" s="153" t="str">
        <f>IF(NOT(ISBLANK('GoR Data summary'!O21)), IF('GoR Data summary'!O21 &gt; TV!$G$23, "0", "1"), "")</f>
        <v>0</v>
      </c>
      <c r="W20" s="153" t="str">
        <f>IF(NOT(ISBLANK('GoR Data summary'!Q21)), IF('GoR Data summary'!Q21 &gt; TV!$G$14, "0", "1"), "")</f>
        <v/>
      </c>
      <c r="X20" s="153" t="str">
        <f>IF(NOT(ISBLANK('GoR Data summary'!I38)), IF('GoR Data summary'!I38 &lt; TV!$G$10, "0", "1"), "")</f>
        <v>0</v>
      </c>
      <c r="Y20" s="153" t="str">
        <f>IF(NOT(ISBLANK('GoR Data summary'!K38)), IF('GoR Data summary'!K38 &gt; TV!$G$18, "0", "1"), "")</f>
        <v>1</v>
      </c>
      <c r="Z20" s="153" t="str">
        <f>IF(NOT(ISBLANK('GoR Data summary'!M38)), IF('GoR Data summary'!M38 &gt; TV!$G$21, "0", "1"), "")</f>
        <v>0</v>
      </c>
      <c r="AA20" s="153" t="str">
        <f>IF(NOT(ISBLANK('GoR Data summary'!O38)), IF('GoR Data summary'!O38 &gt; TV!$G$24, "0", "1"), "")</f>
        <v>0</v>
      </c>
    </row>
    <row r="21" spans="1:32" x14ac:dyDescent="0.25">
      <c r="A21" s="55" t="str">
        <f>'GoR Data summary'!A31</f>
        <v>2012-2022</v>
      </c>
      <c r="B21" s="103" t="str">
        <f>'GoR Data summary'!B37</f>
        <v>GoR</v>
      </c>
      <c r="C21" s="55" t="str">
        <f>'GoR Data summary'!C31</f>
        <v>125</v>
      </c>
      <c r="D21" s="196"/>
      <c r="E21" s="201">
        <f t="shared" si="1"/>
        <v>1</v>
      </c>
      <c r="F21" s="56" cm="1">
        <f t="array" ref="F21">SUMPRODUCT(--(LEN(O21:AF21) &gt; 0))</f>
        <v>4</v>
      </c>
      <c r="G21" s="56">
        <f t="shared" si="2"/>
        <v>1</v>
      </c>
      <c r="H21" s="56" cm="1">
        <f t="array" ref="H21">SUMPRODUCT(--(LEN(S21:AF21) &gt; 0))</f>
        <v>4</v>
      </c>
      <c r="I21" s="56" cm="1">
        <f t="array" ref="I21">SUMPRODUCT(--(LEN(O21:R21) &gt; 0))</f>
        <v>0</v>
      </c>
      <c r="J21" s="56">
        <f t="shared" si="3"/>
        <v>1</v>
      </c>
      <c r="K21" s="56">
        <f t="shared" si="4"/>
        <v>0</v>
      </c>
      <c r="L21" s="56">
        <f t="shared" si="5"/>
        <v>25</v>
      </c>
      <c r="M21" s="184"/>
      <c r="X21" s="153" t="str">
        <f>IF(NOT(ISBLANK('GoR Data summary'!I31)), IF('GoR Data summary'!I31 &lt; TV!$G$10, "0", "1"), "")</f>
        <v>1</v>
      </c>
      <c r="Y21" s="153" t="str">
        <f>IF(NOT(ISBLANK('GoR Data summary'!K31)), IF('GoR Data summary'!K31 &gt; TV!$G$18, "0", "1"), "")</f>
        <v>1</v>
      </c>
      <c r="Z21" s="153" t="str">
        <f>IF(NOT(ISBLANK('GoR Data summary'!M31)), IF('GoR Data summary'!M31 &gt; TV!$G$21, "0", "1"), "")</f>
        <v>0</v>
      </c>
      <c r="AA21" s="153" t="str">
        <f>IF(NOT(ISBLANK('GoR Data summary'!O31)), IF('GoR Data summary'!O31 &gt; TV!$G$24, "0", "1"), "")</f>
        <v>1</v>
      </c>
    </row>
    <row r="22" spans="1:32" x14ac:dyDescent="0.25">
      <c r="A22" s="55" t="str">
        <f>'GoR Data summary'!A33</f>
        <v>2012-2022</v>
      </c>
      <c r="B22" s="103" t="str">
        <f>'GoR Data summary'!B39</f>
        <v>GoR</v>
      </c>
      <c r="C22" s="55" t="str">
        <f>'GoR Data summary'!C33</f>
        <v>K21</v>
      </c>
      <c r="D22" s="196"/>
      <c r="E22" s="201">
        <f t="shared" si="1"/>
        <v>1</v>
      </c>
      <c r="F22" s="56" cm="1">
        <f t="array" ref="F22">SUMPRODUCT(--(LEN(O22:AF22) &gt; 0))</f>
        <v>4</v>
      </c>
      <c r="G22" s="56">
        <f t="shared" si="2"/>
        <v>0</v>
      </c>
      <c r="H22" s="56" cm="1">
        <f t="array" ref="H22">SUMPRODUCT(--(LEN(S22:AF22) &gt; 0))</f>
        <v>4</v>
      </c>
      <c r="I22" s="56" cm="1">
        <f t="array" ref="I22">SUMPRODUCT(--(LEN(O22:R22) &gt; 0))</f>
        <v>0</v>
      </c>
      <c r="J22" s="56">
        <f t="shared" si="3"/>
        <v>0</v>
      </c>
      <c r="K22" s="56">
        <f t="shared" si="4"/>
        <v>0</v>
      </c>
      <c r="L22" s="56">
        <f t="shared" si="5"/>
        <v>0</v>
      </c>
      <c r="M22" s="184"/>
      <c r="X22" s="153" t="str">
        <f>IF(NOT(ISBLANK('GoR Data summary'!I33)), IF('GoR Data summary'!I33 &lt; TV!$G$10, "0", "1"), "")</f>
        <v>1</v>
      </c>
      <c r="Y22" s="153" t="str">
        <f>IF(NOT(ISBLANK('GoR Data summary'!K33)), IF('GoR Data summary'!K33 &gt; TV!$G$18, "0", "1"), "")</f>
        <v>1</v>
      </c>
      <c r="Z22" s="153" t="str">
        <f>IF(NOT(ISBLANK('GoR Data summary'!M33)), IF('GoR Data summary'!M33 &gt; TV!$G$21, "0", "1"), "")</f>
        <v>1</v>
      </c>
      <c r="AA22" s="153" t="str">
        <f>IF(NOT(ISBLANK('GoR Data summary'!O33)), IF('GoR Data summary'!O33 &gt; TV!$G$24, "0", "1"), "")</f>
        <v>1</v>
      </c>
    </row>
    <row r="23" spans="1:32" x14ac:dyDescent="0.25">
      <c r="A23" s="55" t="str">
        <f>'GoR Data summary'!A34</f>
        <v>2012-2022</v>
      </c>
      <c r="B23" s="103" t="str">
        <f>'GoR Data summary'!B40</f>
        <v>GoR</v>
      </c>
      <c r="C23" s="55" t="str">
        <f>'GoR Data summary'!C34</f>
        <v>L11</v>
      </c>
      <c r="D23" s="196"/>
      <c r="E23" s="201">
        <f t="shared" si="1"/>
        <v>1</v>
      </c>
      <c r="F23" s="56" cm="1">
        <f t="array" ref="F23">SUMPRODUCT(--(LEN(O23:AF23) &gt; 0))</f>
        <v>3</v>
      </c>
      <c r="G23" s="56">
        <f t="shared" si="2"/>
        <v>1</v>
      </c>
      <c r="H23" s="56" cm="1">
        <f t="array" ref="H23">SUMPRODUCT(--(LEN(S23:AF23) &gt; 0))</f>
        <v>3</v>
      </c>
      <c r="I23" s="56" cm="1">
        <f t="array" ref="I23">SUMPRODUCT(--(LEN(O23:R23) &gt; 0))</f>
        <v>0</v>
      </c>
      <c r="J23" s="56">
        <f t="shared" si="3"/>
        <v>1</v>
      </c>
      <c r="K23" s="56">
        <f t="shared" si="4"/>
        <v>0</v>
      </c>
      <c r="L23" s="56">
        <f t="shared" si="5"/>
        <v>33.333333333333336</v>
      </c>
      <c r="M23" s="184"/>
      <c r="X23" s="153" t="str">
        <f>IF(NOT(ISBLANK('GoR Data summary'!I34)), IF('GoR Data summary'!I34 &lt; TV!$G$10, "0", "1"), "")</f>
        <v>1</v>
      </c>
      <c r="Y23" s="153" t="str">
        <f>IF(NOT(ISBLANK('GoR Data summary'!K34)), IF('GoR Data summary'!K34 &gt; TV!$G$18, "0", "1"), "")</f>
        <v/>
      </c>
      <c r="Z23" s="153" t="str">
        <f>IF(NOT(ISBLANK('GoR Data summary'!M34)), IF('GoR Data summary'!M34 &gt; TV!$G$21, "0", "1"), "")</f>
        <v>1</v>
      </c>
      <c r="AA23" s="153" t="str">
        <f>IF(NOT(ISBLANK('GoR Data summary'!O34)), IF('GoR Data summary'!O34 &gt; TV!$G$24, "0", "1"), "")</f>
        <v>0</v>
      </c>
    </row>
    <row r="24" spans="1:32" x14ac:dyDescent="0.25">
      <c r="A24" s="55" t="str">
        <f>'GoR Data summary'!A36</f>
        <v>2012-2022</v>
      </c>
      <c r="B24" s="103" t="str">
        <f>'GoR Data summary'!B42</f>
        <v>GoR</v>
      </c>
      <c r="C24" s="55" t="str">
        <f>'GoR Data summary'!C36</f>
        <v>L4</v>
      </c>
      <c r="D24" s="196"/>
      <c r="E24" s="201">
        <f t="shared" si="1"/>
        <v>1</v>
      </c>
      <c r="F24" s="56" cm="1">
        <f t="array" ref="F24">SUMPRODUCT(--(LEN(O24:AF24) &gt; 0))</f>
        <v>3</v>
      </c>
      <c r="G24" s="56">
        <f t="shared" si="2"/>
        <v>1</v>
      </c>
      <c r="H24" s="56" cm="1">
        <f t="array" ref="H24">SUMPRODUCT(--(LEN(S24:AF24) &gt; 0))</f>
        <v>3</v>
      </c>
      <c r="I24" s="56" cm="1">
        <f t="array" ref="I24">SUMPRODUCT(--(LEN(O24:R24) &gt; 0))</f>
        <v>0</v>
      </c>
      <c r="J24" s="56">
        <f t="shared" si="3"/>
        <v>1</v>
      </c>
      <c r="K24" s="56">
        <f t="shared" si="4"/>
        <v>0</v>
      </c>
      <c r="L24" s="56">
        <f t="shared" si="5"/>
        <v>33.333333333333336</v>
      </c>
      <c r="M24" s="184"/>
      <c r="X24" s="153" t="str">
        <f>IF(NOT(ISBLANK('GoR Data summary'!I36)), IF('GoR Data summary'!I36 &lt; TV!$G$10, "0", "1"), "")</f>
        <v>1</v>
      </c>
      <c r="Y24" s="153" t="str">
        <f>IF(NOT(ISBLANK('GoR Data summary'!K36)), IF('GoR Data summary'!K36 &gt; TV!$G$18, "0", "1"), "")</f>
        <v/>
      </c>
      <c r="Z24" s="153" t="str">
        <f>IF(NOT(ISBLANK('GoR Data summary'!M36)), IF('GoR Data summary'!M36 &gt; TV!$G$21, "0", "1"), "")</f>
        <v>1</v>
      </c>
      <c r="AA24" s="153" t="str">
        <f>IF(NOT(ISBLANK('GoR Data summary'!O36)), IF('GoR Data summary'!O36 &gt; TV!$G$24, "0", "1"), "")</f>
        <v>0</v>
      </c>
    </row>
    <row r="25" spans="1:32" x14ac:dyDescent="0.25">
      <c r="A25" s="55" t="str">
        <f>'GoR Data summary'!A39</f>
        <v>2012-2022</v>
      </c>
      <c r="B25" s="103" t="str">
        <f>'GoR Data summary'!B45</f>
        <v>GoR</v>
      </c>
      <c r="C25" s="55" t="str">
        <f>'GoR Data summary'!C39</f>
        <v>S4</v>
      </c>
      <c r="D25" s="196"/>
      <c r="E25" s="201">
        <f t="shared" si="1"/>
        <v>0</v>
      </c>
      <c r="F25" s="56" cm="1">
        <f t="array" ref="F25">SUMPRODUCT(--(LEN(O25:AF25) &gt; 0))</f>
        <v>4</v>
      </c>
      <c r="G25" s="56">
        <f t="shared" si="2"/>
        <v>3</v>
      </c>
      <c r="H25" s="56" cm="1">
        <f t="array" ref="H25">SUMPRODUCT(--(LEN(S25:AF25) &gt; 0))</f>
        <v>4</v>
      </c>
      <c r="I25" s="56" cm="1">
        <f t="array" ref="I25">SUMPRODUCT(--(LEN(O25:R25) &gt; 0))</f>
        <v>0</v>
      </c>
      <c r="J25" s="56">
        <f t="shared" si="3"/>
        <v>3</v>
      </c>
      <c r="K25" s="56">
        <f t="shared" si="4"/>
        <v>0</v>
      </c>
      <c r="L25" s="56">
        <f t="shared" si="5"/>
        <v>75</v>
      </c>
      <c r="M25" s="184"/>
      <c r="X25" s="153" t="str">
        <f>IF(NOT(ISBLANK('GoR Data summary'!I39)), IF('GoR Data summary'!I39 &lt; TV!$G$10, "0", "1"), "")</f>
        <v>0</v>
      </c>
      <c r="Y25" s="153" t="str">
        <f>IF(NOT(ISBLANK('GoR Data summary'!K39)), IF('GoR Data summary'!K39 &gt; TV!$G$18, "0", "1"), "")</f>
        <v>1</v>
      </c>
      <c r="Z25" s="153" t="str">
        <f>IF(NOT(ISBLANK('GoR Data summary'!M39)), IF('GoR Data summary'!M39 &gt; TV!$G$21, "0", "1"), "")</f>
        <v>0</v>
      </c>
      <c r="AA25" s="153" t="str">
        <f>IF(NOT(ISBLANK('GoR Data summary'!O39)), IF('GoR Data summary'!O39 &gt; TV!$G$24, "0", "1"), "")</f>
        <v>0</v>
      </c>
    </row>
    <row r="26" spans="1:32" x14ac:dyDescent="0.25">
      <c r="A26" s="55" t="str">
        <f>'GoR Data summary'!A40</f>
        <v>2012-2022</v>
      </c>
      <c r="B26" s="103" t="str">
        <f>'GoR Data summary'!B46</f>
        <v>GoR</v>
      </c>
      <c r="C26" s="55" t="str">
        <f>'GoR Data summary'!C40</f>
        <v>V1</v>
      </c>
      <c r="D26" s="196"/>
      <c r="E26" s="201">
        <f t="shared" si="1"/>
        <v>1</v>
      </c>
      <c r="F26" s="56" cm="1">
        <f t="array" ref="F26">SUMPRODUCT(--(LEN(O26:AF26) &gt; 0))</f>
        <v>4</v>
      </c>
      <c r="G26" s="56">
        <f t="shared" si="2"/>
        <v>1</v>
      </c>
      <c r="H26" s="56" cm="1">
        <f t="array" ref="H26">SUMPRODUCT(--(LEN(S26:AF26) &gt; 0))</f>
        <v>4</v>
      </c>
      <c r="I26" s="56" cm="1">
        <f t="array" ref="I26">SUMPRODUCT(--(LEN(O26:R26) &gt; 0))</f>
        <v>0</v>
      </c>
      <c r="J26" s="56">
        <f t="shared" si="3"/>
        <v>1</v>
      </c>
      <c r="K26" s="56">
        <f t="shared" si="4"/>
        <v>0</v>
      </c>
      <c r="L26" s="56">
        <f t="shared" si="5"/>
        <v>25</v>
      </c>
      <c r="M26" s="184"/>
      <c r="X26" s="153" t="str">
        <f>IF(NOT(ISBLANK('GoR Data summary'!I40)), IF('GoR Data summary'!I40 &lt; TV!$G$10, "0", "1"), "")</f>
        <v>0</v>
      </c>
      <c r="Y26" s="153" t="str">
        <f>IF(NOT(ISBLANK('GoR Data summary'!K40)), IF('GoR Data summary'!K40 &gt; TV!$G$18, "0", "1"), "")</f>
        <v>1</v>
      </c>
      <c r="Z26" s="153" t="str">
        <f>IF(NOT(ISBLANK('GoR Data summary'!M40)), IF('GoR Data summary'!M40 &gt; TV!$G$21, "0", "1"), "")</f>
        <v>1</v>
      </c>
      <c r="AA26" s="153" t="str">
        <f>IF(NOT(ISBLANK('GoR Data summary'!O40)), IF('GoR Data summary'!O40 &gt; TV!$G$24, "0", "1"), "")</f>
        <v>1</v>
      </c>
    </row>
    <row r="27" spans="1:32" x14ac:dyDescent="0.25">
      <c r="A27" s="55" t="str">
        <f>'GoR Data summary'!A41</f>
        <v>2012-2022</v>
      </c>
      <c r="B27" s="103" t="str">
        <f>'GoR Data summary'!B47</f>
        <v>GoR</v>
      </c>
      <c r="C27" s="55" t="str">
        <f>'GoR Data summary'!C41</f>
        <v>V2</v>
      </c>
      <c r="D27" s="196"/>
      <c r="E27" s="201">
        <f t="shared" si="1"/>
        <v>1</v>
      </c>
      <c r="F27" s="56" cm="1">
        <f t="array" ref="F27">SUMPRODUCT(--(LEN(O27:AF27) &gt; 0))</f>
        <v>4</v>
      </c>
      <c r="G27" s="56">
        <f t="shared" si="2"/>
        <v>1</v>
      </c>
      <c r="H27" s="56" cm="1">
        <f t="array" ref="H27">SUMPRODUCT(--(LEN(S27:AF27) &gt; 0))</f>
        <v>4</v>
      </c>
      <c r="I27" s="56" cm="1">
        <f t="array" ref="I27">SUMPRODUCT(--(LEN(O27:R27) &gt; 0))</f>
        <v>0</v>
      </c>
      <c r="J27" s="56">
        <f t="shared" si="3"/>
        <v>1</v>
      </c>
      <c r="K27" s="56">
        <f t="shared" si="4"/>
        <v>0</v>
      </c>
      <c r="L27" s="56">
        <f t="shared" si="5"/>
        <v>25</v>
      </c>
      <c r="M27" s="184"/>
      <c r="X27" s="153" t="str">
        <f>IF(NOT(ISBLANK('GoR Data summary'!I41)), IF('GoR Data summary'!I41 &lt; TV!$G$10, "0", "1"), "")</f>
        <v>1</v>
      </c>
      <c r="Y27" s="153" t="str">
        <f>IF(NOT(ISBLANK('GoR Data summary'!K41)), IF('GoR Data summary'!K41 &gt; TV!$G$18, "0", "1"), "")</f>
        <v>0</v>
      </c>
      <c r="Z27" s="153" t="str">
        <f>IF(NOT(ISBLANK('GoR Data summary'!M41)), IF('GoR Data summary'!M41 &gt; TV!$G$21, "0", "1"), "")</f>
        <v>1</v>
      </c>
      <c r="AA27" s="153" t="str">
        <f>IF(NOT(ISBLANK('GoR Data summary'!O41)), IF('GoR Data summary'!O41 &gt; TV!$G$24, "0", "1"), "")</f>
        <v>1</v>
      </c>
    </row>
    <row r="28" spans="1:32" x14ac:dyDescent="0.25">
      <c r="A28" s="55" t="str">
        <f>'GoR Data summary'!A42</f>
        <v>2012-2022</v>
      </c>
      <c r="B28" s="103" t="str">
        <f>'GoR Data summary'!B48</f>
        <v>GoR</v>
      </c>
      <c r="C28" s="55" t="str">
        <f>'GoR Data summary'!C42</f>
        <v>V3</v>
      </c>
      <c r="D28" s="196"/>
      <c r="E28" s="201">
        <f t="shared" si="1"/>
        <v>1</v>
      </c>
      <c r="F28" s="56" cm="1">
        <f t="array" ref="F28">SUMPRODUCT(--(LEN(O28:AF28) &gt; 0))</f>
        <v>4</v>
      </c>
      <c r="G28" s="56">
        <f t="shared" si="2"/>
        <v>2</v>
      </c>
      <c r="H28" s="56" cm="1">
        <f t="array" ref="H28">SUMPRODUCT(--(LEN(S28:AF28) &gt; 0))</f>
        <v>4</v>
      </c>
      <c r="I28" s="56" cm="1">
        <f t="array" ref="I28">SUMPRODUCT(--(LEN(O28:R28) &gt; 0))</f>
        <v>0</v>
      </c>
      <c r="J28" s="56">
        <f t="shared" si="3"/>
        <v>2</v>
      </c>
      <c r="K28" s="56">
        <f t="shared" si="4"/>
        <v>0</v>
      </c>
      <c r="L28" s="56">
        <f t="shared" si="5"/>
        <v>50</v>
      </c>
      <c r="M28" s="184"/>
      <c r="X28" s="153" t="str">
        <f>IF(NOT(ISBLANK('GoR Data summary'!I42)), IF('GoR Data summary'!I42 &lt; TV!$G$10, "0", "1"), "")</f>
        <v>0</v>
      </c>
      <c r="Y28" s="153" t="str">
        <f>IF(NOT(ISBLANK('GoR Data summary'!K42)), IF('GoR Data summary'!K42 &gt; TV!$G$18, "0", "1"), "")</f>
        <v>1</v>
      </c>
      <c r="Z28" s="153" t="str">
        <f>IF(NOT(ISBLANK('GoR Data summary'!M42)), IF('GoR Data summary'!M42 &gt; TV!$G$21, "0", "1"), "")</f>
        <v>1</v>
      </c>
      <c r="AA28" s="153" t="str">
        <f>IF(NOT(ISBLANK('GoR Data summary'!O42)), IF('GoR Data summary'!O42 &gt; TV!$G$24, "0", "1"), "")</f>
        <v>0</v>
      </c>
    </row>
    <row r="29" spans="1:32" x14ac:dyDescent="0.25">
      <c r="A29" s="55" t="str">
        <f>'GoR Data summary'!A43</f>
        <v>2012-2022</v>
      </c>
      <c r="B29" s="103" t="str">
        <f>'GoR Data summary'!B49</f>
        <v>GoR</v>
      </c>
      <c r="C29" s="55" t="str">
        <f>'GoR Data summary'!C43</f>
        <v>V4</v>
      </c>
      <c r="D29" s="196"/>
      <c r="E29" s="201">
        <f t="shared" si="1"/>
        <v>0</v>
      </c>
      <c r="F29" s="56" cm="1">
        <f t="array" ref="F29">SUMPRODUCT(--(LEN(O29:AF29) &gt; 0))</f>
        <v>4</v>
      </c>
      <c r="G29" s="56">
        <f t="shared" si="2"/>
        <v>3</v>
      </c>
      <c r="H29" s="56" cm="1">
        <f t="array" ref="H29">SUMPRODUCT(--(LEN(S29:AF29) &gt; 0))</f>
        <v>4</v>
      </c>
      <c r="I29" s="56" cm="1">
        <f t="array" ref="I29">SUMPRODUCT(--(LEN(O29:R29) &gt; 0))</f>
        <v>0</v>
      </c>
      <c r="J29" s="56">
        <f t="shared" si="3"/>
        <v>3</v>
      </c>
      <c r="K29" s="56">
        <f t="shared" si="4"/>
        <v>0</v>
      </c>
      <c r="L29" s="56">
        <f t="shared" si="5"/>
        <v>75</v>
      </c>
      <c r="M29" s="184"/>
      <c r="X29" s="153" t="str">
        <f>IF(NOT(ISBLANK('GoR Data summary'!I43)), IF('GoR Data summary'!I43 &lt; TV!$G$10, "0", "1"), "")</f>
        <v>0</v>
      </c>
      <c r="Y29" s="153" t="str">
        <f>IF(NOT(ISBLANK('GoR Data summary'!K43)), IF('GoR Data summary'!K43 &gt; TV!$G$18, "0", "1"), "")</f>
        <v>1</v>
      </c>
      <c r="Z29" s="153" t="str">
        <f>IF(NOT(ISBLANK('GoR Data summary'!M43)), IF('GoR Data summary'!M43 &gt; TV!$G$21, "0", "1"), "")</f>
        <v>0</v>
      </c>
      <c r="AA29" s="153" t="str">
        <f>IF(NOT(ISBLANK('GoR Data summary'!O43)), IF('GoR Data summary'!O43 &gt; TV!$G$24, "0", "1"), "")</f>
        <v>0</v>
      </c>
    </row>
    <row r="30" spans="1:32" x14ac:dyDescent="0.25">
      <c r="A30" s="55" t="str">
        <f>'GoR Data summary'!A44</f>
        <v>2012-2022</v>
      </c>
      <c r="B30" s="103" t="str">
        <f>'GoR Data summary'!B50</f>
        <v>GoR</v>
      </c>
      <c r="C30" s="55" t="str">
        <f>'GoR Data summary'!C44</f>
        <v>V5</v>
      </c>
      <c r="D30" s="196"/>
      <c r="E30" s="201">
        <f t="shared" si="1"/>
        <v>1</v>
      </c>
      <c r="F30" s="56" cm="1">
        <f t="array" ref="F30">SUMPRODUCT(--(LEN(O30:AF30) &gt; 0))</f>
        <v>4</v>
      </c>
      <c r="G30" s="56">
        <f t="shared" si="2"/>
        <v>2</v>
      </c>
      <c r="H30" s="56" cm="1">
        <f t="array" ref="H30">SUMPRODUCT(--(LEN(S30:AF30) &gt; 0))</f>
        <v>4</v>
      </c>
      <c r="I30" s="56" cm="1">
        <f t="array" ref="I30">SUMPRODUCT(--(LEN(O30:R30) &gt; 0))</f>
        <v>0</v>
      </c>
      <c r="J30" s="56">
        <f t="shared" si="3"/>
        <v>2</v>
      </c>
      <c r="K30" s="56">
        <f t="shared" si="4"/>
        <v>0</v>
      </c>
      <c r="L30" s="56">
        <f t="shared" si="5"/>
        <v>50</v>
      </c>
      <c r="M30" s="184"/>
      <c r="X30" s="153" t="str">
        <f>IF(NOT(ISBLANK('GoR Data summary'!I44)), IF('GoR Data summary'!I44 &lt; TV!$G$10, "0", "1"), "")</f>
        <v>1</v>
      </c>
      <c r="Y30" s="153" t="str">
        <f>IF(NOT(ISBLANK('GoR Data summary'!K44)), IF('GoR Data summary'!K44 &gt; TV!$G$18, "0", "1"), "")</f>
        <v>0</v>
      </c>
      <c r="Z30" s="153" t="str">
        <f>IF(NOT(ISBLANK('GoR Data summary'!M44)), IF('GoR Data summary'!M44 &gt; TV!$G$21, "0", "1"), "")</f>
        <v>1</v>
      </c>
      <c r="AA30" s="153" t="str">
        <f>IF(NOT(ISBLANK('GoR Data summary'!O44)), IF('GoR Data summary'!O44 &gt; TV!$G$24, "0", "1"), "")</f>
        <v>0</v>
      </c>
    </row>
    <row r="31" spans="1:32" x14ac:dyDescent="0.25">
      <c r="A31" s="55" t="str">
        <f>'GoR Data summary'!A45</f>
        <v>2020-2022</v>
      </c>
      <c r="B31" s="103" t="str">
        <f>'GoR Data summary'!B51</f>
        <v>GoR</v>
      </c>
      <c r="C31" s="55" t="str">
        <f>'GoR Data summary'!C45</f>
        <v>SA</v>
      </c>
      <c r="D31" s="196"/>
      <c r="E31" s="201">
        <f t="shared" si="1"/>
        <v>1</v>
      </c>
      <c r="F31" s="56" cm="1">
        <f t="array" ref="F31">SUMPRODUCT(--(LEN(O31:AF31) &gt; 0))</f>
        <v>7</v>
      </c>
      <c r="G31" s="56">
        <f t="shared" si="2"/>
        <v>1</v>
      </c>
      <c r="H31" s="56" cm="1">
        <f t="array" ref="H31">SUMPRODUCT(--(LEN(S31:AF31) &gt; 0))</f>
        <v>5</v>
      </c>
      <c r="I31" s="56" cm="1">
        <f t="array" ref="I31">SUMPRODUCT(--(LEN(O31:R31) &gt; 0))</f>
        <v>2</v>
      </c>
      <c r="J31" s="56">
        <f t="shared" si="3"/>
        <v>0</v>
      </c>
      <c r="K31" s="56">
        <f t="shared" si="4"/>
        <v>1</v>
      </c>
      <c r="L31" s="56">
        <f t="shared" si="5"/>
        <v>0</v>
      </c>
      <c r="M31" s="56">
        <f t="shared" si="6"/>
        <v>50</v>
      </c>
      <c r="Q31" s="153" t="str">
        <f>IF(NOT(ISBLANK('GoR Data summary'!G45)), IF('GoR Data summary'!G45 &gt; TV!$G$4, "0", "1"), "")</f>
        <v>1</v>
      </c>
      <c r="R31" s="153" t="str">
        <f>IF(NOT(ISBLANK('GoR Data summary'!H45)), IF('GoR Data summary'!H45 &gt; TV!$G$7, "0", "1"), "")</f>
        <v>0</v>
      </c>
      <c r="AB31" s="153" t="str">
        <f>IF(NOT(ISBLANK('GoR Data summary'!I45)), IF('GoR Data summary'!I45 &lt; TV!$G$11, "0", "1"), "")</f>
        <v>1</v>
      </c>
      <c r="AC31" s="153" t="str">
        <f>IF(NOT(ISBLANK('GoR Data summary'!K45)), IF('GoR Data summary'!K45 &gt; TV!$G$19, "0", "1"), "")</f>
        <v>1</v>
      </c>
      <c r="AD31" s="153" t="str">
        <f>IF(NOT(ISBLANK('GoR Data summary'!M45)), IF('GoR Data summary'!M45 &gt; TV!$G$22, "0", "1"), "")</f>
        <v>1</v>
      </c>
      <c r="AE31" s="153" t="str">
        <f>IF(NOT(ISBLANK('GoR Data summary'!O45)), IF('GoR Data summary'!O45 &gt; TV!$G$25, "0", "1"), "")</f>
        <v>1</v>
      </c>
      <c r="AF31" s="153" t="str">
        <f>IF(NOT(ISBLANK('GoR Data summary'!Q45)), IF('GoR Data summary'!Q45 &gt; TV!$G$15, "0", "1"), "")</f>
        <v>1</v>
      </c>
    </row>
    <row r="32" spans="1:32" x14ac:dyDescent="0.25">
      <c r="A32" s="55" t="str">
        <f>'GoR Data summary'!A46</f>
        <v>2020-2022</v>
      </c>
      <c r="B32" s="103" t="str">
        <f>'GoR Data summary'!B52</f>
        <v>GoR</v>
      </c>
      <c r="C32" s="55" t="str">
        <f>'GoR Data summary'!C46</f>
        <v>LIE</v>
      </c>
      <c r="D32" s="196"/>
      <c r="E32" s="201">
        <f t="shared" si="1"/>
        <v>1</v>
      </c>
      <c r="F32" s="56" cm="1">
        <f t="array" ref="F32">SUMPRODUCT(--(LEN(O32:AF32) &gt; 0))</f>
        <v>7</v>
      </c>
      <c r="G32" s="56">
        <f t="shared" si="2"/>
        <v>1</v>
      </c>
      <c r="H32" s="56" cm="1">
        <f t="array" ref="H32">SUMPRODUCT(--(LEN(S32:AF32) &gt; 0))</f>
        <v>5</v>
      </c>
      <c r="I32" s="56" cm="1">
        <f t="array" ref="I32">SUMPRODUCT(--(LEN(O32:R32) &gt; 0))</f>
        <v>2</v>
      </c>
      <c r="J32" s="56">
        <f t="shared" si="3"/>
        <v>0</v>
      </c>
      <c r="K32" s="56">
        <f t="shared" si="4"/>
        <v>1</v>
      </c>
      <c r="L32" s="56">
        <f t="shared" si="5"/>
        <v>0</v>
      </c>
      <c r="M32" s="56">
        <f t="shared" si="6"/>
        <v>50</v>
      </c>
      <c r="Q32" s="153" t="str">
        <f>IF(NOT(ISBLANK('GoR Data summary'!G46)), IF('GoR Data summary'!G46 &gt; TV!$G$4, "0", "1"), "")</f>
        <v>1</v>
      </c>
      <c r="R32" s="153" t="str">
        <f>IF(NOT(ISBLANK('GoR Data summary'!H46)), IF('GoR Data summary'!H46 &gt; TV!$G$7, "0", "1"), "")</f>
        <v>0</v>
      </c>
      <c r="AB32" s="153" t="str">
        <f>IF(NOT(ISBLANK('GoR Data summary'!I46)), IF('GoR Data summary'!I46 &lt; TV!$G$11, "0", "1"), "")</f>
        <v>1</v>
      </c>
      <c r="AC32" s="153" t="str">
        <f>IF(NOT(ISBLANK('GoR Data summary'!K46)), IF('GoR Data summary'!K46 &gt; TV!$G$19, "0", "1"), "")</f>
        <v>1</v>
      </c>
      <c r="AD32" s="153" t="str">
        <f>IF(NOT(ISBLANK('GoR Data summary'!M46)), IF('GoR Data summary'!M46 &gt; TV!$G$22, "0", "1"), "")</f>
        <v>1</v>
      </c>
      <c r="AE32" s="153" t="str">
        <f>IF(NOT(ISBLANK('GoR Data summary'!O46)), IF('GoR Data summary'!O46 &gt; TV!$G$25, "0", "1"), "")</f>
        <v>1</v>
      </c>
      <c r="AF32" s="153" t="str">
        <f>IF(NOT(ISBLANK('GoR Data summary'!Q46)), IF('GoR Data summary'!Q46 &gt; TV!$G$15, "0", "1"), "")</f>
        <v>1</v>
      </c>
    </row>
    <row r="33" spans="1:32" x14ac:dyDescent="0.25">
      <c r="A33" s="55" t="str">
        <f>'GoR Data summary'!A47</f>
        <v>2020-2022</v>
      </c>
      <c r="B33" s="103" t="str">
        <f>B17</f>
        <v>GoR</v>
      </c>
      <c r="C33" s="55" t="str">
        <f>'GoR Data summary'!C47</f>
        <v>ME</v>
      </c>
      <c r="D33" s="196"/>
      <c r="E33" s="201">
        <f t="shared" si="1"/>
        <v>0</v>
      </c>
      <c r="F33" s="56" cm="1">
        <f t="array" ref="F33">SUMPRODUCT(--(LEN(O33:AF33) &gt; 0))</f>
        <v>5</v>
      </c>
      <c r="G33" s="56">
        <f t="shared" si="2"/>
        <v>3</v>
      </c>
      <c r="H33" s="56" cm="1">
        <f t="array" ref="H33">SUMPRODUCT(--(LEN(S33:AF33) &gt; 0))</f>
        <v>3</v>
      </c>
      <c r="I33" s="56" cm="1">
        <f t="array" ref="I33">SUMPRODUCT(--(LEN(O33:R33) &gt; 0))</f>
        <v>2</v>
      </c>
      <c r="J33" s="56">
        <f t="shared" si="3"/>
        <v>3</v>
      </c>
      <c r="K33" s="56">
        <f t="shared" si="4"/>
        <v>0</v>
      </c>
      <c r="L33" s="56">
        <f t="shared" si="5"/>
        <v>100</v>
      </c>
      <c r="M33" s="56">
        <f t="shared" si="6"/>
        <v>0</v>
      </c>
      <c r="Q33" s="153" t="str">
        <f>IF(NOT(ISBLANK('GoR Data summary'!G47)), IF('GoR Data summary'!G47 &gt; TV!$G$4, "0", "1"), "")</f>
        <v>1</v>
      </c>
      <c r="R33" s="153" t="str">
        <f>IF(NOT(ISBLANK('GoR Data summary'!H47)), IF('GoR Data summary'!H47 &gt; TV!$G$7, "0", "1"), "")</f>
        <v>1</v>
      </c>
      <c r="AB33" s="153" t="str">
        <f>IF(NOT(ISBLANK('GoR Data summary'!I47)), IF('GoR Data summary'!I47 &lt; TV!$G$11, "0", "1"), "")</f>
        <v>0</v>
      </c>
      <c r="AC33" s="153" t="str">
        <f>IF(NOT(ISBLANK('GoR Data summary'!K47)), IF('GoR Data summary'!K47 &gt; TV!$G$19, "0", "1"), "")</f>
        <v>0</v>
      </c>
      <c r="AD33" s="153" t="str">
        <f>IF(NOT(ISBLANK('GoR Data summary'!M47)), IF('GoR Data summary'!M47 &gt; TV!$G$22, "0", "1"), "")</f>
        <v>0</v>
      </c>
      <c r="AE33" s="153" t="str">
        <f>IF(NOT(ISBLANK('GoR Data summary'!O47)), IF('GoR Data summary'!O47 &gt; TV!$G$25, "0", "1"), "")</f>
        <v/>
      </c>
      <c r="AF33" s="153" t="str">
        <f>IF(NOT(ISBLANK('GoR Data summary'!Q47)), IF('GoR Data summary'!Q47 &gt; TV!$G$15, "0", "1"), "")</f>
        <v/>
      </c>
    </row>
    <row r="34" spans="1:32" x14ac:dyDescent="0.25">
      <c r="A34" s="55" t="str">
        <f>'GoR Data summary'!A48</f>
        <v>2020-2022</v>
      </c>
      <c r="B34" s="103" t="str">
        <f t="shared" ref="B34:B38" si="7">B18</f>
        <v>GoR</v>
      </c>
      <c r="C34" s="55" t="str">
        <f>'GoR Data summary'!C48</f>
        <v>KA</v>
      </c>
      <c r="D34" s="197"/>
      <c r="E34" s="201">
        <f t="shared" si="1"/>
        <v>1</v>
      </c>
      <c r="F34" s="56" cm="1">
        <f t="array" ref="F34">SUMPRODUCT(--(LEN(O34:AF34) &gt; 0))</f>
        <v>5</v>
      </c>
      <c r="G34" s="56">
        <f t="shared" si="2"/>
        <v>2</v>
      </c>
      <c r="H34" s="56" cm="1">
        <f t="array" ref="H34">SUMPRODUCT(--(LEN(S34:AF34) &gt; 0))</f>
        <v>3</v>
      </c>
      <c r="I34" s="56" cm="1">
        <f t="array" ref="I34">SUMPRODUCT(--(LEN(O34:R34) &gt; 0))</f>
        <v>2</v>
      </c>
      <c r="J34" s="56">
        <f t="shared" si="3"/>
        <v>1</v>
      </c>
      <c r="K34" s="56">
        <f t="shared" si="4"/>
        <v>1</v>
      </c>
      <c r="L34" s="56">
        <f t="shared" si="5"/>
        <v>33.333333333333336</v>
      </c>
      <c r="M34" s="56">
        <f t="shared" si="6"/>
        <v>50</v>
      </c>
      <c r="Q34" s="153" t="str">
        <f>IF(NOT(ISBLANK('GoR Data summary'!G48)), IF('GoR Data summary'!G48 &gt; TV!$G$4, "0", "1"), "")</f>
        <v>1</v>
      </c>
      <c r="R34" s="153" t="str">
        <f>IF(NOT(ISBLANK('GoR Data summary'!H48)), IF('GoR Data summary'!H48 &gt; TV!$G$7, "0", "1"), "")</f>
        <v>0</v>
      </c>
      <c r="AB34" s="153" t="str">
        <f>IF(NOT(ISBLANK('GoR Data summary'!I48)), IF('GoR Data summary'!I48 &lt; TV!$G$11, "0", "1"), "")</f>
        <v>0</v>
      </c>
      <c r="AC34" s="153" t="str">
        <f>IF(NOT(ISBLANK('GoR Data summary'!K48)), IF('GoR Data summary'!K48 &gt; TV!$G$19, "0", "1"), "")</f>
        <v>1</v>
      </c>
      <c r="AD34" s="153" t="str">
        <f>IF(NOT(ISBLANK('GoR Data summary'!M48)), IF('GoR Data summary'!M48 &gt; TV!$G$22, "0", "1"), "")</f>
        <v>1</v>
      </c>
      <c r="AE34" s="153" t="str">
        <f>IF(NOT(ISBLANK('GoR Data summary'!O48)), IF('GoR Data summary'!O48 &gt; TV!$G$25, "0", "1"), "")</f>
        <v/>
      </c>
      <c r="AF34" s="153" t="str">
        <f>IF(NOT(ISBLANK('GoR Data summary'!Q48)), IF('GoR Data summary'!Q48 &gt; TV!$G$15, "0", "1"), "")</f>
        <v/>
      </c>
    </row>
    <row r="35" spans="1:32" x14ac:dyDescent="0.25">
      <c r="A35" s="55" t="str">
        <f>'GoR Data summary'!A49</f>
        <v>2020-2022</v>
      </c>
      <c r="B35" s="103" t="str">
        <f t="shared" si="7"/>
        <v>GoR</v>
      </c>
      <c r="C35" s="55" t="str">
        <f>'GoR Data summary'!C49</f>
        <v>DU</v>
      </c>
      <c r="D35" s="21"/>
      <c r="E35" s="201">
        <f t="shared" si="1"/>
        <v>0</v>
      </c>
      <c r="F35" s="56" cm="1">
        <f t="array" ref="F35">SUMPRODUCT(--(LEN(O35:AF35) &gt; 0))</f>
        <v>5</v>
      </c>
      <c r="G35" s="56">
        <f t="shared" si="2"/>
        <v>3</v>
      </c>
      <c r="H35" s="56" cm="1">
        <f t="array" ref="H35">SUMPRODUCT(--(LEN(S35:AF35) &gt; 0))</f>
        <v>3</v>
      </c>
      <c r="I35" s="56" cm="1">
        <f t="array" ref="I35">SUMPRODUCT(--(LEN(O35:R35) &gt; 0))</f>
        <v>2</v>
      </c>
      <c r="J35" s="56">
        <f t="shared" si="3"/>
        <v>3</v>
      </c>
      <c r="K35" s="56">
        <f t="shared" si="4"/>
        <v>0</v>
      </c>
      <c r="L35" s="56">
        <f t="shared" si="5"/>
        <v>100</v>
      </c>
      <c r="M35" s="56">
        <f t="shared" si="6"/>
        <v>0</v>
      </c>
      <c r="Q35" s="153" t="str">
        <f>IF(NOT(ISBLANK('GoR Data summary'!G49)), IF('GoR Data summary'!G49 &gt; TV!$G$4, "0", "1"), "")</f>
        <v>1</v>
      </c>
      <c r="R35" s="153" t="str">
        <f>IF(NOT(ISBLANK('GoR Data summary'!H49)), IF('GoR Data summary'!H49 &gt; TV!$G$7, "0", "1"), "")</f>
        <v>1</v>
      </c>
      <c r="AB35" s="153" t="str">
        <f>IF(NOT(ISBLANK('GoR Data summary'!I49)), IF('GoR Data summary'!I49 &lt; TV!$G$11, "0", "1"), "")</f>
        <v>0</v>
      </c>
      <c r="AC35" s="153" t="str">
        <f>IF(NOT(ISBLANK('GoR Data summary'!K49)), IF('GoR Data summary'!K49 &gt; TV!$G$19, "0", "1"), "")</f>
        <v>0</v>
      </c>
      <c r="AD35" s="153" t="str">
        <f>IF(NOT(ISBLANK('GoR Data summary'!M49)), IF('GoR Data summary'!M49 &gt; TV!$G$22, "0", "1"), "")</f>
        <v>0</v>
      </c>
      <c r="AE35" s="153" t="str">
        <f>IF(NOT(ISBLANK('GoR Data summary'!O49)), IF('GoR Data summary'!O49 &gt; TV!$G$25, "0", "1"), "")</f>
        <v/>
      </c>
      <c r="AF35" s="153" t="str">
        <f>IF(NOT(ISBLANK('GoR Data summary'!Q49)), IF('GoR Data summary'!Q49 &gt; TV!$G$15, "0", "1"), "")</f>
        <v/>
      </c>
    </row>
    <row r="36" spans="1:32" x14ac:dyDescent="0.25">
      <c r="A36" s="55" t="str">
        <f>'GoR Data summary'!A50</f>
        <v>2020-2022</v>
      </c>
      <c r="B36" s="103" t="str">
        <f t="shared" si="7"/>
        <v>GoR</v>
      </c>
      <c r="C36" s="55" t="str">
        <f>'GoR Data summary'!C50</f>
        <v>VE</v>
      </c>
      <c r="D36" s="21"/>
      <c r="E36" s="201">
        <f t="shared" si="1"/>
        <v>1</v>
      </c>
      <c r="F36" s="56" cm="1">
        <f t="array" ref="F36">SUMPRODUCT(--(LEN(O36:AF36) &gt; 0))</f>
        <v>7</v>
      </c>
      <c r="G36" s="56">
        <f t="shared" si="2"/>
        <v>2</v>
      </c>
      <c r="H36" s="56" cm="1">
        <f t="array" ref="H36">SUMPRODUCT(--(LEN(S36:AF36) &gt; 0))</f>
        <v>5</v>
      </c>
      <c r="I36" s="56" cm="1">
        <f t="array" ref="I36">SUMPRODUCT(--(LEN(O36:R36) &gt; 0))</f>
        <v>2</v>
      </c>
      <c r="J36" s="56">
        <f t="shared" si="3"/>
        <v>1</v>
      </c>
      <c r="K36" s="56">
        <f t="shared" si="4"/>
        <v>1</v>
      </c>
      <c r="L36" s="56">
        <f t="shared" si="5"/>
        <v>20</v>
      </c>
      <c r="M36" s="56">
        <f t="shared" si="6"/>
        <v>50</v>
      </c>
      <c r="Q36" s="153" t="str">
        <f>IF(NOT(ISBLANK('GoR Data summary'!G50)), IF('GoR Data summary'!G50 &gt; TV!$G$4, "0", "1"), "")</f>
        <v>1</v>
      </c>
      <c r="R36" s="153" t="str">
        <f>IF(NOT(ISBLANK('GoR Data summary'!H50)), IF('GoR Data summary'!H50 &gt; TV!$G$7, "0", "1"), "")</f>
        <v>0</v>
      </c>
      <c r="AB36" s="153" t="str">
        <f>IF(NOT(ISBLANK('GoR Data summary'!I50)), IF('GoR Data summary'!I50 &lt; TV!$G$11, "0", "1"), "")</f>
        <v>1</v>
      </c>
      <c r="AC36" s="153" t="str">
        <f>IF(NOT(ISBLANK('GoR Data summary'!K50)), IF('GoR Data summary'!K50 &gt; TV!$G$19, "0", "1"), "")</f>
        <v>1</v>
      </c>
      <c r="AD36" s="153" t="str">
        <f>IF(NOT(ISBLANK('GoR Data summary'!M50)), IF('GoR Data summary'!M50 &gt; TV!$G$22, "0", "1"), "")</f>
        <v>0</v>
      </c>
      <c r="AE36" s="153" t="str">
        <f>IF(NOT(ISBLANK('GoR Data summary'!O50)), IF('GoR Data summary'!O50 &gt; TV!$G$25, "0", "1"), "")</f>
        <v>1</v>
      </c>
      <c r="AF36" s="153" t="str">
        <f>IF(NOT(ISBLANK('GoR Data summary'!Q50)), IF('GoR Data summary'!Q50 &gt; TV!$G$15, "0", "1"), "")</f>
        <v>1</v>
      </c>
    </row>
    <row r="37" spans="1:32" x14ac:dyDescent="0.25">
      <c r="A37" s="55" t="str">
        <f>'GoR Data summary'!A51</f>
        <v>2020-2022</v>
      </c>
      <c r="B37" s="103" t="str">
        <f t="shared" si="7"/>
        <v>GoR</v>
      </c>
      <c r="C37" s="55" t="str">
        <f>'GoR Data summary'!C51</f>
        <v>LI</v>
      </c>
      <c r="D37" s="21"/>
      <c r="E37" s="201">
        <f t="shared" si="1"/>
        <v>1</v>
      </c>
      <c r="F37" s="56" cm="1">
        <f t="array" ref="F37">SUMPRODUCT(--(LEN(O37:AF37) &gt; 0))</f>
        <v>7</v>
      </c>
      <c r="G37" s="56">
        <f t="shared" si="2"/>
        <v>2</v>
      </c>
      <c r="H37" s="56" cm="1">
        <f t="array" ref="H37">SUMPRODUCT(--(LEN(S37:AF37) &gt; 0))</f>
        <v>5</v>
      </c>
      <c r="I37" s="56" cm="1">
        <f t="array" ref="I37">SUMPRODUCT(--(LEN(O37:R37) &gt; 0))</f>
        <v>2</v>
      </c>
      <c r="J37" s="56">
        <f t="shared" si="3"/>
        <v>1</v>
      </c>
      <c r="K37" s="56">
        <f t="shared" si="4"/>
        <v>1</v>
      </c>
      <c r="L37" s="56">
        <f t="shared" si="5"/>
        <v>20</v>
      </c>
      <c r="M37" s="56">
        <f t="shared" si="6"/>
        <v>50</v>
      </c>
      <c r="Q37" s="153" t="str">
        <f>IF(NOT(ISBLANK('GoR Data summary'!G51)), IF('GoR Data summary'!G51 &gt; TV!$G$4, "0", "1"), "")</f>
        <v>1</v>
      </c>
      <c r="R37" s="153" t="str">
        <f>IF(NOT(ISBLANK('GoR Data summary'!H51)), IF('GoR Data summary'!H51 &gt; TV!$G$7, "0", "1"), "")</f>
        <v>0</v>
      </c>
      <c r="AB37" s="153" t="str">
        <f>IF(NOT(ISBLANK('GoR Data summary'!I51)), IF('GoR Data summary'!I51 &lt; TV!$G$11, "0", "1"), "")</f>
        <v>0</v>
      </c>
      <c r="AC37" s="153" t="str">
        <f>IF(NOT(ISBLANK('GoR Data summary'!K51)), IF('GoR Data summary'!K51 &gt; TV!$G$19, "0", "1"), "")</f>
        <v>1</v>
      </c>
      <c r="AD37" s="153" t="str">
        <f>IF(NOT(ISBLANK('GoR Data summary'!M51)), IF('GoR Data summary'!M51 &gt; TV!$G$22, "0", "1"), "")</f>
        <v>1</v>
      </c>
      <c r="AE37" s="153" t="str">
        <f>IF(NOT(ISBLANK('GoR Data summary'!O51)), IF('GoR Data summary'!O51 &gt; TV!$G$25, "0", "1"), "")</f>
        <v>1</v>
      </c>
      <c r="AF37" s="153" t="str">
        <f>IF(NOT(ISBLANK('GoR Data summary'!Q51)), IF('GoR Data summary'!Q51 &gt; TV!$G$15, "0", "1"), "")</f>
        <v>1</v>
      </c>
    </row>
    <row r="38" spans="1:32" x14ac:dyDescent="0.25">
      <c r="A38" s="55" t="str">
        <f>'GoR Data summary'!A52</f>
        <v>2020-2022</v>
      </c>
      <c r="B38" s="103" t="str">
        <f t="shared" si="7"/>
        <v>GoR</v>
      </c>
      <c r="C38" s="55" t="str">
        <f>'GoR Data summary'!C52</f>
        <v>BO</v>
      </c>
      <c r="D38" s="21"/>
      <c r="E38" s="201">
        <f t="shared" si="1"/>
        <v>1</v>
      </c>
      <c r="F38" s="56" cm="1">
        <f t="array" ref="F38">SUMPRODUCT(--(LEN(O38:AF38) &gt; 0))</f>
        <v>7</v>
      </c>
      <c r="G38" s="56">
        <f t="shared" si="2"/>
        <v>3</v>
      </c>
      <c r="H38" s="56" cm="1">
        <f t="array" ref="H38">SUMPRODUCT(--(LEN(S38:AF38) &gt; 0))</f>
        <v>5</v>
      </c>
      <c r="I38" s="56" cm="1">
        <f t="array" ref="I38">SUMPRODUCT(--(LEN(O38:R38) &gt; 0))</f>
        <v>2</v>
      </c>
      <c r="J38" s="56">
        <f t="shared" si="3"/>
        <v>2</v>
      </c>
      <c r="K38" s="56">
        <f t="shared" si="4"/>
        <v>1</v>
      </c>
      <c r="L38" s="56">
        <f t="shared" si="5"/>
        <v>40</v>
      </c>
      <c r="M38" s="56">
        <f t="shared" si="6"/>
        <v>50</v>
      </c>
      <c r="Q38" s="153" t="str">
        <f>IF(NOT(ISBLANK('GoR Data summary'!G52)), IF('GoR Data summary'!G52 &gt; TV!$G$4, "0", "1"), "")</f>
        <v>1</v>
      </c>
      <c r="R38" s="153" t="str">
        <f>IF(NOT(ISBLANK('GoR Data summary'!H52)), IF('GoR Data summary'!H52 &gt; TV!$G$7, "0", "1"), "")</f>
        <v>0</v>
      </c>
      <c r="AB38" s="153" t="str">
        <f>IF(NOT(ISBLANK('GoR Data summary'!I52)), IF('GoR Data summary'!I52 &lt; TV!$G$11, "0", "1"), "")</f>
        <v>1</v>
      </c>
      <c r="AC38" s="153" t="str">
        <f>IF(NOT(ISBLANK('GoR Data summary'!K52)), IF('GoR Data summary'!K52 &gt; TV!$G$19, "0", "1"), "")</f>
        <v>0</v>
      </c>
      <c r="AD38" s="153" t="str">
        <f>IF(NOT(ISBLANK('GoR Data summary'!M52)), IF('GoR Data summary'!M52 &gt; TV!$G$22, "0", "1"), "")</f>
        <v>1</v>
      </c>
      <c r="AE38" s="153" t="str">
        <f>IF(NOT(ISBLANK('GoR Data summary'!O52)), IF('GoR Data summary'!O52 &gt; TV!$G$25, "0", "1"), "")</f>
        <v>0</v>
      </c>
      <c r="AF38" s="153" t="str">
        <f>IF(NOT(ISBLANK('GoR Data summary'!Q52)), IF('GoR Data summary'!Q52 &gt; TV!$G$15, "0", "1"), "")</f>
        <v>1</v>
      </c>
    </row>
    <row r="39" spans="1:32" s="110" customFormat="1" x14ac:dyDescent="0.25">
      <c r="A39" s="166"/>
      <c r="B39" s="166"/>
      <c r="C39" s="166"/>
      <c r="D39" s="166"/>
      <c r="N39" s="163"/>
    </row>
    <row r="40" spans="1:32" s="110" customFormat="1" x14ac:dyDescent="0.25">
      <c r="A40" s="166"/>
      <c r="B40" s="166"/>
      <c r="C40" s="166"/>
      <c r="D40" s="166"/>
      <c r="N40" s="163"/>
    </row>
    <row r="41" spans="1:32" s="110" customFormat="1" x14ac:dyDescent="0.25">
      <c r="A41" s="218"/>
      <c r="B41" s="219"/>
      <c r="C41" s="166"/>
      <c r="D41" s="166"/>
      <c r="N41" s="163"/>
    </row>
    <row r="42" spans="1:32" s="110" customFormat="1" x14ac:dyDescent="0.25">
      <c r="A42" s="218"/>
      <c r="B42" s="219"/>
      <c r="C42" s="166"/>
      <c r="D42" s="166"/>
      <c r="N42" s="163"/>
    </row>
    <row r="43" spans="1:32" s="110" customFormat="1" x14ac:dyDescent="0.25">
      <c r="A43" s="218"/>
      <c r="B43" s="219"/>
      <c r="C43" s="166"/>
      <c r="D43" s="166"/>
      <c r="N43" s="163"/>
    </row>
    <row r="44" spans="1:32" s="110" customFormat="1" x14ac:dyDescent="0.25">
      <c r="A44" s="218"/>
      <c r="B44" s="219"/>
      <c r="C44" s="166"/>
      <c r="D44" s="166"/>
      <c r="N44" s="163"/>
    </row>
    <row r="45" spans="1:32" s="110" customFormat="1" x14ac:dyDescent="0.25">
      <c r="A45" s="218"/>
      <c r="B45" s="219"/>
      <c r="C45" s="166"/>
      <c r="D45" s="166"/>
      <c r="N45" s="163"/>
    </row>
    <row r="46" spans="1:32" s="110" customFormat="1" x14ac:dyDescent="0.25">
      <c r="A46" s="218"/>
      <c r="B46" s="219"/>
      <c r="C46" s="166"/>
      <c r="D46" s="166"/>
      <c r="N46" s="163"/>
    </row>
    <row r="47" spans="1:32" s="110" customFormat="1" x14ac:dyDescent="0.25">
      <c r="A47" s="218"/>
      <c r="B47" s="219"/>
      <c r="C47" s="166"/>
      <c r="D47" s="166"/>
      <c r="N47" s="163"/>
    </row>
    <row r="48" spans="1:32" s="110" customFormat="1" x14ac:dyDescent="0.25">
      <c r="A48" s="218"/>
      <c r="B48" s="219"/>
      <c r="C48" s="166"/>
      <c r="D48" s="166"/>
      <c r="N48" s="163"/>
    </row>
    <row r="49" spans="1:14" s="110" customFormat="1" x14ac:dyDescent="0.25">
      <c r="A49" s="218"/>
      <c r="B49" s="219"/>
      <c r="C49" s="166"/>
      <c r="D49" s="166"/>
      <c r="N49" s="163"/>
    </row>
    <row r="50" spans="1:14" s="110" customFormat="1" x14ac:dyDescent="0.25">
      <c r="A50" s="218"/>
      <c r="B50" s="219"/>
      <c r="C50" s="166"/>
      <c r="D50" s="166"/>
      <c r="N50" s="163"/>
    </row>
    <row r="51" spans="1:14" s="110" customFormat="1" x14ac:dyDescent="0.25">
      <c r="A51" s="218"/>
      <c r="B51" s="219"/>
      <c r="C51" s="166"/>
      <c r="D51" s="166"/>
      <c r="N51" s="163"/>
    </row>
    <row r="52" spans="1:14" s="110" customFormat="1" x14ac:dyDescent="0.25">
      <c r="A52" s="218"/>
      <c r="B52" s="219"/>
      <c r="C52" s="166"/>
      <c r="D52" s="166"/>
      <c r="N52" s="163"/>
    </row>
    <row r="53" spans="1:14" s="110" customFormat="1" x14ac:dyDescent="0.25">
      <c r="A53" s="218"/>
      <c r="B53" s="219"/>
      <c r="C53" s="166"/>
      <c r="D53" s="166"/>
      <c r="N53" s="163"/>
    </row>
    <row r="54" spans="1:14" s="110" customFormat="1" x14ac:dyDescent="0.25">
      <c r="A54" s="218"/>
      <c r="B54" s="219"/>
      <c r="C54" s="166"/>
      <c r="D54" s="166"/>
      <c r="N54" s="163"/>
    </row>
    <row r="55" spans="1:14" s="110" customFormat="1" x14ac:dyDescent="0.25">
      <c r="A55" s="218"/>
      <c r="B55" s="219"/>
      <c r="C55" s="166"/>
      <c r="D55" s="166"/>
      <c r="N55" s="163"/>
    </row>
    <row r="56" spans="1:14" s="110" customFormat="1" x14ac:dyDescent="0.25">
      <c r="A56" s="218"/>
      <c r="B56" s="219"/>
      <c r="C56" s="166"/>
      <c r="D56" s="166"/>
      <c r="N56" s="163"/>
    </row>
    <row r="57" spans="1:14" s="110" customFormat="1" x14ac:dyDescent="0.25">
      <c r="A57" s="218"/>
      <c r="B57" s="219"/>
      <c r="C57" s="166"/>
      <c r="D57" s="166"/>
      <c r="N57" s="163"/>
    </row>
    <row r="58" spans="1:14" s="110" customFormat="1" x14ac:dyDescent="0.25">
      <c r="A58" s="218"/>
      <c r="B58" s="219"/>
      <c r="C58" s="166"/>
      <c r="D58" s="166"/>
      <c r="N58" s="163"/>
    </row>
    <row r="59" spans="1:14" s="110" customFormat="1" x14ac:dyDescent="0.25">
      <c r="A59" s="218"/>
      <c r="B59" s="219"/>
      <c r="C59" s="166"/>
      <c r="D59" s="166"/>
      <c r="N59" s="163"/>
    </row>
    <row r="60" spans="1:14" s="110" customFormat="1" x14ac:dyDescent="0.25">
      <c r="A60" s="218"/>
      <c r="B60" s="219"/>
      <c r="C60" s="166"/>
      <c r="D60" s="166"/>
      <c r="N60" s="163"/>
    </row>
    <row r="61" spans="1:14" s="110" customFormat="1" x14ac:dyDescent="0.25">
      <c r="A61" s="218"/>
      <c r="B61" s="219"/>
      <c r="C61" s="166"/>
      <c r="D61" s="166"/>
      <c r="N61" s="163"/>
    </row>
    <row r="62" spans="1:14" s="110" customFormat="1" x14ac:dyDescent="0.25">
      <c r="A62" s="218"/>
      <c r="B62" s="219"/>
      <c r="C62" s="166"/>
      <c r="D62" s="166"/>
      <c r="N62" s="163"/>
    </row>
    <row r="63" spans="1:14" s="110" customFormat="1" x14ac:dyDescent="0.25">
      <c r="A63" s="218"/>
      <c r="B63" s="219"/>
      <c r="C63" s="166"/>
      <c r="D63" s="166"/>
      <c r="N63" s="163"/>
    </row>
    <row r="64" spans="1:14" s="110" customFormat="1" x14ac:dyDescent="0.25">
      <c r="A64" s="218"/>
      <c r="B64" s="219"/>
      <c r="C64" s="166"/>
      <c r="D64" s="166"/>
      <c r="N64" s="163"/>
    </row>
    <row r="65" spans="1:14" s="110" customFormat="1" x14ac:dyDescent="0.25">
      <c r="A65" s="218"/>
      <c r="B65" s="219"/>
      <c r="C65" s="166"/>
      <c r="D65" s="166"/>
      <c r="N65" s="163"/>
    </row>
    <row r="66" spans="1:14" s="110" customFormat="1" x14ac:dyDescent="0.25">
      <c r="A66" s="218"/>
      <c r="B66" s="219"/>
      <c r="C66" s="166"/>
      <c r="D66" s="166"/>
      <c r="N66" s="163"/>
    </row>
    <row r="67" spans="1:14" s="110" customFormat="1" x14ac:dyDescent="0.25">
      <c r="A67" s="218"/>
      <c r="B67" s="219"/>
      <c r="C67" s="166"/>
      <c r="D67" s="166"/>
      <c r="N67" s="163"/>
    </row>
    <row r="68" spans="1:14" s="110" customFormat="1" x14ac:dyDescent="0.25">
      <c r="A68" s="218"/>
      <c r="B68" s="219"/>
      <c r="C68" s="166"/>
      <c r="D68" s="166"/>
      <c r="N68" s="163"/>
    </row>
    <row r="69" spans="1:14" s="110" customFormat="1" x14ac:dyDescent="0.25">
      <c r="A69" s="218"/>
      <c r="B69" s="219"/>
      <c r="C69" s="166"/>
      <c r="D69" s="166"/>
      <c r="N69" s="163"/>
    </row>
    <row r="70" spans="1:14" s="110" customFormat="1" x14ac:dyDescent="0.25">
      <c r="A70" s="218"/>
      <c r="B70" s="219"/>
      <c r="C70" s="166"/>
      <c r="D70" s="166"/>
      <c r="N70" s="163"/>
    </row>
    <row r="71" spans="1:14" s="110" customFormat="1" x14ac:dyDescent="0.25">
      <c r="A71" s="218"/>
      <c r="B71" s="219"/>
      <c r="C71" s="166"/>
      <c r="D71" s="166"/>
      <c r="N71" s="163"/>
    </row>
    <row r="72" spans="1:14" s="110" customFormat="1" x14ac:dyDescent="0.25">
      <c r="A72" s="218"/>
      <c r="B72" s="219"/>
      <c r="C72" s="166"/>
      <c r="D72" s="166"/>
      <c r="N72" s="163"/>
    </row>
    <row r="73" spans="1:14" s="110" customFormat="1" x14ac:dyDescent="0.25">
      <c r="A73" s="218"/>
      <c r="B73" s="219"/>
      <c r="C73" s="166"/>
      <c r="D73" s="166"/>
      <c r="N73" s="163"/>
    </row>
    <row r="74" spans="1:14" s="110" customFormat="1" x14ac:dyDescent="0.25">
      <c r="A74" s="218"/>
      <c r="B74" s="219"/>
      <c r="C74" s="166"/>
      <c r="D74" s="166"/>
      <c r="N74" s="163"/>
    </row>
    <row r="75" spans="1:14" s="110" customFormat="1" x14ac:dyDescent="0.25">
      <c r="A75" s="218"/>
      <c r="B75" s="219"/>
      <c r="C75" s="166"/>
      <c r="D75" s="166"/>
      <c r="N75" s="163"/>
    </row>
    <row r="76" spans="1:14" s="110" customFormat="1" x14ac:dyDescent="0.25">
      <c r="A76" s="218"/>
      <c r="B76" s="219"/>
      <c r="C76" s="166"/>
      <c r="D76" s="166"/>
      <c r="N76" s="163"/>
    </row>
    <row r="77" spans="1:14" s="110" customFormat="1" x14ac:dyDescent="0.25">
      <c r="A77" s="218"/>
      <c r="B77" s="219"/>
      <c r="C77" s="166"/>
      <c r="D77" s="166"/>
      <c r="N77" s="163"/>
    </row>
    <row r="78" spans="1:14" s="110" customFormat="1" x14ac:dyDescent="0.25">
      <c r="A78" s="218"/>
      <c r="B78" s="219"/>
      <c r="C78" s="166"/>
      <c r="D78" s="166"/>
      <c r="N78" s="163"/>
    </row>
    <row r="79" spans="1:14" s="110" customFormat="1" x14ac:dyDescent="0.25">
      <c r="A79" s="218"/>
      <c r="B79" s="219"/>
      <c r="C79" s="166"/>
      <c r="D79" s="166"/>
      <c r="N79" s="163"/>
    </row>
    <row r="80" spans="1:14" s="110" customFormat="1" x14ac:dyDescent="0.25">
      <c r="A80" s="218"/>
      <c r="B80" s="219"/>
      <c r="C80" s="166"/>
      <c r="D80" s="166"/>
      <c r="N80" s="163"/>
    </row>
    <row r="81" spans="1:14" s="110" customFormat="1" x14ac:dyDescent="0.25">
      <c r="A81" s="218"/>
      <c r="B81" s="219"/>
      <c r="C81" s="166"/>
      <c r="D81" s="166"/>
      <c r="N81" s="163"/>
    </row>
    <row r="82" spans="1:14" s="110" customFormat="1" x14ac:dyDescent="0.25">
      <c r="A82" s="218"/>
      <c r="B82" s="219"/>
      <c r="C82" s="166"/>
      <c r="D82" s="166"/>
      <c r="N82" s="163"/>
    </row>
    <row r="83" spans="1:14" s="110" customFormat="1" x14ac:dyDescent="0.25">
      <c r="A83" s="218"/>
      <c r="B83" s="219"/>
      <c r="C83" s="166"/>
      <c r="D83" s="166"/>
      <c r="N83" s="163"/>
    </row>
    <row r="84" spans="1:14" s="110" customFormat="1" x14ac:dyDescent="0.25">
      <c r="A84" s="218"/>
      <c r="B84" s="219"/>
      <c r="C84" s="166"/>
      <c r="D84" s="166"/>
      <c r="N84" s="163"/>
    </row>
    <row r="85" spans="1:14" s="110" customFormat="1" x14ac:dyDescent="0.25">
      <c r="A85" s="218"/>
      <c r="B85" s="219"/>
      <c r="C85" s="166"/>
      <c r="D85" s="166"/>
      <c r="N85" s="163"/>
    </row>
    <row r="86" spans="1:14" s="110" customFormat="1" x14ac:dyDescent="0.25">
      <c r="A86" s="218"/>
      <c r="B86" s="219"/>
      <c r="C86" s="166"/>
      <c r="D86" s="166"/>
      <c r="N86" s="163"/>
    </row>
    <row r="87" spans="1:14" s="110" customFormat="1" x14ac:dyDescent="0.25">
      <c r="A87" s="218"/>
      <c r="B87" s="219"/>
      <c r="C87" s="166"/>
      <c r="D87" s="166"/>
      <c r="N87" s="163"/>
    </row>
    <row r="88" spans="1:14" s="110" customFormat="1" x14ac:dyDescent="0.25">
      <c r="A88" s="218"/>
      <c r="B88" s="219"/>
      <c r="C88" s="166"/>
      <c r="D88" s="166"/>
      <c r="N88" s="163"/>
    </row>
    <row r="89" spans="1:14" s="110" customFormat="1" x14ac:dyDescent="0.25">
      <c r="A89" s="218"/>
      <c r="B89" s="219"/>
      <c r="C89" s="166"/>
      <c r="D89" s="166"/>
      <c r="N89" s="163"/>
    </row>
    <row r="90" spans="1:14" s="110" customFormat="1" x14ac:dyDescent="0.25">
      <c r="A90" s="218"/>
      <c r="B90" s="219"/>
      <c r="C90" s="166"/>
      <c r="D90" s="166"/>
      <c r="N90" s="163"/>
    </row>
    <row r="91" spans="1:14" s="110" customFormat="1" x14ac:dyDescent="0.25">
      <c r="A91" s="218"/>
      <c r="B91" s="219"/>
      <c r="C91" s="166"/>
      <c r="D91" s="166"/>
      <c r="N91" s="163"/>
    </row>
    <row r="92" spans="1:14" s="110" customFormat="1" x14ac:dyDescent="0.25">
      <c r="A92" s="218"/>
      <c r="B92" s="219"/>
      <c r="C92" s="166"/>
      <c r="D92" s="166"/>
      <c r="N92" s="163"/>
    </row>
    <row r="93" spans="1:14" s="110" customFormat="1" x14ac:dyDescent="0.25">
      <c r="A93" s="218"/>
      <c r="B93" s="219"/>
      <c r="C93" s="166"/>
      <c r="D93" s="166"/>
      <c r="N93" s="163"/>
    </row>
    <row r="94" spans="1:14" s="110" customFormat="1" x14ac:dyDescent="0.25">
      <c r="A94" s="218"/>
      <c r="B94" s="219"/>
      <c r="C94" s="166"/>
      <c r="D94" s="166"/>
      <c r="N94" s="163"/>
    </row>
    <row r="95" spans="1:14" s="110" customFormat="1" x14ac:dyDescent="0.25">
      <c r="A95" s="218"/>
      <c r="B95" s="219"/>
      <c r="C95" s="166"/>
      <c r="D95" s="166"/>
      <c r="N95" s="163"/>
    </row>
    <row r="96" spans="1:14" s="110" customFormat="1" x14ac:dyDescent="0.25">
      <c r="A96" s="218"/>
      <c r="B96" s="219"/>
      <c r="C96" s="166"/>
      <c r="D96" s="166"/>
      <c r="N96" s="163"/>
    </row>
    <row r="97" spans="1:14" s="110" customFormat="1" x14ac:dyDescent="0.25">
      <c r="A97" s="218"/>
      <c r="B97" s="219"/>
      <c r="C97" s="166"/>
      <c r="D97" s="166"/>
      <c r="N97" s="163"/>
    </row>
    <row r="98" spans="1:14" s="110" customFormat="1" x14ac:dyDescent="0.25">
      <c r="A98" s="218"/>
      <c r="B98" s="219"/>
      <c r="C98" s="166"/>
      <c r="D98" s="166"/>
      <c r="N98" s="163"/>
    </row>
    <row r="99" spans="1:14" s="110" customFormat="1" x14ac:dyDescent="0.25">
      <c r="A99" s="218"/>
      <c r="B99" s="219"/>
      <c r="C99" s="166"/>
      <c r="D99" s="166"/>
      <c r="N99" s="163"/>
    </row>
    <row r="100" spans="1:14" s="110" customFormat="1" x14ac:dyDescent="0.25">
      <c r="A100" s="218"/>
      <c r="B100" s="219"/>
      <c r="C100" s="166"/>
      <c r="D100" s="166"/>
      <c r="N100" s="163"/>
    </row>
    <row r="101" spans="1:14" s="110" customFormat="1" x14ac:dyDescent="0.25">
      <c r="A101" s="218"/>
      <c r="B101" s="219"/>
      <c r="C101" s="166"/>
      <c r="D101" s="166"/>
      <c r="N101" s="163"/>
    </row>
    <row r="102" spans="1:14" s="110" customFormat="1" x14ac:dyDescent="0.25">
      <c r="A102" s="218"/>
      <c r="B102" s="219"/>
      <c r="C102" s="166"/>
      <c r="D102" s="166"/>
      <c r="N102" s="163"/>
    </row>
    <row r="103" spans="1:14" s="110" customFormat="1" x14ac:dyDescent="0.25">
      <c r="A103" s="218"/>
      <c r="B103" s="219"/>
      <c r="C103" s="166"/>
      <c r="D103" s="166"/>
      <c r="N103" s="163"/>
    </row>
    <row r="104" spans="1:14" s="110" customFormat="1" x14ac:dyDescent="0.25">
      <c r="A104" s="218"/>
      <c r="B104" s="219"/>
      <c r="C104" s="166"/>
      <c r="D104" s="166"/>
      <c r="N104" s="163"/>
    </row>
    <row r="105" spans="1:14" s="110" customFormat="1" x14ac:dyDescent="0.25">
      <c r="A105" s="218"/>
      <c r="B105" s="219"/>
      <c r="C105" s="166"/>
      <c r="D105" s="166"/>
      <c r="N105" s="163"/>
    </row>
    <row r="106" spans="1:14" s="110" customFormat="1" x14ac:dyDescent="0.25">
      <c r="A106" s="218"/>
      <c r="B106" s="219"/>
      <c r="C106" s="166"/>
      <c r="D106" s="166"/>
      <c r="N106" s="163"/>
    </row>
    <row r="107" spans="1:14" s="110" customFormat="1" x14ac:dyDescent="0.25">
      <c r="A107" s="218"/>
      <c r="B107" s="219"/>
      <c r="C107" s="166"/>
      <c r="D107" s="166"/>
      <c r="N107" s="163"/>
    </row>
    <row r="108" spans="1:14" s="110" customFormat="1" x14ac:dyDescent="0.25">
      <c r="A108" s="218"/>
      <c r="B108" s="219"/>
      <c r="C108" s="166"/>
      <c r="D108" s="166"/>
      <c r="N108" s="163"/>
    </row>
    <row r="109" spans="1:14" s="110" customFormat="1" x14ac:dyDescent="0.25">
      <c r="A109" s="218"/>
      <c r="B109" s="219"/>
      <c r="C109" s="166"/>
      <c r="D109" s="166"/>
      <c r="N109" s="163"/>
    </row>
    <row r="110" spans="1:14" s="110" customFormat="1" x14ac:dyDescent="0.25">
      <c r="A110" s="218"/>
      <c r="B110" s="219"/>
      <c r="C110" s="166"/>
      <c r="D110" s="166"/>
      <c r="N110" s="163"/>
    </row>
    <row r="111" spans="1:14" s="110" customFormat="1" x14ac:dyDescent="0.25">
      <c r="A111" s="218"/>
      <c r="B111" s="219"/>
      <c r="C111" s="166"/>
      <c r="D111" s="166"/>
      <c r="N111" s="163"/>
    </row>
    <row r="112" spans="1:14" s="110" customFormat="1" x14ac:dyDescent="0.25">
      <c r="A112" s="218"/>
      <c r="B112" s="219"/>
      <c r="C112" s="166"/>
      <c r="D112" s="166"/>
      <c r="N112" s="163"/>
    </row>
    <row r="113" spans="1:14" s="110" customFormat="1" x14ac:dyDescent="0.25">
      <c r="A113" s="218"/>
      <c r="B113" s="219"/>
      <c r="C113" s="166"/>
      <c r="D113" s="166"/>
      <c r="N113" s="163"/>
    </row>
    <row r="114" spans="1:14" s="110" customFormat="1" x14ac:dyDescent="0.25">
      <c r="A114" s="218"/>
      <c r="B114" s="219"/>
      <c r="C114" s="166"/>
      <c r="D114" s="166"/>
      <c r="N114" s="163"/>
    </row>
    <row r="115" spans="1:14" s="110" customFormat="1" x14ac:dyDescent="0.25">
      <c r="A115" s="218"/>
      <c r="B115" s="219"/>
      <c r="C115" s="166"/>
      <c r="D115" s="166"/>
      <c r="N115" s="163"/>
    </row>
    <row r="116" spans="1:14" s="110" customFormat="1" x14ac:dyDescent="0.25">
      <c r="A116" s="218"/>
      <c r="B116" s="219"/>
      <c r="C116" s="166"/>
      <c r="D116" s="166"/>
      <c r="N116" s="163"/>
    </row>
    <row r="117" spans="1:14" s="110" customFormat="1" x14ac:dyDescent="0.25">
      <c r="A117" s="218"/>
      <c r="B117" s="219"/>
      <c r="C117" s="166"/>
      <c r="D117" s="166"/>
      <c r="N117" s="163"/>
    </row>
    <row r="118" spans="1:14" s="110" customFormat="1" x14ac:dyDescent="0.25">
      <c r="A118" s="218"/>
      <c r="B118" s="219"/>
      <c r="C118" s="166"/>
      <c r="D118" s="166"/>
      <c r="N118" s="163"/>
    </row>
    <row r="119" spans="1:14" s="110" customFormat="1" x14ac:dyDescent="0.25">
      <c r="A119" s="218"/>
      <c r="B119" s="219"/>
      <c r="C119" s="166"/>
      <c r="D119" s="166"/>
      <c r="N119" s="163"/>
    </row>
    <row r="120" spans="1:14" s="110" customFormat="1" x14ac:dyDescent="0.25">
      <c r="A120" s="218"/>
      <c r="B120" s="219"/>
      <c r="C120" s="166"/>
      <c r="D120" s="166"/>
      <c r="N120" s="163"/>
    </row>
    <row r="121" spans="1:14" s="110" customFormat="1" x14ac:dyDescent="0.25">
      <c r="A121" s="218"/>
      <c r="B121" s="219"/>
      <c r="C121" s="166"/>
      <c r="D121" s="166"/>
      <c r="N121" s="163"/>
    </row>
    <row r="122" spans="1:14" s="110" customFormat="1" x14ac:dyDescent="0.25">
      <c r="A122" s="218"/>
      <c r="B122" s="219"/>
      <c r="C122" s="166"/>
      <c r="D122" s="166"/>
      <c r="N122" s="163"/>
    </row>
    <row r="123" spans="1:14" s="110" customFormat="1" x14ac:dyDescent="0.25">
      <c r="A123" s="218"/>
      <c r="B123" s="219"/>
      <c r="C123" s="166"/>
      <c r="D123" s="166"/>
      <c r="N123" s="163"/>
    </row>
    <row r="124" spans="1:14" s="110" customFormat="1" x14ac:dyDescent="0.25">
      <c r="A124" s="218"/>
      <c r="B124" s="219"/>
      <c r="C124" s="166"/>
      <c r="D124" s="166"/>
      <c r="N124" s="163"/>
    </row>
    <row r="125" spans="1:14" s="110" customFormat="1" x14ac:dyDescent="0.25">
      <c r="A125" s="218"/>
      <c r="B125" s="219"/>
      <c r="C125" s="166"/>
      <c r="D125" s="166"/>
      <c r="N125" s="163"/>
    </row>
    <row r="126" spans="1:14" s="110" customFormat="1" x14ac:dyDescent="0.25">
      <c r="A126" s="218"/>
      <c r="B126" s="219"/>
      <c r="C126" s="166"/>
      <c r="D126" s="166"/>
      <c r="N126" s="163"/>
    </row>
    <row r="127" spans="1:14" s="110" customFormat="1" x14ac:dyDescent="0.25">
      <c r="A127" s="218"/>
      <c r="B127" s="219"/>
      <c r="C127" s="166"/>
      <c r="D127" s="166"/>
      <c r="N127" s="163"/>
    </row>
    <row r="128" spans="1:14" s="110" customFormat="1" x14ac:dyDescent="0.25">
      <c r="A128" s="218"/>
      <c r="B128" s="219"/>
      <c r="C128" s="166"/>
      <c r="D128" s="166"/>
      <c r="N128" s="163"/>
    </row>
    <row r="129" spans="1:14" s="110" customFormat="1" x14ac:dyDescent="0.25">
      <c r="A129" s="218"/>
      <c r="B129" s="219"/>
      <c r="C129" s="166"/>
      <c r="D129" s="166"/>
      <c r="N129" s="163"/>
    </row>
    <row r="130" spans="1:14" s="110" customFormat="1" x14ac:dyDescent="0.25">
      <c r="A130" s="218"/>
      <c r="B130" s="219"/>
      <c r="C130" s="166"/>
      <c r="D130" s="166"/>
      <c r="N130" s="163"/>
    </row>
    <row r="131" spans="1:14" s="110" customFormat="1" x14ac:dyDescent="0.25">
      <c r="A131" s="218"/>
      <c r="B131" s="219"/>
      <c r="C131" s="166"/>
      <c r="D131" s="166"/>
      <c r="N131" s="163"/>
    </row>
    <row r="132" spans="1:14" s="110" customFormat="1" x14ac:dyDescent="0.25">
      <c r="A132" s="218"/>
      <c r="B132" s="219"/>
      <c r="C132" s="166"/>
      <c r="D132" s="166"/>
      <c r="N132" s="163"/>
    </row>
    <row r="133" spans="1:14" s="110" customFormat="1" x14ac:dyDescent="0.25">
      <c r="A133" s="218"/>
      <c r="B133" s="219"/>
      <c r="C133" s="166"/>
      <c r="D133" s="166"/>
      <c r="N133" s="163"/>
    </row>
    <row r="134" spans="1:14" s="110" customFormat="1" x14ac:dyDescent="0.25">
      <c r="A134" s="218"/>
      <c r="B134" s="219"/>
      <c r="C134" s="166"/>
      <c r="D134" s="166"/>
      <c r="N134" s="163"/>
    </row>
    <row r="135" spans="1:14" s="110" customFormat="1" x14ac:dyDescent="0.25">
      <c r="A135" s="218"/>
      <c r="B135" s="219"/>
      <c r="C135" s="166"/>
      <c r="D135" s="166"/>
      <c r="N135" s="163"/>
    </row>
    <row r="136" spans="1:14" s="110" customFormat="1" x14ac:dyDescent="0.25">
      <c r="A136" s="218"/>
      <c r="B136" s="219"/>
      <c r="C136" s="166"/>
      <c r="D136" s="166"/>
      <c r="N136" s="163"/>
    </row>
    <row r="137" spans="1:14" s="110" customFormat="1" x14ac:dyDescent="0.25">
      <c r="A137" s="218"/>
      <c r="B137" s="219"/>
      <c r="C137" s="166"/>
      <c r="D137" s="166"/>
      <c r="N137" s="163"/>
    </row>
    <row r="138" spans="1:14" s="110" customFormat="1" x14ac:dyDescent="0.25">
      <c r="A138" s="218"/>
      <c r="B138" s="219"/>
      <c r="C138" s="166"/>
      <c r="D138" s="166"/>
      <c r="N138" s="163"/>
    </row>
    <row r="139" spans="1:14" s="110" customFormat="1" x14ac:dyDescent="0.25">
      <c r="A139" s="218"/>
      <c r="B139" s="219"/>
      <c r="C139" s="166"/>
      <c r="D139" s="166"/>
      <c r="N139" s="163"/>
    </row>
    <row r="140" spans="1:14" s="110" customFormat="1" x14ac:dyDescent="0.25">
      <c r="A140" s="218"/>
      <c r="B140" s="219"/>
      <c r="C140" s="166"/>
      <c r="D140" s="166"/>
      <c r="N140" s="163"/>
    </row>
    <row r="141" spans="1:14" s="110" customFormat="1" x14ac:dyDescent="0.25">
      <c r="A141" s="218"/>
      <c r="B141" s="219"/>
      <c r="C141" s="166"/>
      <c r="D141" s="166"/>
      <c r="N141" s="163"/>
    </row>
    <row r="142" spans="1:14" s="110" customFormat="1" x14ac:dyDescent="0.25">
      <c r="A142" s="218"/>
      <c r="B142" s="219"/>
      <c r="C142" s="166"/>
      <c r="D142" s="166"/>
      <c r="N142" s="163"/>
    </row>
    <row r="143" spans="1:14" s="110" customFormat="1" x14ac:dyDescent="0.25">
      <c r="A143" s="218"/>
      <c r="B143" s="219"/>
      <c r="C143" s="166"/>
      <c r="D143" s="166"/>
      <c r="N143" s="163"/>
    </row>
    <row r="144" spans="1:14" s="110" customFormat="1" x14ac:dyDescent="0.25">
      <c r="A144" s="218"/>
      <c r="B144" s="219"/>
      <c r="C144" s="166"/>
      <c r="D144" s="166"/>
      <c r="N144" s="163"/>
    </row>
    <row r="145" spans="1:14" s="110" customFormat="1" x14ac:dyDescent="0.25">
      <c r="A145" s="218"/>
      <c r="B145" s="219"/>
      <c r="C145" s="166"/>
      <c r="D145" s="166"/>
      <c r="N145" s="163"/>
    </row>
    <row r="146" spans="1:14" s="110" customFormat="1" x14ac:dyDescent="0.25">
      <c r="A146" s="218"/>
      <c r="B146" s="219"/>
      <c r="C146" s="166"/>
      <c r="D146" s="166"/>
      <c r="N146" s="163"/>
    </row>
    <row r="147" spans="1:14" s="110" customFormat="1" x14ac:dyDescent="0.25">
      <c r="A147" s="218"/>
      <c r="B147" s="219"/>
      <c r="C147" s="166"/>
      <c r="D147" s="166"/>
      <c r="N147" s="163"/>
    </row>
    <row r="148" spans="1:14" s="110" customFormat="1" x14ac:dyDescent="0.25">
      <c r="A148" s="218"/>
      <c r="B148" s="219"/>
      <c r="C148" s="166"/>
      <c r="D148" s="166"/>
      <c r="N148" s="163"/>
    </row>
    <row r="149" spans="1:14" s="110" customFormat="1" x14ac:dyDescent="0.25">
      <c r="A149" s="218"/>
      <c r="B149" s="219"/>
      <c r="C149" s="166"/>
      <c r="D149" s="166"/>
      <c r="N149" s="163"/>
    </row>
    <row r="150" spans="1:14" s="110" customFormat="1" x14ac:dyDescent="0.25">
      <c r="A150" s="218"/>
      <c r="B150" s="219"/>
      <c r="C150" s="166"/>
      <c r="D150" s="166"/>
      <c r="N150" s="163"/>
    </row>
    <row r="151" spans="1:14" s="110" customFormat="1" x14ac:dyDescent="0.25">
      <c r="A151" s="218"/>
      <c r="B151" s="219"/>
      <c r="C151" s="166"/>
      <c r="D151" s="166"/>
      <c r="N151" s="163"/>
    </row>
    <row r="152" spans="1:14" s="110" customFormat="1" x14ac:dyDescent="0.25">
      <c r="A152" s="218"/>
      <c r="B152" s="219"/>
      <c r="C152" s="166"/>
      <c r="D152" s="166"/>
      <c r="N152" s="163"/>
    </row>
    <row r="153" spans="1:14" s="110" customFormat="1" x14ac:dyDescent="0.25">
      <c r="A153" s="218"/>
      <c r="B153" s="219"/>
      <c r="C153" s="166"/>
      <c r="D153" s="166"/>
      <c r="N153" s="163"/>
    </row>
    <row r="154" spans="1:14" s="110" customFormat="1" x14ac:dyDescent="0.25">
      <c r="A154" s="218"/>
      <c r="B154" s="219"/>
      <c r="C154" s="166"/>
      <c r="D154" s="166"/>
      <c r="N154" s="163"/>
    </row>
    <row r="155" spans="1:14" s="110" customFormat="1" x14ac:dyDescent="0.25">
      <c r="A155" s="218"/>
      <c r="B155" s="219"/>
      <c r="C155" s="166"/>
      <c r="D155" s="166"/>
      <c r="N155" s="163"/>
    </row>
    <row r="156" spans="1:14" s="110" customFormat="1" x14ac:dyDescent="0.25">
      <c r="A156" s="218"/>
      <c r="B156" s="219"/>
      <c r="C156" s="166"/>
      <c r="D156" s="166"/>
      <c r="N156" s="163"/>
    </row>
    <row r="157" spans="1:14" s="110" customFormat="1" x14ac:dyDescent="0.25">
      <c r="A157" s="218"/>
      <c r="B157" s="219"/>
      <c r="C157" s="166"/>
      <c r="D157" s="166"/>
      <c r="N157" s="163"/>
    </row>
    <row r="158" spans="1:14" s="110" customFormat="1" x14ac:dyDescent="0.25">
      <c r="A158" s="218"/>
      <c r="B158" s="219"/>
      <c r="C158" s="166"/>
      <c r="D158" s="166"/>
      <c r="N158" s="163"/>
    </row>
    <row r="159" spans="1:14" s="110" customFormat="1" x14ac:dyDescent="0.25">
      <c r="A159" s="218"/>
      <c r="B159" s="219"/>
      <c r="C159" s="166"/>
      <c r="D159" s="166"/>
      <c r="N159" s="163"/>
    </row>
    <row r="160" spans="1:14" s="110" customFormat="1" x14ac:dyDescent="0.25">
      <c r="A160" s="218"/>
      <c r="B160" s="219"/>
      <c r="C160" s="166"/>
      <c r="D160" s="166"/>
      <c r="N160" s="163"/>
    </row>
    <row r="161" spans="1:14" s="110" customFormat="1" x14ac:dyDescent="0.25">
      <c r="A161" s="218"/>
      <c r="B161" s="219"/>
      <c r="C161" s="166"/>
      <c r="D161" s="166"/>
      <c r="N161" s="163"/>
    </row>
    <row r="162" spans="1:14" s="110" customFormat="1" x14ac:dyDescent="0.25">
      <c r="A162" s="218"/>
      <c r="B162" s="219"/>
      <c r="C162" s="166"/>
      <c r="D162" s="166"/>
      <c r="N162" s="163"/>
    </row>
    <row r="163" spans="1:14" s="110" customFormat="1" x14ac:dyDescent="0.25">
      <c r="A163" s="218"/>
      <c r="B163" s="219"/>
      <c r="C163" s="166"/>
      <c r="D163" s="166"/>
      <c r="N163" s="163"/>
    </row>
    <row r="164" spans="1:14" s="110" customFormat="1" x14ac:dyDescent="0.25">
      <c r="A164" s="218"/>
      <c r="B164" s="219"/>
      <c r="C164" s="166"/>
      <c r="D164" s="166"/>
      <c r="N164" s="163"/>
    </row>
    <row r="165" spans="1:14" s="110" customFormat="1" x14ac:dyDescent="0.25">
      <c r="A165" s="218"/>
      <c r="B165" s="219"/>
      <c r="C165" s="166"/>
      <c r="D165" s="166"/>
      <c r="N165" s="163"/>
    </row>
    <row r="166" spans="1:14" s="110" customFormat="1" x14ac:dyDescent="0.25">
      <c r="A166" s="218"/>
      <c r="B166" s="219"/>
      <c r="C166" s="166"/>
      <c r="D166" s="166"/>
      <c r="N166" s="163"/>
    </row>
    <row r="167" spans="1:14" s="110" customFormat="1" x14ac:dyDescent="0.25">
      <c r="A167" s="218"/>
      <c r="B167" s="219"/>
      <c r="C167" s="166"/>
      <c r="D167" s="166"/>
      <c r="N167" s="163"/>
    </row>
    <row r="168" spans="1:14" s="110" customFormat="1" x14ac:dyDescent="0.25">
      <c r="A168" s="218"/>
      <c r="B168" s="219"/>
      <c r="C168" s="166"/>
      <c r="D168" s="166"/>
      <c r="N168" s="163"/>
    </row>
    <row r="169" spans="1:14" s="110" customFormat="1" x14ac:dyDescent="0.25">
      <c r="A169" s="218"/>
      <c r="B169" s="219"/>
      <c r="C169" s="166"/>
      <c r="D169" s="166"/>
      <c r="N169" s="163"/>
    </row>
    <row r="170" spans="1:14" s="110" customFormat="1" x14ac:dyDescent="0.25">
      <c r="A170" s="218"/>
      <c r="B170" s="219"/>
      <c r="C170" s="166"/>
      <c r="D170" s="166"/>
      <c r="N170" s="163"/>
    </row>
    <row r="171" spans="1:14" s="110" customFormat="1" x14ac:dyDescent="0.25">
      <c r="A171" s="218"/>
      <c r="B171" s="219"/>
      <c r="C171" s="166"/>
      <c r="D171" s="166"/>
      <c r="N171" s="163"/>
    </row>
    <row r="172" spans="1:14" s="110" customFormat="1" x14ac:dyDescent="0.25">
      <c r="A172" s="218"/>
      <c r="B172" s="219"/>
      <c r="C172" s="166"/>
      <c r="D172" s="166"/>
      <c r="N172" s="163"/>
    </row>
    <row r="173" spans="1:14" s="110" customFormat="1" x14ac:dyDescent="0.25">
      <c r="A173" s="218"/>
      <c r="B173" s="219"/>
      <c r="C173" s="166"/>
      <c r="D173" s="166"/>
      <c r="N173" s="163"/>
    </row>
    <row r="174" spans="1:14" s="110" customFormat="1" x14ac:dyDescent="0.25">
      <c r="A174" s="218"/>
      <c r="B174" s="219"/>
      <c r="C174" s="166"/>
      <c r="D174" s="166"/>
      <c r="N174" s="163"/>
    </row>
    <row r="175" spans="1:14" s="110" customFormat="1" x14ac:dyDescent="0.25">
      <c r="A175" s="218"/>
      <c r="B175" s="219"/>
      <c r="C175" s="166"/>
      <c r="D175" s="166"/>
      <c r="N175" s="163"/>
    </row>
    <row r="176" spans="1:14" s="110" customFormat="1" x14ac:dyDescent="0.25">
      <c r="A176" s="218"/>
      <c r="B176" s="219"/>
      <c r="C176" s="166"/>
      <c r="D176" s="166"/>
      <c r="N176" s="163"/>
    </row>
    <row r="177" spans="1:14" s="110" customFormat="1" x14ac:dyDescent="0.25">
      <c r="A177" s="218"/>
      <c r="B177" s="219"/>
      <c r="C177" s="166"/>
      <c r="D177" s="166"/>
      <c r="N177" s="163"/>
    </row>
    <row r="178" spans="1:14" s="110" customFormat="1" x14ac:dyDescent="0.25">
      <c r="A178" s="218"/>
      <c r="B178" s="219"/>
      <c r="C178" s="166"/>
      <c r="D178" s="166"/>
      <c r="N178" s="163"/>
    </row>
    <row r="179" spans="1:14" s="110" customFormat="1" x14ac:dyDescent="0.25">
      <c r="A179" s="218"/>
      <c r="B179" s="219"/>
      <c r="C179" s="166"/>
      <c r="D179" s="166"/>
      <c r="N179" s="163"/>
    </row>
    <row r="180" spans="1:14" s="110" customFormat="1" x14ac:dyDescent="0.25">
      <c r="A180" s="218"/>
      <c r="B180" s="219"/>
      <c r="C180" s="166"/>
      <c r="D180" s="166"/>
      <c r="N180" s="163"/>
    </row>
    <row r="181" spans="1:14" s="110" customFormat="1" x14ac:dyDescent="0.25">
      <c r="A181" s="218"/>
      <c r="B181" s="219"/>
      <c r="C181" s="166"/>
      <c r="D181" s="166"/>
      <c r="N181" s="163"/>
    </row>
    <row r="182" spans="1:14" s="110" customFormat="1" x14ac:dyDescent="0.25">
      <c r="A182" s="218"/>
      <c r="B182" s="219"/>
      <c r="C182" s="166"/>
      <c r="D182" s="166"/>
      <c r="N182" s="163"/>
    </row>
    <row r="183" spans="1:14" s="110" customFormat="1" x14ac:dyDescent="0.25">
      <c r="A183" s="218"/>
      <c r="B183" s="219"/>
      <c r="C183" s="166"/>
      <c r="D183" s="166"/>
      <c r="N183" s="163"/>
    </row>
    <row r="184" spans="1:14" s="110" customFormat="1" x14ac:dyDescent="0.25">
      <c r="A184" s="218"/>
      <c r="B184" s="219"/>
      <c r="C184" s="166"/>
      <c r="D184" s="166"/>
      <c r="N184" s="163"/>
    </row>
    <row r="185" spans="1:14" s="110" customFormat="1" x14ac:dyDescent="0.25">
      <c r="A185" s="218"/>
      <c r="B185" s="219"/>
      <c r="C185" s="166"/>
      <c r="D185" s="166"/>
      <c r="N185" s="163"/>
    </row>
    <row r="186" spans="1:14" s="110" customFormat="1" x14ac:dyDescent="0.25">
      <c r="A186" s="218"/>
      <c r="B186" s="219"/>
      <c r="C186" s="166"/>
      <c r="D186" s="166"/>
      <c r="N186" s="163"/>
    </row>
    <row r="187" spans="1:14" s="110" customFormat="1" x14ac:dyDescent="0.25">
      <c r="A187" s="218"/>
      <c r="B187" s="219"/>
      <c r="C187" s="166"/>
      <c r="D187" s="166"/>
      <c r="N187" s="163"/>
    </row>
    <row r="188" spans="1:14" s="110" customFormat="1" x14ac:dyDescent="0.25">
      <c r="A188" s="218"/>
      <c r="B188" s="219"/>
      <c r="C188" s="166"/>
      <c r="D188" s="166"/>
      <c r="N188" s="163"/>
    </row>
    <row r="189" spans="1:14" s="110" customFormat="1" x14ac:dyDescent="0.25">
      <c r="A189" s="218"/>
      <c r="B189" s="219"/>
      <c r="C189" s="166"/>
      <c r="D189" s="166"/>
      <c r="N189" s="163"/>
    </row>
    <row r="190" spans="1:14" s="110" customFormat="1" x14ac:dyDescent="0.25">
      <c r="A190" s="218"/>
      <c r="B190" s="219"/>
      <c r="C190" s="166"/>
      <c r="D190" s="166"/>
      <c r="N190" s="163"/>
    </row>
    <row r="191" spans="1:14" s="110" customFormat="1" x14ac:dyDescent="0.25">
      <c r="A191" s="218"/>
      <c r="B191" s="219"/>
      <c r="C191" s="166"/>
      <c r="D191" s="166"/>
      <c r="N191" s="163"/>
    </row>
    <row r="192" spans="1:14" s="110" customFormat="1" x14ac:dyDescent="0.25">
      <c r="A192" s="218"/>
      <c r="B192" s="219"/>
      <c r="C192" s="166"/>
      <c r="D192" s="166"/>
      <c r="N192" s="163"/>
    </row>
    <row r="193" spans="1:14" s="110" customFormat="1" x14ac:dyDescent="0.25">
      <c r="A193" s="218"/>
      <c r="B193" s="219"/>
      <c r="C193" s="166"/>
      <c r="D193" s="166"/>
      <c r="N193" s="163"/>
    </row>
    <row r="194" spans="1:14" s="110" customFormat="1" x14ac:dyDescent="0.25">
      <c r="A194" s="218"/>
      <c r="B194" s="219"/>
      <c r="C194" s="166"/>
      <c r="D194" s="166"/>
      <c r="N194" s="163"/>
    </row>
    <row r="195" spans="1:14" s="110" customFormat="1" x14ac:dyDescent="0.25">
      <c r="A195" s="218"/>
      <c r="B195" s="219"/>
      <c r="C195" s="166"/>
      <c r="D195" s="166"/>
      <c r="N195" s="163"/>
    </row>
    <row r="196" spans="1:14" s="110" customFormat="1" x14ac:dyDescent="0.25">
      <c r="A196" s="218"/>
      <c r="B196" s="219"/>
      <c r="C196" s="166"/>
      <c r="D196" s="166"/>
      <c r="N196" s="163"/>
    </row>
    <row r="197" spans="1:14" s="110" customFormat="1" x14ac:dyDescent="0.25">
      <c r="A197" s="218"/>
      <c r="B197" s="219"/>
      <c r="C197" s="166"/>
      <c r="D197" s="166"/>
      <c r="N197" s="163"/>
    </row>
    <row r="198" spans="1:14" s="110" customFormat="1" x14ac:dyDescent="0.25">
      <c r="A198" s="218"/>
      <c r="B198" s="219"/>
      <c r="C198" s="166"/>
      <c r="D198" s="166"/>
      <c r="N198" s="163"/>
    </row>
    <row r="199" spans="1:14" s="110" customFormat="1" x14ac:dyDescent="0.25">
      <c r="A199" s="218"/>
      <c r="B199" s="219"/>
      <c r="C199" s="166"/>
      <c r="D199" s="166"/>
      <c r="N199" s="163"/>
    </row>
  </sheetData>
  <mergeCells count="2">
    <mergeCell ref="D1:D13"/>
    <mergeCell ref="N1:N1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AD50"/>
  <sheetViews>
    <sheetView zoomScale="99" zoomScaleNormal="99" workbookViewId="0">
      <selection activeCell="AH33" sqref="AH33"/>
    </sheetView>
  </sheetViews>
  <sheetFormatPr defaultColWidth="8.85546875" defaultRowHeight="15" x14ac:dyDescent="0.25"/>
  <cols>
    <col min="1" max="1" width="6.7109375" style="7" customWidth="1"/>
    <col min="2" max="2" width="6.85546875" style="3" customWidth="1"/>
    <col min="3" max="3" width="15.5703125" style="1" customWidth="1"/>
    <col min="4" max="4" width="15.5703125" style="166" customWidth="1"/>
    <col min="5" max="5" width="13.5703125" customWidth="1"/>
    <col min="7" max="9" width="8.7109375" customWidth="1"/>
    <col min="10" max="10" width="11.5703125" customWidth="1"/>
    <col min="11" max="13" width="10.140625" customWidth="1"/>
    <col min="14" max="14" width="17.85546875" style="158" customWidth="1"/>
    <col min="15" max="15" width="8.140625" bestFit="1" customWidth="1"/>
    <col min="16" max="16" width="7.5703125" bestFit="1" customWidth="1"/>
    <col min="17" max="17" width="11.42578125" customWidth="1"/>
    <col min="18" max="18" width="8.140625" bestFit="1" customWidth="1"/>
    <col min="19" max="19" width="14.140625" customWidth="1"/>
    <col min="20" max="20" width="10" bestFit="1" customWidth="1"/>
    <col min="21" max="21" width="8.140625" customWidth="1"/>
    <col min="22" max="22" width="6.42578125" bestFit="1" customWidth="1"/>
    <col min="23" max="23" width="9.42578125" customWidth="1"/>
    <col min="24" max="24" width="6.42578125" bestFit="1" customWidth="1"/>
    <col min="25" max="25" width="6.7109375" bestFit="1" customWidth="1"/>
    <col min="26" max="26" width="7.42578125" customWidth="1"/>
    <col min="27" max="27" width="6.7109375" bestFit="1" customWidth="1"/>
    <col min="28" max="28" width="8.42578125" bestFit="1" customWidth="1"/>
    <col min="29" max="29" width="6.5703125" bestFit="1" customWidth="1"/>
    <col min="30" max="30" width="6.7109375" bestFit="1" customWidth="1"/>
  </cols>
  <sheetData>
    <row r="1" spans="1:30" s="14" customFormat="1" ht="63.95" customHeight="1" x14ac:dyDescent="0.25">
      <c r="A1" s="51" t="s">
        <v>35</v>
      </c>
      <c r="B1" s="53" t="s">
        <v>38</v>
      </c>
      <c r="C1" s="51" t="s">
        <v>83</v>
      </c>
      <c r="D1" s="234" t="s">
        <v>475</v>
      </c>
      <c r="E1" s="148" t="s">
        <v>460</v>
      </c>
      <c r="F1" s="148" t="s">
        <v>458</v>
      </c>
      <c r="G1" s="149" t="s">
        <v>459</v>
      </c>
      <c r="H1" s="159" t="s">
        <v>462</v>
      </c>
      <c r="I1" s="149" t="s">
        <v>463</v>
      </c>
      <c r="J1" s="159" t="s">
        <v>464</v>
      </c>
      <c r="K1" s="149" t="s">
        <v>465</v>
      </c>
      <c r="L1" s="159" t="s">
        <v>467</v>
      </c>
      <c r="M1" s="149" t="s">
        <v>466</v>
      </c>
      <c r="N1" s="231" t="s">
        <v>476</v>
      </c>
      <c r="O1" s="156" t="str">
        <f>'BoS Data summary'!G1 &amp; ", " &amp; 'BoS Data summary'!D3 &amp; ", " &amp; 'BoS Data summary'!E3</f>
        <v>PE, Ma, Gravid females</v>
      </c>
      <c r="P1" s="155" t="str">
        <f>'BoS Data summary'!H1 &amp; ", " &amp; 'BoS Data summary'!D3 &amp; ", " &amp; 'BoS Data summary'!E3</f>
        <v>PF, Ma, Gravid females</v>
      </c>
      <c r="Q1" s="54" t="str">
        <f>'BoS Data summary'!L1  &amp; ", " &amp; 'BoS Data summary'!D3 &amp; ", " &amp; 'BoS Data summary'!E3</f>
        <v>RNA/DNA, Ma, Gravid females</v>
      </c>
      <c r="R1" s="54" t="str">
        <f>'BoS Data summary'!N1 &amp; ", " &amp; 'BoS Data summary'!D3 &amp; ", " &amp; 'BoS Data summary'!E3</f>
        <v>TBARS, Ma, Gravid females</v>
      </c>
      <c r="S1" s="54" t="str">
        <f>'BoS Data summary'!P1 &amp; ", " &amp; 'BoS Data summary'!D3 &amp; ", " &amp; 'BoS Data summary'!E3</f>
        <v>ORAC/TBARS (Redox index), Ma, Gravid females</v>
      </c>
      <c r="T1" s="54" t="str">
        <f>'BoS Data summary'!J1 &amp; ", " &amp; 'BoS Data summary'!D3 &amp; ", " &amp; 'BoS Data summary'!E3</f>
        <v>AChE, Ma, Gravid females</v>
      </c>
      <c r="U1" s="154" t="str">
        <f>'BoS Data summary'!T1 &amp; ", " &amp; 'BoS Data summary'!D22 &amp; ", " &amp; 'BoS Data summary'!E20</f>
        <v>GSI, Pefl, Females</v>
      </c>
      <c r="V1" s="154" t="str">
        <f>'BoS Data summary'!T1 &amp; ", " &amp; 'BoS Data summary'!D22 &amp; ", " &amp; 'BoS Data summary'!E21</f>
        <v>GSI, Pefl, Males</v>
      </c>
      <c r="W1" s="154" t="str">
        <f>'BoS Data summary'!V1 &amp; ", " &amp; 'BoS Data summary'!D22 &amp; ", " &amp; 'BoS Data summary'!E20</f>
        <v>LSI, Pefl, Females</v>
      </c>
      <c r="X1" s="154" t="str">
        <f>'BoS Data summary'!V1 &amp; ", " &amp; 'BoS Data summary'!D22 &amp; ", " &amp; 'BoS Data summary'!E21</f>
        <v>LSI, Pefl, Males</v>
      </c>
      <c r="Y1" s="154" t="str">
        <f>'BoS Data summary'!Z1 &amp; ", " &amp; 'BoS Data summary'!D22 &amp; ", " &amp; 'BoS Data summary'!E22</f>
        <v>GLU, Pefl, Mixed</v>
      </c>
      <c r="Z1" s="154" t="str">
        <f>'BoS Data summary'!AD1 &amp; ", " &amp; 'BoS Data summary'!D22 &amp; ", " &amp; 'BoS Data summary'!E21</f>
        <v>VTG, Pefl, Males</v>
      </c>
      <c r="AA1" s="54" t="str">
        <f>'BoS Data summary'!J1 &amp; ", " &amp; 'BoS Data summary'!D22 &amp; ", " &amp; 'BoS Data summary'!E22</f>
        <v>AChE, Pefl, Mixed</v>
      </c>
      <c r="AB1" s="147" t="str">
        <f>'BoS Data summary'!X1 &amp; ", " &amp; 'BoS Data summary'!D22 &amp; ", " &amp; 'BoS Data summary'!E20</f>
        <v>EROD, Pefl, Females</v>
      </c>
      <c r="AC1" s="147" t="str">
        <f>'BoS Data summary'!X1 &amp; ", " &amp; 'BoS Data summary'!D22 &amp; ", " &amp; 'BoS Data summary'!E21</f>
        <v>EROD, Pefl, Males</v>
      </c>
      <c r="AD1" s="147" t="str">
        <f>'BoS Data summary'!AB1 &amp; ", " &amp; 'BoS Data summary'!D22 &amp; ", " &amp; 'BoS Data summary'!E22</f>
        <v>GST, Pefl, Mixed</v>
      </c>
    </row>
    <row r="2" spans="1:30" x14ac:dyDescent="0.25">
      <c r="A2" s="55">
        <f>'BoS Data summary'!A3</f>
        <v>2018</v>
      </c>
      <c r="B2" s="103" t="str">
        <f>'BoS Data summary'!B9</f>
        <v>BS</v>
      </c>
      <c r="C2" s="55" t="str">
        <f>'BoS Data summary'!C3</f>
        <v>N 26</v>
      </c>
      <c r="D2" s="235"/>
      <c r="E2" s="56">
        <f t="shared" ref="E2:E21" si="0">IF(F2&lt;=0,"",IF(F2&lt;3,"NA",IF(G2/F2&gt;0.5,0,1)))</f>
        <v>0</v>
      </c>
      <c r="F2" s="56" cm="1">
        <f t="array" ref="F2">SUMPRODUCT(--(LEN(O2:AD2) &gt; 0))</f>
        <v>6</v>
      </c>
      <c r="G2" s="56">
        <f t="shared" ref="G2:G21" si="1">COUNTIF(O2:AD2, 0)</f>
        <v>4</v>
      </c>
      <c r="H2" s="56" cm="1">
        <f t="array" ref="H2">SUMPRODUCT(--(LEN(Q2:T2) &gt; 0))+SUMPRODUCT(--(LEN(AA2:AD2) &gt; 0))</f>
        <v>4</v>
      </c>
      <c r="I2" s="56" cm="1">
        <f t="array" ref="I2">SUMPRODUCT(--(LEN(O2:P2) &gt; 0))+SUMPRODUCT(--(LEN(U2:Z2) &gt; 0))</f>
        <v>2</v>
      </c>
      <c r="J2" s="56">
        <f>COUNTIF(Q2:T2, 0)+COUNTIF(AA2:AD2,0)</f>
        <v>2</v>
      </c>
      <c r="K2" s="56">
        <f>COUNTIF(O2:P2, 0)+COUNTIF(U2:Z2,0)</f>
        <v>2</v>
      </c>
      <c r="L2" s="56">
        <f>100*J2/H2</f>
        <v>50</v>
      </c>
      <c r="M2" s="56">
        <f>100*K2/I2</f>
        <v>100</v>
      </c>
      <c r="N2" s="232"/>
      <c r="O2" s="157" t="str">
        <f>IF(NOT(ISBLANK('BoS Data summary'!G3)), IF('BoS Data summary'!G3 &gt; TV!$G$2, "0", "1"), "")</f>
        <v>0</v>
      </c>
      <c r="P2" s="150" t="str">
        <f>IF(NOT(ISBLANK('BoS Data summary'!H3)), IF('BoS Data summary'!H3 &gt; TV!$G$5, "0", "1"), "")</f>
        <v>0</v>
      </c>
      <c r="Q2" s="150" t="str">
        <f>IF(NOT(ISBLANK('BoS Data summary'!L3)), IF('BoS Data summary'!L3 &lt; TV!$G$12, "0", "1"), "")</f>
        <v>0</v>
      </c>
      <c r="R2" s="150" t="str">
        <f>IF(NOT(ISBLANK('BoS Data summary'!N3)), IF('BoS Data summary'!N3 &gt; TV!$G$13, "0", "1"), "")</f>
        <v>1</v>
      </c>
      <c r="S2" s="150" t="str">
        <f>IF(NOT(ISBLANK('BoS Data summary'!P3)), IF('BoS Data summary'!P3 &lt; TV!$G$16, "0", "1"), "")</f>
        <v>1</v>
      </c>
      <c r="T2" s="150" t="str">
        <f>IF(NOT(ISBLANK('BoS Data summary'!J3)), IF('BoS Data summary'!J3 &lt; TV!$G$8, "0", "1"), "")</f>
        <v>0</v>
      </c>
      <c r="U2" s="152"/>
      <c r="V2" s="152"/>
      <c r="W2" s="152"/>
      <c r="X2" s="152"/>
      <c r="Y2" s="152"/>
      <c r="Z2" s="152"/>
      <c r="AA2" s="151"/>
      <c r="AB2" s="152"/>
      <c r="AC2" s="152"/>
      <c r="AD2" s="152"/>
    </row>
    <row r="3" spans="1:30" x14ac:dyDescent="0.25">
      <c r="A3" s="55">
        <f>'BoS Data summary'!A4</f>
        <v>2018</v>
      </c>
      <c r="B3" s="103" t="str">
        <f>'BoS Data summary'!B10</f>
        <v>BS</v>
      </c>
      <c r="C3" s="55" t="str">
        <f>'BoS Data summary'!C4</f>
        <v>G 10</v>
      </c>
      <c r="D3" s="235"/>
      <c r="E3" s="56" t="str">
        <f t="shared" si="0"/>
        <v>NA</v>
      </c>
      <c r="F3" s="56" cm="1">
        <f t="array" ref="F3">SUMPRODUCT(--(LEN(O3:AD3) &gt; 0))</f>
        <v>2</v>
      </c>
      <c r="G3" s="56">
        <f t="shared" si="1"/>
        <v>0</v>
      </c>
      <c r="H3" s="56" cm="1">
        <f t="array" ref="H3">SUMPRODUCT(--(LEN(Q3:T3) &gt; 0))+SUMPRODUCT(--(LEN(AA3:AD3) &gt; 0))</f>
        <v>0</v>
      </c>
      <c r="I3" s="56" cm="1">
        <f t="array" ref="I3">SUMPRODUCT(--(LEN(O3:P3) &gt; 0))+SUMPRODUCT(--(LEN(U3:Z3) &gt; 0))</f>
        <v>2</v>
      </c>
      <c r="J3" s="56">
        <f t="shared" ref="J3:J21" si="2">COUNTIF(Q3:T3, 0)+COUNTIF(AA3:AD3,0)</f>
        <v>0</v>
      </c>
      <c r="K3" s="56">
        <f t="shared" ref="K3:K21" si="3">COUNTIF(O3:P3, 0)+COUNTIF(U3:Z3,0)</f>
        <v>0</v>
      </c>
      <c r="L3" s="56"/>
      <c r="M3" s="56"/>
      <c r="N3" s="232"/>
      <c r="O3" s="157" t="str">
        <f>IF(NOT(ISBLANK('BoS Data summary'!G4)), IF('BoS Data summary'!G4 &gt; TV!$G$2, "0", "1"), "")</f>
        <v>1</v>
      </c>
      <c r="P3" s="150" t="str">
        <f>IF(NOT(ISBLANK('BoS Data summary'!H4)), IF('BoS Data summary'!H4 &gt; TV!$G$5, "0", "1"), "")</f>
        <v>1</v>
      </c>
      <c r="Q3" s="150" t="str">
        <f>IF(NOT(ISBLANK('BoS Data summary'!L4)), IF('BoS Data summary'!L4 &lt; TV!$G$12, "0", "1"), "")</f>
        <v/>
      </c>
      <c r="R3" s="150" t="str">
        <f>IF(NOT(ISBLANK('BoS Data summary'!N4)), IF('BoS Data summary'!N4 &gt; TV!$G$13, "0", "1"), "")</f>
        <v/>
      </c>
      <c r="S3" s="150" t="str">
        <f>IF(NOT(ISBLANK('BoS Data summary'!P4)), IF('BoS Data summary'!P4 &lt; TV!$G$16, "0", "1"), "")</f>
        <v/>
      </c>
      <c r="T3" s="150" t="str">
        <f>IF(NOT(ISBLANK('BoS Data summary'!J4)), IF('BoS Data summary'!J4 &lt; TV!$G$8, "0", "1"), "")</f>
        <v/>
      </c>
      <c r="U3" s="152"/>
      <c r="V3" s="152"/>
      <c r="W3" s="152"/>
      <c r="X3" s="152"/>
      <c r="Y3" s="152"/>
      <c r="Z3" s="152"/>
      <c r="AA3" s="151"/>
      <c r="AB3" s="152"/>
      <c r="AC3" s="152"/>
      <c r="AD3" s="152"/>
    </row>
    <row r="4" spans="1:30" x14ac:dyDescent="0.25">
      <c r="A4" s="55">
        <f>'BoS Data summary'!A5</f>
        <v>2018</v>
      </c>
      <c r="B4" s="103" t="str">
        <f>'BoS Data summary'!B11</f>
        <v>BS</v>
      </c>
      <c r="C4" s="55" t="str">
        <f>'BoS Data summary'!C5</f>
        <v>G 11</v>
      </c>
      <c r="D4" s="235"/>
      <c r="E4" s="56" t="str">
        <f t="shared" si="0"/>
        <v>NA</v>
      </c>
      <c r="F4" s="56" cm="1">
        <f t="array" ref="F4">SUMPRODUCT(--(LEN(O4:AD4) &gt; 0))</f>
        <v>2</v>
      </c>
      <c r="G4" s="56">
        <f t="shared" si="1"/>
        <v>0</v>
      </c>
      <c r="H4" s="56" cm="1">
        <f t="array" ref="H4">SUMPRODUCT(--(LEN(Q4:T4) &gt; 0))+SUMPRODUCT(--(LEN(AA4:AD4) &gt; 0))</f>
        <v>0</v>
      </c>
      <c r="I4" s="56" cm="1">
        <f t="array" ref="I4">SUMPRODUCT(--(LEN(O4:P4) &gt; 0))+SUMPRODUCT(--(LEN(U4:Z4) &gt; 0))</f>
        <v>2</v>
      </c>
      <c r="J4" s="56">
        <f t="shared" si="2"/>
        <v>0</v>
      </c>
      <c r="K4" s="56">
        <f t="shared" si="3"/>
        <v>0</v>
      </c>
      <c r="L4" s="56"/>
      <c r="M4" s="56"/>
      <c r="N4" s="232"/>
      <c r="O4" s="157" t="str">
        <f>IF(NOT(ISBLANK('BoS Data summary'!G5)), IF('BoS Data summary'!G5 &gt; TV!$G$2, "0", "1"), "")</f>
        <v>1</v>
      </c>
      <c r="P4" s="150" t="str">
        <f>IF(NOT(ISBLANK('BoS Data summary'!H5)), IF('BoS Data summary'!H5 &gt; TV!$G$5, "0", "1"), "")</f>
        <v>1</v>
      </c>
      <c r="Q4" s="150" t="str">
        <f>IF(NOT(ISBLANK('BoS Data summary'!L5)), IF('BoS Data summary'!L5 &lt; TV!$G$12, "0", "1"), "")</f>
        <v/>
      </c>
      <c r="R4" s="150" t="str">
        <f>IF(NOT(ISBLANK('BoS Data summary'!N5)), IF('BoS Data summary'!N5 &gt; TV!$G$13, "0", "1"), "")</f>
        <v/>
      </c>
      <c r="S4" s="150" t="str">
        <f>IF(NOT(ISBLANK('BoS Data summary'!P5)), IF('BoS Data summary'!P5 &lt; TV!$G$16, "0", "1"), "")</f>
        <v/>
      </c>
      <c r="T4" s="150" t="str">
        <f>IF(NOT(ISBLANK('BoS Data summary'!J5)), IF('BoS Data summary'!J5 &lt; TV!$G$8, "0", "1"), "")</f>
        <v/>
      </c>
      <c r="U4" s="152"/>
      <c r="V4" s="152"/>
      <c r="W4" s="152"/>
      <c r="X4" s="152"/>
      <c r="Y4" s="152"/>
      <c r="Z4" s="152"/>
      <c r="AA4" s="151"/>
      <c r="AB4" s="152"/>
      <c r="AC4" s="152"/>
      <c r="AD4" s="152"/>
    </row>
    <row r="5" spans="1:30" x14ac:dyDescent="0.25">
      <c r="A5" s="55">
        <f>'BoS Data summary'!A6</f>
        <v>2018</v>
      </c>
      <c r="B5" s="103" t="str">
        <f>'BoS Data summary'!B12</f>
        <v>BS</v>
      </c>
      <c r="C5" s="55" t="str">
        <f>'BoS Data summary'!C6</f>
        <v>N 4-1</v>
      </c>
      <c r="D5" s="235"/>
      <c r="E5" s="56" t="str">
        <f t="shared" si="0"/>
        <v>NA</v>
      </c>
      <c r="F5" s="56" cm="1">
        <f t="array" ref="F5">SUMPRODUCT(--(LEN(O5:AD5) &gt; 0))</f>
        <v>2</v>
      </c>
      <c r="G5" s="56">
        <f t="shared" si="1"/>
        <v>0</v>
      </c>
      <c r="H5" s="56" cm="1">
        <f t="array" ref="H5">SUMPRODUCT(--(LEN(Q5:T5) &gt; 0))+SUMPRODUCT(--(LEN(AA5:AD5) &gt; 0))</f>
        <v>0</v>
      </c>
      <c r="I5" s="56" cm="1">
        <f t="array" ref="I5">SUMPRODUCT(--(LEN(O5:P5) &gt; 0))+SUMPRODUCT(--(LEN(U5:Z5) &gt; 0))</f>
        <v>2</v>
      </c>
      <c r="J5" s="56">
        <f t="shared" si="2"/>
        <v>0</v>
      </c>
      <c r="K5" s="56">
        <f t="shared" si="3"/>
        <v>0</v>
      </c>
      <c r="L5" s="56"/>
      <c r="M5" s="56"/>
      <c r="N5" s="232"/>
      <c r="O5" s="157" t="str">
        <f>IF(NOT(ISBLANK('BoS Data summary'!G6)), IF('BoS Data summary'!G6 &gt; TV!$G$2, "0", "1"), "")</f>
        <v>1</v>
      </c>
      <c r="P5" s="150" t="str">
        <f>IF(NOT(ISBLANK('BoS Data summary'!H6)), IF('BoS Data summary'!H6 &gt; TV!$G$5, "0", "1"), "")</f>
        <v>1</v>
      </c>
      <c r="Q5" s="150" t="str">
        <f>IF(NOT(ISBLANK('BoS Data summary'!L6)), IF('BoS Data summary'!L6 &lt; TV!$G$12, "0", "1"), "")</f>
        <v/>
      </c>
      <c r="R5" s="150" t="str">
        <f>IF(NOT(ISBLANK('BoS Data summary'!N6)), IF('BoS Data summary'!N6 &gt; TV!$G$13, "0", "1"), "")</f>
        <v/>
      </c>
      <c r="S5" s="150" t="str">
        <f>IF(NOT(ISBLANK('BoS Data summary'!P6)), IF('BoS Data summary'!P6 &lt; TV!$G$16, "0", "1"), "")</f>
        <v/>
      </c>
      <c r="T5" s="150" t="str">
        <f>IF(NOT(ISBLANK('BoS Data summary'!J6)), IF('BoS Data summary'!J6 &lt; TV!$G$8, "0", "1"), "")</f>
        <v/>
      </c>
      <c r="U5" s="152"/>
      <c r="V5" s="152"/>
      <c r="W5" s="152"/>
      <c r="X5" s="152"/>
      <c r="Y5" s="152"/>
      <c r="Z5" s="152"/>
      <c r="AA5" s="151"/>
      <c r="AB5" s="152"/>
      <c r="AC5" s="152"/>
      <c r="AD5" s="152"/>
    </row>
    <row r="6" spans="1:30" x14ac:dyDescent="0.25">
      <c r="A6" s="55">
        <f>'BoS Data summary'!A7</f>
        <v>2018</v>
      </c>
      <c r="B6" s="103" t="str">
        <f>'BoS Data summary'!B13</f>
        <v>BS</v>
      </c>
      <c r="C6" s="55" t="str">
        <f>'BoS Data summary'!C7</f>
        <v>N 4-3</v>
      </c>
      <c r="D6" s="235"/>
      <c r="E6" s="56" t="str">
        <f t="shared" si="0"/>
        <v>NA</v>
      </c>
      <c r="F6" s="56" cm="1">
        <f t="array" ref="F6">SUMPRODUCT(--(LEN(O6:AD6) &gt; 0))</f>
        <v>2</v>
      </c>
      <c r="G6" s="56">
        <f t="shared" si="1"/>
        <v>0</v>
      </c>
      <c r="H6" s="56" cm="1">
        <f t="array" ref="H6">SUMPRODUCT(--(LEN(Q6:T6) &gt; 0))+SUMPRODUCT(--(LEN(AA6:AD6) &gt; 0))</f>
        <v>0</v>
      </c>
      <c r="I6" s="56" cm="1">
        <f t="array" ref="I6">SUMPRODUCT(--(LEN(O6:P6) &gt; 0))+SUMPRODUCT(--(LEN(U6:Z6) &gt; 0))</f>
        <v>2</v>
      </c>
      <c r="J6" s="56">
        <f t="shared" si="2"/>
        <v>0</v>
      </c>
      <c r="K6" s="56">
        <f t="shared" si="3"/>
        <v>0</v>
      </c>
      <c r="L6" s="56"/>
      <c r="M6" s="56"/>
      <c r="N6" s="232"/>
      <c r="O6" s="157" t="str">
        <f>IF(NOT(ISBLANK('BoS Data summary'!G7)), IF('BoS Data summary'!G7 &gt; TV!$G$2, "0", "1"), "")</f>
        <v>1</v>
      </c>
      <c r="P6" s="150" t="str">
        <f>IF(NOT(ISBLANK('BoS Data summary'!H7)), IF('BoS Data summary'!H7 &gt; TV!$G$5, "0", "1"), "")</f>
        <v>1</v>
      </c>
      <c r="Q6" s="150" t="str">
        <f>IF(NOT(ISBLANK('BoS Data summary'!L7)), IF('BoS Data summary'!L7 &lt; TV!$G$12, "0", "1"), "")</f>
        <v/>
      </c>
      <c r="R6" s="150" t="str">
        <f>IF(NOT(ISBLANK('BoS Data summary'!N7)), IF('BoS Data summary'!N7 &gt; TV!$G$13, "0", "1"), "")</f>
        <v/>
      </c>
      <c r="S6" s="150" t="str">
        <f>IF(NOT(ISBLANK('BoS Data summary'!P7)), IF('BoS Data summary'!P7 &lt; TV!$G$16, "0", "1"), "")</f>
        <v/>
      </c>
      <c r="T6" s="150" t="str">
        <f>IF(NOT(ISBLANK('BoS Data summary'!J7)), IF('BoS Data summary'!J7 &lt; TV!$G$8, "0", "1"), "")</f>
        <v/>
      </c>
      <c r="U6" s="152"/>
      <c r="V6" s="152"/>
      <c r="W6" s="152"/>
      <c r="X6" s="152"/>
      <c r="Y6" s="152"/>
      <c r="Z6" s="152"/>
      <c r="AA6" s="151"/>
      <c r="AB6" s="152"/>
      <c r="AC6" s="152"/>
      <c r="AD6" s="152"/>
    </row>
    <row r="7" spans="1:30" x14ac:dyDescent="0.25">
      <c r="A7" s="55">
        <f>'BoS Data summary'!A8</f>
        <v>2018</v>
      </c>
      <c r="B7" s="103" t="str">
        <f>'BoS Data summary'!B14</f>
        <v>BS</v>
      </c>
      <c r="C7" s="55" t="str">
        <f>'BoS Data summary'!C8</f>
        <v>Åv 1</v>
      </c>
      <c r="D7" s="235"/>
      <c r="E7" s="56" t="str">
        <f t="shared" si="0"/>
        <v>NA</v>
      </c>
      <c r="F7" s="56" cm="1">
        <f t="array" ref="F7">SUMPRODUCT(--(LEN(O7:AD7) &gt; 0))</f>
        <v>2</v>
      </c>
      <c r="G7" s="56">
        <f t="shared" si="1"/>
        <v>1</v>
      </c>
      <c r="H7" s="56" cm="1">
        <f t="array" ref="H7">SUMPRODUCT(--(LEN(Q7:T7) &gt; 0))+SUMPRODUCT(--(LEN(AA7:AD7) &gt; 0))</f>
        <v>0</v>
      </c>
      <c r="I7" s="56" cm="1">
        <f t="array" ref="I7">SUMPRODUCT(--(LEN(O7:P7) &gt; 0))+SUMPRODUCT(--(LEN(U7:Z7) &gt; 0))</f>
        <v>2</v>
      </c>
      <c r="J7" s="56">
        <f t="shared" si="2"/>
        <v>0</v>
      </c>
      <c r="K7" s="56">
        <f t="shared" si="3"/>
        <v>1</v>
      </c>
      <c r="L7" s="56"/>
      <c r="M7" s="56"/>
      <c r="N7" s="232"/>
      <c r="O7" s="157" t="str">
        <f>IF(NOT(ISBLANK('BoS Data summary'!G8)), IF('BoS Data summary'!G8 &gt; TV!$G$2, "0", "1"), "")</f>
        <v>1</v>
      </c>
      <c r="P7" s="150" t="str">
        <f>IF(NOT(ISBLANK('BoS Data summary'!H8)), IF('BoS Data summary'!H8 &gt; TV!$G$5, "0", "1"), "")</f>
        <v>0</v>
      </c>
      <c r="Q7" s="150" t="str">
        <f>IF(NOT(ISBLANK('BoS Data summary'!L8)), IF('BoS Data summary'!L8 &lt; TV!$G$12, "0", "1"), "")</f>
        <v/>
      </c>
      <c r="R7" s="150" t="str">
        <f>IF(NOT(ISBLANK('BoS Data summary'!N8)), IF('BoS Data summary'!N8 &gt; TV!$G$13, "0", "1"), "")</f>
        <v/>
      </c>
      <c r="S7" s="150" t="str">
        <f>IF(NOT(ISBLANK('BoS Data summary'!P8)), IF('BoS Data summary'!P8 &lt; TV!$G$16, "0", "1"), "")</f>
        <v/>
      </c>
      <c r="T7" s="150" t="str">
        <f>IF(NOT(ISBLANK('BoS Data summary'!J8)), IF('BoS Data summary'!J8 &lt; TV!$G$8, "0", "1"), "")</f>
        <v/>
      </c>
      <c r="U7" s="152"/>
      <c r="V7" s="152"/>
      <c r="W7" s="152"/>
      <c r="X7" s="152"/>
      <c r="Y7" s="152"/>
      <c r="Z7" s="152"/>
      <c r="AA7" s="151"/>
      <c r="AB7" s="152"/>
      <c r="AC7" s="152"/>
      <c r="AD7" s="152"/>
    </row>
    <row r="8" spans="1:30" x14ac:dyDescent="0.25">
      <c r="A8" s="55">
        <f>'BoS Data summary'!A9</f>
        <v>2018</v>
      </c>
      <c r="B8" s="103" t="str">
        <f>'BoS Data summary'!B15</f>
        <v>BS</v>
      </c>
      <c r="C8" s="55" t="str">
        <f>'BoS Data summary'!C9</f>
        <v>Åv 2</v>
      </c>
      <c r="D8" s="235"/>
      <c r="E8" s="56" t="str">
        <f t="shared" si="0"/>
        <v>NA</v>
      </c>
      <c r="F8" s="56" cm="1">
        <f t="array" ref="F8">SUMPRODUCT(--(LEN(O8:AD8) &gt; 0))</f>
        <v>2</v>
      </c>
      <c r="G8" s="56">
        <f t="shared" si="1"/>
        <v>2</v>
      </c>
      <c r="H8" s="56" cm="1">
        <f t="array" ref="H8">SUMPRODUCT(--(LEN(Q8:T8) &gt; 0))+SUMPRODUCT(--(LEN(AA8:AD8) &gt; 0))</f>
        <v>0</v>
      </c>
      <c r="I8" s="56" cm="1">
        <f t="array" ref="I8">SUMPRODUCT(--(LEN(O8:P8) &gt; 0))+SUMPRODUCT(--(LEN(U8:Z8) &gt; 0))</f>
        <v>2</v>
      </c>
      <c r="J8" s="56">
        <f t="shared" si="2"/>
        <v>0</v>
      </c>
      <c r="K8" s="56">
        <f t="shared" si="3"/>
        <v>2</v>
      </c>
      <c r="L8" s="56"/>
      <c r="M8" s="56"/>
      <c r="N8" s="232"/>
      <c r="O8" s="157" t="str">
        <f>IF(NOT(ISBLANK('BoS Data summary'!G9)), IF('BoS Data summary'!G9 &gt; TV!$G$2, "0", "1"), "")</f>
        <v>0</v>
      </c>
      <c r="P8" s="150" t="str">
        <f>IF(NOT(ISBLANK('BoS Data summary'!H9)), IF('BoS Data summary'!H9 &gt; TV!$G$5, "0", "1"), "")</f>
        <v>0</v>
      </c>
      <c r="Q8" s="150" t="str">
        <f>IF(NOT(ISBLANK('BoS Data summary'!L9)), IF('BoS Data summary'!L9 &lt; TV!$G$12, "0", "1"), "")</f>
        <v/>
      </c>
      <c r="R8" s="150" t="str">
        <f>IF(NOT(ISBLANK('BoS Data summary'!N9)), IF('BoS Data summary'!N9 &gt; TV!$G$13, "0", "1"), "")</f>
        <v/>
      </c>
      <c r="S8" s="150" t="str">
        <f>IF(NOT(ISBLANK('BoS Data summary'!P9)), IF('BoS Data summary'!P9 &lt; TV!$G$16, "0", "1"), "")</f>
        <v/>
      </c>
      <c r="T8" s="150" t="str">
        <f>IF(NOT(ISBLANK('BoS Data summary'!J9)), IF('BoS Data summary'!J9 &lt; TV!$G$8, "0", "1"), "")</f>
        <v/>
      </c>
      <c r="U8" s="152"/>
      <c r="V8" s="152"/>
      <c r="W8" s="152"/>
      <c r="X8" s="152"/>
      <c r="Y8" s="152"/>
      <c r="Z8" s="152"/>
      <c r="AA8" s="151"/>
      <c r="AB8" s="152"/>
      <c r="AC8" s="152"/>
      <c r="AD8" s="152"/>
    </row>
    <row r="9" spans="1:30" x14ac:dyDescent="0.25">
      <c r="A9" s="55">
        <f>'BoS Data summary'!A10</f>
        <v>2018</v>
      </c>
      <c r="B9" s="103" t="str">
        <f>'BoS Data summary'!B16</f>
        <v>BS</v>
      </c>
      <c r="C9" s="55" t="str">
        <f>'BoS Data summary'!C10</f>
        <v>Su 4</v>
      </c>
      <c r="D9" s="235"/>
      <c r="E9" s="56" t="str">
        <f t="shared" si="0"/>
        <v>NA</v>
      </c>
      <c r="F9" s="56" cm="1">
        <f t="array" ref="F9">SUMPRODUCT(--(LEN(O9:AD9) &gt; 0))</f>
        <v>2</v>
      </c>
      <c r="G9" s="56">
        <f t="shared" si="1"/>
        <v>2</v>
      </c>
      <c r="H9" s="56" cm="1">
        <f t="array" ref="H9">SUMPRODUCT(--(LEN(Q9:T9) &gt; 0))+SUMPRODUCT(--(LEN(AA9:AD9) &gt; 0))</f>
        <v>0</v>
      </c>
      <c r="I9" s="56" cm="1">
        <f t="array" ref="I9">SUMPRODUCT(--(LEN(O9:P9) &gt; 0))+SUMPRODUCT(--(LEN(U9:Z9) &gt; 0))</f>
        <v>2</v>
      </c>
      <c r="J9" s="56">
        <f t="shared" si="2"/>
        <v>0</v>
      </c>
      <c r="K9" s="56">
        <f t="shared" si="3"/>
        <v>2</v>
      </c>
      <c r="L9" s="56"/>
      <c r="M9" s="56"/>
      <c r="N9" s="232"/>
      <c r="O9" s="157" t="str">
        <f>IF(NOT(ISBLANK('BoS Data summary'!G10)), IF('BoS Data summary'!G10 &gt; TV!$G$2, "0", "1"), "")</f>
        <v>0</v>
      </c>
      <c r="P9" s="150" t="str">
        <f>IF(NOT(ISBLANK('BoS Data summary'!H10)), IF('BoS Data summary'!H10 &gt; TV!$G$5, "0", "1"), "")</f>
        <v>0</v>
      </c>
      <c r="Q9" s="150" t="str">
        <f>IF(NOT(ISBLANK('BoS Data summary'!L10)), IF('BoS Data summary'!L10 &lt; TV!$G$12, "0", "1"), "")</f>
        <v/>
      </c>
      <c r="R9" s="150" t="str">
        <f>IF(NOT(ISBLANK('BoS Data summary'!N10)), IF('BoS Data summary'!N10 &gt; TV!$G$13, "0", "1"), "")</f>
        <v/>
      </c>
      <c r="S9" s="150" t="str">
        <f>IF(NOT(ISBLANK('BoS Data summary'!P10)), IF('BoS Data summary'!P10 &lt; TV!$G$16, "0", "1"), "")</f>
        <v/>
      </c>
      <c r="T9" s="150" t="str">
        <f>IF(NOT(ISBLANK('BoS Data summary'!J10)), IF('BoS Data summary'!J10 &lt; TV!$G$8, "0", "1"), "")</f>
        <v/>
      </c>
      <c r="U9" s="152"/>
      <c r="V9" s="152"/>
      <c r="W9" s="152"/>
      <c r="X9" s="152"/>
      <c r="Y9" s="152"/>
      <c r="Z9" s="152"/>
      <c r="AA9" s="151"/>
      <c r="AB9" s="152"/>
      <c r="AC9" s="152"/>
      <c r="AD9" s="152"/>
    </row>
    <row r="10" spans="1:30" x14ac:dyDescent="0.25">
      <c r="A10" s="55">
        <f>'BoS Data summary'!A11</f>
        <v>2018</v>
      </c>
      <c r="B10" s="103" t="str">
        <f>'BoS Data summary'!B19</f>
        <v>BS</v>
      </c>
      <c r="C10" s="55" t="str">
        <f>'BoS Data summary'!C11</f>
        <v>Su 5</v>
      </c>
      <c r="D10" s="235"/>
      <c r="E10" s="56" t="str">
        <f t="shared" si="0"/>
        <v>NA</v>
      </c>
      <c r="F10" s="56" cm="1">
        <f t="array" ref="F10">SUMPRODUCT(--(LEN(O10:AD10) &gt; 0))</f>
        <v>2</v>
      </c>
      <c r="G10" s="56">
        <f t="shared" si="1"/>
        <v>2</v>
      </c>
      <c r="H10" s="56" cm="1">
        <f t="array" ref="H10">SUMPRODUCT(--(LEN(Q10:T10) &gt; 0))+SUMPRODUCT(--(LEN(AA10:AD10) &gt; 0))</f>
        <v>0</v>
      </c>
      <c r="I10" s="56" cm="1">
        <f t="array" ref="I10">SUMPRODUCT(--(LEN(O10:P10) &gt; 0))+SUMPRODUCT(--(LEN(U10:Z10) &gt; 0))</f>
        <v>2</v>
      </c>
      <c r="J10" s="56">
        <f t="shared" si="2"/>
        <v>0</v>
      </c>
      <c r="K10" s="56">
        <f t="shared" si="3"/>
        <v>2</v>
      </c>
      <c r="L10" s="56"/>
      <c r="M10" s="56"/>
      <c r="N10" s="232"/>
      <c r="O10" s="157" t="str">
        <f>IF(NOT(ISBLANK('BoS Data summary'!G11)), IF('BoS Data summary'!G11 &gt; TV!$G$2, "0", "1"), "")</f>
        <v>0</v>
      </c>
      <c r="P10" s="150" t="str">
        <f>IF(NOT(ISBLANK('BoS Data summary'!H11)), IF('BoS Data summary'!H11 &gt; TV!$G$5, "0", "1"), "")</f>
        <v>0</v>
      </c>
      <c r="Q10" s="150" t="str">
        <f>IF(NOT(ISBLANK('BoS Data summary'!L11)), IF('BoS Data summary'!L11 &lt; TV!$G$12, "0", "1"), "")</f>
        <v/>
      </c>
      <c r="R10" s="150" t="str">
        <f>IF(NOT(ISBLANK('BoS Data summary'!N11)), IF('BoS Data summary'!N11 &gt; TV!$G$13, "0", "1"), "")</f>
        <v/>
      </c>
      <c r="S10" s="150" t="str">
        <f>IF(NOT(ISBLANK('BoS Data summary'!P11)), IF('BoS Data summary'!P11 &lt; TV!$G$16, "0", "1"), "")</f>
        <v/>
      </c>
      <c r="T10" s="150" t="str">
        <f>IF(NOT(ISBLANK('BoS Data summary'!J11)), IF('BoS Data summary'!J11 &lt; TV!$G$8, "0", "1"), "")</f>
        <v/>
      </c>
      <c r="U10" s="152"/>
      <c r="V10" s="152"/>
      <c r="W10" s="152"/>
      <c r="X10" s="152"/>
      <c r="Y10" s="152"/>
      <c r="Z10" s="152"/>
      <c r="AA10" s="151"/>
      <c r="AB10" s="152"/>
      <c r="AC10" s="152"/>
      <c r="AD10" s="152"/>
    </row>
    <row r="11" spans="1:30" x14ac:dyDescent="0.25">
      <c r="A11" s="55">
        <f>'BoS Data summary'!A12</f>
        <v>2018</v>
      </c>
      <c r="B11" s="103" t="str">
        <f>'BoS Data summary'!B17</f>
        <v>BS</v>
      </c>
      <c r="C11" s="55" t="str">
        <f>'BoS Data summary'!C12</f>
        <v>R 2-4</v>
      </c>
      <c r="D11" s="235"/>
      <c r="E11" s="56" t="str">
        <f t="shared" si="0"/>
        <v>NA</v>
      </c>
      <c r="F11" s="56" cm="1">
        <f t="array" ref="F11">SUMPRODUCT(--(LEN(O11:AD11) &gt; 0))</f>
        <v>2</v>
      </c>
      <c r="G11" s="56">
        <f t="shared" si="1"/>
        <v>0</v>
      </c>
      <c r="H11" s="56" cm="1">
        <f t="array" ref="H11">SUMPRODUCT(--(LEN(Q11:T11) &gt; 0))+SUMPRODUCT(--(LEN(AA11:AD11) &gt; 0))</f>
        <v>0</v>
      </c>
      <c r="I11" s="56" cm="1">
        <f t="array" ref="I11">SUMPRODUCT(--(LEN(O11:P11) &gt; 0))+SUMPRODUCT(--(LEN(U11:Z11) &gt; 0))</f>
        <v>2</v>
      </c>
      <c r="J11" s="56">
        <f t="shared" si="2"/>
        <v>0</v>
      </c>
      <c r="K11" s="56">
        <f t="shared" si="3"/>
        <v>0</v>
      </c>
      <c r="L11" s="56"/>
      <c r="M11" s="56"/>
      <c r="N11" s="232"/>
      <c r="O11" s="157" t="str">
        <f>IF(NOT(ISBLANK('BoS Data summary'!G12)), IF('BoS Data summary'!G12 &gt; TV!$G$2, "0", "1"), "")</f>
        <v>1</v>
      </c>
      <c r="P11" s="150" t="str">
        <f>IF(NOT(ISBLANK('BoS Data summary'!H12)), IF('BoS Data summary'!H12 &gt; TV!$G$5, "0", "1"), "")</f>
        <v>1</v>
      </c>
      <c r="Q11" s="150" t="str">
        <f>IF(NOT(ISBLANK('BoS Data summary'!L12)), IF('BoS Data summary'!L12 &lt; TV!$G$12, "0", "1"), "")</f>
        <v/>
      </c>
      <c r="R11" s="150" t="str">
        <f>IF(NOT(ISBLANK('BoS Data summary'!N12)), IF('BoS Data summary'!N12 &gt; TV!$G$13, "0", "1"), "")</f>
        <v/>
      </c>
      <c r="S11" s="150" t="str">
        <f>IF(NOT(ISBLANK('BoS Data summary'!P12)), IF('BoS Data summary'!P12 &lt; TV!$G$16, "0", "1"), "")</f>
        <v/>
      </c>
      <c r="T11" s="150" t="str">
        <f>IF(NOT(ISBLANK('BoS Data summary'!J12)), IF('BoS Data summary'!J12 &lt; TV!$G$8, "0", "1"), "")</f>
        <v/>
      </c>
      <c r="U11" s="152"/>
      <c r="V11" s="152"/>
      <c r="W11" s="152"/>
      <c r="X11" s="152"/>
      <c r="Y11" s="152"/>
      <c r="Z11" s="152"/>
      <c r="AA11" s="151"/>
      <c r="AB11" s="152"/>
      <c r="AC11" s="152"/>
      <c r="AD11" s="152"/>
    </row>
    <row r="12" spans="1:30" x14ac:dyDescent="0.25">
      <c r="A12" s="55">
        <f>'BoS Data summary'!A13</f>
        <v>2018</v>
      </c>
      <c r="B12" s="103" t="str">
        <f>'BoS Data summary'!B18</f>
        <v>BS</v>
      </c>
      <c r="C12" s="55" t="str">
        <f>'BoS Data summary'!C13</f>
        <v>R 2-13</v>
      </c>
      <c r="D12" s="235"/>
      <c r="E12" s="56" t="str">
        <f t="shared" si="0"/>
        <v>NA</v>
      </c>
      <c r="F12" s="56" cm="1">
        <f t="array" ref="F12">SUMPRODUCT(--(LEN(O12:AD12) &gt; 0))</f>
        <v>2</v>
      </c>
      <c r="G12" s="56">
        <f t="shared" si="1"/>
        <v>1</v>
      </c>
      <c r="H12" s="56" cm="1">
        <f t="array" ref="H12">SUMPRODUCT(--(LEN(Q12:T12) &gt; 0))+SUMPRODUCT(--(LEN(AA12:AD12) &gt; 0))</f>
        <v>0</v>
      </c>
      <c r="I12" s="56" cm="1">
        <f t="array" ref="I12">SUMPRODUCT(--(LEN(O12:P12) &gt; 0))+SUMPRODUCT(--(LEN(U12:Z12) &gt; 0))</f>
        <v>2</v>
      </c>
      <c r="J12" s="56">
        <f t="shared" si="2"/>
        <v>0</v>
      </c>
      <c r="K12" s="56">
        <f t="shared" si="3"/>
        <v>1</v>
      </c>
      <c r="L12" s="56"/>
      <c r="M12" s="56"/>
      <c r="N12" s="232"/>
      <c r="O12" s="157" t="str">
        <f>IF(NOT(ISBLANK('BoS Data summary'!G13)), IF('BoS Data summary'!G13 &gt; TV!$G$2, "0", "1"), "")</f>
        <v>1</v>
      </c>
      <c r="P12" s="150" t="str">
        <f>IF(NOT(ISBLANK('BoS Data summary'!H13)), IF('BoS Data summary'!H13 &gt; TV!$G$5, "0", "1"), "")</f>
        <v>0</v>
      </c>
      <c r="Q12" s="150" t="str">
        <f>IF(NOT(ISBLANK('BoS Data summary'!L13)), IF('BoS Data summary'!L13 &lt; TV!$G$12, "0", "1"), "")</f>
        <v/>
      </c>
      <c r="R12" s="150" t="str">
        <f>IF(NOT(ISBLANK('BoS Data summary'!N13)), IF('BoS Data summary'!N13 &gt; TV!$G$13, "0", "1"), "")</f>
        <v/>
      </c>
      <c r="S12" s="150" t="str">
        <f>IF(NOT(ISBLANK('BoS Data summary'!P13)), IF('BoS Data summary'!P13 &lt; TV!$G$16, "0", "1"), "")</f>
        <v/>
      </c>
      <c r="T12" s="150" t="str">
        <f>IF(NOT(ISBLANK('BoS Data summary'!J13)), IF('BoS Data summary'!J13 &lt; TV!$G$8, "0", "1"), "")</f>
        <v/>
      </c>
      <c r="U12" s="152"/>
      <c r="V12" s="152"/>
      <c r="W12" s="152"/>
      <c r="X12" s="152"/>
      <c r="Y12" s="152"/>
      <c r="Z12" s="152"/>
      <c r="AA12" s="151"/>
      <c r="AB12" s="152"/>
      <c r="AC12" s="152"/>
      <c r="AD12" s="152"/>
    </row>
    <row r="13" spans="1:30" x14ac:dyDescent="0.25">
      <c r="A13" s="55">
        <f>'BoS Data summary'!A14</f>
        <v>2018</v>
      </c>
      <c r="B13" s="103" t="str">
        <f>'BoS Data summary'!B23</f>
        <v>BS</v>
      </c>
      <c r="C13" s="55" t="str">
        <f>'BoS Data summary'!C14</f>
        <v>N 2-4</v>
      </c>
      <c r="D13" s="236"/>
      <c r="E13" s="56" t="str">
        <f t="shared" si="0"/>
        <v>NA</v>
      </c>
      <c r="F13" s="56" cm="1">
        <f t="array" ref="F13">SUMPRODUCT(--(LEN(O13:AD13) &gt; 0))</f>
        <v>2</v>
      </c>
      <c r="G13" s="56">
        <f t="shared" si="1"/>
        <v>1</v>
      </c>
      <c r="H13" s="56" cm="1">
        <f t="array" ref="H13">SUMPRODUCT(--(LEN(Q13:T13) &gt; 0))+SUMPRODUCT(--(LEN(AA13:AD13) &gt; 0))</f>
        <v>0</v>
      </c>
      <c r="I13" s="56" cm="1">
        <f t="array" ref="I13">SUMPRODUCT(--(LEN(O13:P13) &gt; 0))+SUMPRODUCT(--(LEN(U13:Z13) &gt; 0))</f>
        <v>2</v>
      </c>
      <c r="J13" s="56">
        <f t="shared" si="2"/>
        <v>0</v>
      </c>
      <c r="K13" s="56">
        <f t="shared" si="3"/>
        <v>1</v>
      </c>
      <c r="L13" s="56"/>
      <c r="M13" s="56"/>
      <c r="N13" s="232"/>
      <c r="O13" s="157" t="str">
        <f>IF(NOT(ISBLANK('BoS Data summary'!G14)), IF('BoS Data summary'!G14 &gt; TV!$G$2, "0", "1"), "")</f>
        <v>1</v>
      </c>
      <c r="P13" s="150" t="str">
        <f>IF(NOT(ISBLANK('BoS Data summary'!H14)), IF('BoS Data summary'!H14 &gt; TV!$G$5, "0", "1"), "")</f>
        <v>0</v>
      </c>
      <c r="Q13" s="150" t="str">
        <f>IF(NOT(ISBLANK('BoS Data summary'!L14)), IF('BoS Data summary'!L14 &lt; TV!$G$12, "0", "1"), "")</f>
        <v/>
      </c>
      <c r="R13" s="150" t="str">
        <f>IF(NOT(ISBLANK('BoS Data summary'!N14)), IF('BoS Data summary'!N14 &gt; TV!$G$13, "0", "1"), "")</f>
        <v/>
      </c>
      <c r="S13" s="150" t="str">
        <f>IF(NOT(ISBLANK('BoS Data summary'!P14)), IF('BoS Data summary'!P14 &lt; TV!$G$16, "0", "1"), "")</f>
        <v/>
      </c>
      <c r="T13" s="150" t="str">
        <f>IF(NOT(ISBLANK('BoS Data summary'!J14)), IF('BoS Data summary'!J14 &lt; TV!$G$8, "0", "1"), "")</f>
        <v/>
      </c>
      <c r="U13" s="152"/>
      <c r="V13" s="152"/>
      <c r="W13" s="152"/>
      <c r="X13" s="152"/>
      <c r="Y13" s="152"/>
      <c r="Z13" s="152"/>
      <c r="AA13" s="151"/>
      <c r="AB13" s="152"/>
      <c r="AC13" s="152"/>
      <c r="AD13" s="152"/>
    </row>
    <row r="14" spans="1:30" x14ac:dyDescent="0.25">
      <c r="A14" s="55">
        <f>'BoS Data summary'!A15</f>
        <v>2018</v>
      </c>
      <c r="B14" s="103" t="str">
        <f>'BoS Data summary'!B28</f>
        <v>BS</v>
      </c>
      <c r="C14" s="55" t="str">
        <f>'BoS Data summary'!C15</f>
        <v>N 2-3</v>
      </c>
      <c r="D14" s="160"/>
      <c r="E14" s="56" t="str">
        <f t="shared" si="0"/>
        <v>NA</v>
      </c>
      <c r="F14" s="56" cm="1">
        <f t="array" ref="F14">SUMPRODUCT(--(LEN(O14:AD14) &gt; 0))</f>
        <v>2</v>
      </c>
      <c r="G14" s="56">
        <f t="shared" si="1"/>
        <v>0</v>
      </c>
      <c r="H14" s="56" cm="1">
        <f t="array" ref="H14">SUMPRODUCT(--(LEN(Q14:T14) &gt; 0))+SUMPRODUCT(--(LEN(AA14:AD14) &gt; 0))</f>
        <v>0</v>
      </c>
      <c r="I14" s="56" cm="1">
        <f t="array" ref="I14">SUMPRODUCT(--(LEN(O14:P14) &gt; 0))+SUMPRODUCT(--(LEN(U14:Z14) &gt; 0))</f>
        <v>2</v>
      </c>
      <c r="J14" s="56">
        <f t="shared" si="2"/>
        <v>0</v>
      </c>
      <c r="K14" s="56">
        <f t="shared" si="3"/>
        <v>0</v>
      </c>
      <c r="L14" s="56"/>
      <c r="M14" s="56"/>
      <c r="N14" s="232"/>
      <c r="O14" s="157" t="str">
        <f>IF(NOT(ISBLANK('BoS Data summary'!G15)), IF('BoS Data summary'!G15 &gt; TV!$G$2, "0", "1"), "")</f>
        <v>1</v>
      </c>
      <c r="P14" s="150" t="str">
        <f>IF(NOT(ISBLANK('BoS Data summary'!H15)), IF('BoS Data summary'!H15 &gt; TV!$G$5, "0", "1"), "")</f>
        <v>1</v>
      </c>
      <c r="Q14" s="150" t="str">
        <f>IF(NOT(ISBLANK('BoS Data summary'!L15)), IF('BoS Data summary'!L15 &lt; TV!$G$12, "0", "1"), "")</f>
        <v/>
      </c>
      <c r="R14" s="150" t="str">
        <f>IF(NOT(ISBLANK('BoS Data summary'!N15)), IF('BoS Data summary'!N15 &gt; TV!$G$13, "0", "1"), "")</f>
        <v/>
      </c>
      <c r="S14" s="150" t="str">
        <f>IF(NOT(ISBLANK('BoS Data summary'!P15)), IF('BoS Data summary'!P15 &lt; TV!$G$16, "0", "1"), "")</f>
        <v/>
      </c>
      <c r="T14" s="150" t="str">
        <f>IF(NOT(ISBLANK('BoS Data summary'!J15)), IF('BoS Data summary'!J15 &lt; TV!$G$8, "0", "1"), "")</f>
        <v/>
      </c>
      <c r="U14" s="152"/>
      <c r="V14" s="152"/>
      <c r="W14" s="152"/>
      <c r="X14" s="152"/>
      <c r="Y14" s="152"/>
      <c r="Z14" s="152"/>
      <c r="AA14" s="151"/>
      <c r="AB14" s="152"/>
      <c r="AC14" s="152"/>
      <c r="AD14" s="152"/>
    </row>
    <row r="15" spans="1:30" x14ac:dyDescent="0.25">
      <c r="A15" s="55">
        <f>'BoS Data summary'!A16</f>
        <v>2018</v>
      </c>
      <c r="B15" s="103" t="str">
        <f>'BoS Data summary'!B31</f>
        <v>BS</v>
      </c>
      <c r="C15" s="55" t="str">
        <f>'BoS Data summary'!C16</f>
        <v>SR1A</v>
      </c>
      <c r="D15" s="160"/>
      <c r="E15" s="56">
        <f t="shared" si="0"/>
        <v>1</v>
      </c>
      <c r="F15" s="56" cm="1">
        <f t="array" ref="F15">SUMPRODUCT(--(LEN(O15:AD15) &gt; 0))</f>
        <v>6</v>
      </c>
      <c r="G15" s="56">
        <f t="shared" si="1"/>
        <v>1</v>
      </c>
      <c r="H15" s="56" cm="1">
        <f t="array" ref="H15">SUMPRODUCT(--(LEN(Q15:T15) &gt; 0))+SUMPRODUCT(--(LEN(AA15:AD15) &gt; 0))</f>
        <v>4</v>
      </c>
      <c r="I15" s="56" cm="1">
        <f t="array" ref="I15">SUMPRODUCT(--(LEN(O15:P15) &gt; 0))+SUMPRODUCT(--(LEN(U15:Z15) &gt; 0))</f>
        <v>2</v>
      </c>
      <c r="J15" s="56">
        <f t="shared" si="2"/>
        <v>1</v>
      </c>
      <c r="K15" s="56">
        <f t="shared" si="3"/>
        <v>0</v>
      </c>
      <c r="L15" s="56">
        <f t="shared" ref="L15:L21" si="4">100*J15/H15</f>
        <v>25</v>
      </c>
      <c r="M15" s="56">
        <f t="shared" ref="M15:M21" si="5">100*K15/I15</f>
        <v>0</v>
      </c>
      <c r="N15" s="233"/>
      <c r="O15" s="157" t="str">
        <f>IF(NOT(ISBLANK('BoS Data summary'!G16)), IF('BoS Data summary'!G16 &gt; TV!$G$2, "0", "1"), "")</f>
        <v>1</v>
      </c>
      <c r="P15" s="150" t="str">
        <f>IF(NOT(ISBLANK('BoS Data summary'!H16)), IF('BoS Data summary'!H16 &gt; TV!$G$5, "0", "1"), "")</f>
        <v>1</v>
      </c>
      <c r="Q15" s="150" t="str">
        <f>IF(NOT(ISBLANK('BoS Data summary'!L16)), IF('BoS Data summary'!L16 &lt; TV!$G$12, "0", "1"), "")</f>
        <v>1</v>
      </c>
      <c r="R15" s="150" t="str">
        <f>IF(NOT(ISBLANK('BoS Data summary'!N16)), IF('BoS Data summary'!N16 &gt; TV!$G$13, "0", "1"), "")</f>
        <v>1</v>
      </c>
      <c r="S15" s="150" t="str">
        <f>IF(NOT(ISBLANK('BoS Data summary'!P16)), IF('BoS Data summary'!P16 &lt; TV!$G$16, "0", "1"), "")</f>
        <v>1</v>
      </c>
      <c r="T15" s="150" t="str">
        <f>IF(NOT(ISBLANK('BoS Data summary'!J16)), IF('BoS Data summary'!J16 &lt; TV!$G$8, "0", "1"), "")</f>
        <v>0</v>
      </c>
      <c r="U15" s="152"/>
      <c r="V15" s="152"/>
      <c r="W15" s="152"/>
      <c r="X15" s="152"/>
      <c r="Y15" s="152"/>
      <c r="Z15" s="152"/>
      <c r="AA15" s="151"/>
      <c r="AB15" s="152"/>
      <c r="AC15" s="152"/>
      <c r="AD15" s="152"/>
    </row>
    <row r="16" spans="1:30" x14ac:dyDescent="0.25">
      <c r="A16" s="55">
        <f>'BoS Data summary'!A17</f>
        <v>2018</v>
      </c>
      <c r="B16" s="103" t="str">
        <f>'BoS Data summary'!B31</f>
        <v>BS</v>
      </c>
      <c r="C16" s="55">
        <f>'BoS Data summary'!C17</f>
        <v>57</v>
      </c>
      <c r="D16" s="160"/>
      <c r="E16" s="56">
        <f t="shared" si="0"/>
        <v>0</v>
      </c>
      <c r="F16" s="56" cm="1">
        <f t="array" ref="F16">SUMPRODUCT(--(LEN(O16:AD16) &gt; 0))</f>
        <v>6</v>
      </c>
      <c r="G16" s="56">
        <f t="shared" si="1"/>
        <v>5</v>
      </c>
      <c r="H16" s="56" cm="1">
        <f t="array" ref="H16">SUMPRODUCT(--(LEN(Q16:T16) &gt; 0))+SUMPRODUCT(--(LEN(AA16:AD16) &gt; 0))</f>
        <v>4</v>
      </c>
      <c r="I16" s="56" cm="1">
        <f t="array" ref="I16">SUMPRODUCT(--(LEN(O16:P16) &gt; 0))+SUMPRODUCT(--(LEN(U16:Z16) &gt; 0))</f>
        <v>2</v>
      </c>
      <c r="J16" s="56">
        <f t="shared" si="2"/>
        <v>3</v>
      </c>
      <c r="K16" s="56">
        <f t="shared" si="3"/>
        <v>2</v>
      </c>
      <c r="L16" s="56">
        <f t="shared" si="4"/>
        <v>75</v>
      </c>
      <c r="M16" s="56">
        <f t="shared" si="5"/>
        <v>100</v>
      </c>
      <c r="N16" s="233"/>
      <c r="O16" s="157" t="str">
        <f>IF(NOT(ISBLANK('BoS Data summary'!G18)), IF('BoS Data summary'!G18 &gt; TV!$G$2, "0", "1"), "")</f>
        <v>0</v>
      </c>
      <c r="P16" s="150" t="str">
        <f>IF(NOT(ISBLANK('BoS Data summary'!H18)), IF('BoS Data summary'!H18 &gt; TV!$G$5, "0", "1"), "")</f>
        <v>0</v>
      </c>
      <c r="Q16" s="150" t="str">
        <f>IF(NOT(ISBLANK('BoS Data summary'!L18)), IF('BoS Data summary'!L18 &lt; TV!$G$12, "0", "1"), "")</f>
        <v>0</v>
      </c>
      <c r="R16" s="150" t="str">
        <f>IF(NOT(ISBLANK('BoS Data summary'!N18)), IF('BoS Data summary'!N18 &gt; TV!$G$13, "0", "1"), "")</f>
        <v>0</v>
      </c>
      <c r="S16" s="150" t="str">
        <f>IF(NOT(ISBLANK('BoS Data summary'!P18)), IF('BoS Data summary'!P18 &lt; TV!$G$16, "0", "1"), "")</f>
        <v>0</v>
      </c>
      <c r="T16" s="150" t="str">
        <f>IF(NOT(ISBLANK('BoS Data summary'!J18)), IF('BoS Data summary'!J18 &lt; TV!$G$8, "0", "1"), "")</f>
        <v>1</v>
      </c>
      <c r="U16" s="152"/>
      <c r="V16" s="152"/>
      <c r="W16" s="152"/>
      <c r="X16" s="152"/>
      <c r="Y16" s="152"/>
      <c r="Z16" s="152"/>
      <c r="AA16" s="151"/>
      <c r="AB16" s="152"/>
      <c r="AC16" s="152"/>
      <c r="AD16" s="152"/>
    </row>
    <row r="17" spans="1:30" x14ac:dyDescent="0.25">
      <c r="A17" s="55">
        <f>'BoS Data summary'!A18</f>
        <v>2018</v>
      </c>
      <c r="B17" s="103" t="str">
        <f>'BoS Data summary'!B31</f>
        <v>BS</v>
      </c>
      <c r="C17" s="55">
        <f>'BoS Data summary'!C18</f>
        <v>58</v>
      </c>
      <c r="D17" s="160"/>
      <c r="E17" s="56">
        <f t="shared" si="0"/>
        <v>0</v>
      </c>
      <c r="F17" s="56" cm="1">
        <f t="array" ref="F17">SUMPRODUCT(--(LEN(O17:AD17) &gt; 0))</f>
        <v>6</v>
      </c>
      <c r="G17" s="56">
        <f t="shared" si="1"/>
        <v>6</v>
      </c>
      <c r="H17" s="56" cm="1">
        <f t="array" ref="H17">SUMPRODUCT(--(LEN(Q17:T17) &gt; 0))+SUMPRODUCT(--(LEN(AA17:AD17) &gt; 0))</f>
        <v>4</v>
      </c>
      <c r="I17" s="56" cm="1">
        <f t="array" ref="I17">SUMPRODUCT(--(LEN(O17:P17) &gt; 0))+SUMPRODUCT(--(LEN(U17:Z17) &gt; 0))</f>
        <v>2</v>
      </c>
      <c r="J17" s="56">
        <f t="shared" si="2"/>
        <v>4</v>
      </c>
      <c r="K17" s="56">
        <f t="shared" si="3"/>
        <v>2</v>
      </c>
      <c r="L17" s="56">
        <f t="shared" si="4"/>
        <v>100</v>
      </c>
      <c r="M17" s="56">
        <f t="shared" si="5"/>
        <v>100</v>
      </c>
      <c r="O17" s="157" t="str">
        <f>IF(NOT(ISBLANK('BoS Data summary'!G19)), IF('BoS Data summary'!G19 &gt; TV!$G$2, "0", "1"), "")</f>
        <v>0</v>
      </c>
      <c r="P17" s="150" t="str">
        <f>IF(NOT(ISBLANK('BoS Data summary'!H19)), IF('BoS Data summary'!H19 &gt; TV!$G$5, "0", "1"), "")</f>
        <v>0</v>
      </c>
      <c r="Q17" s="150" t="str">
        <f>IF(NOT(ISBLANK('BoS Data summary'!L19)), IF('BoS Data summary'!L19 &lt; TV!$G$12, "0", "1"), "")</f>
        <v>0</v>
      </c>
      <c r="R17" s="150" t="str">
        <f>IF(NOT(ISBLANK('BoS Data summary'!N19)), IF('BoS Data summary'!N19 &gt; TV!$G$13, "0", "1"), "")</f>
        <v>0</v>
      </c>
      <c r="S17" s="150" t="str">
        <f>IF(NOT(ISBLANK('BoS Data summary'!P19)), IF('BoS Data summary'!P19 &lt; TV!$G$16, "0", "1"), "")</f>
        <v>0</v>
      </c>
      <c r="T17" s="150" t="str">
        <f>IF(NOT(ISBLANK('BoS Data summary'!J19)), IF('BoS Data summary'!J19 &lt; TV!$G$8, "0", "1"), "")</f>
        <v>0</v>
      </c>
      <c r="U17" s="152"/>
      <c r="V17" s="152"/>
      <c r="W17" s="152"/>
      <c r="X17" s="152"/>
      <c r="Y17" s="152"/>
      <c r="Z17" s="152"/>
      <c r="AA17" s="151"/>
      <c r="AB17" s="152"/>
      <c r="AC17" s="152"/>
      <c r="AD17" s="152"/>
    </row>
    <row r="18" spans="1:30" x14ac:dyDescent="0.25">
      <c r="A18" s="55">
        <f>'BoS Data summary'!A19</f>
        <v>2018</v>
      </c>
      <c r="B18" s="103" t="str">
        <f>'BoS Data summary'!B3</f>
        <v>BS</v>
      </c>
      <c r="C18" s="55" t="str">
        <f>'BoS Data summary'!C19</f>
        <v>Norrsundet</v>
      </c>
      <c r="D18" s="160"/>
      <c r="E18" s="56">
        <f t="shared" si="0"/>
        <v>0</v>
      </c>
      <c r="F18" s="56" cm="1">
        <f t="array" ref="F18">SUMPRODUCT(--(LEN(O18:AD18) &gt; 0))</f>
        <v>16</v>
      </c>
      <c r="G18" s="56">
        <f t="shared" si="1"/>
        <v>9</v>
      </c>
      <c r="H18" s="56" cm="1">
        <f t="array" ref="H18">SUMPRODUCT(--(LEN(Q18:T18) &gt; 0))+SUMPRODUCT(--(LEN(AA18:AD18) &gt; 0))</f>
        <v>8</v>
      </c>
      <c r="I18" s="56" cm="1">
        <f t="array" ref="I18">SUMPRODUCT(--(LEN(O18:P18) &gt; 0))+SUMPRODUCT(--(LEN(U18:Z18) &gt; 0))</f>
        <v>8</v>
      </c>
      <c r="J18" s="56">
        <f t="shared" si="2"/>
        <v>5</v>
      </c>
      <c r="K18" s="56">
        <f t="shared" si="3"/>
        <v>4</v>
      </c>
      <c r="L18" s="56">
        <f t="shared" si="4"/>
        <v>62.5</v>
      </c>
      <c r="M18" s="56">
        <f t="shared" si="5"/>
        <v>50</v>
      </c>
      <c r="O18" s="157" t="str">
        <f>IF(NOT(ISBLANK('BoS Data summary'!G17)), IF('BoS Data summary'!G17 &gt; TV!$G$2, "0", "1"), "")</f>
        <v>0</v>
      </c>
      <c r="P18" s="150" t="str">
        <f>IF(NOT(ISBLANK('BoS Data summary'!H17)), IF('BoS Data summary'!H17 &gt; TV!$G$5, "0", "1"), "")</f>
        <v>0</v>
      </c>
      <c r="Q18" s="150" t="str">
        <f>IF(NOT(ISBLANK('BoS Data summary'!L17)), IF('BoS Data summary'!L17 &lt; TV!$G$12, "0", "1"), "")</f>
        <v>0</v>
      </c>
      <c r="R18" s="150" t="str">
        <f>IF(NOT(ISBLANK('BoS Data summary'!N17)), IF('BoS Data summary'!N17 &gt; TV!$G$13, "0", "1"), "")</f>
        <v>0</v>
      </c>
      <c r="S18" s="150" t="str">
        <f>IF(NOT(ISBLANK('BoS Data summary'!P17)), IF('BoS Data summary'!P17 &lt; TV!$G$16, "0", "1"), "")</f>
        <v>0</v>
      </c>
      <c r="T18" s="150" t="str">
        <f>IF(NOT(ISBLANK('BoS Data summary'!J17)), IF('BoS Data summary'!J17 &lt; TV!$G$8, "0", "1"), "")</f>
        <v>1</v>
      </c>
      <c r="U18" s="153" t="str">
        <f>IF(NOT(ISBLANK('BoS Data summary'!T20)), IF('BoS Data summary'!T20 &lt; TV!$G$32, "0", "1"), "")</f>
        <v>0</v>
      </c>
      <c r="V18" s="153" t="str">
        <f>IF(NOT(ISBLANK('BoS Data summary'!T21)), IF('BoS Data summary'!T21 &lt; TV!$G$33, "0", "1"), "")</f>
        <v>1</v>
      </c>
      <c r="W18" s="153" t="str">
        <f>IF(NOT(ISBLANK('BoS Data summary'!W20)), IF('BoS Data summary'!W20 &lt; TV!$G$34, "0", "1"), "")</f>
        <v>1</v>
      </c>
      <c r="X18" s="153" t="str">
        <f>IF(NOT(ISBLANK('BoS Data summary'!W21)), IF('BoS Data summary'!W21 &lt; TV!$G$35, "0", "1"), "")</f>
        <v>1</v>
      </c>
      <c r="Y18" s="153" t="str">
        <f>IF(NOT(ISBLANK('BoS Data summary'!Z22)), IF('BoS Data summary'!Z22 &lt; TV!$G$28, "0", "1"), "")</f>
        <v>0</v>
      </c>
      <c r="Z18" s="153" t="str">
        <f>IF(NOT(ISBLANK('BoS Data summary'!AD21)), IF('BoS Data summary'!AD21 &lt; TV!$G$31, "0", "1"), "")</f>
        <v>1</v>
      </c>
      <c r="AA18" s="153" t="str">
        <f>IF(NOT(ISBLANK('BoS Data summary'!J22)), IF('BoS Data summary'!J22 &lt; TV!$G$29, "0", "1"), "")</f>
        <v>1</v>
      </c>
      <c r="AB18" s="153" t="str">
        <f>IF(NOT(ISBLANK('BoS Data summary'!X20)), IF('BoS Data summary'!X20 &gt; TV!$G$26, "0", "1"), "")</f>
        <v>0</v>
      </c>
      <c r="AC18" s="153" t="str">
        <f>IF(NOT(ISBLANK('BoS Data summary'!X21)), IF('BoS Data summary'!X21 &gt; TV!$G$27, "0", "1"), "")</f>
        <v>0</v>
      </c>
      <c r="AD18" s="153" t="str">
        <f>IF(NOT(ISBLANK('BoS Data summary'!AB22)), IF('BoS Data summary'!AB22 &gt; TV!$G$30, "0", "1"), "")</f>
        <v>1</v>
      </c>
    </row>
    <row r="19" spans="1:30" ht="17.100000000000001" customHeight="1" x14ac:dyDescent="0.25">
      <c r="A19" s="55">
        <f>'BoS Data summary'!A23</f>
        <v>2018</v>
      </c>
      <c r="B19" s="103" t="str">
        <f>'BoS Data summary'!B31</f>
        <v>BS</v>
      </c>
      <c r="C19" s="55" t="str">
        <f>'BoS Data summary'!C23</f>
        <v>Skellefteå hamn</v>
      </c>
      <c r="D19" s="160"/>
      <c r="E19" s="56">
        <f t="shared" si="0"/>
        <v>0</v>
      </c>
      <c r="F19" s="56" cm="1">
        <f t="array" ref="F19">SUMPRODUCT(--(LEN(O19:AD19) &gt; 0))</f>
        <v>10</v>
      </c>
      <c r="G19" s="56">
        <f t="shared" si="1"/>
        <v>6</v>
      </c>
      <c r="H19" s="56" cm="1">
        <f t="array" ref="H19">SUMPRODUCT(--(LEN(Q19:T19) &gt; 0))+SUMPRODUCT(--(LEN(AA19:AD19) &gt; 0))</f>
        <v>4</v>
      </c>
      <c r="I19" s="56" cm="1">
        <f t="array" ref="I19">SUMPRODUCT(--(LEN(O19:P19) &gt; 0))+SUMPRODUCT(--(LEN(U19:Z19) &gt; 0))</f>
        <v>6</v>
      </c>
      <c r="J19" s="56">
        <f t="shared" si="2"/>
        <v>3</v>
      </c>
      <c r="K19" s="56">
        <f t="shared" si="3"/>
        <v>3</v>
      </c>
      <c r="L19" s="56">
        <f t="shared" si="4"/>
        <v>75</v>
      </c>
      <c r="M19" s="56">
        <f t="shared" si="5"/>
        <v>50</v>
      </c>
      <c r="O19" s="157" t="str">
        <f>IF(NOT(ISBLANK('BoS Data summary'!G20)), IF('BoS Data summary'!G20 &gt; TV!$G$2, "0", "1"), "")</f>
        <v/>
      </c>
      <c r="P19" s="150" t="str">
        <f>IF(NOT(ISBLANK('BoS Data summary'!H20)), IF('BoS Data summary'!H20 &gt; TV!$G$5, "0", "1"), "")</f>
        <v/>
      </c>
      <c r="Q19" s="150" t="str">
        <f>IF(NOT(ISBLANK('BoS Data summary'!L20)), IF('BoS Data summary'!L20 &lt; TV!$G$12, "0", "1"), "")</f>
        <v/>
      </c>
      <c r="R19" s="150" t="str">
        <f>IF(NOT(ISBLANK('BoS Data summary'!N20)), IF('BoS Data summary'!N20 &gt; TV!$G$13, "0", "1"), "")</f>
        <v/>
      </c>
      <c r="S19" s="150" t="str">
        <f>IF(NOT(ISBLANK('BoS Data summary'!P20)), IF('BoS Data summary'!P20 &lt; TV!$G$16, "0", "1"), "")</f>
        <v/>
      </c>
      <c r="T19" s="150" t="str">
        <f>IF(NOT(ISBLANK('BoS Data summary'!J20)), IF('BoS Data summary'!J20 &lt; TV!$G$8, "0", "1"), "")</f>
        <v/>
      </c>
      <c r="U19" s="153" t="str">
        <f>IF(NOT(ISBLANK('BoS Data summary'!T23)), IF('BoS Data summary'!T23 &lt; TV!$G$32, "0", "1"), "")</f>
        <v>0</v>
      </c>
      <c r="V19" s="153" t="str">
        <f>IF(NOT(ISBLANK('BoS Data summary'!T24)), IF('BoS Data summary'!T24 &lt; TV!$G$33, "0", "1"), "")</f>
        <v>0</v>
      </c>
      <c r="W19" s="153" t="str">
        <f>IF(NOT(ISBLANK('BoS Data summary'!W23)), IF('BoS Data summary'!W23 &lt; TV!$G$34, "0", "1"), "")</f>
        <v>1</v>
      </c>
      <c r="X19" s="153" t="str">
        <f>IF(NOT(ISBLANK('BoS Data summary'!W24)), IF('BoS Data summary'!W24 &lt; TV!$G$35, "0", "1"), "")</f>
        <v>1</v>
      </c>
      <c r="Y19" s="153" t="str">
        <f>IF(NOT(ISBLANK('BoS Data summary'!Z25)), IF('BoS Data summary'!Z25 &lt; TV!$G$28, "0", "1"), "")</f>
        <v>1</v>
      </c>
      <c r="Z19" s="153" t="str">
        <f>IF(NOT(ISBLANK('BoS Data summary'!AD24)), IF('BoS Data summary'!AD24 &lt; TV!$G$31, "0", "1"), "")</f>
        <v>0</v>
      </c>
      <c r="AA19" s="153" t="str">
        <f>IF(NOT(ISBLANK('BoS Data summary'!J25)), IF('BoS Data summary'!J25 &lt; TV!$G$29, "0", "1"), "")</f>
        <v>1</v>
      </c>
      <c r="AB19" s="153" t="str">
        <f>IF(NOT(ISBLANK('BoS Data summary'!X23)), IF('BoS Data summary'!X23 &gt; TV!$G$26, "0", "1"), "")</f>
        <v>0</v>
      </c>
      <c r="AC19" s="153" t="str">
        <f>IF(NOT(ISBLANK('BoS Data summary'!X24)), IF('BoS Data summary'!X24 &gt; TV!$G$27, "0", "1"), "")</f>
        <v>0</v>
      </c>
      <c r="AD19" s="153" t="str">
        <f>IF(NOT(ISBLANK('BoS Data summary'!AB25)), IF('BoS Data summary'!AB25 &lt; TV!$G$30, "0", "1"), "")</f>
        <v>0</v>
      </c>
    </row>
    <row r="20" spans="1:30" x14ac:dyDescent="0.25">
      <c r="A20" s="55">
        <f>'BoS Data summary'!A28</f>
        <v>2018</v>
      </c>
      <c r="B20" s="103" t="str">
        <f>'BoS Data summary'!B31</f>
        <v>BS</v>
      </c>
      <c r="C20" s="55" t="str">
        <f>'BoS Data summary'!C28</f>
        <v>Holmöarna</v>
      </c>
      <c r="D20" s="160"/>
      <c r="E20" s="56">
        <f t="shared" si="0"/>
        <v>1</v>
      </c>
      <c r="F20" s="56" cm="1">
        <f t="array" ref="F20">SUMPRODUCT(--(LEN(O20:AD20) &gt; 0))</f>
        <v>10</v>
      </c>
      <c r="G20" s="56">
        <f t="shared" si="1"/>
        <v>2</v>
      </c>
      <c r="H20" s="56" cm="1">
        <f t="array" ref="H20">SUMPRODUCT(--(LEN(Q20:T20) &gt; 0))+SUMPRODUCT(--(LEN(AA20:AD20) &gt; 0))</f>
        <v>4</v>
      </c>
      <c r="I20" s="56" cm="1">
        <f t="array" ref="I20">SUMPRODUCT(--(LEN(O20:P20) &gt; 0))+SUMPRODUCT(--(LEN(U20:Z20) &gt; 0))</f>
        <v>6</v>
      </c>
      <c r="J20" s="56">
        <f t="shared" si="2"/>
        <v>0</v>
      </c>
      <c r="K20" s="56">
        <f t="shared" si="3"/>
        <v>2</v>
      </c>
      <c r="L20" s="56">
        <f t="shared" si="4"/>
        <v>0</v>
      </c>
      <c r="M20" s="56">
        <f t="shared" si="5"/>
        <v>33.333333333333336</v>
      </c>
      <c r="O20" s="157" t="str">
        <f>IF(NOT(ISBLANK('BoS Data summary'!G21)), IF('BoS Data summary'!G21 &gt; TV!$G$2, "0", "1"), "")</f>
        <v/>
      </c>
      <c r="P20" s="150" t="str">
        <f>IF(NOT(ISBLANK('BoS Data summary'!H21)), IF('BoS Data summary'!H21 &gt; TV!$G$5, "0", "1"), "")</f>
        <v/>
      </c>
      <c r="Q20" s="150" t="str">
        <f>IF(NOT(ISBLANK('BoS Data summary'!L21)), IF('BoS Data summary'!L21 &lt; TV!$G$12, "0", "1"), "")</f>
        <v/>
      </c>
      <c r="R20" s="150" t="str">
        <f>IF(NOT(ISBLANK('BoS Data summary'!N21)), IF('BoS Data summary'!N21 &gt; TV!$G$13, "0", "1"), "")</f>
        <v/>
      </c>
      <c r="S20" s="150" t="str">
        <f>IF(NOT(ISBLANK('BoS Data summary'!P21)), IF('BoS Data summary'!P21 &lt; TV!$G$16, "0", "1"), "")</f>
        <v/>
      </c>
      <c r="T20" s="150" t="str">
        <f>IF(NOT(ISBLANK('BoS Data summary'!J21)), IF('BoS Data summary'!J21 &lt; TV!$G$8, "0", "1"), "")</f>
        <v/>
      </c>
      <c r="U20" s="153" t="str">
        <f>IF(NOT(ISBLANK('BoS Data summary'!T26)), IF('BoS Data summary'!T26 &lt; TV!$G$32, "0", "1"), "")</f>
        <v>1</v>
      </c>
      <c r="V20" s="153" t="str">
        <f>IF(NOT(ISBLANK('BoS Data summary'!T27)), IF('BoS Data summary'!T27 &lt; TV!$G$33, "0", "1"), "")</f>
        <v>1</v>
      </c>
      <c r="W20" s="153" t="str">
        <f>IF(NOT(ISBLANK('BoS Data summary'!W26)), IF('BoS Data summary'!W26&lt; TV!$G$34, "0", "1"), "")</f>
        <v>1</v>
      </c>
      <c r="X20" s="153" t="str">
        <f>IF(NOT(ISBLANK('BoS Data summary'!W27)), IF('BoS Data summary'!W27 &lt; TV!$G$35, "0", "1"), "")</f>
        <v>1</v>
      </c>
      <c r="Y20" s="153" t="str">
        <f>IF(NOT(ISBLANK('BoS Data summary'!Z28)), IF('BoS Data summary'!Z28&lt; TV!$G$28, "0", "1"), "")</f>
        <v>0</v>
      </c>
      <c r="Z20" s="153" t="str">
        <f>IF(NOT(ISBLANK('BoS Data summary'!AD27)), IF('BoS Data summary'!AD27 &lt; TV!$G$31, "0", "1"), "")</f>
        <v>0</v>
      </c>
      <c r="AA20" s="153" t="str">
        <f>IF(NOT(ISBLANK('BoS Data summary'!J28)), IF('BoS Data summary'!J28&lt; TV!$G$29, "0", "1"), "")</f>
        <v>1</v>
      </c>
      <c r="AB20" s="153" t="str">
        <f>IF(NOT(ISBLANK('BoS Data summary'!X26)), IF('BoS Data summary'!X26&gt; TV!$G$26, "0", "1"), "")</f>
        <v>1</v>
      </c>
      <c r="AC20" s="153" t="str">
        <f>IF(NOT(ISBLANK('BoS Data summary'!X27)), IF('BoS Data summary'!X27 &gt; TV!$G$27, "0", "1"), "")</f>
        <v>1</v>
      </c>
      <c r="AD20" s="153" t="str">
        <f>IF(NOT(ISBLANK('BoS Data summary'!AB28)), IF('BoS Data summary'!AB28&lt; TV!$G$30, "0", "1"), "")</f>
        <v>1</v>
      </c>
    </row>
    <row r="21" spans="1:30" x14ac:dyDescent="0.25">
      <c r="A21" s="55">
        <f>'BoS Data summary'!A31</f>
        <v>2018</v>
      </c>
      <c r="B21" s="103" t="str">
        <f>'BoS Data summary'!B31</f>
        <v>BS</v>
      </c>
      <c r="C21" s="55" t="str">
        <f>'BoS Data summary'!C31</f>
        <v>Sundsvall</v>
      </c>
      <c r="D21" s="160"/>
      <c r="E21" s="56">
        <f t="shared" si="0"/>
        <v>1</v>
      </c>
      <c r="F21" s="56" cm="1">
        <f t="array" ref="F21">SUMPRODUCT(--(LEN(O21:AD21) &gt; 0))</f>
        <v>10</v>
      </c>
      <c r="G21" s="56">
        <f t="shared" si="1"/>
        <v>5</v>
      </c>
      <c r="H21" s="56" cm="1">
        <f t="array" ref="H21">SUMPRODUCT(--(LEN(Q21:T21) &gt; 0))+SUMPRODUCT(--(LEN(AA21:AD21) &gt; 0))</f>
        <v>4</v>
      </c>
      <c r="I21" s="56" cm="1">
        <f t="array" ref="I21">SUMPRODUCT(--(LEN(O21:P21) &gt; 0))+SUMPRODUCT(--(LEN(U21:Z21) &gt; 0))</f>
        <v>6</v>
      </c>
      <c r="J21" s="56">
        <f t="shared" si="2"/>
        <v>3</v>
      </c>
      <c r="K21" s="56">
        <f t="shared" si="3"/>
        <v>2</v>
      </c>
      <c r="L21" s="56">
        <f t="shared" si="4"/>
        <v>75</v>
      </c>
      <c r="M21" s="56">
        <f t="shared" si="5"/>
        <v>33.333333333333336</v>
      </c>
      <c r="O21" s="157" t="str">
        <f>IF(NOT(ISBLANK('BoS Data summary'!G22)), IF('BoS Data summary'!G22 &gt; TV!$G$2, "0", "1"), "")</f>
        <v/>
      </c>
      <c r="P21" s="150" t="str">
        <f>IF(NOT(ISBLANK('BoS Data summary'!H22)), IF('BoS Data summary'!H22 &gt; TV!$G$5, "0", "1"), "")</f>
        <v/>
      </c>
      <c r="Q21" s="150" t="str">
        <f>IF(NOT(ISBLANK('BoS Data summary'!L22)), IF('BoS Data summary'!L22 &lt; TV!$G$12, "0", "1"), "")</f>
        <v/>
      </c>
      <c r="R21" s="150" t="str">
        <f>IF(NOT(ISBLANK('BoS Data summary'!N22)), IF('BoS Data summary'!N22 &gt; TV!$G$13, "0", "1"), "")</f>
        <v/>
      </c>
      <c r="S21" s="150" t="str">
        <f>IF(NOT(ISBLANK('BoS Data summary'!P22)), IF('BoS Data summary'!P22 &lt; TV!$G$16, "0", "1"), "")</f>
        <v/>
      </c>
      <c r="T21" s="150"/>
      <c r="U21" s="153" t="str">
        <f>IF(NOT(ISBLANK('BoS Data summary'!T29)), IF('BoS Data summary'!T29 &lt; TV!$G$32, "0", "1"), "")</f>
        <v>0</v>
      </c>
      <c r="V21" s="153" t="str">
        <f>IF(NOT(ISBLANK('BoS Data summary'!T30)), IF('BoS Data summary'!T30 &lt; TV!$G$33, "0", "1"), "")</f>
        <v>0</v>
      </c>
      <c r="W21" s="153" t="str">
        <f>IF(NOT(ISBLANK('BoS Data summary'!W29)), IF('BoS Data summary'!W29 &lt; TV!$G$34, "0", "1"), "")</f>
        <v>1</v>
      </c>
      <c r="X21" s="153" t="str">
        <f>IF(NOT(ISBLANK('BoS Data summary'!W30)), IF('BoS Data summary'!W30 &lt; TV!$G$35, "0", "1"), "")</f>
        <v>1</v>
      </c>
      <c r="Y21" s="153" t="str">
        <f>IF(NOT(ISBLANK('BoS Data summary'!Z25)), IF('BoS Data summary'!Z25 &lt; TV!$G$28, "0", "1"), "")</f>
        <v>1</v>
      </c>
      <c r="Z21" s="153" t="str">
        <f>IF(NOT(ISBLANK('BoS Data summary'!AD30)), IF('BoS Data summary'!AD30 &lt; TV!$G$31, "0", "1"), "")</f>
        <v>1</v>
      </c>
      <c r="AA21" s="153" t="str">
        <f>IF(NOT(ISBLANK('BoS Data summary'!J25)), IF('BoS Data summary'!J25 &lt; TV!$G$29, "0", "1"), "")</f>
        <v>1</v>
      </c>
      <c r="AB21" s="153" t="str">
        <f>IF(NOT(ISBLANK('BoS Data summary'!X29)), IF('BoS Data summary'!X29 &gt; TV!$G$26, "0", "1"), "")</f>
        <v>0</v>
      </c>
      <c r="AC21" s="153" t="str">
        <f>IF(NOT(ISBLANK('BoS Data summary'!X30)), IF('BoS Data summary'!X30 &gt; TV!$G$27, "0", "1"), "")</f>
        <v>0</v>
      </c>
      <c r="AD21" s="153" t="str">
        <f>IF(NOT(ISBLANK('BoS Data summary'!AB25)), IF('BoS Data summary'!AB25 &lt; TV!$G$30, "0", "1"), "")</f>
        <v>0</v>
      </c>
    </row>
    <row r="22" spans="1:30" x14ac:dyDescent="0.25">
      <c r="A22" s="11"/>
      <c r="B22" s="11"/>
      <c r="C22" s="11"/>
      <c r="D22" s="164"/>
    </row>
    <row r="23" spans="1:30" x14ac:dyDescent="0.25">
      <c r="A23" s="11"/>
      <c r="B23" s="11"/>
      <c r="C23" s="11"/>
      <c r="D23" s="164"/>
    </row>
    <row r="24" spans="1:30" x14ac:dyDescent="0.25">
      <c r="A24" s="11"/>
      <c r="B24" s="11"/>
      <c r="C24" s="11"/>
      <c r="D24" s="164"/>
    </row>
    <row r="25" spans="1:30" x14ac:dyDescent="0.25">
      <c r="A25" s="11"/>
      <c r="B25" s="11"/>
      <c r="C25" s="11"/>
      <c r="D25" s="164"/>
    </row>
    <row r="26" spans="1:30" x14ac:dyDescent="0.25">
      <c r="A26" s="11"/>
      <c r="B26" s="11"/>
      <c r="C26" s="11"/>
      <c r="D26" s="164"/>
    </row>
    <row r="27" spans="1:30" x14ac:dyDescent="0.25">
      <c r="A27" s="11"/>
      <c r="B27" s="11"/>
      <c r="C27" s="11"/>
      <c r="D27" s="164"/>
    </row>
    <row r="28" spans="1:30" x14ac:dyDescent="0.25">
      <c r="A28" s="11"/>
      <c r="B28" s="11"/>
      <c r="C28" s="11"/>
      <c r="D28" s="164"/>
    </row>
    <row r="29" spans="1:30" x14ac:dyDescent="0.25">
      <c r="A29" s="11"/>
      <c r="B29" s="11"/>
      <c r="C29" s="11"/>
      <c r="D29" s="164"/>
    </row>
    <row r="30" spans="1:30" x14ac:dyDescent="0.25">
      <c r="A30" s="11"/>
      <c r="B30" s="11"/>
      <c r="C30" s="11"/>
      <c r="D30" s="164"/>
    </row>
    <row r="31" spans="1:30" x14ac:dyDescent="0.25">
      <c r="A31" s="11"/>
      <c r="B31" s="11"/>
      <c r="C31" s="11"/>
      <c r="D31" s="164"/>
    </row>
    <row r="32" spans="1:30" x14ac:dyDescent="0.25">
      <c r="A32" s="11"/>
      <c r="B32" s="11"/>
      <c r="C32" s="11"/>
      <c r="D32" s="164"/>
    </row>
    <row r="33" spans="1:4" x14ac:dyDescent="0.25">
      <c r="A33" s="11"/>
      <c r="B33" s="11"/>
      <c r="C33" s="11"/>
      <c r="D33" s="164"/>
    </row>
    <row r="34" spans="1:4" x14ac:dyDescent="0.25">
      <c r="A34" s="11"/>
      <c r="B34" s="11"/>
      <c r="C34" s="11"/>
      <c r="D34" s="164"/>
    </row>
    <row r="35" spans="1:4" x14ac:dyDescent="0.25">
      <c r="A35" s="11"/>
      <c r="B35" s="11"/>
      <c r="C35" s="11"/>
      <c r="D35" s="164"/>
    </row>
    <row r="36" spans="1:4" x14ac:dyDescent="0.25">
      <c r="A36" s="11"/>
      <c r="B36" s="11"/>
      <c r="C36" s="11"/>
      <c r="D36" s="164"/>
    </row>
    <row r="37" spans="1:4" x14ac:dyDescent="0.25">
      <c r="A37" s="11"/>
      <c r="B37" s="11"/>
      <c r="C37" s="11"/>
      <c r="D37" s="164"/>
    </row>
    <row r="38" spans="1:4" x14ac:dyDescent="0.25">
      <c r="A38" s="11"/>
      <c r="B38" s="11"/>
      <c r="C38" s="11"/>
      <c r="D38" s="164"/>
    </row>
    <row r="39" spans="1:4" x14ac:dyDescent="0.25">
      <c r="A39" s="11"/>
      <c r="B39" s="11"/>
      <c r="C39" s="11"/>
      <c r="D39" s="164"/>
    </row>
    <row r="40" spans="1:4" x14ac:dyDescent="0.25">
      <c r="A40" s="11"/>
      <c r="B40" s="11"/>
      <c r="C40" s="11"/>
      <c r="D40" s="164"/>
    </row>
    <row r="41" spans="1:4" x14ac:dyDescent="0.25">
      <c r="A41" s="11"/>
      <c r="B41" s="11"/>
      <c r="C41" s="11"/>
      <c r="D41" s="164"/>
    </row>
    <row r="42" spans="1:4" x14ac:dyDescent="0.25">
      <c r="A42" s="11"/>
      <c r="B42" s="11"/>
      <c r="C42" s="11"/>
      <c r="D42" s="164"/>
    </row>
    <row r="43" spans="1:4" x14ac:dyDescent="0.25">
      <c r="A43" s="11"/>
      <c r="B43" s="11"/>
      <c r="C43" s="11"/>
      <c r="D43" s="164"/>
    </row>
    <row r="44" spans="1:4" x14ac:dyDescent="0.25">
      <c r="A44" s="11"/>
      <c r="B44" s="11"/>
      <c r="C44" s="11"/>
      <c r="D44" s="164"/>
    </row>
    <row r="45" spans="1:4" x14ac:dyDescent="0.25">
      <c r="A45" s="11"/>
      <c r="B45" s="11"/>
      <c r="C45" s="11"/>
      <c r="D45" s="164"/>
    </row>
    <row r="46" spans="1:4" x14ac:dyDescent="0.25">
      <c r="A46" s="11"/>
      <c r="B46" s="11"/>
      <c r="C46" s="11"/>
      <c r="D46" s="164"/>
    </row>
    <row r="47" spans="1:4" x14ac:dyDescent="0.25">
      <c r="A47" s="10"/>
      <c r="B47" s="8"/>
      <c r="C47" s="9"/>
      <c r="D47" s="165"/>
    </row>
    <row r="48" spans="1:4" x14ac:dyDescent="0.25">
      <c r="B48" s="6"/>
    </row>
    <row r="49" spans="2:2" x14ac:dyDescent="0.25">
      <c r="B49" s="6"/>
    </row>
    <row r="50" spans="2:2" x14ac:dyDescent="0.25">
      <c r="B50" s="6"/>
    </row>
  </sheetData>
  <mergeCells count="2">
    <mergeCell ref="D1:D13"/>
    <mergeCell ref="N1:N16"/>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79998168889431442"/>
  </sheetPr>
  <dimension ref="A1:AH31"/>
  <sheetViews>
    <sheetView zoomScale="70" zoomScaleNormal="70" workbookViewId="0">
      <selection activeCell="H44" sqref="H44"/>
    </sheetView>
  </sheetViews>
  <sheetFormatPr defaultColWidth="8.85546875" defaultRowHeight="15" x14ac:dyDescent="0.25"/>
  <cols>
    <col min="1" max="2" width="8.85546875" style="7"/>
    <col min="3" max="3" width="19.85546875" style="1" customWidth="1"/>
    <col min="4" max="5" width="16.85546875" customWidth="1"/>
    <col min="6" max="6" width="17.85546875" customWidth="1"/>
    <col min="7" max="7" width="8.42578125" style="12" customWidth="1"/>
    <col min="8" max="8" width="12.5703125" style="12" customWidth="1"/>
    <col min="9" max="9" width="7.42578125" style="12" customWidth="1"/>
    <col min="10" max="10" width="16.140625" customWidth="1"/>
    <col min="11" max="11" width="7.140625" style="5" customWidth="1"/>
    <col min="12" max="12" width="16.7109375" customWidth="1"/>
    <col min="13" max="13" width="10.140625" customWidth="1"/>
    <col min="14" max="14" width="15.5703125" customWidth="1"/>
    <col min="15" max="15" width="8.85546875" customWidth="1"/>
    <col min="16" max="16" width="14.85546875" customWidth="1"/>
    <col min="17" max="17" width="12.28515625" customWidth="1"/>
    <col min="18" max="18" width="12.5703125" customWidth="1"/>
    <col min="19" max="19" width="7.42578125" customWidth="1"/>
    <col min="20" max="20" width="14" customWidth="1"/>
    <col min="21" max="21" width="5.85546875" customWidth="1"/>
    <col min="22" max="22" width="14" customWidth="1"/>
    <col min="23" max="23" width="7.140625" customWidth="1"/>
    <col min="24" max="24" width="12.85546875" customWidth="1"/>
    <col min="25" max="25" width="9.5703125" customWidth="1"/>
    <col min="26" max="26" width="13.140625" customWidth="1"/>
    <col min="27" max="27" width="7.140625" customWidth="1"/>
    <col min="28" max="28" width="12.85546875" customWidth="1"/>
    <col min="29" max="29" width="7.140625" customWidth="1"/>
    <col min="30" max="30" width="14.85546875" customWidth="1"/>
    <col min="31" max="31" width="7.140625" customWidth="1"/>
  </cols>
  <sheetData>
    <row r="1" spans="1:34" s="13" customFormat="1" ht="65.45" customHeight="1" x14ac:dyDescent="0.7">
      <c r="A1" s="50" t="s">
        <v>35</v>
      </c>
      <c r="B1" s="50" t="s">
        <v>38</v>
      </c>
      <c r="C1" s="51" t="s">
        <v>136</v>
      </c>
      <c r="D1" s="51" t="s">
        <v>161</v>
      </c>
      <c r="E1" s="51" t="s">
        <v>219</v>
      </c>
      <c r="F1" s="51" t="s">
        <v>281</v>
      </c>
      <c r="G1" s="82" t="str">
        <f>TV!D2</f>
        <v>PE</v>
      </c>
      <c r="H1" s="82" t="str">
        <f>TV!D5</f>
        <v>PF</v>
      </c>
      <c r="I1" s="82" t="str">
        <f>H1</f>
        <v>PF</v>
      </c>
      <c r="J1" s="51" t="str">
        <f>TV!D8</f>
        <v>AChE</v>
      </c>
      <c r="K1" s="143" t="str">
        <f>J1</f>
        <v>AChE</v>
      </c>
      <c r="L1" s="51" t="str">
        <f>TV!D12</f>
        <v>RNA/DNA</v>
      </c>
      <c r="M1" s="51" t="str">
        <f>L1</f>
        <v>RNA/DNA</v>
      </c>
      <c r="N1" s="51" t="str">
        <f>TV!D13</f>
        <v>TBARS</v>
      </c>
      <c r="O1" s="51" t="str">
        <f>N1</f>
        <v>TBARS</v>
      </c>
      <c r="P1" s="51" t="str">
        <f>TV!D16</f>
        <v>ORAC/TBARS (Redox index)</v>
      </c>
      <c r="Q1" s="51" t="str">
        <f>P1</f>
        <v>ORAC/TBARS (Redox index)</v>
      </c>
      <c r="R1" s="51" t="str">
        <f>'BE rationale'!A10</f>
        <v>CAT</v>
      </c>
      <c r="S1" s="51" t="str">
        <f>R1</f>
        <v>CAT</v>
      </c>
      <c r="T1" s="51" t="str">
        <f>'BE rationale'!A11</f>
        <v>GSI</v>
      </c>
      <c r="U1" s="51" t="str">
        <f>T1</f>
        <v>GSI</v>
      </c>
      <c r="V1" s="51" t="str">
        <f>'BE rationale'!A12</f>
        <v>LSI</v>
      </c>
      <c r="W1" s="51" t="str">
        <f>V1</f>
        <v>LSI</v>
      </c>
      <c r="X1" s="51" t="str">
        <f>'BE rationale'!A13</f>
        <v>EROD</v>
      </c>
      <c r="Y1" s="51" t="str">
        <f>X1</f>
        <v>EROD</v>
      </c>
      <c r="Z1" s="51" t="str">
        <f>'BE rationale'!A14</f>
        <v>GLU</v>
      </c>
      <c r="AA1" s="51" t="str">
        <f>Z1</f>
        <v>GLU</v>
      </c>
      <c r="AB1" s="51" t="str">
        <f>'BE rationale'!A15</f>
        <v>GST</v>
      </c>
      <c r="AC1" s="51" t="str">
        <f>AB1</f>
        <v>GST</v>
      </c>
      <c r="AD1" s="51" t="str">
        <f>'BE rationale'!A16</f>
        <v>VTG</v>
      </c>
      <c r="AE1" s="51" t="str">
        <f>AD1</f>
        <v>VTG</v>
      </c>
      <c r="AF1" s="104"/>
      <c r="AH1" s="59"/>
    </row>
    <row r="2" spans="1:34" s="13" customFormat="1" ht="51" customHeight="1" x14ac:dyDescent="0.7">
      <c r="A2" s="137"/>
      <c r="B2" s="137"/>
      <c r="C2" s="137"/>
      <c r="D2" s="137"/>
      <c r="E2" s="137"/>
      <c r="F2" s="137"/>
      <c r="G2" s="105" t="s">
        <v>284</v>
      </c>
      <c r="H2" s="105" t="s">
        <v>284</v>
      </c>
      <c r="I2" s="105" t="s">
        <v>285</v>
      </c>
      <c r="J2" s="132" t="str">
        <f>'BE rationale'!H4</f>
        <v>10th percentile</v>
      </c>
      <c r="K2" s="144" t="s">
        <v>285</v>
      </c>
      <c r="L2" s="50" t="str">
        <f>'BE rationale'!H5</f>
        <v>10th percentile</v>
      </c>
      <c r="M2" s="144" t="str">
        <f>K2</f>
        <v>n</v>
      </c>
      <c r="N2" s="50" t="str">
        <f>'BE rationale'!H7</f>
        <v>90th percentile</v>
      </c>
      <c r="O2" s="50" t="s">
        <v>285</v>
      </c>
      <c r="P2" s="50" t="str">
        <f>'BE rationale'!H8</f>
        <v>10th percentile</v>
      </c>
      <c r="Q2" s="50" t="s">
        <v>285</v>
      </c>
      <c r="R2" s="50" t="str">
        <f>'BE rationale'!H10</f>
        <v>90th percentile</v>
      </c>
      <c r="S2" s="50" t="s">
        <v>285</v>
      </c>
      <c r="T2" s="50" t="str">
        <f>'BE rationale'!H11</f>
        <v>10th percentile</v>
      </c>
      <c r="U2" s="50" t="s">
        <v>285</v>
      </c>
      <c r="V2" s="50" t="str">
        <f>'BE rationale'!H12</f>
        <v>10th percentile</v>
      </c>
      <c r="W2" s="50" t="s">
        <v>285</v>
      </c>
      <c r="X2" s="50" t="str">
        <f>'BE rationale'!H13</f>
        <v>90th percentile</v>
      </c>
      <c r="Y2" s="50" t="s">
        <v>285</v>
      </c>
      <c r="Z2" s="50" t="str">
        <f>'BE rationale'!H14</f>
        <v>90th percentile</v>
      </c>
      <c r="AA2" s="50" t="s">
        <v>285</v>
      </c>
      <c r="AB2" s="50" t="str">
        <f>'BE rationale'!H15</f>
        <v>90th percentile</v>
      </c>
      <c r="AC2" s="50" t="s">
        <v>285</v>
      </c>
      <c r="AD2" s="50" t="str">
        <f>'BE rationale'!H16</f>
        <v>90th percentile</v>
      </c>
      <c r="AE2" s="50" t="s">
        <v>285</v>
      </c>
      <c r="AF2" s="104"/>
      <c r="AH2" s="59"/>
    </row>
    <row r="3" spans="1:34" x14ac:dyDescent="0.25">
      <c r="A3" s="52">
        <v>2018</v>
      </c>
      <c r="B3" s="102" t="str">
        <f>Stations!C2</f>
        <v>BS</v>
      </c>
      <c r="C3" s="55" t="str">
        <f>Stations!E2</f>
        <v>N 26</v>
      </c>
      <c r="D3" s="35" t="str">
        <f>Species!C2</f>
        <v>Ma</v>
      </c>
      <c r="E3" s="35" t="str">
        <f>Sex!A$3</f>
        <v>Gravid females</v>
      </c>
      <c r="F3" s="35" t="str">
        <f>Tissues!A4</f>
        <v>whole body/brood</v>
      </c>
      <c r="G3" s="124">
        <f>INDEX('BoS Raw Data_PE, PF'!L:L,MATCH(C3,'BoS Raw Data_PE, PF'!I:I,0))</f>
        <v>8.2041932543299903E-2</v>
      </c>
      <c r="H3" s="124">
        <f>INDEX('BoS Raw Data_PE, PF'!M:M,MATCH(C3,'BoS Raw Data_PE, PF'!I:I,0))</f>
        <v>0.34375</v>
      </c>
      <c r="I3" s="125">
        <f>INDEX('BoS Raw Data_PE, PF'!N:N,MATCH(C3,'BoS Raw Data_PE, PF'!I:I,0))</f>
        <v>32</v>
      </c>
      <c r="J3" s="142">
        <f>INDEX('BoS Raw Data_Ma_Biomarkers'!N:N,MATCH(C3,'BoS Raw Data_Ma_Biomarkers'!I:I,0))</f>
        <v>12.100062703999999</v>
      </c>
      <c r="K3" s="145">
        <f>INDEX('BoS Raw Data_Ma_Biomarkers'!U:U,MATCH(C3,'BoS Raw Data_Ma_Biomarkers'!P:P,0))</f>
        <v>10</v>
      </c>
      <c r="L3" s="142">
        <f>INDEX('BoS Raw Data_Ma_Biomarkers'!J:J,MATCH(C3,'BoS Raw Data_Ma_Biomarkers'!$I:$I,0))</f>
        <v>1.9215595647999999</v>
      </c>
      <c r="M3" s="145">
        <f>INDEX('BoS Raw Data_Ma_Biomarkers'!Q:Q,MATCH(C3,'BoS Raw Data_Ma_Biomarkers'!P:P,0))</f>
        <v>10</v>
      </c>
      <c r="N3" s="142">
        <f>INDEX('BoS Raw Data_Ma_Biomarkers'!K:K,MATCH(C3,'BoS Raw Data_Ma_Biomarkers'!$I:$I,0))</f>
        <v>0.49418894089999998</v>
      </c>
      <c r="O3" s="145">
        <f>INDEX('BoS Raw Data_Ma_Biomarkers'!R:R,MATCH(C3,'BoS Raw Data_Ma_Biomarkers'!P:P,0))</f>
        <v>10</v>
      </c>
      <c r="P3" s="142">
        <f>INDEX('BoS Raw Data_Ma_Biomarkers'!M:M,MATCH(C3,'BoS Raw Data_Ma_Biomarkers'!$I:$I,0))</f>
        <v>0.64263233119999985</v>
      </c>
      <c r="Q3" s="145">
        <f>INDEX('BoS Raw Data_Ma_Biomarkers'!T:T,MATCH(C3,'BoS Raw Data_Ma_Biomarkers'!P:P,0))</f>
        <v>10</v>
      </c>
      <c r="R3" s="27"/>
      <c r="S3" s="27"/>
      <c r="T3" s="27"/>
      <c r="U3" s="27"/>
      <c r="V3" s="27"/>
      <c r="W3" s="27"/>
      <c r="X3" s="27"/>
      <c r="Y3" s="27"/>
      <c r="Z3" s="27"/>
      <c r="AA3" s="27"/>
      <c r="AB3" s="27"/>
      <c r="AC3" s="27"/>
      <c r="AD3" s="27"/>
      <c r="AE3" s="27"/>
    </row>
    <row r="4" spans="1:34" x14ac:dyDescent="0.25">
      <c r="A4" s="52">
        <v>2018</v>
      </c>
      <c r="B4" s="102" t="str">
        <f>Stations!C3</f>
        <v>BS</v>
      </c>
      <c r="C4" s="55" t="str">
        <f>Stations!E3</f>
        <v>G 10</v>
      </c>
      <c r="D4" s="35" t="str">
        <f>Species!C2</f>
        <v>Ma</v>
      </c>
      <c r="E4" s="35" t="str">
        <f>Sex!A$3</f>
        <v>Gravid females</v>
      </c>
      <c r="F4" s="35" t="str">
        <f>Tissues!A4</f>
        <v>whole body/brood</v>
      </c>
      <c r="G4" s="124">
        <v>0.02</v>
      </c>
      <c r="H4" s="124">
        <v>0.21</v>
      </c>
      <c r="I4" s="125">
        <v>50</v>
      </c>
      <c r="J4" s="142"/>
      <c r="K4" s="145"/>
      <c r="L4" s="142"/>
      <c r="M4" s="145"/>
      <c r="N4" s="142"/>
      <c r="O4" s="145"/>
      <c r="P4" s="142"/>
      <c r="Q4" s="145"/>
      <c r="R4" s="27"/>
      <c r="S4" s="27"/>
      <c r="T4" s="27"/>
      <c r="U4" s="27"/>
      <c r="V4" s="27"/>
      <c r="W4" s="27"/>
      <c r="X4" s="27"/>
      <c r="Y4" s="27"/>
      <c r="Z4" s="27"/>
      <c r="AA4" s="27"/>
      <c r="AB4" s="27"/>
      <c r="AC4" s="27"/>
      <c r="AD4" s="27"/>
      <c r="AE4" s="27"/>
    </row>
    <row r="5" spans="1:34" x14ac:dyDescent="0.25">
      <c r="A5" s="52">
        <v>2018</v>
      </c>
      <c r="B5" s="102" t="str">
        <f>Stations!C4</f>
        <v>BS</v>
      </c>
      <c r="C5" s="55" t="str">
        <f>Stations!E4</f>
        <v>G 11</v>
      </c>
      <c r="D5" s="35" t="str">
        <f>Species!C2</f>
        <v>Ma</v>
      </c>
      <c r="E5" s="35" t="str">
        <f>Sex!A$3</f>
        <v>Gravid females</v>
      </c>
      <c r="F5" s="35" t="str">
        <f>Tissues!A4</f>
        <v>whole body/brood</v>
      </c>
      <c r="G5" s="124">
        <v>0.02</v>
      </c>
      <c r="H5" s="124">
        <v>0.28000000000000003</v>
      </c>
      <c r="I5" s="125">
        <v>45</v>
      </c>
      <c r="J5" s="142"/>
      <c r="K5" s="145"/>
      <c r="L5" s="142"/>
      <c r="M5" s="145"/>
      <c r="N5" s="142"/>
      <c r="O5" s="145"/>
      <c r="P5" s="142"/>
      <c r="Q5" s="145"/>
      <c r="R5" s="27"/>
      <c r="S5" s="27"/>
      <c r="T5" s="27"/>
      <c r="U5" s="27"/>
      <c r="V5" s="27"/>
      <c r="W5" s="27"/>
      <c r="X5" s="27"/>
      <c r="Y5" s="27"/>
      <c r="Z5" s="27"/>
      <c r="AA5" s="27"/>
      <c r="AB5" s="27"/>
      <c r="AC5" s="27"/>
      <c r="AD5" s="27"/>
      <c r="AE5" s="27"/>
    </row>
    <row r="6" spans="1:34" x14ac:dyDescent="0.25">
      <c r="A6" s="52">
        <v>2018</v>
      </c>
      <c r="B6" s="102" t="str">
        <f>Stations!C5</f>
        <v>BS</v>
      </c>
      <c r="C6" s="55" t="str">
        <f>Stations!E5</f>
        <v>N 4-1</v>
      </c>
      <c r="D6" s="35" t="str">
        <f>Species!C2</f>
        <v>Ma</v>
      </c>
      <c r="E6" s="35" t="str">
        <f>Sex!A$3</f>
        <v>Gravid females</v>
      </c>
      <c r="F6" s="35" t="str">
        <f>Tissues!A4</f>
        <v>whole body/brood</v>
      </c>
      <c r="G6" s="124">
        <v>0.04</v>
      </c>
      <c r="H6" s="124">
        <v>0.28000000000000003</v>
      </c>
      <c r="I6" s="125">
        <v>37</v>
      </c>
      <c r="J6" s="142"/>
      <c r="K6" s="145"/>
      <c r="L6" s="142"/>
      <c r="M6" s="145"/>
      <c r="N6" s="142"/>
      <c r="O6" s="145"/>
      <c r="P6" s="142"/>
      <c r="Q6" s="145"/>
      <c r="R6" s="27"/>
      <c r="S6" s="27"/>
      <c r="T6" s="27"/>
      <c r="U6" s="27"/>
      <c r="V6" s="27"/>
      <c r="W6" s="27"/>
      <c r="X6" s="27"/>
      <c r="Y6" s="27"/>
      <c r="Z6" s="27"/>
      <c r="AA6" s="27"/>
      <c r="AB6" s="27"/>
      <c r="AC6" s="27"/>
      <c r="AD6" s="27"/>
      <c r="AE6" s="27"/>
    </row>
    <row r="7" spans="1:34" x14ac:dyDescent="0.25">
      <c r="A7" s="52">
        <v>2018</v>
      </c>
      <c r="B7" s="102" t="str">
        <f>Stations!C6</f>
        <v>BS</v>
      </c>
      <c r="C7" s="55" t="str">
        <f>Stations!E6</f>
        <v>N 4-3</v>
      </c>
      <c r="D7" s="35" t="str">
        <f>Species!C2</f>
        <v>Ma</v>
      </c>
      <c r="E7" s="35" t="str">
        <f>Sex!A$3</f>
        <v>Gravid females</v>
      </c>
      <c r="F7" s="35" t="str">
        <f>Tissues!A4</f>
        <v>whole body/brood</v>
      </c>
      <c r="G7" s="124">
        <v>0.03</v>
      </c>
      <c r="H7" s="124">
        <v>0.18</v>
      </c>
      <c r="I7" s="125">
        <v>41</v>
      </c>
      <c r="J7" s="142"/>
      <c r="K7" s="145"/>
      <c r="L7" s="142"/>
      <c r="M7" s="145"/>
      <c r="N7" s="142"/>
      <c r="O7" s="145"/>
      <c r="P7" s="142"/>
      <c r="Q7" s="145"/>
      <c r="R7" s="27"/>
      <c r="S7" s="27"/>
      <c r="T7" s="27"/>
      <c r="U7" s="27"/>
      <c r="V7" s="27"/>
      <c r="W7" s="27"/>
      <c r="X7" s="27"/>
      <c r="Y7" s="27"/>
      <c r="Z7" s="27"/>
      <c r="AA7" s="27"/>
      <c r="AB7" s="27"/>
      <c r="AC7" s="27"/>
      <c r="AD7" s="27"/>
      <c r="AE7" s="27"/>
    </row>
    <row r="8" spans="1:34" x14ac:dyDescent="0.25">
      <c r="A8" s="52">
        <v>2018</v>
      </c>
      <c r="B8" s="102" t="str">
        <f>Stations!C7</f>
        <v>BS</v>
      </c>
      <c r="C8" s="55" t="str">
        <f>Stations!E7</f>
        <v>Åv 1</v>
      </c>
      <c r="D8" s="35" t="str">
        <f>Species!C2</f>
        <v>Ma</v>
      </c>
      <c r="E8" s="35" t="str">
        <f>Sex!A$3</f>
        <v>Gravid females</v>
      </c>
      <c r="F8" s="35" t="str">
        <f>Tissues!A4</f>
        <v>whole body/brood</v>
      </c>
      <c r="G8" s="124">
        <v>0.03</v>
      </c>
      <c r="H8" s="124">
        <v>0.41</v>
      </c>
      <c r="I8" s="125">
        <v>44</v>
      </c>
      <c r="J8" s="142"/>
      <c r="K8" s="145"/>
      <c r="L8" s="142"/>
      <c r="M8" s="145"/>
      <c r="N8" s="142"/>
      <c r="O8" s="145"/>
      <c r="P8" s="142"/>
      <c r="Q8" s="145"/>
      <c r="R8" s="27"/>
      <c r="S8" s="27"/>
      <c r="T8" s="27"/>
      <c r="U8" s="27"/>
      <c r="V8" s="27"/>
      <c r="W8" s="27"/>
      <c r="X8" s="27"/>
      <c r="Y8" s="27"/>
      <c r="Z8" s="27"/>
      <c r="AA8" s="27"/>
      <c r="AB8" s="27"/>
      <c r="AC8" s="27"/>
      <c r="AD8" s="27"/>
      <c r="AE8" s="27"/>
    </row>
    <row r="9" spans="1:34" x14ac:dyDescent="0.25">
      <c r="A9" s="52">
        <v>2018</v>
      </c>
      <c r="B9" s="102" t="str">
        <f>Stations!C8</f>
        <v>BS</v>
      </c>
      <c r="C9" s="55" t="str">
        <f>Stations!E8</f>
        <v>Åv 2</v>
      </c>
      <c r="D9" s="35" t="str">
        <f>Species!C2</f>
        <v>Ma</v>
      </c>
      <c r="E9" s="35" t="str">
        <f>Sex!A$3</f>
        <v>Gravid females</v>
      </c>
      <c r="F9" s="35" t="str">
        <f>Tissues!A4</f>
        <v>whole body/brood</v>
      </c>
      <c r="G9" s="124">
        <v>0.09</v>
      </c>
      <c r="H9" s="124">
        <v>0.38</v>
      </c>
      <c r="I9" s="125">
        <v>36</v>
      </c>
      <c r="J9" s="142"/>
      <c r="K9" s="145"/>
      <c r="L9" s="142"/>
      <c r="M9" s="145"/>
      <c r="N9" s="142"/>
      <c r="O9" s="145"/>
      <c r="P9" s="142"/>
      <c r="Q9" s="145"/>
      <c r="R9" s="27"/>
      <c r="S9" s="27"/>
      <c r="T9" s="27"/>
      <c r="U9" s="27"/>
      <c r="V9" s="27"/>
      <c r="W9" s="27"/>
      <c r="X9" s="27"/>
      <c r="Y9" s="27"/>
      <c r="Z9" s="27"/>
      <c r="AA9" s="27"/>
      <c r="AB9" s="27"/>
      <c r="AC9" s="27"/>
      <c r="AD9" s="27"/>
      <c r="AE9" s="27"/>
    </row>
    <row r="10" spans="1:34" x14ac:dyDescent="0.25">
      <c r="A10" s="52">
        <v>2018</v>
      </c>
      <c r="B10" s="102" t="str">
        <f>Stations!C9</f>
        <v>BS</v>
      </c>
      <c r="C10" s="55" t="str">
        <f>Stations!E9</f>
        <v>Su 4</v>
      </c>
      <c r="D10" s="35" t="str">
        <f>Species!C2</f>
        <v>Ma</v>
      </c>
      <c r="E10" s="35" t="str">
        <f>Sex!A$3</f>
        <v>Gravid females</v>
      </c>
      <c r="F10" s="35" t="str">
        <f>Tissues!A4</f>
        <v>whole body/brood</v>
      </c>
      <c r="G10" s="124">
        <v>0.13</v>
      </c>
      <c r="H10" s="124">
        <v>0.31</v>
      </c>
      <c r="I10" s="125">
        <v>47</v>
      </c>
      <c r="J10" s="142"/>
      <c r="K10" s="145"/>
      <c r="L10" s="142"/>
      <c r="M10" s="145"/>
      <c r="N10" s="142"/>
      <c r="O10" s="145"/>
      <c r="P10" s="142"/>
      <c r="Q10" s="145"/>
      <c r="R10" s="27"/>
      <c r="S10" s="27"/>
      <c r="T10" s="27"/>
      <c r="U10" s="27"/>
      <c r="V10" s="27"/>
      <c r="W10" s="27"/>
      <c r="X10" s="27"/>
      <c r="Y10" s="27"/>
      <c r="Z10" s="27"/>
      <c r="AA10" s="27"/>
      <c r="AB10" s="27"/>
      <c r="AC10" s="27"/>
      <c r="AD10" s="27"/>
      <c r="AE10" s="27"/>
    </row>
    <row r="11" spans="1:34" x14ac:dyDescent="0.25">
      <c r="A11" s="52">
        <v>2018</v>
      </c>
      <c r="B11" s="102" t="str">
        <f>Stations!C10</f>
        <v>BS</v>
      </c>
      <c r="C11" s="55" t="str">
        <f>Stations!E10</f>
        <v>Su 5</v>
      </c>
      <c r="D11" s="35" t="str">
        <f>Species!C2</f>
        <v>Ma</v>
      </c>
      <c r="E11" s="35" t="str">
        <f>Sex!A$3</f>
        <v>Gravid females</v>
      </c>
      <c r="F11" s="35" t="str">
        <f>Tissues!A4</f>
        <v>whole body/brood</v>
      </c>
      <c r="G11" s="124">
        <v>0.14000000000000001</v>
      </c>
      <c r="H11" s="124">
        <v>0.37</v>
      </c>
      <c r="I11" s="125">
        <v>45</v>
      </c>
      <c r="J11" s="142"/>
      <c r="K11" s="145"/>
      <c r="L11" s="142"/>
      <c r="M11" s="145"/>
      <c r="N11" s="142"/>
      <c r="O11" s="145"/>
      <c r="P11" s="142"/>
      <c r="Q11" s="145"/>
      <c r="R11" s="27"/>
      <c r="S11" s="27"/>
      <c r="T11" s="27"/>
      <c r="U11" s="27"/>
      <c r="V11" s="27"/>
      <c r="W11" s="27"/>
      <c r="X11" s="27"/>
      <c r="Y11" s="27"/>
      <c r="Z11" s="27"/>
      <c r="AA11" s="27"/>
      <c r="AB11" s="27"/>
      <c r="AC11" s="27"/>
      <c r="AD11" s="27"/>
      <c r="AE11" s="27"/>
    </row>
    <row r="12" spans="1:34" x14ac:dyDescent="0.25">
      <c r="A12" s="52">
        <v>2018</v>
      </c>
      <c r="B12" s="102" t="str">
        <f>Stations!C11</f>
        <v>BS</v>
      </c>
      <c r="C12" s="55" t="str">
        <f>Stations!E11</f>
        <v>R 2-4</v>
      </c>
      <c r="D12" s="35" t="str">
        <f>Species!C2</f>
        <v>Ma</v>
      </c>
      <c r="E12" s="35" t="str">
        <f>Sex!A$3</f>
        <v>Gravid females</v>
      </c>
      <c r="F12" s="35" t="str">
        <f>Tissues!A4</f>
        <v>whole body/brood</v>
      </c>
      <c r="G12" s="124">
        <v>0.04</v>
      </c>
      <c r="H12" s="124">
        <v>0.25</v>
      </c>
      <c r="I12" s="125">
        <v>48</v>
      </c>
      <c r="J12" s="142"/>
      <c r="K12" s="145"/>
      <c r="L12" s="142"/>
      <c r="M12" s="145"/>
      <c r="N12" s="142"/>
      <c r="O12" s="145"/>
      <c r="P12" s="142"/>
      <c r="Q12" s="145"/>
      <c r="R12" s="27"/>
      <c r="S12" s="27"/>
      <c r="T12" s="27"/>
      <c r="U12" s="27"/>
      <c r="V12" s="27"/>
      <c r="W12" s="27"/>
      <c r="X12" s="27"/>
      <c r="Y12" s="27"/>
      <c r="Z12" s="27"/>
      <c r="AA12" s="27"/>
      <c r="AB12" s="27"/>
      <c r="AC12" s="27"/>
      <c r="AD12" s="27"/>
      <c r="AE12" s="27"/>
    </row>
    <row r="13" spans="1:34" x14ac:dyDescent="0.25">
      <c r="A13" s="52">
        <v>2018</v>
      </c>
      <c r="B13" s="102" t="str">
        <f>Stations!C12</f>
        <v>BS</v>
      </c>
      <c r="C13" s="55" t="str">
        <f>Stations!E12</f>
        <v>R 2-13</v>
      </c>
      <c r="D13" s="35" t="str">
        <f>Species!C2</f>
        <v>Ma</v>
      </c>
      <c r="E13" s="35" t="str">
        <f>Sex!A$3</f>
        <v>Gravid females</v>
      </c>
      <c r="F13" s="35" t="str">
        <f>Tissues!A4</f>
        <v>whole body/brood</v>
      </c>
      <c r="G13" s="124">
        <v>0.05</v>
      </c>
      <c r="H13" s="124">
        <v>0.32</v>
      </c>
      <c r="I13" s="125">
        <v>39</v>
      </c>
      <c r="J13" s="142"/>
      <c r="K13" s="145"/>
      <c r="L13" s="142"/>
      <c r="M13" s="145"/>
      <c r="N13" s="142"/>
      <c r="O13" s="145"/>
      <c r="P13" s="142"/>
      <c r="Q13" s="145"/>
      <c r="R13" s="27"/>
      <c r="S13" s="27"/>
      <c r="T13" s="27"/>
      <c r="U13" s="27"/>
      <c r="V13" s="27"/>
      <c r="W13" s="27"/>
      <c r="X13" s="27"/>
      <c r="Y13" s="27"/>
      <c r="Z13" s="27"/>
      <c r="AA13" s="27"/>
      <c r="AB13" s="27"/>
      <c r="AC13" s="27"/>
      <c r="AD13" s="27"/>
      <c r="AE13" s="27"/>
    </row>
    <row r="14" spans="1:34" x14ac:dyDescent="0.25">
      <c r="A14" s="52">
        <v>2018</v>
      </c>
      <c r="B14" s="102" t="str">
        <f>Stations!C13</f>
        <v>BS</v>
      </c>
      <c r="C14" s="55" t="str">
        <f>Stations!E13</f>
        <v>N 2-4</v>
      </c>
      <c r="D14" s="35" t="str">
        <f>Species!C2</f>
        <v>Ma</v>
      </c>
      <c r="E14" s="35" t="str">
        <f>Sex!A$3</f>
        <v>Gravid females</v>
      </c>
      <c r="F14" s="35" t="str">
        <f>Tissues!A4</f>
        <v>whole body/brood</v>
      </c>
      <c r="G14" s="124">
        <v>0.03</v>
      </c>
      <c r="H14" s="124">
        <v>0.31</v>
      </c>
      <c r="I14" s="125">
        <v>50</v>
      </c>
      <c r="J14" s="142"/>
      <c r="K14" s="145"/>
      <c r="L14" s="142"/>
      <c r="M14" s="145"/>
      <c r="N14" s="142"/>
      <c r="O14" s="145"/>
      <c r="P14" s="142"/>
      <c r="Q14" s="145"/>
      <c r="R14" s="27"/>
      <c r="S14" s="27"/>
      <c r="T14" s="27"/>
      <c r="U14" s="27"/>
      <c r="V14" s="27"/>
      <c r="W14" s="27"/>
      <c r="X14" s="27"/>
      <c r="Y14" s="27"/>
      <c r="Z14" s="27"/>
      <c r="AA14" s="27"/>
      <c r="AB14" s="27"/>
      <c r="AC14" s="27"/>
      <c r="AD14" s="27"/>
      <c r="AE14" s="27"/>
    </row>
    <row r="15" spans="1:34" x14ac:dyDescent="0.25">
      <c r="A15" s="52">
        <v>2018</v>
      </c>
      <c r="B15" s="102" t="str">
        <f>Stations!C14</f>
        <v>BS</v>
      </c>
      <c r="C15" s="55" t="str">
        <f>Stations!E14</f>
        <v>N 2-3</v>
      </c>
      <c r="D15" s="35" t="str">
        <f>Species!C2</f>
        <v>Ma</v>
      </c>
      <c r="E15" s="35" t="str">
        <f>Sex!A$3</f>
        <v>Gravid females</v>
      </c>
      <c r="F15" s="101" t="str">
        <f>Tissues!A4</f>
        <v>whole body/brood</v>
      </c>
      <c r="G15" s="124">
        <v>0.04</v>
      </c>
      <c r="H15" s="124">
        <v>0.2</v>
      </c>
      <c r="I15" s="125">
        <v>50</v>
      </c>
      <c r="J15" s="142"/>
      <c r="K15" s="145"/>
      <c r="L15" s="142"/>
      <c r="M15" s="145"/>
      <c r="N15" s="142"/>
      <c r="O15" s="145"/>
      <c r="P15" s="142"/>
      <c r="Q15" s="145"/>
      <c r="R15" s="27"/>
      <c r="S15" s="27"/>
      <c r="T15" s="27"/>
      <c r="U15" s="27"/>
      <c r="V15" s="27"/>
      <c r="W15" s="27"/>
      <c r="X15" s="27"/>
      <c r="Y15" s="27"/>
      <c r="Z15" s="27"/>
      <c r="AA15" s="27"/>
      <c r="AB15" s="27"/>
      <c r="AC15" s="27"/>
      <c r="AD15" s="27"/>
      <c r="AE15" s="27"/>
    </row>
    <row r="16" spans="1:34" x14ac:dyDescent="0.25">
      <c r="A16" s="52">
        <v>2018</v>
      </c>
      <c r="B16" s="102" t="str">
        <f>Stations!C15</f>
        <v>BS</v>
      </c>
      <c r="C16" s="55" t="str">
        <f>Stations!E15</f>
        <v>SR1A</v>
      </c>
      <c r="D16" s="35" t="str">
        <f>Species!C2</f>
        <v>Ma</v>
      </c>
      <c r="E16" s="35" t="str">
        <f>Sex!A$3</f>
        <v>Gravid females</v>
      </c>
      <c r="F16" s="101" t="str">
        <f>Tissues!A4</f>
        <v>whole body/brood</v>
      </c>
      <c r="G16" s="124">
        <f>INDEX('BoS Raw Data_PE, PF'!L:L,MATCH(C16,'BoS Raw Data_PE, PF'!I:I,0))</f>
        <v>5.921052631578947E-2</v>
      </c>
      <c r="H16" s="124">
        <f>INDEX('BoS Raw Data_PE, PF'!M:M,MATCH(C16,'BoS Raw Data_PE, PF'!I:I,0))</f>
        <v>0.29166666666666669</v>
      </c>
      <c r="I16" s="125">
        <f>INDEX('BoS Raw Data_PE, PF'!N:N,MATCH(C16,'BoS Raw Data_PE, PF'!I:I,0))</f>
        <v>48</v>
      </c>
      <c r="J16" s="142">
        <f>INDEX('BoS Raw Data_Ma_Biomarkers'!N:N,MATCH(C16,'BoS Raw Data_Ma_Biomarkers'!I:I,0))</f>
        <v>12.170142095000001</v>
      </c>
      <c r="K16" s="145">
        <f>INDEX('BoS Raw Data_Ma_Biomarkers'!U:U,MATCH(C16,'BoS Raw Data_Ma_Biomarkers'!P:P,0))</f>
        <v>10</v>
      </c>
      <c r="L16" s="142">
        <f>INDEX('BoS Raw Data_Ma_Biomarkers'!J:J,MATCH(C16,'BoS Raw Data_Ma_Biomarkers'!$I:$I,0))</f>
        <v>2.3935700980999997</v>
      </c>
      <c r="M16" s="145">
        <f>INDEX('BoS Raw Data_Ma_Biomarkers'!Q:Q,MATCH(C16,'BoS Raw Data_Ma_Biomarkers'!P:P,0))</f>
        <v>10</v>
      </c>
      <c r="N16" s="142">
        <f>INDEX('BoS Raw Data_Ma_Biomarkers'!K:K,MATCH(C16,'BoS Raw Data_Ma_Biomarkers'!$I:$I,0))</f>
        <v>0.49296449979999996</v>
      </c>
      <c r="O16" s="145">
        <f>INDEX('BoS Raw Data_Ma_Biomarkers'!R:R,MATCH(C16,'BoS Raw Data_Ma_Biomarkers'!P:P,0))</f>
        <v>10</v>
      </c>
      <c r="P16" s="142">
        <f>INDEX('BoS Raw Data_Ma_Biomarkers'!M:M,MATCH(C16,'BoS Raw Data_Ma_Biomarkers'!$I:$I,0))</f>
        <v>0.6100941232999999</v>
      </c>
      <c r="Q16" s="145">
        <f>INDEX('BoS Raw Data_Ma_Biomarkers'!T:T,MATCH(C16,'BoS Raw Data_Ma_Biomarkers'!P:P,0))</f>
        <v>10</v>
      </c>
      <c r="R16" s="27"/>
      <c r="S16" s="27"/>
      <c r="T16" s="27"/>
      <c r="U16" s="27"/>
      <c r="V16" s="27"/>
      <c r="W16" s="27"/>
      <c r="X16" s="27"/>
      <c r="Y16" s="27"/>
      <c r="Z16" s="27"/>
      <c r="AA16" s="27"/>
      <c r="AB16" s="27"/>
      <c r="AC16" s="27"/>
      <c r="AD16" s="27"/>
      <c r="AE16" s="27"/>
    </row>
    <row r="17" spans="1:31" x14ac:dyDescent="0.25">
      <c r="A17" s="52">
        <v>2018</v>
      </c>
      <c r="B17" s="102" t="str">
        <f>Stations!C17</f>
        <v>BS</v>
      </c>
      <c r="C17" s="55">
        <f>Stations!E17</f>
        <v>57</v>
      </c>
      <c r="D17" s="35" t="str">
        <f>Species!C2</f>
        <v>Ma</v>
      </c>
      <c r="E17" s="35" t="str">
        <f>Sex!A$3</f>
        <v>Gravid females</v>
      </c>
      <c r="F17" s="101" t="str">
        <f>Tissues!A4</f>
        <v>whole body/brood</v>
      </c>
      <c r="G17" s="124">
        <f>INDEX('BoS Raw Data_PE, PF'!L:L,MATCH(C17,'BoS Raw Data_PE, PF'!I:I,0))</f>
        <v>0.21789883268482491</v>
      </c>
      <c r="H17" s="124">
        <f>INDEX('BoS Raw Data_PE, PF'!M:M,MATCH(C17,'BoS Raw Data_PE, PF'!I:I,0))</f>
        <v>0.8</v>
      </c>
      <c r="I17" s="125">
        <f>INDEX('BoS Raw Data_PE, PF'!N:N,MATCH(C17,'BoS Raw Data_PE, PF'!I:I,0))</f>
        <v>10</v>
      </c>
      <c r="J17" s="142">
        <f>INDEX('BoS Raw Data_Ma_Biomarkers'!N:N,MATCH(C17,'BoS Raw Data_Ma_Biomarkers'!I:I,0))</f>
        <v>14.214816526</v>
      </c>
      <c r="K17" s="145">
        <f>INDEX('BoS Raw Data_Ma_Biomarkers'!U:U,MATCH(C17,'BoS Raw Data_Ma_Biomarkers'!P:P,0))</f>
        <v>5</v>
      </c>
      <c r="L17" s="142">
        <f>INDEX('BoS Raw Data_Ma_Biomarkers'!J:J,MATCH(C17,'BoS Raw Data_Ma_Biomarkers'!$I:$I,0))</f>
        <v>1.9091465911999999</v>
      </c>
      <c r="M17" s="145">
        <f>INDEX('BoS Raw Data_Ma_Biomarkers'!Q:Q,MATCH(C17,'BoS Raw Data_Ma_Biomarkers'!P:P,0))</f>
        <v>5</v>
      </c>
      <c r="N17" s="142">
        <f>INDEX('BoS Raw Data_Ma_Biomarkers'!K:K,MATCH(C17,'BoS Raw Data_Ma_Biomarkers'!$I:$I,0))</f>
        <v>0.93865922560000004</v>
      </c>
      <c r="O17" s="145">
        <f>INDEX('BoS Raw Data_Ma_Biomarkers'!R:R,MATCH(C17,'BoS Raw Data_Ma_Biomarkers'!P:P,0))</f>
        <v>5</v>
      </c>
      <c r="P17" s="142">
        <f>INDEX('BoS Raw Data_Ma_Biomarkers'!M:M,MATCH(C17,'BoS Raw Data_Ma_Biomarkers'!$I:$I,0))</f>
        <v>0.23790375279999998</v>
      </c>
      <c r="Q17" s="145">
        <f>INDEX('BoS Raw Data_Ma_Biomarkers'!T:T,MATCH(C17,'BoS Raw Data_Ma_Biomarkers'!P:P,0))</f>
        <v>5</v>
      </c>
      <c r="R17" s="27"/>
      <c r="S17" s="27"/>
      <c r="T17" s="27"/>
      <c r="U17" s="27"/>
      <c r="V17" s="27"/>
      <c r="W17" s="27"/>
      <c r="X17" s="27"/>
      <c r="Y17" s="27"/>
      <c r="Z17" s="27"/>
      <c r="AA17" s="27"/>
      <c r="AB17" s="27"/>
      <c r="AC17" s="27"/>
      <c r="AD17" s="27"/>
      <c r="AE17" s="27"/>
    </row>
    <row r="18" spans="1:31" x14ac:dyDescent="0.25">
      <c r="A18" s="52">
        <v>2018</v>
      </c>
      <c r="B18" s="102" t="str">
        <f>Stations!C18</f>
        <v>BS</v>
      </c>
      <c r="C18" s="55">
        <f>Stations!E18</f>
        <v>58</v>
      </c>
      <c r="D18" s="35" t="str">
        <f>Species!C2</f>
        <v>Ma</v>
      </c>
      <c r="E18" s="35" t="str">
        <f>Sex!A$3</f>
        <v>Gravid females</v>
      </c>
      <c r="F18" s="101" t="str">
        <f>Tissues!A4</f>
        <v>whole body/brood</v>
      </c>
      <c r="G18" s="124">
        <f>INDEX('BoS Raw Data_PE, PF'!L:L,MATCH(C18,'BoS Raw Data_PE, PF'!I:I,0))</f>
        <v>0.1171875</v>
      </c>
      <c r="H18" s="124">
        <f>INDEX('BoS Raw Data_PE, PF'!M:M,MATCH(C18,'BoS Raw Data_PE, PF'!I:I,0))</f>
        <v>0.52631578947368418</v>
      </c>
      <c r="I18" s="125">
        <f>INDEX('BoS Raw Data_PE, PF'!N:N,MATCH(C18,'BoS Raw Data_PE, PF'!I:I,0))</f>
        <v>19</v>
      </c>
      <c r="J18" s="142">
        <f>INDEX('BoS Raw Data_Ma_Biomarkers'!N:N,MATCH(C18,'BoS Raw Data_Ma_Biomarkers'!I:I,0))</f>
        <v>14.951106139</v>
      </c>
      <c r="K18" s="145">
        <f>INDEX('BoS Raw Data_Ma_Biomarkers'!U:U,MATCH(C18,'BoS Raw Data_Ma_Biomarkers'!P:P,0))</f>
        <v>10</v>
      </c>
      <c r="L18" s="142">
        <f>INDEX('BoS Raw Data_Ma_Biomarkers'!J:J,MATCH(C18,'BoS Raw Data_Ma_Biomarkers'!$I:$I,0))</f>
        <v>1.2588775335</v>
      </c>
      <c r="M18" s="145">
        <f>INDEX('BoS Raw Data_Ma_Biomarkers'!Q:Q,MATCH(C18,'BoS Raw Data_Ma_Biomarkers'!P:P,0))</f>
        <v>10</v>
      </c>
      <c r="N18" s="142">
        <f>INDEX('BoS Raw Data_Ma_Biomarkers'!K:K,MATCH(C18,'BoS Raw Data_Ma_Biomarkers'!$I:$I,0))</f>
        <v>1.1533571561999998</v>
      </c>
      <c r="O18" s="145">
        <f>INDEX('BoS Raw Data_Ma_Biomarkers'!R:R,MATCH(C18,'BoS Raw Data_Ma_Biomarkers'!P:P,0))</f>
        <v>10</v>
      </c>
      <c r="P18" s="142">
        <f>INDEX('BoS Raw Data_Ma_Biomarkers'!M:M,MATCH(C18,'BoS Raw Data_Ma_Biomarkers'!$I:$I,0))</f>
        <v>0.25692382829999999</v>
      </c>
      <c r="Q18" s="145">
        <f>INDEX('BoS Raw Data_Ma_Biomarkers'!T:T,MATCH(C18,'BoS Raw Data_Ma_Biomarkers'!P:P,0))</f>
        <v>10</v>
      </c>
      <c r="R18" s="27"/>
      <c r="S18" s="27"/>
      <c r="T18" s="27"/>
      <c r="U18" s="27"/>
      <c r="V18" s="27"/>
      <c r="W18" s="27"/>
      <c r="X18" s="27"/>
      <c r="Y18" s="27"/>
      <c r="Z18" s="27"/>
      <c r="AA18" s="27"/>
      <c r="AB18" s="27"/>
      <c r="AC18" s="27"/>
      <c r="AD18" s="27"/>
      <c r="AE18" s="27"/>
    </row>
    <row r="19" spans="1:31" x14ac:dyDescent="0.25">
      <c r="A19" s="52">
        <v>2018</v>
      </c>
      <c r="B19" s="102" t="str">
        <f>Stations!C16</f>
        <v>BS</v>
      </c>
      <c r="C19" s="55" t="str">
        <f>Stations!E16</f>
        <v>Norrsundet</v>
      </c>
      <c r="D19" s="35" t="str">
        <f>Species!C2</f>
        <v>Ma</v>
      </c>
      <c r="E19" s="35" t="str">
        <f>Sex!A$3</f>
        <v>Gravid females</v>
      </c>
      <c r="F19" s="101" t="str">
        <f>Tissues!A4</f>
        <v>whole body/brood</v>
      </c>
      <c r="G19" s="124">
        <f>INDEX('BoS Raw Data_PE, PF'!L:L,MATCH(C19,'BoS Raw Data_PE, PF'!I:I,0))</f>
        <v>0.10662358642972536</v>
      </c>
      <c r="H19" s="124">
        <f>INDEX('BoS Raw Data_PE, PF'!M:M,MATCH(C19,'BoS Raw Data_PE, PF'!I:I,0))</f>
        <v>0.38636363636363635</v>
      </c>
      <c r="I19" s="125">
        <f>INDEX('BoS Raw Data_PE, PF'!N:N,MATCH(C19,'BoS Raw Data_PE, PF'!I:I,0))</f>
        <v>44</v>
      </c>
      <c r="J19" s="142">
        <f>INDEX('BoS Raw Data_Ma_Biomarkers'!N:N,MATCH(C19,'BoS Raw Data_Ma_Biomarkers'!I:I,0))</f>
        <v>12.865443105999999</v>
      </c>
      <c r="K19" s="145">
        <f>INDEX('BoS Raw Data_Ma_Biomarkers'!U:U,MATCH(C19,'BoS Raw Data_Ma_Biomarkers'!P:P,0))</f>
        <v>10</v>
      </c>
      <c r="L19" s="142">
        <f>INDEX('BoS Raw Data_Ma_Biomarkers'!J:J,MATCH(C19,'BoS Raw Data_Ma_Biomarkers'!$I:$I,0))</f>
        <v>0.99369814460000006</v>
      </c>
      <c r="M19" s="145">
        <f>INDEX('BoS Raw Data_Ma_Biomarkers'!Q:Q,MATCH(C19,'BoS Raw Data_Ma_Biomarkers'!P:P,0))</f>
        <v>10</v>
      </c>
      <c r="N19" s="142">
        <f>INDEX('BoS Raw Data_Ma_Biomarkers'!K:K,MATCH(C19,'BoS Raw Data_Ma_Biomarkers'!$I:$I,0))</f>
        <v>0.97364382709999997</v>
      </c>
      <c r="O19" s="145">
        <f>INDEX('BoS Raw Data_Ma_Biomarkers'!R:R,MATCH(C19,'BoS Raw Data_Ma_Biomarkers'!P:P,0))</f>
        <v>10</v>
      </c>
      <c r="P19" s="142">
        <f>INDEX('BoS Raw Data_Ma_Biomarkers'!M:M,MATCH(C19,'BoS Raw Data_Ma_Biomarkers'!$I:$I,0))</f>
        <v>0.33685548069999999</v>
      </c>
      <c r="Q19" s="145">
        <f>INDEX('BoS Raw Data_Ma_Biomarkers'!T:T,MATCH(C19,'BoS Raw Data_Ma_Biomarkers'!P:P,0))</f>
        <v>10</v>
      </c>
      <c r="R19" s="27"/>
      <c r="S19" s="27"/>
      <c r="T19" s="27"/>
      <c r="U19" s="27"/>
      <c r="V19" s="27"/>
      <c r="W19" s="27"/>
      <c r="X19" s="27"/>
      <c r="Y19" s="27"/>
      <c r="Z19" s="27"/>
      <c r="AA19" s="27"/>
      <c r="AB19" s="27"/>
      <c r="AC19" s="27"/>
      <c r="AD19" s="27"/>
      <c r="AE19" s="27"/>
    </row>
    <row r="20" spans="1:31" x14ac:dyDescent="0.25">
      <c r="A20" s="52">
        <v>2018</v>
      </c>
      <c r="B20" s="102" t="str">
        <f>Stations!C17</f>
        <v>BS</v>
      </c>
      <c r="C20" s="81" t="str">
        <f>Stations!E16</f>
        <v>Norrsundet</v>
      </c>
      <c r="D20" s="35" t="str">
        <f>Species!C6</f>
        <v>Pefl</v>
      </c>
      <c r="E20" s="35" t="str">
        <f>Sex!A2</f>
        <v>Females</v>
      </c>
      <c r="F20" s="134" t="s">
        <v>448</v>
      </c>
      <c r="G20" s="84"/>
      <c r="H20" s="84"/>
      <c r="I20" s="84"/>
      <c r="J20" s="133"/>
      <c r="K20" s="145"/>
      <c r="L20" s="27"/>
      <c r="M20" s="27"/>
      <c r="N20" s="27"/>
      <c r="O20" s="27"/>
      <c r="P20" s="27"/>
      <c r="Q20" s="27"/>
      <c r="R20" s="27"/>
      <c r="S20" s="27"/>
      <c r="T20" s="27" cm="1">
        <f t="array" ref="T20">INDEX('BoS Raw Data_FishBiomarkers'!S:S,MATCH(1, ('BoS Raw Data_FishBiomarkers'!N:N = C20)* ('BoS Raw Data_FishBiomarkers'!P:P = E20), 0))</f>
        <v>2.855</v>
      </c>
      <c r="U20" s="27" cm="1">
        <f t="array" ref="U20">INDEX('BoS Raw Data_FishBiomarkers'!T:T,MATCH(1, ('BoS Raw Data_FishBiomarkers'!N:N = C20)* ('BoS Raw Data_FishBiomarkers'!P:P = E20), 0))</f>
        <v>21</v>
      </c>
      <c r="V20" s="27" cm="1">
        <f t="array" ref="V20">INDEX('BoS Raw Data_FishBiomarkers'!U:U,MATCH(1, ('BoS Raw Data_FishBiomarkers'!N:N = C20)* ('BoS Raw Data_FishBiomarkers'!P:P = E20), 0))</f>
        <v>1.3320000000000001</v>
      </c>
      <c r="W20" s="27" cm="1">
        <f t="array" ref="W20">INDEX('BoS Raw Data_FishBiomarkers'!V:V,MATCH(1, ('BoS Raw Data_FishBiomarkers'!N:N = C20)* ('BoS Raw Data_FishBiomarkers'!P:P = E20), 0))</f>
        <v>20</v>
      </c>
      <c r="X20" s="27" cm="1">
        <f t="array" ref="X20">INDEX('BoS Raw Data_FishBiomarkers'!W:W,MATCH(1, ('BoS Raw Data_FishBiomarkers'!N:N = C20)* ('BoS Raw Data_FishBiomarkers'!P:P = E20), 0))</f>
        <v>308.3</v>
      </c>
      <c r="Y20" s="27" cm="1">
        <f t="array" ref="Y20">INDEX('BoS Raw Data_FishBiomarkers'!X:X,MATCH(1, ('BoS Raw Data_FishBiomarkers'!N:N = C20)* ('BoS Raw Data_FishBiomarkers'!P:P = E20), 0))</f>
        <v>20</v>
      </c>
      <c r="Z20" s="27"/>
      <c r="AA20" s="27"/>
      <c r="AB20" s="27"/>
      <c r="AC20" s="27"/>
      <c r="AD20" s="27"/>
      <c r="AE20" s="27"/>
    </row>
    <row r="21" spans="1:31" x14ac:dyDescent="0.25">
      <c r="A21" s="52">
        <v>2018</v>
      </c>
      <c r="B21" s="102" t="str">
        <f>Stations!C18</f>
        <v>BS</v>
      </c>
      <c r="C21" s="81" t="str">
        <f>Stations!E16</f>
        <v>Norrsundet</v>
      </c>
      <c r="D21" s="35" t="str">
        <f>Species!C6</f>
        <v>Pefl</v>
      </c>
      <c r="E21" s="35" t="str">
        <f>Sex!A5</f>
        <v>Males</v>
      </c>
      <c r="F21" s="134" t="s">
        <v>448</v>
      </c>
      <c r="G21" s="84"/>
      <c r="H21" s="84"/>
      <c r="I21" s="84"/>
      <c r="J21" s="133"/>
      <c r="K21" s="145"/>
      <c r="L21" s="27"/>
      <c r="M21" s="27"/>
      <c r="N21" s="27"/>
      <c r="O21" s="27"/>
      <c r="P21" s="27"/>
      <c r="Q21" s="27"/>
      <c r="R21" s="27"/>
      <c r="S21" s="27"/>
      <c r="T21" s="27" cm="1">
        <f t="array" ref="T21">INDEX('BoS Raw Data_FishBiomarkers'!S:S,MATCH(1, ('BoS Raw Data_FishBiomarkers'!N:N = C21)* ('BoS Raw Data_FishBiomarkers'!P:P = E21), 0))</f>
        <v>5.7489999999999997</v>
      </c>
      <c r="U21" s="27" cm="1">
        <f t="array" ref="U21">INDEX('BoS Raw Data_FishBiomarkers'!T:T,MATCH(1, ('BoS Raw Data_FishBiomarkers'!N:N = C21)* ('BoS Raw Data_FishBiomarkers'!P:P = E21), 0))</f>
        <v>10</v>
      </c>
      <c r="V21" s="27" cm="1">
        <f t="array" ref="V21">INDEX('BoS Raw Data_FishBiomarkers'!U:U,MATCH(1, ('BoS Raw Data_FishBiomarkers'!N:N = C21)* ('BoS Raw Data_FishBiomarkers'!P:P = E21), 0))</f>
        <v>0.88500000000000001</v>
      </c>
      <c r="W21" s="27" cm="1">
        <f t="array" ref="W21">INDEX('BoS Raw Data_FishBiomarkers'!V:V,MATCH(1, ('BoS Raw Data_FishBiomarkers'!N:N = C21)* ('BoS Raw Data_FishBiomarkers'!P:P = E21), 0))</f>
        <v>10</v>
      </c>
      <c r="X21" s="27" cm="1">
        <f t="array" ref="X21">INDEX('BoS Raw Data_FishBiomarkers'!W:W,MATCH(1, ('BoS Raw Data_FishBiomarkers'!N:N = C21)* ('BoS Raw Data_FishBiomarkers'!P:P = E21), 0))</f>
        <v>426.89999999999992</v>
      </c>
      <c r="Y21" s="27" cm="1">
        <f t="array" ref="Y21">INDEX('BoS Raw Data_FishBiomarkers'!X:X,MATCH(1, ('BoS Raw Data_FishBiomarkers'!N:N = C21)* ('BoS Raw Data_FishBiomarkers'!P:P = E21), 0))</f>
        <v>10</v>
      </c>
      <c r="Z21" s="27"/>
      <c r="AA21" s="27"/>
      <c r="AB21" s="27"/>
      <c r="AC21" s="27"/>
      <c r="AD21" s="27" cm="1">
        <f t="array" ref="AD21">INDEX('BoS Raw Data_FishBiomarkers'!Y:Y,MATCH(1, ('BoS Raw Data_FishBiomarkers'!N:N = C21)* ('BoS Raw Data_FishBiomarkers'!P:P = E21), 0))</f>
        <v>0.69299999999999995</v>
      </c>
      <c r="AE21" s="27" cm="1">
        <f t="array" ref="AE21">INDEX('BoS Raw Data_FishBiomarkers'!Z:Z,MATCH(1, ('BoS Raw Data_FishBiomarkers'!N:N = C21)* ('BoS Raw Data_FishBiomarkers'!P:P = E21), 0))</f>
        <v>10</v>
      </c>
    </row>
    <row r="22" spans="1:31" x14ac:dyDescent="0.25">
      <c r="A22" s="52">
        <v>2018</v>
      </c>
      <c r="B22" s="102" t="str">
        <f>Stations!C18</f>
        <v>BS</v>
      </c>
      <c r="C22" s="81" t="str">
        <f>Stations!E16</f>
        <v>Norrsundet</v>
      </c>
      <c r="D22" s="35" t="str">
        <f>Species!C6</f>
        <v>Pefl</v>
      </c>
      <c r="E22" s="35" t="str">
        <f>Sex!A6</f>
        <v>Mixed</v>
      </c>
      <c r="F22" s="134" t="s">
        <v>448</v>
      </c>
      <c r="G22" s="84"/>
      <c r="H22" s="84"/>
      <c r="I22" s="84"/>
      <c r="J22" s="135" cm="1">
        <f t="array" ref="J22">INDEX('BoS Raw Data_FishBiomarkers'!AE:AE,MATCH(1, ('BoS Raw Data_FishBiomarkers'!N:N = C22)* ('BoS Raw Data_FishBiomarkers'!P:P = E22), 0))</f>
        <v>16.527000000000001</v>
      </c>
      <c r="K22" s="146" cm="1">
        <f t="array" ref="K22">INDEX('BoS Raw Data_FishBiomarkers'!AF:AF,MATCH(1, ('BoS Raw Data_FishBiomarkers'!N:N = C22)* ('BoS Raw Data_FishBiomarkers'!P:P = E22), 0))</f>
        <v>28</v>
      </c>
      <c r="L22" s="27"/>
      <c r="M22" s="27"/>
      <c r="N22" s="27"/>
      <c r="O22" s="27"/>
      <c r="P22" s="27"/>
      <c r="Q22" s="27"/>
      <c r="R22" s="27"/>
      <c r="S22" s="27"/>
      <c r="T22" s="27"/>
      <c r="U22" s="27"/>
      <c r="V22" s="27"/>
      <c r="W22" s="27"/>
      <c r="X22" s="27"/>
      <c r="Y22" s="27"/>
      <c r="Z22" s="27" cm="1">
        <f t="array" ref="Z22">INDEX('BoS Raw Data_FishBiomarkers'!Q:Q,MATCH(1, ('BoS Raw Data_FishBiomarkers'!N:N = C22)* ('BoS Raw Data_FishBiomarkers'!P:P = E22), 0))</f>
        <v>6.870000000000001</v>
      </c>
      <c r="AA22" s="27" cm="1">
        <f t="array" ref="AA22">INDEX('BoS Raw Data_FishBiomarkers'!R:R,MATCH(1, ('BoS Raw Data_FishBiomarkers'!N:N = C22)* ('BoS Raw Data_FishBiomarkers'!P:P = E22), 0))</f>
        <v>30</v>
      </c>
      <c r="AB22" s="27" cm="1">
        <f t="array" ref="AB22">INDEX('BoS Raw Data_FishBiomarkers'!AA:AA,MATCH(1, ('BoS Raw Data_FishBiomarkers'!N:N = C22)* ('BoS Raw Data_FishBiomarkers'!P:P = E22), 0))</f>
        <v>0.15820000000000001</v>
      </c>
      <c r="AC22" s="27" cm="1">
        <f t="array" ref="AC22">INDEX('BoS Raw Data_FishBiomarkers'!AB:AB,MATCH(1, ('BoS Raw Data_FishBiomarkers'!N:N = C22)* ('BoS Raw Data_FishBiomarkers'!P:P = E22), 0))</f>
        <v>30</v>
      </c>
      <c r="AD22" s="27"/>
      <c r="AE22" s="27"/>
    </row>
    <row r="23" spans="1:31" ht="15.6" customHeight="1" x14ac:dyDescent="0.25">
      <c r="A23" s="52">
        <v>2018</v>
      </c>
      <c r="B23" s="102" t="str">
        <f>Stations!C19</f>
        <v>BS</v>
      </c>
      <c r="C23" s="55" t="str">
        <f>Stations!E19</f>
        <v>Skellefteå hamn</v>
      </c>
      <c r="D23" s="35" t="str">
        <f>Species!C6</f>
        <v>Pefl</v>
      </c>
      <c r="E23" s="101" t="str">
        <f>Sex!A2</f>
        <v>Females</v>
      </c>
      <c r="F23" s="134" t="s">
        <v>448</v>
      </c>
      <c r="G23" s="100"/>
      <c r="H23" s="83"/>
      <c r="I23" s="106"/>
      <c r="J23" s="135"/>
      <c r="K23" s="146"/>
      <c r="L23" s="27"/>
      <c r="M23" s="27"/>
      <c r="N23" s="27"/>
      <c r="O23" s="27"/>
      <c r="P23" s="27"/>
      <c r="Q23" s="27"/>
      <c r="R23" s="27"/>
      <c r="S23" s="27"/>
      <c r="T23" s="27" cm="1">
        <f t="array" ref="T23">INDEX('BoS Raw Data_FishBiomarkers'!S:S,MATCH(1, ('BoS Raw Data_FishBiomarkers'!N:N = C23)* ('BoS Raw Data_FishBiomarkers'!P:P = E23), 0))</f>
        <v>2.91</v>
      </c>
      <c r="U23" s="27" cm="1">
        <f t="array" ref="U23">INDEX('BoS Raw Data_FishBiomarkers'!T:T,MATCH(1, ('BoS Raw Data_FishBiomarkers'!N:N = C23)* ('BoS Raw Data_FishBiomarkers'!P:P = E23), 0))</f>
        <v>20</v>
      </c>
      <c r="V23" s="27" cm="1">
        <f t="array" ref="V23">INDEX('BoS Raw Data_FishBiomarkers'!U:U,MATCH(1, ('BoS Raw Data_FishBiomarkers'!N:N = C23)* ('BoS Raw Data_FishBiomarkers'!P:P = E23), 0))</f>
        <v>1.4079999999999999</v>
      </c>
      <c r="W23" s="27" cm="1">
        <f t="array" ref="W23">INDEX('BoS Raw Data_FishBiomarkers'!V:V,MATCH(1, ('BoS Raw Data_FishBiomarkers'!N:N = C23)* ('BoS Raw Data_FishBiomarkers'!P:P = E23), 0))</f>
        <v>20</v>
      </c>
      <c r="X23" s="27" cm="1">
        <f t="array" ref="X23">INDEX('BoS Raw Data_FishBiomarkers'!W:W,MATCH(1, ('BoS Raw Data_FishBiomarkers'!N:N = C23)* ('BoS Raw Data_FishBiomarkers'!P:P = E23), 0))</f>
        <v>324.3</v>
      </c>
      <c r="Y23" s="27" cm="1">
        <f t="array" ref="Y23">INDEX('BoS Raw Data_FishBiomarkers'!X:X,MATCH(1, ('BoS Raw Data_FishBiomarkers'!N:N = C23)* ('BoS Raw Data_FishBiomarkers'!P:P = E23), 0))</f>
        <v>20</v>
      </c>
      <c r="Z23" s="27"/>
      <c r="AA23" s="27"/>
      <c r="AB23" s="27"/>
      <c r="AC23" s="27"/>
      <c r="AD23" s="27"/>
      <c r="AE23" s="27"/>
    </row>
    <row r="24" spans="1:31" ht="15.6" customHeight="1" x14ac:dyDescent="0.25">
      <c r="A24" s="52">
        <v>2018</v>
      </c>
      <c r="B24" s="102" t="str">
        <f>Stations!C19</f>
        <v>BS</v>
      </c>
      <c r="C24" s="55" t="str">
        <f>Stations!E19</f>
        <v>Skellefteå hamn</v>
      </c>
      <c r="D24" s="35" t="str">
        <f>Species!C6</f>
        <v>Pefl</v>
      </c>
      <c r="E24" s="101" t="str">
        <f>Sex!A5</f>
        <v>Males</v>
      </c>
      <c r="F24" s="134" t="s">
        <v>448</v>
      </c>
      <c r="G24" s="100"/>
      <c r="H24" s="83"/>
      <c r="I24" s="106"/>
      <c r="J24" s="135"/>
      <c r="K24" s="146"/>
      <c r="L24" s="27"/>
      <c r="M24" s="27"/>
      <c r="N24" s="27"/>
      <c r="O24" s="27"/>
      <c r="P24" s="27"/>
      <c r="Q24" s="27"/>
      <c r="R24" s="27"/>
      <c r="S24" s="27"/>
      <c r="T24" s="27" cm="1">
        <f t="array" ref="T24">INDEX('BoS Raw Data_FishBiomarkers'!S:S,MATCH(1, ('BoS Raw Data_FishBiomarkers'!N:N = C24)* ('BoS Raw Data_FishBiomarkers'!P:P = E24), 0))</f>
        <v>4.4359999999999999</v>
      </c>
      <c r="U24" s="27" cm="1">
        <f t="array" ref="U24">INDEX('BoS Raw Data_FishBiomarkers'!T:T,MATCH(1, ('BoS Raw Data_FishBiomarkers'!N:N = C24)* ('BoS Raw Data_FishBiomarkers'!P:P = E24), 0))</f>
        <v>9</v>
      </c>
      <c r="V24" s="27" cm="1">
        <f t="array" ref="V24">INDEX('BoS Raw Data_FishBiomarkers'!U:U,MATCH(1, ('BoS Raw Data_FishBiomarkers'!N:N = C24)* ('BoS Raw Data_FishBiomarkers'!P:P = E24), 0))</f>
        <v>0.98</v>
      </c>
      <c r="W24" s="27" cm="1">
        <f t="array" ref="W24">INDEX('BoS Raw Data_FishBiomarkers'!V:V,MATCH(1, ('BoS Raw Data_FishBiomarkers'!N:N = C24)* ('BoS Raw Data_FishBiomarkers'!P:P = E24), 0))</f>
        <v>9</v>
      </c>
      <c r="X24" s="27" cm="1">
        <f t="array" ref="X24">INDEX('BoS Raw Data_FishBiomarkers'!W:W,MATCH(1, ('BoS Raw Data_FishBiomarkers'!N:N = C24)* ('BoS Raw Data_FishBiomarkers'!P:P = E24), 0))</f>
        <v>535.59999999999991</v>
      </c>
      <c r="Y24" s="27" cm="1">
        <f t="array" ref="Y24">INDEX('BoS Raw Data_FishBiomarkers'!X:X,MATCH(1, ('BoS Raw Data_FishBiomarkers'!N:N = C24)* ('BoS Raw Data_FishBiomarkers'!P:P = E24), 0))</f>
        <v>9</v>
      </c>
      <c r="Z24" s="27"/>
      <c r="AA24" s="27"/>
      <c r="AB24" s="27"/>
      <c r="AC24" s="27"/>
      <c r="AD24" s="27" cm="1">
        <f t="array" ref="AD24">INDEX('BoS Raw Data_FishBiomarkers'!Y:Y,MATCH(1, ('BoS Raw Data_FishBiomarkers'!N:N = C24)* ('BoS Raw Data_FishBiomarkers'!P:P = E24), 0))</f>
        <v>0.49199999999999988</v>
      </c>
      <c r="AE24" s="27" cm="1">
        <f t="array" ref="AE24">INDEX('BoS Raw Data_FishBiomarkers'!Z:Z,MATCH(1, ('BoS Raw Data_FishBiomarkers'!N:N = C24)* ('BoS Raw Data_FishBiomarkers'!P:P = E24), 0))</f>
        <v>8</v>
      </c>
    </row>
    <row r="25" spans="1:31" ht="15.6" customHeight="1" x14ac:dyDescent="0.25">
      <c r="A25" s="52">
        <v>2018</v>
      </c>
      <c r="B25" s="102" t="str">
        <f>Stations!C19</f>
        <v>BS</v>
      </c>
      <c r="C25" s="55" t="str">
        <f>Stations!E19</f>
        <v>Skellefteå hamn</v>
      </c>
      <c r="D25" s="35" t="str">
        <f>Species!C6</f>
        <v>Pefl</v>
      </c>
      <c r="E25" s="101" t="str">
        <f>Sex!A6</f>
        <v>Mixed</v>
      </c>
      <c r="F25" s="134" t="s">
        <v>448</v>
      </c>
      <c r="G25" s="100"/>
      <c r="H25" s="83"/>
      <c r="I25" s="106"/>
      <c r="J25" s="135" cm="1">
        <f t="array" ref="J25">INDEX('BoS Raw Data_FishBiomarkers'!AE:AE,MATCH(1, ('BoS Raw Data_FishBiomarkers'!N:N = C25)* ('BoS Raw Data_FishBiomarkers'!P:P = E25), 0))</f>
        <v>17.498000000000001</v>
      </c>
      <c r="K25" s="146" cm="1">
        <f t="array" ref="K25">INDEX('BoS Raw Data_FishBiomarkers'!AF:AF,MATCH(1, ('BoS Raw Data_FishBiomarkers'!N:N = C25)* ('BoS Raw Data_FishBiomarkers'!P:P = E25), 0))</f>
        <v>29</v>
      </c>
      <c r="L25" s="27"/>
      <c r="M25" s="27"/>
      <c r="N25" s="27"/>
      <c r="O25" s="27"/>
      <c r="P25" s="27"/>
      <c r="Q25" s="27"/>
      <c r="R25" s="27"/>
      <c r="S25" s="27"/>
      <c r="T25" s="27"/>
      <c r="U25" s="27"/>
      <c r="V25" s="27"/>
      <c r="W25" s="27"/>
      <c r="X25" s="27"/>
      <c r="Y25" s="27"/>
      <c r="Z25" s="27" cm="1">
        <f t="array" ref="Z25">INDEX('BoS Raw Data_FishBiomarkers'!Q:Q,MATCH(1, ('BoS Raw Data_FishBiomarkers'!N:N = C25)* ('BoS Raw Data_FishBiomarkers'!P:P = E25), 0))</f>
        <v>15.860000000000001</v>
      </c>
      <c r="AA25" s="27" cm="1">
        <f t="array" ref="AA25">INDEX('BoS Raw Data_FishBiomarkers'!R:R,MATCH(1, ('BoS Raw Data_FishBiomarkers'!N:N = C25)* ('BoS Raw Data_FishBiomarkers'!P:P = E25), 0))</f>
        <v>27</v>
      </c>
      <c r="AB25" s="27" cm="1">
        <f t="array" ref="AB25">INDEX('BoS Raw Data_FishBiomarkers'!AA:AA,MATCH(1, ('BoS Raw Data_FishBiomarkers'!N:N = C25)* ('BoS Raw Data_FishBiomarkers'!P:P = E25), 0))</f>
        <v>0.1636</v>
      </c>
      <c r="AC25" s="27" cm="1">
        <f t="array" ref="AC25">INDEX('BoS Raw Data_FishBiomarkers'!AB:AB,MATCH(1, ('BoS Raw Data_FishBiomarkers'!N:N = C25)* ('BoS Raw Data_FishBiomarkers'!P:P = E25), 0))</f>
        <v>29</v>
      </c>
      <c r="AD25" s="27"/>
      <c r="AE25" s="27"/>
    </row>
    <row r="26" spans="1:31" ht="15.6" customHeight="1" x14ac:dyDescent="0.25">
      <c r="A26" s="52">
        <v>2018</v>
      </c>
      <c r="B26" s="102" t="str">
        <f>Stations!C20</f>
        <v>BS</v>
      </c>
      <c r="C26" s="55" t="str">
        <f>Stations!E20</f>
        <v>Holmöarna</v>
      </c>
      <c r="D26" s="35" t="str">
        <f>Species!C6</f>
        <v>Pefl</v>
      </c>
      <c r="E26" s="101" t="str">
        <f>Sex!A2</f>
        <v>Females</v>
      </c>
      <c r="F26" s="134" t="s">
        <v>448</v>
      </c>
      <c r="G26" s="100"/>
      <c r="H26" s="83"/>
      <c r="I26" s="106"/>
      <c r="J26" s="135"/>
      <c r="K26" s="146"/>
      <c r="L26" s="27"/>
      <c r="M26" s="27"/>
      <c r="N26" s="27"/>
      <c r="O26" s="27"/>
      <c r="P26" s="27"/>
      <c r="Q26" s="27"/>
      <c r="R26" s="27"/>
      <c r="S26" s="27"/>
      <c r="T26" s="27" cm="1">
        <f t="array" ref="T26">INDEX('BoS Raw Data_FishBiomarkers'!S:S,MATCH(1, ('BoS Raw Data_FishBiomarkers'!N:N = C26)* ('BoS Raw Data_FishBiomarkers'!P:P = E26), 0))</f>
        <v>3.1480000000000001</v>
      </c>
      <c r="U26" s="27" cm="1">
        <f t="array" ref="U26">INDEX('BoS Raw Data_FishBiomarkers'!T:T,MATCH(1, ('BoS Raw Data_FishBiomarkers'!N:N = C26)* ('BoS Raw Data_FishBiomarkers'!P:P = E26), 0))</f>
        <v>20</v>
      </c>
      <c r="V26" s="27" cm="1">
        <f t="array" ref="V26">INDEX('BoS Raw Data_FishBiomarkers'!U:U,MATCH(1, ('BoS Raw Data_FishBiomarkers'!N:N = C26)* ('BoS Raw Data_FishBiomarkers'!P:P = E26), 0))</f>
        <v>1.4550000000000001</v>
      </c>
      <c r="W26" s="27" cm="1">
        <f t="array" ref="W26">INDEX('BoS Raw Data_FishBiomarkers'!V:V,MATCH(1, ('BoS Raw Data_FishBiomarkers'!N:N = C26)* ('BoS Raw Data_FishBiomarkers'!P:P = E26), 0))</f>
        <v>20</v>
      </c>
      <c r="X26" s="27" cm="1">
        <f t="array" ref="X26">INDEX('BoS Raw Data_FishBiomarkers'!W:W,MATCH(1, ('BoS Raw Data_FishBiomarkers'!N:N = C26)* ('BoS Raw Data_FishBiomarkers'!P:P = E26), 0))</f>
        <v>225.10000000000008</v>
      </c>
      <c r="Y26" s="27" cm="1">
        <f t="array" ref="Y26">INDEX('BoS Raw Data_FishBiomarkers'!X:X,MATCH(1, ('BoS Raw Data_FishBiomarkers'!N:N = C26)* ('BoS Raw Data_FishBiomarkers'!P:P = E26), 0))</f>
        <v>20</v>
      </c>
      <c r="Z26" s="27"/>
      <c r="AA26" s="27"/>
      <c r="AB26" s="27"/>
      <c r="AC26" s="27"/>
      <c r="AD26" s="27"/>
      <c r="AE26" s="27"/>
    </row>
    <row r="27" spans="1:31" ht="15.6" customHeight="1" x14ac:dyDescent="0.25">
      <c r="A27" s="52">
        <v>2018</v>
      </c>
      <c r="B27" s="102" t="str">
        <f>Stations!C20</f>
        <v>BS</v>
      </c>
      <c r="C27" s="55" t="str">
        <f>Stations!E20</f>
        <v>Holmöarna</v>
      </c>
      <c r="D27" s="35" t="str">
        <f>Species!C6</f>
        <v>Pefl</v>
      </c>
      <c r="E27" s="101" t="str">
        <f>Sex!A5</f>
        <v>Males</v>
      </c>
      <c r="F27" s="134" t="s">
        <v>448</v>
      </c>
      <c r="G27" s="100"/>
      <c r="H27" s="83"/>
      <c r="I27" s="106"/>
      <c r="J27" s="135"/>
      <c r="K27" s="146"/>
      <c r="L27" s="27"/>
      <c r="M27" s="27"/>
      <c r="N27" s="27"/>
      <c r="O27" s="27"/>
      <c r="P27" s="27"/>
      <c r="Q27" s="27"/>
      <c r="R27" s="27"/>
      <c r="S27" s="27"/>
      <c r="T27" s="27" cm="1">
        <f t="array" ref="T27">INDEX('BoS Raw Data_FishBiomarkers'!S:S,MATCH(1, ('BoS Raw Data_FishBiomarkers'!N:N = C27)* ('BoS Raw Data_FishBiomarkers'!P:P = E27), 0))</f>
        <v>5.0219999999999994</v>
      </c>
      <c r="U27" s="27" cm="1">
        <f t="array" ref="U27">INDEX('BoS Raw Data_FishBiomarkers'!T:T,MATCH(1, ('BoS Raw Data_FishBiomarkers'!N:N = C27)* ('BoS Raw Data_FishBiomarkers'!P:P = E27), 0))</f>
        <v>10</v>
      </c>
      <c r="V27" s="27" cm="1">
        <f t="array" ref="V27">INDEX('BoS Raw Data_FishBiomarkers'!U:U,MATCH(1, ('BoS Raw Data_FishBiomarkers'!N:N = C27)* ('BoS Raw Data_FishBiomarkers'!P:P = E27), 0))</f>
        <v>1.319</v>
      </c>
      <c r="W27" s="27" cm="1">
        <f t="array" ref="W27">INDEX('BoS Raw Data_FishBiomarkers'!V:V,MATCH(1, ('BoS Raw Data_FishBiomarkers'!N:N = C27)* ('BoS Raw Data_FishBiomarkers'!P:P = E27), 0))</f>
        <v>10</v>
      </c>
      <c r="X27" s="27" cm="1">
        <f t="array" ref="X27">INDEX('BoS Raw Data_FishBiomarkers'!W:W,MATCH(1, ('BoS Raw Data_FishBiomarkers'!N:N = C27)* ('BoS Raw Data_FishBiomarkers'!P:P = E27), 0))</f>
        <v>302.09999999999997</v>
      </c>
      <c r="Y27" s="27" cm="1">
        <f t="array" ref="Y27">INDEX('BoS Raw Data_FishBiomarkers'!X:X,MATCH(1, ('BoS Raw Data_FishBiomarkers'!N:N = C27)* ('BoS Raw Data_FishBiomarkers'!P:P = E27), 0))</f>
        <v>10</v>
      </c>
      <c r="Z27" s="27"/>
      <c r="AA27" s="27"/>
      <c r="AB27" s="27"/>
      <c r="AC27" s="27"/>
      <c r="AD27" s="27" cm="1">
        <f t="array" ref="AD27">INDEX('BoS Raw Data_FishBiomarkers'!Y:Y,MATCH(1, ('BoS Raw Data_FishBiomarkers'!N:N = C27)* ('BoS Raw Data_FishBiomarkers'!P:P = E27), 0))</f>
        <v>0.64200000000000002</v>
      </c>
      <c r="AE27" s="27" cm="1">
        <f t="array" ref="AE27">INDEX('BoS Raw Data_FishBiomarkers'!Z:Z,MATCH(1, ('BoS Raw Data_FishBiomarkers'!N:N = C27)* ('BoS Raw Data_FishBiomarkers'!P:P = E27), 0))</f>
        <v>8</v>
      </c>
    </row>
    <row r="28" spans="1:31" x14ac:dyDescent="0.25">
      <c r="A28" s="52">
        <v>2018</v>
      </c>
      <c r="B28" s="102" t="str">
        <f>Stations!C20</f>
        <v>BS</v>
      </c>
      <c r="C28" s="55" t="str">
        <f>Stations!E20</f>
        <v>Holmöarna</v>
      </c>
      <c r="D28" s="35" t="str">
        <f>Species!C6</f>
        <v>Pefl</v>
      </c>
      <c r="E28" s="101" t="str">
        <f>Sex!A6</f>
        <v>Mixed</v>
      </c>
      <c r="F28" s="134" t="s">
        <v>448</v>
      </c>
      <c r="G28" s="100"/>
      <c r="H28" s="83"/>
      <c r="I28" s="106"/>
      <c r="J28" s="135" cm="1">
        <f t="array" ref="J28">INDEX('BoS Raw Data_FishBiomarkers'!AE:AE,MATCH(1, ('BoS Raw Data_FishBiomarkers'!N:N = C28)* ('BoS Raw Data_FishBiomarkers'!P:P = E28), 0))</f>
        <v>15.547000000000001</v>
      </c>
      <c r="K28" s="146" cm="1">
        <f t="array" ref="K28">INDEX('BoS Raw Data_FishBiomarkers'!AF:AF,MATCH(1, ('BoS Raw Data_FishBiomarkers'!N:N = C28)* ('BoS Raw Data_FishBiomarkers'!P:P = E28), 0))</f>
        <v>30</v>
      </c>
      <c r="L28" s="27"/>
      <c r="M28" s="27"/>
      <c r="N28" s="27"/>
      <c r="O28" s="27"/>
      <c r="P28" s="27"/>
      <c r="Q28" s="27"/>
      <c r="R28" s="27"/>
      <c r="S28" s="27"/>
      <c r="T28" s="27"/>
      <c r="U28" s="27"/>
      <c r="V28" s="27"/>
      <c r="W28" s="27"/>
      <c r="X28" s="27"/>
      <c r="Y28" s="27"/>
      <c r="Z28" s="27" cm="1">
        <f t="array" ref="Z28">INDEX('BoS Raw Data_FishBiomarkers'!Q:Q,MATCH(1, ('BoS Raw Data_FishBiomarkers'!N:N = C28)* ('BoS Raw Data_FishBiomarkers'!P:P = E28), 0))</f>
        <v>6.6900000000000013</v>
      </c>
      <c r="AA28" s="27" cm="1">
        <f t="array" ref="AA28">INDEX('BoS Raw Data_FishBiomarkers'!R:R,MATCH(1, ('BoS Raw Data_FishBiomarkers'!N:N = C28)* ('BoS Raw Data_FishBiomarkers'!P:P = E28), 0))</f>
        <v>30</v>
      </c>
      <c r="AB28" s="27" cm="1">
        <f t="array" ref="AB28">INDEX('BoS Raw Data_FishBiomarkers'!AA:AA,MATCH(1, ('BoS Raw Data_FishBiomarkers'!N:N = C28)* ('BoS Raw Data_FishBiomarkers'!P:P = E28), 0))</f>
        <v>0.16650000000000001</v>
      </c>
      <c r="AC28" s="27" cm="1">
        <f t="array" ref="AC28">INDEX('BoS Raw Data_FishBiomarkers'!AB:AB,MATCH(1, ('BoS Raw Data_FishBiomarkers'!N:N = C28)* ('BoS Raw Data_FishBiomarkers'!P:P = E28), 0))</f>
        <v>30</v>
      </c>
      <c r="AD28" s="27"/>
      <c r="AE28" s="27"/>
    </row>
    <row r="29" spans="1:31" x14ac:dyDescent="0.25">
      <c r="A29" s="52">
        <v>2018</v>
      </c>
      <c r="B29" s="102" t="str">
        <f>Stations!C21</f>
        <v>BS</v>
      </c>
      <c r="C29" s="55" t="str">
        <f>Stations!E21</f>
        <v>Sundsvall</v>
      </c>
      <c r="D29" s="35" t="str">
        <f>Species!C6</f>
        <v>Pefl</v>
      </c>
      <c r="E29" s="101" t="str">
        <f>Sex!A2</f>
        <v>Females</v>
      </c>
      <c r="F29" s="134" t="s">
        <v>448</v>
      </c>
      <c r="G29" s="100"/>
      <c r="H29" s="83"/>
      <c r="I29" s="106"/>
      <c r="J29" s="135"/>
      <c r="K29" s="146"/>
      <c r="L29" s="27"/>
      <c r="M29" s="27"/>
      <c r="N29" s="27"/>
      <c r="O29" s="27"/>
      <c r="P29" s="27"/>
      <c r="Q29" s="27"/>
      <c r="R29" s="27"/>
      <c r="S29" s="27"/>
      <c r="T29" s="27" cm="1">
        <f t="array" ref="T29">INDEX('BoS Raw Data_FishBiomarkers'!S:S,MATCH(1, ('BoS Raw Data_FishBiomarkers'!N:N = C29)* ('BoS Raw Data_FishBiomarkers'!P:P = E29), 0))</f>
        <v>0.62</v>
      </c>
      <c r="U29" s="27" cm="1">
        <f t="array" ref="U29">INDEX('BoS Raw Data_FishBiomarkers'!T:T,MATCH(1, ('BoS Raw Data_FishBiomarkers'!N:N = C29)* ('BoS Raw Data_FishBiomarkers'!P:P = E29), 0))</f>
        <v>21</v>
      </c>
      <c r="V29" s="27" cm="1">
        <f t="array" ref="V29">INDEX('BoS Raw Data_FishBiomarkers'!U:U,MATCH(1, ('BoS Raw Data_FishBiomarkers'!N:N = C29)* ('BoS Raw Data_FishBiomarkers'!P:P = E29), 0))</f>
        <v>1.18</v>
      </c>
      <c r="W29" s="27" cm="1">
        <f t="array" ref="W29">INDEX('BoS Raw Data_FishBiomarkers'!V:V,MATCH(1, ('BoS Raw Data_FishBiomarkers'!N:N = C29)* ('BoS Raw Data_FishBiomarkers'!P:P = E29), 0))</f>
        <v>21</v>
      </c>
      <c r="X29" s="27" cm="1">
        <f t="array" ref="X29">INDEX('BoS Raw Data_FishBiomarkers'!W:W,MATCH(1, ('BoS Raw Data_FishBiomarkers'!N:N = C29)* ('BoS Raw Data_FishBiomarkers'!P:P = E29), 0))</f>
        <v>699</v>
      </c>
      <c r="Y29" s="27" cm="1">
        <f t="array" ref="Y29">INDEX('BoS Raw Data_FishBiomarkers'!X:X,MATCH(1, ('BoS Raw Data_FishBiomarkers'!N:N = C29)* ('BoS Raw Data_FishBiomarkers'!P:P = E29), 0))</f>
        <v>21</v>
      </c>
      <c r="Z29" s="27"/>
      <c r="AA29" s="27"/>
      <c r="AB29" s="27"/>
      <c r="AC29" s="27"/>
      <c r="AD29" s="27"/>
      <c r="AE29" s="27"/>
    </row>
    <row r="30" spans="1:31" x14ac:dyDescent="0.25">
      <c r="A30" s="52">
        <v>2018</v>
      </c>
      <c r="B30" s="102" t="str">
        <f>Stations!C21</f>
        <v>BS</v>
      </c>
      <c r="C30" s="55" t="str">
        <f>Stations!E21</f>
        <v>Sundsvall</v>
      </c>
      <c r="D30" s="35" t="str">
        <f>Species!C6</f>
        <v>Pefl</v>
      </c>
      <c r="E30" s="101" t="str">
        <f>Sex!A5</f>
        <v>Males</v>
      </c>
      <c r="F30" s="134" t="s">
        <v>448</v>
      </c>
      <c r="G30" s="100"/>
      <c r="H30" s="83"/>
      <c r="I30" s="106"/>
      <c r="J30" s="135"/>
      <c r="K30" s="146"/>
      <c r="L30" s="27"/>
      <c r="M30" s="27"/>
      <c r="N30" s="27"/>
      <c r="O30" s="27"/>
      <c r="P30" s="27"/>
      <c r="Q30" s="27"/>
      <c r="R30" s="27"/>
      <c r="S30" s="27"/>
      <c r="T30" s="27" cm="1">
        <f t="array" ref="T30">INDEX('BoS Raw Data_FishBiomarkers'!S:S,MATCH(1, ('BoS Raw Data_FishBiomarkers'!N:N = C30)* ('BoS Raw Data_FishBiomarkers'!P:P = E30), 0))</f>
        <v>2.911</v>
      </c>
      <c r="U30" s="27" cm="1">
        <f t="array" ref="U30">INDEX('BoS Raw Data_FishBiomarkers'!T:T,MATCH(1, ('BoS Raw Data_FishBiomarkers'!N:N = C30)* ('BoS Raw Data_FishBiomarkers'!P:P = E30), 0))</f>
        <v>10</v>
      </c>
      <c r="V30" s="27" cm="1">
        <f t="array" ref="V30">INDEX('BoS Raw Data_FishBiomarkers'!U:U,MATCH(1, ('BoS Raw Data_FishBiomarkers'!N:N = C30)* ('BoS Raw Data_FishBiomarkers'!P:P = E30), 0))</f>
        <v>1.2930000000000001</v>
      </c>
      <c r="W30" s="27" cm="1">
        <f t="array" ref="W30">INDEX('BoS Raw Data_FishBiomarkers'!V:V,MATCH(1, ('BoS Raw Data_FishBiomarkers'!N:N = C30)* ('BoS Raw Data_FishBiomarkers'!P:P = E30), 0))</f>
        <v>10</v>
      </c>
      <c r="X30" s="27" cm="1">
        <f t="array" ref="X30">INDEX('BoS Raw Data_FishBiomarkers'!W:W,MATCH(1, ('BoS Raw Data_FishBiomarkers'!N:N = C30)* ('BoS Raw Data_FishBiomarkers'!P:P = E30), 0))</f>
        <v>733.59999999999991</v>
      </c>
      <c r="Y30" s="27" cm="1">
        <f t="array" ref="Y30">INDEX('BoS Raw Data_FishBiomarkers'!X:X,MATCH(1, ('BoS Raw Data_FishBiomarkers'!N:N = C30)* ('BoS Raw Data_FishBiomarkers'!P:P = E30), 0))</f>
        <v>9</v>
      </c>
      <c r="Z30" s="27"/>
      <c r="AA30" s="27"/>
      <c r="AB30" s="27"/>
      <c r="AC30" s="27"/>
      <c r="AD30" s="27" cm="1">
        <f t="array" ref="AD30">INDEX('BoS Raw Data_FishBiomarkers'!Y:Y,MATCH(1, ('BoS Raw Data_FishBiomarkers'!N:N = C30)* ('BoS Raw Data_FishBiomarkers'!P:P = E30), 0))</f>
        <v>0.81800000000000006</v>
      </c>
      <c r="AE30" s="27" cm="1">
        <f t="array" ref="AE30">INDEX('BoS Raw Data_FishBiomarkers'!Z:Z,MATCH(1, ('BoS Raw Data_FishBiomarkers'!N:N = C30)* ('BoS Raw Data_FishBiomarkers'!P:P = E30), 0))</f>
        <v>6</v>
      </c>
    </row>
    <row r="31" spans="1:31" x14ac:dyDescent="0.25">
      <c r="A31" s="52">
        <v>2018</v>
      </c>
      <c r="B31" s="102" t="str">
        <f>Stations!C21</f>
        <v>BS</v>
      </c>
      <c r="C31" s="55" t="str">
        <f>Stations!E21</f>
        <v>Sundsvall</v>
      </c>
      <c r="D31" s="35" t="str">
        <f>Species!C6</f>
        <v>Pefl</v>
      </c>
      <c r="E31" s="101" t="str">
        <f>Sex!A6</f>
        <v>Mixed</v>
      </c>
      <c r="F31" s="134" t="s">
        <v>448</v>
      </c>
      <c r="G31" s="100"/>
      <c r="H31" s="83"/>
      <c r="I31" s="106"/>
      <c r="J31" s="135" cm="1">
        <f t="array" ref="J31">INDEX('BoS Raw Data_FishBiomarkers'!AE:AE,MATCH(1, ('BoS Raw Data_FishBiomarkers'!N:N = C31)* ('BoS Raw Data_FishBiomarkers'!P:P = E31), 0))</f>
        <v>17.34</v>
      </c>
      <c r="K31" s="146" cm="1">
        <f t="array" ref="K31">INDEX('BoS Raw Data_FishBiomarkers'!AF:AF,MATCH(1, ('BoS Raw Data_FishBiomarkers'!N:N = C31)* ('BoS Raw Data_FishBiomarkers'!P:P = E31), 0))</f>
        <v>31</v>
      </c>
      <c r="L31" s="27"/>
      <c r="M31" s="27"/>
      <c r="N31" s="27"/>
      <c r="O31" s="27"/>
      <c r="P31" s="27"/>
      <c r="Q31" s="27"/>
      <c r="R31" s="27"/>
      <c r="S31" s="27"/>
      <c r="T31" s="27"/>
      <c r="U31" s="27"/>
      <c r="V31" s="27"/>
      <c r="W31" s="27"/>
      <c r="X31" s="27"/>
      <c r="Y31" s="27"/>
      <c r="Z31" s="27" cm="1">
        <f t="array" ref="Z31">INDEX('BoS Raw Data_FishBiomarkers'!Q:Q,MATCH(1, ('BoS Raw Data_FishBiomarkers'!N:N = C31)* ('BoS Raw Data_FishBiomarkers'!P:P = E31), 0))</f>
        <v>8.5</v>
      </c>
      <c r="AA31" s="27" cm="1">
        <f t="array" ref="AA31">INDEX('BoS Raw Data_FishBiomarkers'!R:R,MATCH(1, ('BoS Raw Data_FishBiomarkers'!N:N = C31)* ('BoS Raw Data_FishBiomarkers'!P:P = E31), 0))</f>
        <v>31</v>
      </c>
      <c r="AB31" s="27" cm="1">
        <f t="array" ref="AB31">INDEX('BoS Raw Data_FishBiomarkers'!AA:AA,MATCH(1, ('BoS Raw Data_FishBiomarkers'!N:N = C31)* ('BoS Raw Data_FishBiomarkers'!P:P = E31), 0))</f>
        <v>0.16600000000000001</v>
      </c>
      <c r="AC31" s="27" cm="1">
        <f t="array" ref="AC31">INDEX('BoS Raw Data_FishBiomarkers'!AB:AB,MATCH(1, ('BoS Raw Data_FishBiomarkers'!N:N = C31)* ('BoS Raw Data_FishBiomarkers'!P:P = E31), 0))</f>
        <v>31</v>
      </c>
      <c r="AD31" s="27"/>
      <c r="AE31" s="27"/>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2FA13-991F-46F7-A7C6-3B23BC8A85F1}">
  <sheetPr>
    <tabColor theme="9" tint="0.79998168889431442"/>
  </sheetPr>
  <dimension ref="A1:T52"/>
  <sheetViews>
    <sheetView workbookViewId="0">
      <selection activeCell="A23" sqref="A23"/>
    </sheetView>
  </sheetViews>
  <sheetFormatPr defaultColWidth="8.85546875" defaultRowHeight="15" x14ac:dyDescent="0.25"/>
  <cols>
    <col min="1" max="1" width="13.85546875" style="7" customWidth="1"/>
    <col min="2" max="2" width="9.42578125" style="7" customWidth="1"/>
    <col min="3" max="3" width="13.85546875" style="1" customWidth="1"/>
    <col min="4" max="4" width="11.140625" customWidth="1"/>
    <col min="5" max="5" width="9.5703125" style="171" customWidth="1"/>
    <col min="6" max="6" width="19.7109375" style="171" customWidth="1"/>
    <col min="7" max="7" width="8.42578125" style="12" customWidth="1"/>
    <col min="8" max="8" width="7.42578125" style="12" customWidth="1"/>
    <col min="9" max="9" width="9.5703125" customWidth="1"/>
    <col min="10" max="10" width="8.42578125" customWidth="1"/>
    <col min="11" max="11" width="10.85546875" customWidth="1"/>
    <col min="13" max="13" width="10.7109375" customWidth="1"/>
    <col min="14" max="14" width="9.42578125" customWidth="1"/>
    <col min="15" max="15" width="11.140625" customWidth="1"/>
    <col min="16" max="16" width="10.7109375" customWidth="1"/>
    <col min="17" max="17" width="12.140625" customWidth="1"/>
    <col min="18" max="18" width="11" customWidth="1"/>
  </cols>
  <sheetData>
    <row r="1" spans="1:20" s="13" customFormat="1" ht="92.25" customHeight="1" x14ac:dyDescent="0.7">
      <c r="A1" s="50" t="s">
        <v>35</v>
      </c>
      <c r="B1" s="50" t="str">
        <f>'BoS Data summary'!B1</f>
        <v>Basin</v>
      </c>
      <c r="C1" s="51" t="s">
        <v>136</v>
      </c>
      <c r="D1" s="51" t="s">
        <v>161</v>
      </c>
      <c r="E1" s="51" t="str">
        <f>'BoS Data summary'!E1</f>
        <v>Sex</v>
      </c>
      <c r="F1" s="51" t="str">
        <f>'BoS Data summary'!F1</f>
        <v>Tissue  [copy value from Tissues]</v>
      </c>
      <c r="G1" s="82" t="str">
        <f>TV!D2</f>
        <v>PE</v>
      </c>
      <c r="H1" s="82" t="str">
        <f>TV!D5</f>
        <v>PF</v>
      </c>
      <c r="I1" s="51" t="str">
        <f>TV!D9</f>
        <v>AChE</v>
      </c>
      <c r="J1" s="51" t="str">
        <f>I1</f>
        <v>AChE</v>
      </c>
      <c r="K1" s="51" t="str">
        <f>TV!D17</f>
        <v>CAT</v>
      </c>
      <c r="L1" s="51" t="str">
        <f>K1</f>
        <v>CAT</v>
      </c>
      <c r="M1" s="51" t="str">
        <f>'BE rationale'!A15</f>
        <v>GST</v>
      </c>
      <c r="N1" s="51" t="str">
        <f>M1</f>
        <v>GST</v>
      </c>
      <c r="O1" s="51" t="str">
        <f>'BE rationale'!A9</f>
        <v>GR</v>
      </c>
      <c r="P1" s="51" t="str">
        <f>O1</f>
        <v>GR</v>
      </c>
      <c r="Q1" s="51" t="str">
        <f>'BE rationale'!A7</f>
        <v>TBARS</v>
      </c>
      <c r="R1" s="51" t="str">
        <f>Q1</f>
        <v>TBARS</v>
      </c>
      <c r="T1" s="59"/>
    </row>
    <row r="2" spans="1:20" s="13" customFormat="1" ht="38.25" customHeight="1" x14ac:dyDescent="0.7">
      <c r="A2" s="178"/>
      <c r="B2" s="178"/>
      <c r="C2" s="137"/>
      <c r="D2" s="137"/>
      <c r="E2" s="137"/>
      <c r="F2" s="137"/>
      <c r="G2" s="105" t="str">
        <f>'BoS Data summary'!G2</f>
        <v>single value</v>
      </c>
      <c r="H2" s="105" t="str">
        <f>'BoS Data summary'!H2</f>
        <v>single value</v>
      </c>
      <c r="I2" s="132" t="str">
        <f>'BE rationale'!H4</f>
        <v>10th percentile</v>
      </c>
      <c r="J2" s="105" t="str">
        <f>'BoS Data summary'!I2</f>
        <v>n</v>
      </c>
      <c r="K2" s="50" t="str">
        <f>'BE rationale'!H10</f>
        <v>90th percentile</v>
      </c>
      <c r="L2" s="105" t="str">
        <f>J2</f>
        <v>n</v>
      </c>
      <c r="M2" s="50" t="str">
        <f>'BE rationale'!H15</f>
        <v>90th percentile</v>
      </c>
      <c r="N2" s="105" t="str">
        <f>L2</f>
        <v>n</v>
      </c>
      <c r="O2" s="50" t="str">
        <f>'BE rationale'!H9</f>
        <v>90th percentile</v>
      </c>
      <c r="P2" s="105" t="str">
        <f>N2</f>
        <v>n</v>
      </c>
      <c r="Q2" s="50" t="str">
        <f>'BE rationale'!H7</f>
        <v>90th percentile</v>
      </c>
      <c r="R2" s="105" t="str">
        <f>P2</f>
        <v>n</v>
      </c>
      <c r="T2" s="59"/>
    </row>
    <row r="3" spans="1:20" ht="15.75" customHeight="1" x14ac:dyDescent="0.25">
      <c r="A3" s="177" t="s">
        <v>659</v>
      </c>
      <c r="B3" s="177" t="str">
        <f>'Assessment Units'!C12</f>
        <v>GoR</v>
      </c>
      <c r="C3" s="55" t="str">
        <f>'GoR Raw Data_Ma_Biomarkers'!I3</f>
        <v>101A</v>
      </c>
      <c r="D3" s="35" t="str">
        <f>Species!C2</f>
        <v>Ma</v>
      </c>
      <c r="E3" s="35" t="str">
        <f>Sex!A2</f>
        <v>Females</v>
      </c>
      <c r="F3" s="35" t="str">
        <f>Tissues!A4</f>
        <v>whole body/brood</v>
      </c>
      <c r="G3" s="83">
        <f>INDEX('GoR Data_PE, PF'!L:L,MATCH(C3,'GoR Data_PE, PF'!I:I,0))</f>
        <v>5.9488895649528493E-2</v>
      </c>
      <c r="H3" s="83">
        <f>INDEX('GoR Data_PE, PF'!M:M,MATCH(C3,'GoR Data_PE, PF'!I:I,0))</f>
        <v>0.2857142857142857</v>
      </c>
      <c r="I3" s="27">
        <f>INDEX('GoR Raw Data_Ma_Biomarkers'!J:J,MATCH(C3,'GoR Raw Data_Ma_Biomarkers'!I:I,0))</f>
        <v>21</v>
      </c>
      <c r="J3" s="27">
        <f>INDEX('GoR Raw Data_Ma_Biomarkers'!Q:Q,MATCH(C3,'GoR Raw Data_Ma_Biomarkers'!P:P,0))</f>
        <v>50</v>
      </c>
      <c r="K3" s="27">
        <f>INDEX('GoR Raw Data_Ma_Biomarkers'!K:K,MATCH(C3,'GoR Raw Data_Ma_Biomarkers'!I:I,0))</f>
        <v>190.66400000000002</v>
      </c>
      <c r="L3" s="27">
        <f>INDEX('GoR Raw Data_Ma_Biomarkers'!R:R,MATCH(C3,'GoR Raw Data_Ma_Biomarkers'!P:P,0))</f>
        <v>32</v>
      </c>
      <c r="M3" s="27">
        <f>INDEX('GoR Raw Data_Ma_Biomarkers'!L:L,MATCH(C3,'GoR Raw Data_Ma_Biomarkers'!I:I,0))</f>
        <v>162.88</v>
      </c>
      <c r="N3" s="27">
        <f>INDEX('GoR Raw Data_Ma_Biomarkers'!S:S,MATCH(C3,'GoR Raw Data_Ma_Biomarkers'!P:P,0))</f>
        <v>31</v>
      </c>
      <c r="O3" s="27">
        <f>INDEX('GoR Raw Data_Ma_Biomarkers'!M:M,MATCH(C3,'GoR Raw Data_Ma_Biomarkers'!I:I,0))</f>
        <v>5.3029999999999999</v>
      </c>
      <c r="P3" s="27">
        <f>INDEX('GoR Raw Data_Ma_Biomarkers'!T:T,MATCH(C3,'GoR Raw Data_Ma_Biomarkers'!P:P,0))</f>
        <v>32</v>
      </c>
      <c r="Q3" s="27">
        <f>INDEX('GoR Raw Data_Ma_Biomarkers'!N:N,MATCH(C3,'GoR Raw Data_Ma_Biomarkers'!I:I,0))</f>
        <v>4.0440000000000023</v>
      </c>
      <c r="R3" s="27">
        <f>INDEX('GoR Raw Data_Ma_Biomarkers'!U:U,MATCH(C3,'GoR Raw Data_Ma_Biomarkers'!P:P,0))</f>
        <v>22</v>
      </c>
    </row>
    <row r="4" spans="1:20" x14ac:dyDescent="0.25">
      <c r="A4" s="177" t="s">
        <v>659</v>
      </c>
      <c r="B4" s="177" t="str">
        <f>B3</f>
        <v>GoR</v>
      </c>
      <c r="C4" s="55" t="str">
        <f>'GoR Raw Data_Ma_Biomarkers'!I4</f>
        <v>167B</v>
      </c>
      <c r="D4" s="35" t="str">
        <f>D3</f>
        <v>Ma</v>
      </c>
      <c r="E4" s="35" t="str">
        <f>E3</f>
        <v>Females</v>
      </c>
      <c r="F4" s="35" t="str">
        <f>F3</f>
        <v>whole body/brood</v>
      </c>
      <c r="G4" s="83">
        <f>INDEX('GoR Data_PE, PF'!L:L,MATCH(C4,'GoR Data_PE, PF'!I:I,0))</f>
        <v>3.237422744128552E-2</v>
      </c>
      <c r="H4" s="83">
        <f>INDEX('GoR Data_PE, PF'!M:M,MATCH(C4,'GoR Data_PE, PF'!I:I,0))</f>
        <v>0.375</v>
      </c>
      <c r="I4" s="27">
        <f>INDEX('GoR Raw Data_Ma_Biomarkers'!J:J,MATCH(C4,'GoR Raw Data_Ma_Biomarkers'!I:I,0))</f>
        <v>19</v>
      </c>
      <c r="J4" s="27">
        <f>INDEX('GoR Raw Data_Ma_Biomarkers'!Q:Q,MATCH(C4,'GoR Raw Data_Ma_Biomarkers'!P:P,0))</f>
        <v>52</v>
      </c>
      <c r="K4" s="27">
        <f>INDEX('GoR Raw Data_Ma_Biomarkers'!K:K,MATCH(C4,'GoR Raw Data_Ma_Biomarkers'!I:I,0))</f>
        <v>226.17600000000002</v>
      </c>
      <c r="L4" s="27">
        <f>INDEX('GoR Raw Data_Ma_Biomarkers'!R:R,MATCH(C4,'GoR Raw Data_Ma_Biomarkers'!P:P,0))</f>
        <v>35</v>
      </c>
      <c r="M4" s="27">
        <f>INDEX('GoR Raw Data_Ma_Biomarkers'!L:L,MATCH(C4,'GoR Raw Data_Ma_Biomarkers'!I:I,0))</f>
        <v>164.822</v>
      </c>
      <c r="N4" s="27">
        <f>INDEX('GoR Raw Data_Ma_Biomarkers'!S:S,MATCH(C4,'GoR Raw Data_Ma_Biomarkers'!P:P,0))</f>
        <v>35</v>
      </c>
      <c r="O4" s="27">
        <f>INDEX('GoR Raw Data_Ma_Biomarkers'!M:M,MATCH(C4,'GoR Raw Data_Ma_Biomarkers'!I:I,0))</f>
        <v>6.4349999999999996</v>
      </c>
      <c r="P4" s="27">
        <f>INDEX('GoR Raw Data_Ma_Biomarkers'!T:T,MATCH(C4,'GoR Raw Data_Ma_Biomarkers'!P:P,0))</f>
        <v>36</v>
      </c>
      <c r="Q4" s="27">
        <f>INDEX('GoR Raw Data_Ma_Biomarkers'!N:N,MATCH(C4,'GoR Raw Data_Ma_Biomarkers'!I:I,0))</f>
        <v>7.7660000000000018</v>
      </c>
      <c r="R4" s="27">
        <f>INDEX('GoR Raw Data_Ma_Biomarkers'!U:U,MATCH(C4,'GoR Raw Data_Ma_Biomarkers'!P:P,0))</f>
        <v>25</v>
      </c>
    </row>
    <row r="5" spans="1:20" x14ac:dyDescent="0.25">
      <c r="A5" s="177" t="s">
        <v>659</v>
      </c>
      <c r="B5" s="177" t="str">
        <f t="shared" ref="B5:B22" si="0">B4</f>
        <v>GoR</v>
      </c>
      <c r="C5" s="55" t="str">
        <f>'GoR Raw Data_Ma_Biomarkers'!I5</f>
        <v>160B</v>
      </c>
      <c r="D5" s="35" t="str">
        <f t="shared" ref="D5:D21" si="1">D4</f>
        <v>Ma</v>
      </c>
      <c r="E5" s="35" t="str">
        <f t="shared" ref="E5:E21" si="2">E4</f>
        <v>Females</v>
      </c>
      <c r="F5" s="35" t="str">
        <f t="shared" ref="F5:F21" si="3">F4</f>
        <v>whole body/brood</v>
      </c>
      <c r="G5" s="83">
        <f>INDEX('GoR Data_PE, PF'!L:L,MATCH(C5,'GoR Data_PE, PF'!I:I,0))</f>
        <v>7.8552949061662172E-2</v>
      </c>
      <c r="H5" s="83">
        <f>INDEX('GoR Data_PE, PF'!M:M,MATCH(C5,'GoR Data_PE, PF'!I:I,0))</f>
        <v>0.5</v>
      </c>
      <c r="I5" s="27">
        <f>INDEX('GoR Raw Data_Ma_Biomarkers'!J:J,MATCH(C5,'GoR Raw Data_Ma_Biomarkers'!I:I,0))</f>
        <v>30.9</v>
      </c>
      <c r="J5" s="27">
        <f>INDEX('GoR Raw Data_Ma_Biomarkers'!Q:Q,MATCH(C5,'GoR Raw Data_Ma_Biomarkers'!P:P,0))</f>
        <v>40</v>
      </c>
      <c r="K5" s="27">
        <f>INDEX('GoR Raw Data_Ma_Biomarkers'!K:K,MATCH(C5,'GoR Raw Data_Ma_Biomarkers'!I:I,0))</f>
        <v>206.999</v>
      </c>
      <c r="L5" s="27">
        <f>INDEX('GoR Raw Data_Ma_Biomarkers'!R:R,MATCH(C5,'GoR Raw Data_Ma_Biomarkers'!P:P,0))</f>
        <v>20</v>
      </c>
      <c r="M5" s="27">
        <f>INDEX('GoR Raw Data_Ma_Biomarkers'!L:L,MATCH(C5,'GoR Raw Data_Ma_Biomarkers'!I:I,0))</f>
        <v>164.64</v>
      </c>
      <c r="N5" s="27">
        <f>INDEX('GoR Raw Data_Ma_Biomarkers'!S:S,MATCH(C5,'GoR Raw Data_Ma_Biomarkers'!P:P,0))</f>
        <v>21</v>
      </c>
      <c r="O5" s="27">
        <f>INDEX('GoR Raw Data_Ma_Biomarkers'!M:M,MATCH(C5,'GoR Raw Data_Ma_Biomarkers'!I:I,0))</f>
        <v>6.88</v>
      </c>
      <c r="P5" s="27">
        <f>INDEX('GoR Raw Data_Ma_Biomarkers'!T:T,MATCH(C5,'GoR Raw Data_Ma_Biomarkers'!P:P,0))</f>
        <v>21</v>
      </c>
      <c r="Q5" s="27">
        <f>INDEX('GoR Raw Data_Ma_Biomarkers'!N:N,MATCH(C5,'GoR Raw Data_Ma_Biomarkers'!I:I,0))</f>
        <v>6.5620000000000003</v>
      </c>
      <c r="R5" s="27">
        <f>INDEX('GoR Raw Data_Ma_Biomarkers'!U:U,MATCH(C5,'GoR Raw Data_Ma_Biomarkers'!P:P,0))</f>
        <v>17</v>
      </c>
    </row>
    <row r="6" spans="1:20" x14ac:dyDescent="0.25">
      <c r="A6" s="177" t="s">
        <v>659</v>
      </c>
      <c r="B6" s="177" t="str">
        <f t="shared" si="0"/>
        <v>GoR</v>
      </c>
      <c r="C6" s="55" t="str">
        <f>'GoR Raw Data_Ma_Biomarkers'!I6</f>
        <v>VAD2</v>
      </c>
      <c r="D6" s="35" t="str">
        <f t="shared" si="1"/>
        <v>Ma</v>
      </c>
      <c r="E6" s="35" t="str">
        <f t="shared" si="2"/>
        <v>Females</v>
      </c>
      <c r="F6" s="35" t="str">
        <f t="shared" si="3"/>
        <v>whole body/brood</v>
      </c>
      <c r="G6" s="83">
        <f>INDEX('GoR Data_PE, PF'!L:L,MATCH(C6,'GoR Data_PE, PF'!I:I,0))</f>
        <v>4.1979783393501807E-2</v>
      </c>
      <c r="H6" s="83">
        <f>INDEX('GoR Data_PE, PF'!M:M,MATCH(C6,'GoR Data_PE, PF'!I:I,0))</f>
        <v>0.33333333333333331</v>
      </c>
      <c r="I6" s="27">
        <f>INDEX('GoR Raw Data_Ma_Biomarkers'!J:J,MATCH(C6,'GoR Raw Data_Ma_Biomarkers'!I:I,0))</f>
        <v>19</v>
      </c>
      <c r="J6" s="27">
        <f>INDEX('GoR Raw Data_Ma_Biomarkers'!Q:Q,MATCH(C6,'GoR Raw Data_Ma_Biomarkers'!P:P,0))</f>
        <v>42</v>
      </c>
      <c r="K6" s="27">
        <f>INDEX('GoR Raw Data_Ma_Biomarkers'!K:K,MATCH(C6,'GoR Raw Data_Ma_Biomarkers'!I:I,0))</f>
        <v>180.68799999999999</v>
      </c>
      <c r="L6" s="27">
        <f>INDEX('GoR Raw Data_Ma_Biomarkers'!R:R,MATCH(C6,'GoR Raw Data_Ma_Biomarkers'!P:P,0))</f>
        <v>27</v>
      </c>
      <c r="M6" s="27">
        <f>INDEX('GoR Raw Data_Ma_Biomarkers'!L:L,MATCH(C6,'GoR Raw Data_Ma_Biomarkers'!I:I,0))</f>
        <v>165.56399999999999</v>
      </c>
      <c r="N6" s="27">
        <f>INDEX('GoR Raw Data_Ma_Biomarkers'!S:S,MATCH(C6,'GoR Raw Data_Ma_Biomarkers'!P:P,0))</f>
        <v>27</v>
      </c>
      <c r="O6" s="27">
        <f>INDEX('GoR Raw Data_Ma_Biomarkers'!M:M,MATCH(C6,'GoR Raw Data_Ma_Biomarkers'!I:I,0))</f>
        <v>4.9039999999999999</v>
      </c>
      <c r="P6" s="27">
        <f>INDEX('GoR Raw Data_Ma_Biomarkers'!T:T,MATCH(C6,'GoR Raw Data_Ma_Biomarkers'!P:P,0))</f>
        <v>27</v>
      </c>
      <c r="Q6" s="27">
        <f>INDEX('GoR Raw Data_Ma_Biomarkers'!N:N,MATCH(C6,'GoR Raw Data_Ma_Biomarkers'!I:I,0))</f>
        <v>3.24</v>
      </c>
      <c r="R6" s="27">
        <f>INDEX('GoR Raw Data_Ma_Biomarkers'!U:U,MATCH(C6,'GoR Raw Data_Ma_Biomarkers'!P:P,0))</f>
        <v>16</v>
      </c>
    </row>
    <row r="7" spans="1:20" x14ac:dyDescent="0.25">
      <c r="A7" s="177" t="s">
        <v>659</v>
      </c>
      <c r="B7" s="177" t="str">
        <f t="shared" si="0"/>
        <v>GoR</v>
      </c>
      <c r="C7" s="55" t="str">
        <f>'GoR Raw Data_Ma_Biomarkers'!I7</f>
        <v>163B</v>
      </c>
      <c r="D7" s="35" t="str">
        <f t="shared" si="1"/>
        <v>Ma</v>
      </c>
      <c r="E7" s="35" t="str">
        <f t="shared" si="2"/>
        <v>Females</v>
      </c>
      <c r="F7" s="35" t="str">
        <f t="shared" si="3"/>
        <v>whole body/brood</v>
      </c>
      <c r="G7" s="83">
        <f>INDEX('GoR Data_PE, PF'!L:L,MATCH(C7,'GoR Data_PE, PF'!I:I,0))</f>
        <v>2.7575210214886344E-2</v>
      </c>
      <c r="H7" s="83">
        <f>INDEX('GoR Data_PE, PF'!M:M,MATCH(C7,'GoR Data_PE, PF'!I:I,0))</f>
        <v>0.2</v>
      </c>
      <c r="I7" s="27">
        <f>INDEX('GoR Raw Data_Ma_Biomarkers'!J:J,MATCH(C7,'GoR Raw Data_Ma_Biomarkers'!I:I,0))</f>
        <v>35.5</v>
      </c>
      <c r="J7" s="27">
        <f>INDEX('GoR Raw Data_Ma_Biomarkers'!Q:Q,MATCH(C7,'GoR Raw Data_Ma_Biomarkers'!P:P,0))</f>
        <v>56</v>
      </c>
      <c r="K7" s="27">
        <f>INDEX('GoR Raw Data_Ma_Biomarkers'!K:K,MATCH(C7,'GoR Raw Data_Ma_Biomarkers'!I:I,0))</f>
        <v>182.28200000000001</v>
      </c>
      <c r="L7" s="27">
        <f>INDEX('GoR Raw Data_Ma_Biomarkers'!R:R,MATCH(C7,'GoR Raw Data_Ma_Biomarkers'!P:P,0))</f>
        <v>37</v>
      </c>
      <c r="M7" s="27">
        <f>INDEX('GoR Raw Data_Ma_Biomarkers'!L:L,MATCH(C7,'GoR Raw Data_Ma_Biomarkers'!I:I,0))</f>
        <v>169.03799999999995</v>
      </c>
      <c r="N7" s="27">
        <f>INDEX('GoR Raw Data_Ma_Biomarkers'!S:S,MATCH(C7,'GoR Raw Data_Ma_Biomarkers'!P:P,0))</f>
        <v>37</v>
      </c>
      <c r="O7" s="27">
        <f>INDEX('GoR Raw Data_Ma_Biomarkers'!M:M,MATCH(C7,'GoR Raw Data_Ma_Biomarkers'!I:I,0))</f>
        <v>4.7919999999999998</v>
      </c>
      <c r="P7" s="27">
        <f>INDEX('GoR Raw Data_Ma_Biomarkers'!T:T,MATCH(C7,'GoR Raw Data_Ma_Biomarkers'!P:P,0))</f>
        <v>37</v>
      </c>
      <c r="Q7" s="27">
        <f>INDEX('GoR Raw Data_Ma_Biomarkers'!N:N,MATCH(C7,'GoR Raw Data_Ma_Biomarkers'!I:I,0))</f>
        <v>7.1000000000000014</v>
      </c>
      <c r="R7" s="27">
        <f>INDEX('GoR Raw Data_Ma_Biomarkers'!U:U,MATCH(C7,'GoR Raw Data_Ma_Biomarkers'!P:P,0))</f>
        <v>25</v>
      </c>
    </row>
    <row r="8" spans="1:20" x14ac:dyDescent="0.25">
      <c r="A8" s="177" t="s">
        <v>659</v>
      </c>
      <c r="B8" s="177" t="str">
        <f t="shared" si="0"/>
        <v>GoR</v>
      </c>
      <c r="C8" s="55" t="str">
        <f>'GoR Raw Data_Ma_Biomarkers'!I8</f>
        <v>162B</v>
      </c>
      <c r="D8" s="35" t="str">
        <f t="shared" si="1"/>
        <v>Ma</v>
      </c>
      <c r="E8" s="35" t="str">
        <f t="shared" si="2"/>
        <v>Females</v>
      </c>
      <c r="F8" s="35" t="str">
        <f t="shared" si="3"/>
        <v>whole body/brood</v>
      </c>
      <c r="G8" s="83">
        <f>INDEX('GoR Data_PE, PF'!L:L,MATCH(C8,'GoR Data_PE, PF'!I:I,0))</f>
        <v>8.6795064042486686E-2</v>
      </c>
      <c r="H8" s="83">
        <f>INDEX('GoR Data_PE, PF'!M:M,MATCH(C8,'GoR Data_PE, PF'!I:I,0))</f>
        <v>0.66666666666666663</v>
      </c>
      <c r="I8" s="27">
        <f>INDEX('GoR Raw Data_Ma_Biomarkers'!J:J,MATCH(C8,'GoR Raw Data_Ma_Biomarkers'!I:I,0))</f>
        <v>28.8</v>
      </c>
      <c r="J8" s="27">
        <f>INDEX('GoR Raw Data_Ma_Biomarkers'!Q:Q,MATCH(C8,'GoR Raw Data_Ma_Biomarkers'!P:P,0))</f>
        <v>50</v>
      </c>
      <c r="K8" s="27">
        <f>INDEX('GoR Raw Data_Ma_Biomarkers'!K:K,MATCH(C8,'GoR Raw Data_Ma_Biomarkers'!I:I,0))</f>
        <v>164.62</v>
      </c>
      <c r="L8" s="27">
        <f>INDEX('GoR Raw Data_Ma_Biomarkers'!R:R,MATCH(C8,'GoR Raw Data_Ma_Biomarkers'!P:P,0))</f>
        <v>31</v>
      </c>
      <c r="M8" s="27">
        <f>INDEX('GoR Raw Data_Ma_Biomarkers'!L:L,MATCH(C8,'GoR Raw Data_Ma_Biomarkers'!I:I,0))</f>
        <v>143.03</v>
      </c>
      <c r="N8" s="27">
        <f>INDEX('GoR Raw Data_Ma_Biomarkers'!S:S,MATCH(C8,'GoR Raw Data_Ma_Biomarkers'!P:P,0))</f>
        <v>31</v>
      </c>
      <c r="O8" s="27">
        <f>INDEX('GoR Raw Data_Ma_Biomarkers'!M:M,MATCH(C8,'GoR Raw Data_Ma_Biomarkers'!I:I,0))</f>
        <v>4.49</v>
      </c>
      <c r="P8" s="27">
        <f>INDEX('GoR Raw Data_Ma_Biomarkers'!T:T,MATCH(C8,'GoR Raw Data_Ma_Biomarkers'!P:P,0))</f>
        <v>31</v>
      </c>
      <c r="Q8" s="27">
        <f>INDEX('GoR Raw Data_Ma_Biomarkers'!N:N,MATCH(C8,'GoR Raw Data_Ma_Biomarkers'!I:I,0))</f>
        <v>5.6940000000000008</v>
      </c>
      <c r="R8" s="27">
        <f>INDEX('GoR Raw Data_Ma_Biomarkers'!U:U,MATCH(C8,'GoR Raw Data_Ma_Biomarkers'!P:P,0))</f>
        <v>23</v>
      </c>
    </row>
    <row r="9" spans="1:20" x14ac:dyDescent="0.25">
      <c r="A9" s="177" t="s">
        <v>659</v>
      </c>
      <c r="B9" s="177" t="str">
        <f t="shared" si="0"/>
        <v>GoR</v>
      </c>
      <c r="C9" s="55" t="str">
        <f>'GoR Raw Data_Ma_Biomarkers'!I9</f>
        <v>111</v>
      </c>
      <c r="D9" s="35" t="str">
        <f t="shared" si="1"/>
        <v>Ma</v>
      </c>
      <c r="E9" s="35" t="str">
        <f t="shared" si="2"/>
        <v>Females</v>
      </c>
      <c r="F9" s="35" t="str">
        <f t="shared" si="3"/>
        <v>whole body/brood</v>
      </c>
      <c r="G9" s="83">
        <f>INDEX('GoR Data_PE, PF'!L:L,MATCH(111,'GoR Data_PE, PF'!I:I,0))</f>
        <v>8.1643521594684382E-2</v>
      </c>
      <c r="H9" s="83">
        <f>INDEX('GoR Data_PE, PF'!M:M,MATCH(111,'GoR Data_PE, PF'!I:I,0))</f>
        <v>0.27272727272727271</v>
      </c>
      <c r="I9" s="27">
        <f>INDEX('GoR Raw Data_Ma_Biomarkers'!J:J,MATCH(C9,'GoR Raw Data_Ma_Biomarkers'!I:I,0))</f>
        <v>30</v>
      </c>
      <c r="J9" s="27">
        <f>INDEX('GoR Raw Data_Ma_Biomarkers'!Q:Q,MATCH(C9,'GoR Raw Data_Ma_Biomarkers'!P:P,0))</f>
        <v>90</v>
      </c>
      <c r="K9" s="27">
        <f>INDEX('GoR Raw Data_Ma_Biomarkers'!K:K,MATCH(C9,'GoR Raw Data_Ma_Biomarkers'!I:I,0))</f>
        <v>164.45699999999999</v>
      </c>
      <c r="L9" s="27">
        <f>INDEX('GoR Raw Data_Ma_Biomarkers'!R:R,MATCH(C9,'GoR Raw Data_Ma_Biomarkers'!P:P,0))</f>
        <v>52</v>
      </c>
      <c r="M9" s="27">
        <f>INDEX('GoR Raw Data_Ma_Biomarkers'!L:L,MATCH(C9,'GoR Raw Data_Ma_Biomarkers'!I:I,0))</f>
        <v>149.79500000000002</v>
      </c>
      <c r="N9" s="27">
        <f>INDEX('GoR Raw Data_Ma_Biomarkers'!S:S,MATCH(C9,'GoR Raw Data_Ma_Biomarkers'!P:P,0))</f>
        <v>54</v>
      </c>
      <c r="O9" s="27">
        <f>INDEX('GoR Raw Data_Ma_Biomarkers'!M:M,MATCH(C9,'GoR Raw Data_Ma_Biomarkers'!I:I,0))</f>
        <v>6.6170000000000044</v>
      </c>
      <c r="P9" s="27">
        <f>INDEX('GoR Raw Data_Ma_Biomarkers'!T:T,MATCH(C9,'GoR Raw Data_Ma_Biomarkers'!P:P,0))</f>
        <v>54</v>
      </c>
      <c r="Q9" s="27">
        <f>INDEX('GoR Raw Data_Ma_Biomarkers'!N:N,MATCH(C9,'GoR Raw Data_Ma_Biomarkers'!I:I,0))</f>
        <v>4.62</v>
      </c>
      <c r="R9" s="27">
        <f>INDEX('GoR Raw Data_Ma_Biomarkers'!U:U,MATCH(C9,'GoR Raw Data_Ma_Biomarkers'!P:P,0))</f>
        <v>48</v>
      </c>
    </row>
    <row r="10" spans="1:20" x14ac:dyDescent="0.25">
      <c r="A10" s="177" t="s">
        <v>659</v>
      </c>
      <c r="B10" s="177" t="str">
        <f t="shared" si="0"/>
        <v>GoR</v>
      </c>
      <c r="C10" s="55" t="str">
        <f>'GoR Raw Data_Ma_Biomarkers'!I10</f>
        <v>114A</v>
      </c>
      <c r="D10" s="35" t="str">
        <f t="shared" si="1"/>
        <v>Ma</v>
      </c>
      <c r="E10" s="35" t="str">
        <f t="shared" si="2"/>
        <v>Females</v>
      </c>
      <c r="F10" s="35" t="str">
        <f t="shared" si="3"/>
        <v>whole body/brood</v>
      </c>
      <c r="G10" s="83">
        <f>INDEX('GoR Data_PE, PF'!L:L,MATCH(C10,'GoR Data_PE, PF'!I:I,0))</f>
        <v>9.5215782434239823E-2</v>
      </c>
      <c r="H10" s="83">
        <f>INDEX('GoR Data_PE, PF'!M:M,MATCH(C10,'GoR Data_PE, PF'!I:I,0))</f>
        <v>0.82352941176470584</v>
      </c>
      <c r="I10" s="27">
        <f>INDEX('GoR Raw Data_Ma_Biomarkers'!J:J,MATCH(C10,'GoR Raw Data_Ma_Biomarkers'!I:I,0))</f>
        <v>24.4</v>
      </c>
      <c r="J10" s="27">
        <f>INDEX('GoR Raw Data_Ma_Biomarkers'!Q:Q,MATCH(C10,'GoR Raw Data_Ma_Biomarkers'!P:P,0))</f>
        <v>45</v>
      </c>
      <c r="K10" s="27">
        <f>INDEX('GoR Raw Data_Ma_Biomarkers'!K:K,MATCH(C10,'GoR Raw Data_Ma_Biomarkers'!I:I,0))</f>
        <v>160.352</v>
      </c>
      <c r="L10" s="27">
        <f>INDEX('GoR Raw Data_Ma_Biomarkers'!R:R,MATCH(C10,'GoR Raw Data_Ma_Biomarkers'!P:P,0))</f>
        <v>19</v>
      </c>
      <c r="M10" s="27">
        <f>INDEX('GoR Raw Data_Ma_Biomarkers'!L:L,MATCH(C10,'GoR Raw Data_Ma_Biomarkers'!I:I,0))</f>
        <v>131.30000000000001</v>
      </c>
      <c r="N10" s="27">
        <f>INDEX('GoR Raw Data_Ma_Biomarkers'!S:S,MATCH(C10,'GoR Raw Data_Ma_Biomarkers'!P:P,0))</f>
        <v>19</v>
      </c>
      <c r="O10" s="27">
        <f>INDEX('GoR Raw Data_Ma_Biomarkers'!M:M,MATCH(C10,'GoR Raw Data_Ma_Biomarkers'!I:I,0))</f>
        <v>6.54</v>
      </c>
      <c r="P10" s="27">
        <f>INDEX('GoR Raw Data_Ma_Biomarkers'!T:T,MATCH(C10,'GoR Raw Data_Ma_Biomarkers'!P:P,0))</f>
        <v>19</v>
      </c>
      <c r="Q10" s="27">
        <f>INDEX('GoR Raw Data_Ma_Biomarkers'!N:N,MATCH(C10,'GoR Raw Data_Ma_Biomarkers'!I:I,0))</f>
        <v>6.2620000000000013</v>
      </c>
      <c r="R10" s="27">
        <f>INDEX('GoR Raw Data_Ma_Biomarkers'!U:U,MATCH(C10,'GoR Raw Data_Ma_Biomarkers'!P:P,0))</f>
        <v>13</v>
      </c>
    </row>
    <row r="11" spans="1:20" x14ac:dyDescent="0.25">
      <c r="A11" s="177" t="s">
        <v>659</v>
      </c>
      <c r="B11" s="177" t="str">
        <f t="shared" si="0"/>
        <v>GoR</v>
      </c>
      <c r="C11" s="55" t="str">
        <f>'GoR Raw Data_Ma_Biomarkers'!I11</f>
        <v>G3</v>
      </c>
      <c r="D11" s="35" t="str">
        <f t="shared" si="1"/>
        <v>Ma</v>
      </c>
      <c r="E11" s="35" t="str">
        <f t="shared" si="2"/>
        <v>Females</v>
      </c>
      <c r="F11" s="35" t="str">
        <f t="shared" si="3"/>
        <v>whole body/brood</v>
      </c>
      <c r="G11" s="83">
        <f>INDEX('GoR Data_PE, PF'!L:L,MATCH(C11,'GoR Data_PE, PF'!I:I,0))</f>
        <v>6.2592030360531306E-2</v>
      </c>
      <c r="H11" s="83">
        <f>INDEX('GoR Data_PE, PF'!M:M,MATCH(C11,'GoR Data_PE, PF'!I:I,0))</f>
        <v>0.33333333333333331</v>
      </c>
      <c r="I11" s="27">
        <f>INDEX('GoR Raw Data_Ma_Biomarkers'!J:J,MATCH(C11,'GoR Raw Data_Ma_Biomarkers'!I:I,0))</f>
        <v>22.9</v>
      </c>
      <c r="J11" s="27">
        <f>INDEX('GoR Raw Data_Ma_Biomarkers'!Q:Q,MATCH(C11,'GoR Raw Data_Ma_Biomarkers'!P:P,0))</f>
        <v>30</v>
      </c>
      <c r="K11" s="184"/>
      <c r="L11" s="27">
        <f>INDEX('GoR Raw Data_Ma_Biomarkers'!R:R,MATCH(C11,'GoR Raw Data_Ma_Biomarkers'!P:P,0))</f>
        <v>0</v>
      </c>
      <c r="M11" s="184"/>
      <c r="N11" s="27">
        <f>INDEX('GoR Raw Data_Ma_Biomarkers'!S:S,MATCH(C11,'GoR Raw Data_Ma_Biomarkers'!P:P,0))</f>
        <v>0</v>
      </c>
      <c r="O11" s="184"/>
      <c r="P11" s="27">
        <f>INDEX('GoR Raw Data_Ma_Biomarkers'!T:T,MATCH(C11,'GoR Raw Data_Ma_Biomarkers'!P:P,0))</f>
        <v>0</v>
      </c>
      <c r="Q11" s="184"/>
      <c r="R11" s="27">
        <f>INDEX('GoR Raw Data_Ma_Biomarkers'!U:U,MATCH(C11,'GoR Raw Data_Ma_Biomarkers'!P:P,0))</f>
        <v>0</v>
      </c>
    </row>
    <row r="12" spans="1:20" x14ac:dyDescent="0.25">
      <c r="A12" s="177" t="s">
        <v>659</v>
      </c>
      <c r="B12" s="177" t="str">
        <f t="shared" si="0"/>
        <v>GoR</v>
      </c>
      <c r="C12" s="55" t="str">
        <f>'GoR Raw Data_Ma_Biomarkers'!I12</f>
        <v>107</v>
      </c>
      <c r="D12" s="35" t="str">
        <f t="shared" si="1"/>
        <v>Ma</v>
      </c>
      <c r="E12" s="35" t="str">
        <f t="shared" si="2"/>
        <v>Females</v>
      </c>
      <c r="F12" s="35" t="str">
        <f t="shared" si="3"/>
        <v>whole body/brood</v>
      </c>
      <c r="G12" s="83">
        <f>INDEX('GoR Data_PE, PF'!L:L,MATCH(107,'GoR Data_PE, PF'!I:I,0))</f>
        <v>8.408827014218008E-2</v>
      </c>
      <c r="H12" s="83">
        <f>INDEX('GoR Data_PE, PF'!M:M,MATCH(107,'GoR Data_PE, PF'!I:I,0))</f>
        <v>0.4</v>
      </c>
      <c r="I12" s="27">
        <f>INDEX('GoR Raw Data_Ma_Biomarkers'!J:J,MATCH(C12,'GoR Raw Data_Ma_Biomarkers'!I:I,0))</f>
        <v>25.6</v>
      </c>
      <c r="J12" s="27">
        <f>INDEX('GoR Raw Data_Ma_Biomarkers'!Q:Q,MATCH(C12,'GoR Raw Data_Ma_Biomarkers'!P:P,0))</f>
        <v>27</v>
      </c>
      <c r="K12" s="27">
        <f>INDEX('GoR Raw Data_Ma_Biomarkers'!K:K,MATCH(C12,'GoR Raw Data_Ma_Biomarkers'!I:I,0))</f>
        <v>218.82</v>
      </c>
      <c r="L12" s="27">
        <f>INDEX('GoR Raw Data_Ma_Biomarkers'!R:R,MATCH(C12,'GoR Raw Data_Ma_Biomarkers'!P:P,0))</f>
        <v>11</v>
      </c>
      <c r="M12" s="27">
        <f>INDEX('GoR Raw Data_Ma_Biomarkers'!L:L,MATCH(C12,'GoR Raw Data_Ma_Biomarkers'!I:I,0))</f>
        <v>161.09</v>
      </c>
      <c r="N12" s="27">
        <f>INDEX('GoR Raw Data_Ma_Biomarkers'!S:S,MATCH(C12,'GoR Raw Data_Ma_Biomarkers'!P:P,0))</f>
        <v>11</v>
      </c>
      <c r="O12" s="27">
        <f>INDEX('GoR Raw Data_Ma_Biomarkers'!M:M,MATCH(C12,'GoR Raw Data_Ma_Biomarkers'!I:I,0))</f>
        <v>6.26</v>
      </c>
      <c r="P12" s="27">
        <f>INDEX('GoR Raw Data_Ma_Biomarkers'!T:T,MATCH(C12,'GoR Raw Data_Ma_Biomarkers'!P:P,0))</f>
        <v>11</v>
      </c>
      <c r="Q12" s="27">
        <f>INDEX('GoR Raw Data_Ma_Biomarkers'!N:N,MATCH(C12,'GoR Raw Data_Ma_Biomarkers'!I:I,0))</f>
        <v>7.1920000000000011</v>
      </c>
      <c r="R12" s="27">
        <f>INDEX('GoR Raw Data_Ma_Biomarkers'!U:U,MATCH(C12,'GoR Raw Data_Ma_Biomarkers'!P:P,0))</f>
        <v>17</v>
      </c>
    </row>
    <row r="13" spans="1:20" x14ac:dyDescent="0.25">
      <c r="A13" s="177" t="s">
        <v>659</v>
      </c>
      <c r="B13" s="177" t="str">
        <f t="shared" si="0"/>
        <v>GoR</v>
      </c>
      <c r="C13" s="55" t="str">
        <f>'GoR Raw Data_Ma_Biomarkers'!I13</f>
        <v>135</v>
      </c>
      <c r="D13" s="35" t="str">
        <f t="shared" si="1"/>
        <v>Ma</v>
      </c>
      <c r="E13" s="35" t="str">
        <f t="shared" si="2"/>
        <v>Females</v>
      </c>
      <c r="F13" s="35" t="str">
        <f t="shared" si="3"/>
        <v>whole body/brood</v>
      </c>
      <c r="G13" s="83">
        <f>INDEX('GoR Data_PE, PF'!L:L,MATCH(135,'GoR Data_PE, PF'!I:I,0))</f>
        <v>0.19004069767441858</v>
      </c>
      <c r="H13" s="83">
        <f>INDEX('GoR Data_PE, PF'!M:M,MATCH(135,'GoR Data_PE, PF'!I:I,0))</f>
        <v>0.58333333333333337</v>
      </c>
      <c r="I13" s="27">
        <f>INDEX('GoR Raw Data_Ma_Biomarkers'!J:J,MATCH(C13,'GoR Raw Data_Ma_Biomarkers'!I:I,0))</f>
        <v>22.3</v>
      </c>
      <c r="J13" s="27">
        <f>INDEX('GoR Raw Data_Ma_Biomarkers'!Q:Q,MATCH(C13,'GoR Raw Data_Ma_Biomarkers'!P:P,0))</f>
        <v>34</v>
      </c>
      <c r="K13" s="27">
        <f>INDEX('GoR Raw Data_Ma_Biomarkers'!K:K,MATCH(C13,'GoR Raw Data_Ma_Biomarkers'!I:I,0))</f>
        <v>220.08600000000007</v>
      </c>
      <c r="L13" s="27">
        <f>INDEX('GoR Raw Data_Ma_Biomarkers'!R:R,MATCH(C13,'GoR Raw Data_Ma_Biomarkers'!P:P,0))</f>
        <v>22</v>
      </c>
      <c r="M13" s="27">
        <f>INDEX('GoR Raw Data_Ma_Biomarkers'!L:L,MATCH(C13,'GoR Raw Data_Ma_Biomarkers'!I:I,0))</f>
        <v>174.62</v>
      </c>
      <c r="N13" s="27">
        <f>INDEX('GoR Raw Data_Ma_Biomarkers'!S:S,MATCH(C13,'GoR Raw Data_Ma_Biomarkers'!P:P,0))</f>
        <v>21</v>
      </c>
      <c r="O13" s="27">
        <f>INDEX('GoR Raw Data_Ma_Biomarkers'!M:M,MATCH(C13,'GoR Raw Data_Ma_Biomarkers'!I:I,0))</f>
        <v>7.3560000000000008</v>
      </c>
      <c r="P13" s="27">
        <f>INDEX('GoR Raw Data_Ma_Biomarkers'!T:T,MATCH(C13,'GoR Raw Data_Ma_Biomarkers'!P:P,0))</f>
        <v>22</v>
      </c>
      <c r="Q13" s="27">
        <f>INDEX('GoR Raw Data_Ma_Biomarkers'!N:N,MATCH(C13,'GoR Raw Data_Ma_Biomarkers'!I:I,0))</f>
        <v>5.8650000000000002</v>
      </c>
      <c r="R13" s="27">
        <f>INDEX('GoR Raw Data_Ma_Biomarkers'!U:U,MATCH(C13,'GoR Raw Data_Ma_Biomarkers'!P:P,0))</f>
        <v>26</v>
      </c>
    </row>
    <row r="14" spans="1:20" x14ac:dyDescent="0.25">
      <c r="A14" s="177" t="s">
        <v>659</v>
      </c>
      <c r="B14" s="177" t="str">
        <f t="shared" si="0"/>
        <v>GoR</v>
      </c>
      <c r="C14" s="55" t="str">
        <f>'GoR Raw Data_Ma_Biomarkers'!I14</f>
        <v>102A</v>
      </c>
      <c r="D14" s="35" t="str">
        <f t="shared" si="1"/>
        <v>Ma</v>
      </c>
      <c r="E14" s="35" t="str">
        <f t="shared" si="2"/>
        <v>Females</v>
      </c>
      <c r="F14" s="35" t="str">
        <f>Tissues!A2</f>
        <v>whole body</v>
      </c>
      <c r="G14" s="210"/>
      <c r="H14" s="210"/>
      <c r="I14" s="27">
        <f>INDEX('GoR Raw Data_Ma_Biomarkers'!J:J,MATCH(C14,'GoR Raw Data_Ma_Biomarkers'!I:I,0))</f>
        <v>34.700000000000003</v>
      </c>
      <c r="J14" s="27">
        <f>INDEX('GoR Raw Data_Ma_Biomarkers'!Q:Q,MATCH(C14,'GoR Raw Data_Ma_Biomarkers'!P:P,0))</f>
        <v>18</v>
      </c>
      <c r="K14" s="27">
        <f>INDEX('GoR Raw Data_Ma_Biomarkers'!K:K,MATCH(C14,'GoR Raw Data_Ma_Biomarkers'!I:I,0))</f>
        <v>150.23099999999999</v>
      </c>
      <c r="L14" s="27">
        <f>INDEX('GoR Raw Data_Ma_Biomarkers'!R:R,MATCH(C14,'GoR Raw Data_Ma_Biomarkers'!P:P,0))</f>
        <v>14</v>
      </c>
      <c r="M14" s="27">
        <f>INDEX('GoR Raw Data_Ma_Biomarkers'!L:L,MATCH(C14,'GoR Raw Data_Ma_Biomarkers'!I:I,0))</f>
        <v>113.57300000000001</v>
      </c>
      <c r="N14" s="27">
        <f>INDEX('GoR Raw Data_Ma_Biomarkers'!S:S,MATCH(C14,'GoR Raw Data_Ma_Biomarkers'!P:P,0))</f>
        <v>14</v>
      </c>
      <c r="O14" s="27">
        <f>INDEX('GoR Raw Data_Ma_Biomarkers'!M:M,MATCH(C14,'GoR Raw Data_Ma_Biomarkers'!I:I,0))</f>
        <v>7.508</v>
      </c>
      <c r="P14" s="27">
        <f>INDEX('GoR Raw Data_Ma_Biomarkers'!T:T,MATCH(C14,'GoR Raw Data_Ma_Biomarkers'!P:P,0))</f>
        <v>14</v>
      </c>
      <c r="Q14" s="27">
        <f>INDEX('GoR Raw Data_Ma_Biomarkers'!N:N,MATCH(C14,'GoR Raw Data_Ma_Biomarkers'!I:I,0))</f>
        <v>2.4239999999999999</v>
      </c>
      <c r="R14" s="27">
        <f>INDEX('GoR Raw Data_Ma_Biomarkers'!U:U,MATCH(C14,'GoR Raw Data_Ma_Biomarkers'!P:P,0))</f>
        <v>8</v>
      </c>
    </row>
    <row r="15" spans="1:20" x14ac:dyDescent="0.25">
      <c r="A15" s="177" t="s">
        <v>659</v>
      </c>
      <c r="B15" s="177" t="str">
        <f t="shared" si="0"/>
        <v>GoR</v>
      </c>
      <c r="C15" s="55" t="str">
        <f>'GoR Raw Data_Ma_Biomarkers'!I15</f>
        <v>137A</v>
      </c>
      <c r="D15" s="35" t="str">
        <f t="shared" si="1"/>
        <v>Ma</v>
      </c>
      <c r="E15" s="35" t="str">
        <f t="shared" si="2"/>
        <v>Females</v>
      </c>
      <c r="F15" s="35" t="str">
        <f>Tissues!A4</f>
        <v>whole body/brood</v>
      </c>
      <c r="G15" s="83">
        <f>INDEX('GoR Data_PE, PF'!L:L,MATCH(C15,'GoR Data_PE, PF'!I:I,0))</f>
        <v>8.4631793478260886E-2</v>
      </c>
      <c r="H15" s="83">
        <f>INDEX('GoR Data_PE, PF'!M:M,MATCH(C15,'GoR Data_PE, PF'!I:I,0))</f>
        <v>0.5</v>
      </c>
      <c r="I15" s="27">
        <f>INDEX('GoR Raw Data_Ma_Biomarkers'!J:J,MATCH(C15,'GoR Raw Data_Ma_Biomarkers'!I:I,0))</f>
        <v>22.8</v>
      </c>
      <c r="J15" s="27">
        <f>INDEX('GoR Raw Data_Ma_Biomarkers'!Q:Q,MATCH(C15,'GoR Raw Data_Ma_Biomarkers'!P:P,0))</f>
        <v>29</v>
      </c>
      <c r="K15" s="27">
        <f>INDEX('GoR Raw Data_Ma_Biomarkers'!K:K,MATCH(C15,'GoR Raw Data_Ma_Biomarkers'!I:I,0))</f>
        <v>170.13</v>
      </c>
      <c r="L15" s="27">
        <f>INDEX('GoR Raw Data_Ma_Biomarkers'!R:R,MATCH(C15,'GoR Raw Data_Ma_Biomarkers'!P:P,0))</f>
        <v>15</v>
      </c>
      <c r="M15" s="27">
        <f>INDEX('GoR Raw Data_Ma_Biomarkers'!L:L,MATCH(C15,'GoR Raw Data_Ma_Biomarkers'!I:I,0))</f>
        <v>145.345</v>
      </c>
      <c r="N15" s="27">
        <f>INDEX('GoR Raw Data_Ma_Biomarkers'!S:S,MATCH(C15,'GoR Raw Data_Ma_Biomarkers'!P:P,0))</f>
        <v>16</v>
      </c>
      <c r="O15" s="27">
        <f>INDEX('GoR Raw Data_Ma_Biomarkers'!M:M,MATCH(C15,'GoR Raw Data_Ma_Biomarkers'!I:I,0))</f>
        <v>7.8949999999999996</v>
      </c>
      <c r="P15" s="27">
        <f>INDEX('GoR Raw Data_Ma_Biomarkers'!T:T,MATCH(C15,'GoR Raw Data_Ma_Biomarkers'!P:P,0))</f>
        <v>16</v>
      </c>
      <c r="Q15" s="27">
        <f>INDEX('GoR Raw Data_Ma_Biomarkers'!N:N,MATCH(C15,'GoR Raw Data_Ma_Biomarkers'!I:I,0))</f>
        <v>6.008</v>
      </c>
      <c r="R15" s="27">
        <f>INDEX('GoR Raw Data_Ma_Biomarkers'!U:U,MATCH(C15,'GoR Raw Data_Ma_Biomarkers'!P:P,0))</f>
        <v>18</v>
      </c>
    </row>
    <row r="16" spans="1:20" x14ac:dyDescent="0.25">
      <c r="A16" s="177" t="s">
        <v>659</v>
      </c>
      <c r="B16" s="177" t="str">
        <f t="shared" si="0"/>
        <v>GoR</v>
      </c>
      <c r="C16" s="55" t="str">
        <f>'GoR Raw Data_Ma_Biomarkers'!I16</f>
        <v>142</v>
      </c>
      <c r="D16" s="35" t="str">
        <f t="shared" si="1"/>
        <v>Ma</v>
      </c>
      <c r="E16" s="35" t="str">
        <f t="shared" si="2"/>
        <v>Females</v>
      </c>
      <c r="F16" s="35" t="str">
        <f>Tissues!A2</f>
        <v>whole body</v>
      </c>
      <c r="G16" s="210"/>
      <c r="H16" s="210"/>
      <c r="I16" s="27">
        <f>INDEX('GoR Raw Data_Ma_Biomarkers'!J:J,MATCH(C16,'GoR Raw Data_Ma_Biomarkers'!I:I,0))</f>
        <v>26.8</v>
      </c>
      <c r="J16" s="27">
        <f>INDEX('GoR Raw Data_Ma_Biomarkers'!Q:Q,MATCH(C16,'GoR Raw Data_Ma_Biomarkers'!P:P,0))</f>
        <v>80</v>
      </c>
      <c r="K16" s="27">
        <f>INDEX('GoR Raw Data_Ma_Biomarkers'!K:K,MATCH(C16,'GoR Raw Data_Ma_Biomarkers'!I:I,0))</f>
        <v>206.26</v>
      </c>
      <c r="L16" s="27">
        <f>INDEX('GoR Raw Data_Ma_Biomarkers'!R:R,MATCH(C16,'GoR Raw Data_Ma_Biomarkers'!P:P,0))</f>
        <v>44</v>
      </c>
      <c r="M16" s="27">
        <f>INDEX('GoR Raw Data_Ma_Biomarkers'!L:L,MATCH(C16,'GoR Raw Data_Ma_Biomarkers'!I:I,0))</f>
        <v>143.61000000000001</v>
      </c>
      <c r="N16" s="27">
        <f>INDEX('GoR Raw Data_Ma_Biomarkers'!S:S,MATCH(C16,'GoR Raw Data_Ma_Biomarkers'!P:P,0))</f>
        <v>44</v>
      </c>
      <c r="O16" s="27">
        <f>INDEX('GoR Raw Data_Ma_Biomarkers'!M:M,MATCH(C16,'GoR Raw Data_Ma_Biomarkers'!I:I,0))</f>
        <v>6.97</v>
      </c>
      <c r="P16" s="27">
        <f>INDEX('GoR Raw Data_Ma_Biomarkers'!T:T,MATCH(C16,'GoR Raw Data_Ma_Biomarkers'!P:P,0))</f>
        <v>44</v>
      </c>
      <c r="Q16" s="27">
        <f>INDEX('GoR Raw Data_Ma_Biomarkers'!N:N,MATCH(C16,'GoR Raw Data_Ma_Biomarkers'!I:I,0))</f>
        <v>1.6</v>
      </c>
      <c r="R16" s="27">
        <f>INDEX('GoR Raw Data_Ma_Biomarkers'!U:U,MATCH(C16,'GoR Raw Data_Ma_Biomarkers'!P:P,0))</f>
        <v>36</v>
      </c>
    </row>
    <row r="17" spans="1:18" x14ac:dyDescent="0.25">
      <c r="A17" s="177" t="s">
        <v>659</v>
      </c>
      <c r="B17" s="177" t="str">
        <f t="shared" si="0"/>
        <v>GoR</v>
      </c>
      <c r="C17" s="55" t="str">
        <f>'GoR Raw Data_Ma_Biomarkers'!I17</f>
        <v>VAD5</v>
      </c>
      <c r="D17" s="35" t="str">
        <f t="shared" si="1"/>
        <v>Ma</v>
      </c>
      <c r="E17" s="35" t="str">
        <f t="shared" si="2"/>
        <v>Females</v>
      </c>
      <c r="F17" s="35" t="str">
        <f>Tissues!A4</f>
        <v>whole body/brood</v>
      </c>
      <c r="G17" s="83">
        <f>INDEX('GoR Data_PE, PF'!L:L,MATCH(C17,'GoR Data_PE, PF'!I:I,0))</f>
        <v>7.7215497937536806E-2</v>
      </c>
      <c r="H17" s="83">
        <f>INDEX('GoR Data_PE, PF'!M:M,MATCH(C17,'GoR Data_PE, PF'!I:I,0))</f>
        <v>0.6428571428571429</v>
      </c>
      <c r="I17" s="27">
        <f>INDEX('GoR Raw Data_Ma_Biomarkers'!J:J,MATCH(C17,'GoR Raw Data_Ma_Biomarkers'!I:I,0))</f>
        <v>24</v>
      </c>
      <c r="J17" s="27">
        <f>INDEX('GoR Raw Data_Ma_Biomarkers'!Q:Q,MATCH(C17,'GoR Raw Data_Ma_Biomarkers'!P:P,0))</f>
        <v>24</v>
      </c>
      <c r="K17" s="27">
        <f>INDEX('GoR Raw Data_Ma_Biomarkers'!K:K,MATCH(C17,'GoR Raw Data_Ma_Biomarkers'!I:I,0))</f>
        <v>142.97</v>
      </c>
      <c r="L17" s="27">
        <f>INDEX('GoR Raw Data_Ma_Biomarkers'!R:R,MATCH(C17,'GoR Raw Data_Ma_Biomarkers'!P:P,0))</f>
        <v>11</v>
      </c>
      <c r="M17" s="27">
        <f>INDEX('GoR Raw Data_Ma_Biomarkers'!L:L,MATCH(C17,'GoR Raw Data_Ma_Biomarkers'!I:I,0))</f>
        <v>146.51999999999998</v>
      </c>
      <c r="N17" s="27">
        <f>INDEX('GoR Raw Data_Ma_Biomarkers'!S:S,MATCH(C17,'GoR Raw Data_Ma_Biomarkers'!P:P,0))</f>
        <v>10</v>
      </c>
      <c r="O17" s="27">
        <f>INDEX('GoR Raw Data_Ma_Biomarkers'!M:M,MATCH(C17,'GoR Raw Data_Ma_Biomarkers'!I:I,0))</f>
        <v>7.27</v>
      </c>
      <c r="P17" s="27">
        <f>INDEX('GoR Raw Data_Ma_Biomarkers'!T:T,MATCH(C17,'GoR Raw Data_Ma_Biomarkers'!P:P,0))</f>
        <v>11</v>
      </c>
      <c r="Q17" s="27">
        <f>INDEX('GoR Raw Data_Ma_Biomarkers'!N:N,MATCH(C17,'GoR Raw Data_Ma_Biomarkers'!I:I,0))</f>
        <v>2.2020000000000004</v>
      </c>
      <c r="R17" s="27">
        <f>INDEX('GoR Raw Data_Ma_Biomarkers'!U:U,MATCH(C17,'GoR Raw Data_Ma_Biomarkers'!P:P,0))</f>
        <v>23</v>
      </c>
    </row>
    <row r="18" spans="1:18" x14ac:dyDescent="0.25">
      <c r="A18" s="177" t="s">
        <v>659</v>
      </c>
      <c r="B18" s="177" t="str">
        <f t="shared" si="0"/>
        <v>GoR</v>
      </c>
      <c r="C18" s="55" t="str">
        <f>'GoR Raw Data_Ma_Biomarkers'!I18</f>
        <v>L1</v>
      </c>
      <c r="D18" s="35" t="str">
        <f t="shared" si="1"/>
        <v>Ma</v>
      </c>
      <c r="E18" s="35" t="str">
        <f t="shared" si="2"/>
        <v>Females</v>
      </c>
      <c r="F18" s="35" t="str">
        <f>Tissues!A2</f>
        <v>whole body</v>
      </c>
      <c r="G18" s="210"/>
      <c r="H18" s="210"/>
      <c r="I18" s="27">
        <f>INDEX('GoR Raw Data_Ma_Biomarkers'!J:J,MATCH(C18,'GoR Raw Data_Ma_Biomarkers'!I:I,0))</f>
        <v>20.934938861687833</v>
      </c>
      <c r="J18" s="27">
        <f>INDEX('GoR Raw Data_Ma_Biomarkers'!Q:Q,MATCH(C18,'GoR Raw Data_Ma_Biomarkers'!P:P,0))</f>
        <v>3</v>
      </c>
      <c r="K18" s="27">
        <f>INDEX('GoR Raw Data_Ma_Biomarkers'!K:K,MATCH(C18,'GoR Raw Data_Ma_Biomarkers'!I:I,0))</f>
        <v>40.497893062566916</v>
      </c>
      <c r="L18" s="27">
        <f>INDEX('GoR Raw Data_Ma_Biomarkers'!R:R,MATCH(C18,'GoR Raw Data_Ma_Biomarkers'!P:P,0))</f>
        <v>3</v>
      </c>
      <c r="M18" s="27">
        <f>INDEX('GoR Raw Data_Ma_Biomarkers'!L:L,MATCH(C18,'GoR Raw Data_Ma_Biomarkers'!I:I,0))</f>
        <v>35.593116445202135</v>
      </c>
      <c r="N18" s="27">
        <f>INDEX('GoR Raw Data_Ma_Biomarkers'!S:S,MATCH(C18,'GoR Raw Data_Ma_Biomarkers'!P:P,0))</f>
        <v>3</v>
      </c>
      <c r="O18" s="184"/>
      <c r="P18" s="27">
        <f>INDEX('GoR Raw Data_Ma_Biomarkers'!T:T,MATCH(C18,'GoR Raw Data_Ma_Biomarkers'!P:P,0))</f>
        <v>0</v>
      </c>
      <c r="Q18" s="184"/>
      <c r="R18" s="27">
        <f>INDEX('GoR Raw Data_Ma_Biomarkers'!U:U,MATCH(C18,'GoR Raw Data_Ma_Biomarkers'!P:P,0))</f>
        <v>0</v>
      </c>
    </row>
    <row r="19" spans="1:18" x14ac:dyDescent="0.25">
      <c r="A19" s="177" t="s">
        <v>659</v>
      </c>
      <c r="B19" s="177" t="str">
        <f t="shared" si="0"/>
        <v>GoR</v>
      </c>
      <c r="C19" s="55" t="str">
        <f>'GoR Raw Data_Ma_Biomarkers'!I19</f>
        <v>L6</v>
      </c>
      <c r="D19" s="35" t="str">
        <f t="shared" si="1"/>
        <v>Ma</v>
      </c>
      <c r="E19" s="35" t="str">
        <f t="shared" si="2"/>
        <v>Females</v>
      </c>
      <c r="F19" s="35" t="str">
        <f>Tissues!A4</f>
        <v>whole body/brood</v>
      </c>
      <c r="G19" s="83">
        <f>INDEX('GoR Data_PE, PF'!L:L,MATCH(C19,'GoR Data_PE, PF'!I:I,0))</f>
        <v>0.10638297872340421</v>
      </c>
      <c r="H19" s="83">
        <f>INDEX('GoR Data_PE, PF'!M:M,MATCH(C19,'GoR Data_PE, PF'!I:I,0))</f>
        <v>0.5</v>
      </c>
      <c r="I19" s="184"/>
      <c r="J19" s="27">
        <f>INDEX('GoR Raw Data_Ma_Biomarkers'!Q:Q,MATCH(C19,'GoR Raw Data_Ma_Biomarkers'!P:P,0))</f>
        <v>0</v>
      </c>
      <c r="K19" s="27">
        <f>INDEX('GoR Raw Data_Ma_Biomarkers'!K:K,MATCH(C19,'GoR Raw Data_Ma_Biomarkers'!I:I,0))</f>
        <v>54.302103236513972</v>
      </c>
      <c r="L19" s="27">
        <f>INDEX('GoR Raw Data_Ma_Biomarkers'!R:R,MATCH(C19,'GoR Raw Data_Ma_Biomarkers'!P:P,0))</f>
        <v>6</v>
      </c>
      <c r="M19" s="27">
        <f>INDEX('GoR Raw Data_Ma_Biomarkers'!L:L,MATCH(C19,'GoR Raw Data_Ma_Biomarkers'!I:I,0))</f>
        <v>62.409391680760876</v>
      </c>
      <c r="N19" s="27">
        <f>INDEX('GoR Raw Data_Ma_Biomarkers'!S:S,MATCH(C19,'GoR Raw Data_Ma_Biomarkers'!P:P,0))</f>
        <v>6</v>
      </c>
      <c r="O19" s="184"/>
      <c r="P19" s="27">
        <f>INDEX('GoR Raw Data_Ma_Biomarkers'!T:T,MATCH(C19,'GoR Raw Data_Ma_Biomarkers'!P:P,0))</f>
        <v>0</v>
      </c>
      <c r="Q19" s="184"/>
      <c r="R19" s="27">
        <f>INDEX('GoR Raw Data_Ma_Biomarkers'!U:U,MATCH(C19,'GoR Raw Data_Ma_Biomarkers'!P:P,0))</f>
        <v>0</v>
      </c>
    </row>
    <row r="20" spans="1:18" x14ac:dyDescent="0.25">
      <c r="A20" s="177" t="s">
        <v>659</v>
      </c>
      <c r="B20" s="177" t="str">
        <f t="shared" si="0"/>
        <v>GoR</v>
      </c>
      <c r="C20" s="55" t="str">
        <f>'GoR Raw Data_Ma_Biomarkers'!I20</f>
        <v>L9</v>
      </c>
      <c r="D20" s="35" t="str">
        <f t="shared" si="1"/>
        <v>Ma</v>
      </c>
      <c r="E20" s="35" t="str">
        <f t="shared" si="2"/>
        <v>Females</v>
      </c>
      <c r="F20" s="35" t="str">
        <f t="shared" si="3"/>
        <v>whole body/brood</v>
      </c>
      <c r="G20" s="83">
        <f>INDEX('GoR Data_PE, PF'!L:L,MATCH(C20,'GoR Data_PE, PF'!I:I,0))</f>
        <v>9.5238095238095233E-2</v>
      </c>
      <c r="H20" s="83">
        <f>INDEX('GoR Data_PE, PF'!M:M,MATCH(C20,'GoR Data_PE, PF'!I:I,0))</f>
        <v>0.16666666666666666</v>
      </c>
      <c r="I20" s="184"/>
      <c r="J20" s="27">
        <f>INDEX('GoR Raw Data_Ma_Biomarkers'!Q:Q,MATCH(C20,'GoR Raw Data_Ma_Biomarkers'!P:P,0))</f>
        <v>0</v>
      </c>
      <c r="K20" s="27">
        <f>INDEX('GoR Raw Data_Ma_Biomarkers'!K:K,MATCH(C20,'GoR Raw Data_Ma_Biomarkers'!I:I,0))</f>
        <v>28.53006131213273</v>
      </c>
      <c r="L20" s="27">
        <f>INDEX('GoR Raw Data_Ma_Biomarkers'!R:R,MATCH(C20,'GoR Raw Data_Ma_Biomarkers'!P:P,0))</f>
        <v>6</v>
      </c>
      <c r="M20" s="27">
        <f>INDEX('GoR Raw Data_Ma_Biomarkers'!L:L,MATCH(C20,'GoR Raw Data_Ma_Biomarkers'!I:I,0))</f>
        <v>44.259700684352495</v>
      </c>
      <c r="N20" s="27">
        <f>INDEX('GoR Raw Data_Ma_Biomarkers'!S:S,MATCH(C20,'GoR Raw Data_Ma_Biomarkers'!P:P,0))</f>
        <v>6</v>
      </c>
      <c r="O20" s="184"/>
      <c r="P20" s="27">
        <f>INDEX('GoR Raw Data_Ma_Biomarkers'!T:T,MATCH(C20,'GoR Raw Data_Ma_Biomarkers'!P:P,0))</f>
        <v>0</v>
      </c>
      <c r="Q20" s="184"/>
      <c r="R20" s="27">
        <f>INDEX('GoR Raw Data_Ma_Biomarkers'!U:U,MATCH(C20,'GoR Raw Data_Ma_Biomarkers'!P:P,0))</f>
        <v>0</v>
      </c>
    </row>
    <row r="21" spans="1:18" x14ac:dyDescent="0.25">
      <c r="A21" s="177" t="s">
        <v>659</v>
      </c>
      <c r="B21" s="177" t="str">
        <f t="shared" si="0"/>
        <v>GoR</v>
      </c>
      <c r="C21" s="55" t="str">
        <f>'GoR Raw Data_Ma_Biomarkers'!I21</f>
        <v>N</v>
      </c>
      <c r="D21" s="35" t="str">
        <f t="shared" si="1"/>
        <v>Ma</v>
      </c>
      <c r="E21" s="35" t="str">
        <f t="shared" si="2"/>
        <v>Females</v>
      </c>
      <c r="F21" s="35" t="str">
        <f t="shared" si="3"/>
        <v>whole body/brood</v>
      </c>
      <c r="G21" s="83">
        <f>INDEX('GoR Data_PE, PF'!L:L,MATCH(C21,'GoR Data_PE, PF'!I:I,0))</f>
        <v>2.0202020202020176E-2</v>
      </c>
      <c r="H21" s="83">
        <f>INDEX('GoR Data_PE, PF'!M:M,MATCH(C21,'GoR Data_PE, PF'!I:I,0))</f>
        <v>0</v>
      </c>
      <c r="I21" s="27">
        <f>INDEX('GoR Raw Data_Ma_Biomarkers'!J:J,MATCH(C21,'GoR Raw Data_Ma_Biomarkers'!I:I,0))</f>
        <v>33.616189936735793</v>
      </c>
      <c r="J21" s="27">
        <f>INDEX('GoR Raw Data_Ma_Biomarkers'!Q:Q,MATCH(C21,'GoR Raw Data_Ma_Biomarkers'!P:P,0))</f>
        <v>5</v>
      </c>
      <c r="K21" s="27">
        <f>INDEX('GoR Raw Data_Ma_Biomarkers'!K:K,MATCH(C21,'GoR Raw Data_Ma_Biomarkers'!I:I,0))</f>
        <v>32.203065930800044</v>
      </c>
      <c r="L21" s="27">
        <f>INDEX('GoR Raw Data_Ma_Biomarkers'!R:R,MATCH(C21,'GoR Raw Data_Ma_Biomarkers'!P:P,0))</f>
        <v>5</v>
      </c>
      <c r="M21" s="27">
        <f>INDEX('GoR Raw Data_Ma_Biomarkers'!L:L,MATCH(C21,'GoR Raw Data_Ma_Biomarkers'!I:I,0))</f>
        <v>63.491659967872558</v>
      </c>
      <c r="N21" s="27">
        <f>INDEX('GoR Raw Data_Ma_Biomarkers'!S:S,MATCH(C21,'GoR Raw Data_Ma_Biomarkers'!P:P,0))</f>
        <v>5</v>
      </c>
      <c r="O21" s="27">
        <f>INDEX('GoR Raw Data_Ma_Biomarkers'!M:M,MATCH(C21,'GoR Raw Data_Ma_Biomarkers'!I:I,0))</f>
        <v>26.579641532573273</v>
      </c>
      <c r="P21" s="27">
        <f>INDEX('GoR Raw Data_Ma_Biomarkers'!T:T,MATCH(C21,'GoR Raw Data_Ma_Biomarkers'!P:P,0))</f>
        <v>5</v>
      </c>
      <c r="Q21" s="184"/>
      <c r="R21" s="27">
        <f>INDEX('GoR Raw Data_Ma_Biomarkers'!U:U,MATCH(C21,'GoR Raw Data_Ma_Biomarkers'!P:P,0))</f>
        <v>0</v>
      </c>
    </row>
    <row r="22" spans="1:18" x14ac:dyDescent="0.25">
      <c r="A22" s="177" t="s">
        <v>664</v>
      </c>
      <c r="B22" s="177" t="str">
        <f t="shared" si="0"/>
        <v>GoR</v>
      </c>
      <c r="C22" s="55" t="str">
        <f>'GoR Raw Data_Mb_Biomarkers'!I3</f>
        <v>167B</v>
      </c>
      <c r="D22" s="35" t="str">
        <f>Species!C5</f>
        <v>Mb</v>
      </c>
      <c r="E22" s="35" t="str">
        <f>Sex!A6</f>
        <v>Mixed</v>
      </c>
      <c r="F22" s="35" t="str">
        <f>Tissues!A12</f>
        <v>digestive gland/foot</v>
      </c>
      <c r="G22" s="210"/>
      <c r="H22" s="210"/>
      <c r="I22" s="27">
        <f>INDEX('GoR Raw Data_Mb_Biomarkers'!J:J,MATCH(C22,'GoR Raw Data_Mb_Biomarkers'!I:I,0))</f>
        <v>6</v>
      </c>
      <c r="J22" s="27">
        <f>INDEX('GoR Raw Data_Mb_Biomarkers'!Q:Q,MATCH(C22,'GoR Raw Data_Mb_Biomarkers'!P:P,0))</f>
        <v>69</v>
      </c>
      <c r="K22" s="27">
        <f>INDEX('GoR Raw Data_Mb_Biomarkers'!K:K,MATCH(C22,'GoR Raw Data_Mb_Biomarkers'!I:I,0))</f>
        <v>97.484000000000009</v>
      </c>
      <c r="L22" s="27">
        <f>INDEX('GoR Raw Data_Mb_Biomarkers'!R:R,MATCH(C22,'GoR Raw Data_Mb_Biomarkers'!P:P,0))</f>
        <v>74</v>
      </c>
      <c r="M22" s="27">
        <f>INDEX('GoR Raw Data_Mb_Biomarkers'!L:L,MATCH(C22,'GoR Raw Data_Mb_Biomarkers'!I:I,0))</f>
        <v>521.31500000000005</v>
      </c>
      <c r="N22" s="27">
        <f>INDEX('GoR Raw Data_Mb_Biomarkers'!S:S,MATCH(C22,'GoR Raw Data_Mb_Biomarkers'!P:P,0))</f>
        <v>76</v>
      </c>
      <c r="O22" s="27">
        <f>INDEX('GoR Raw Data_Mb_Biomarkers'!M:M,MATCH(C22,'GoR Raw Data_Mb_Biomarkers'!I:I,0))</f>
        <v>14.548000000000002</v>
      </c>
      <c r="P22" s="27">
        <f>INDEX('GoR Raw Data_Mb_Biomarkers'!T:T,MATCH(C22,'GoR Raw Data_Mb_Biomarkers'!P:P,0))</f>
        <v>45</v>
      </c>
      <c r="Q22" s="184"/>
      <c r="R22" s="184"/>
    </row>
    <row r="23" spans="1:18" x14ac:dyDescent="0.25">
      <c r="A23" s="177" t="s">
        <v>664</v>
      </c>
      <c r="B23" s="177" t="str">
        <f t="shared" ref="B23:B36" si="4">B22</f>
        <v>GoR</v>
      </c>
      <c r="C23" s="55" t="str">
        <f>'GoR Raw Data_Mb_Biomarkers'!I4</f>
        <v>114A</v>
      </c>
      <c r="D23" s="35" t="str">
        <f>D22</f>
        <v>Mb</v>
      </c>
      <c r="E23" s="35" t="str">
        <f>E22</f>
        <v>Mixed</v>
      </c>
      <c r="F23" s="35" t="str">
        <f>F22</f>
        <v>digestive gland/foot</v>
      </c>
      <c r="G23" s="210"/>
      <c r="H23" s="210"/>
      <c r="I23" s="27">
        <f>INDEX('GoR Raw Data_Mb_Biomarkers'!J:J,MATCH(C23,'GoR Raw Data_Mb_Biomarkers'!I:I,0))</f>
        <v>5</v>
      </c>
      <c r="J23" s="27">
        <f>INDEX('GoR Raw Data_Mb_Biomarkers'!Q:Q,MATCH(C23,'GoR Raw Data_Mb_Biomarkers'!P:P,0))</f>
        <v>57</v>
      </c>
      <c r="K23" s="27">
        <f>INDEX('GoR Raw Data_Mb_Biomarkers'!K:K,MATCH(C23,'GoR Raw Data_Mb_Biomarkers'!I:I,0))</f>
        <v>92.774000000000001</v>
      </c>
      <c r="L23" s="27">
        <f>INDEX('GoR Raw Data_Mb_Biomarkers'!R:R,MATCH(C23,'GoR Raw Data_Mb_Biomarkers'!P:P,0))</f>
        <v>62</v>
      </c>
      <c r="M23" s="27">
        <f>INDEX('GoR Raw Data_Mb_Biomarkers'!L:L,MATCH(C23,'GoR Raw Data_Mb_Biomarkers'!I:I,0))</f>
        <v>589.08500000000015</v>
      </c>
      <c r="N23" s="27">
        <f>INDEX('GoR Raw Data_Mb_Biomarkers'!S:S,MATCH(C23,'GoR Raw Data_Mb_Biomarkers'!P:P,0))</f>
        <v>64</v>
      </c>
      <c r="O23" s="27">
        <f>INDEX('GoR Raw Data_Mb_Biomarkers'!M:M,MATCH(C23,'GoR Raw Data_Mb_Biomarkers'!I:I,0))</f>
        <v>16.765000000000001</v>
      </c>
      <c r="P23" s="27">
        <f>INDEX('GoR Raw Data_Mb_Biomarkers'!T:T,MATCH(C23,'GoR Raw Data_Mb_Biomarkers'!P:P,0))</f>
        <v>44</v>
      </c>
      <c r="Q23" s="184"/>
      <c r="R23" s="184"/>
    </row>
    <row r="24" spans="1:18" x14ac:dyDescent="0.25">
      <c r="A24" s="177" t="s">
        <v>664</v>
      </c>
      <c r="B24" s="177" t="str">
        <f t="shared" si="4"/>
        <v>GoR</v>
      </c>
      <c r="C24" s="55" t="str">
        <f>'GoR Raw Data_Mb_Biomarkers'!I5</f>
        <v>111</v>
      </c>
      <c r="D24" s="35" t="str">
        <f t="shared" ref="D24:D44" si="5">D23</f>
        <v>Mb</v>
      </c>
      <c r="E24" s="35" t="str">
        <f t="shared" ref="E24:E44" si="6">E23</f>
        <v>Mixed</v>
      </c>
      <c r="F24" s="35" t="str">
        <f t="shared" ref="F24:F44" si="7">F23</f>
        <v>digestive gland/foot</v>
      </c>
      <c r="G24" s="210"/>
      <c r="H24" s="210"/>
      <c r="I24" s="27">
        <f>INDEX('GoR Raw Data_Mb_Biomarkers'!J:J,MATCH(C24,'GoR Raw Data_Mb_Biomarkers'!I:I,0))</f>
        <v>6</v>
      </c>
      <c r="J24" s="27">
        <f>INDEX('GoR Raw Data_Mb_Biomarkers'!Q:Q,MATCH(C24,'GoR Raw Data_Mb_Biomarkers'!P:P,0))</f>
        <v>140</v>
      </c>
      <c r="K24" s="27">
        <f>INDEX('GoR Raw Data_Mb_Biomarkers'!K:K,MATCH(C24,'GoR Raw Data_Mb_Biomarkers'!I:I,0))</f>
        <v>94.16</v>
      </c>
      <c r="L24" s="27">
        <f>INDEX('GoR Raw Data_Mb_Biomarkers'!R:R,MATCH(C24,'GoR Raw Data_Mb_Biomarkers'!P:P,0))</f>
        <v>148</v>
      </c>
      <c r="M24" s="27">
        <f>INDEX('GoR Raw Data_Mb_Biomarkers'!L:L,MATCH(C24,'GoR Raw Data_Mb_Biomarkers'!I:I,0))</f>
        <v>503.79500000000002</v>
      </c>
      <c r="N24" s="27">
        <f>INDEX('GoR Raw Data_Mb_Biomarkers'!S:S,MATCH(C24,'GoR Raw Data_Mb_Biomarkers'!P:P,0))</f>
        <v>152</v>
      </c>
      <c r="O24" s="27">
        <f>INDEX('GoR Raw Data_Mb_Biomarkers'!M:M,MATCH(C24,'GoR Raw Data_Mb_Biomarkers'!I:I,0))</f>
        <v>15.96</v>
      </c>
      <c r="P24" s="27">
        <f>INDEX('GoR Raw Data_Mb_Biomarkers'!T:T,MATCH(C24,'GoR Raw Data_Mb_Biomarkers'!P:P,0))</f>
        <v>70</v>
      </c>
      <c r="Q24" s="184"/>
      <c r="R24" s="184"/>
    </row>
    <row r="25" spans="1:18" x14ac:dyDescent="0.25">
      <c r="A25" s="177" t="s">
        <v>664</v>
      </c>
      <c r="B25" s="177" t="str">
        <f t="shared" si="4"/>
        <v>GoR</v>
      </c>
      <c r="C25" s="55" t="str">
        <f>'GoR Raw Data_Mb_Biomarkers'!I6</f>
        <v>VAD2</v>
      </c>
      <c r="D25" s="35" t="str">
        <f t="shared" si="5"/>
        <v>Mb</v>
      </c>
      <c r="E25" s="35" t="str">
        <f t="shared" si="6"/>
        <v>Mixed</v>
      </c>
      <c r="F25" s="35" t="str">
        <f t="shared" si="7"/>
        <v>digestive gland/foot</v>
      </c>
      <c r="G25" s="210"/>
      <c r="H25" s="210"/>
      <c r="I25" s="27">
        <f>INDEX('GoR Raw Data_Mb_Biomarkers'!J:J,MATCH(C25,'GoR Raw Data_Mb_Biomarkers'!I:I,0))</f>
        <v>6</v>
      </c>
      <c r="J25" s="27">
        <f>INDEX('GoR Raw Data_Mb_Biomarkers'!Q:Q,MATCH(C25,'GoR Raw Data_Mb_Biomarkers'!P:P,0))</f>
        <v>48</v>
      </c>
      <c r="K25" s="27">
        <f>INDEX('GoR Raw Data_Mb_Biomarkers'!K:K,MATCH(C25,'GoR Raw Data_Mb_Biomarkers'!I:I,0))</f>
        <v>79.474000000000018</v>
      </c>
      <c r="L25" s="27">
        <f>INDEX('GoR Raw Data_Mb_Biomarkers'!R:R,MATCH(C25,'GoR Raw Data_Mb_Biomarkers'!P:P,0))</f>
        <v>49</v>
      </c>
      <c r="M25" s="27">
        <f>INDEX('GoR Raw Data_Mb_Biomarkers'!L:L,MATCH(C25,'GoR Raw Data_Mb_Biomarkers'!I:I,0))</f>
        <v>572.85</v>
      </c>
      <c r="N25" s="27">
        <f>INDEX('GoR Raw Data_Mb_Biomarkers'!S:S,MATCH(C25,'GoR Raw Data_Mb_Biomarkers'!P:P,0))</f>
        <v>50</v>
      </c>
      <c r="O25" s="27">
        <f>INDEX('GoR Raw Data_Mb_Biomarkers'!M:M,MATCH(C25,'GoR Raw Data_Mb_Biomarkers'!I:I,0))</f>
        <v>15.52</v>
      </c>
      <c r="P25" s="27">
        <f>INDEX('GoR Raw Data_Mb_Biomarkers'!T:T,MATCH(C25,'GoR Raw Data_Mb_Biomarkers'!P:P,0))</f>
        <v>21</v>
      </c>
      <c r="Q25" s="184"/>
      <c r="R25" s="184"/>
    </row>
    <row r="26" spans="1:18" x14ac:dyDescent="0.25">
      <c r="A26" s="177" t="s">
        <v>664</v>
      </c>
      <c r="B26" s="177" t="str">
        <f t="shared" si="4"/>
        <v>GoR</v>
      </c>
      <c r="C26" s="55" t="str">
        <f>'GoR Raw Data_Mb_Biomarkers'!I7</f>
        <v>107</v>
      </c>
      <c r="D26" s="35" t="str">
        <f t="shared" si="5"/>
        <v>Mb</v>
      </c>
      <c r="E26" s="35" t="str">
        <f t="shared" si="6"/>
        <v>Mixed</v>
      </c>
      <c r="F26" s="35" t="str">
        <f t="shared" si="7"/>
        <v>digestive gland/foot</v>
      </c>
      <c r="G26" s="210"/>
      <c r="H26" s="210"/>
      <c r="I26" s="27">
        <f>INDEX('GoR Raw Data_Mb_Biomarkers'!J:J,MATCH(C26,'GoR Raw Data_Mb_Biomarkers'!I:I,0))</f>
        <v>6</v>
      </c>
      <c r="J26" s="27">
        <f>INDEX('GoR Raw Data_Mb_Biomarkers'!Q:Q,MATCH(C26,'GoR Raw Data_Mb_Biomarkers'!P:P,0))</f>
        <v>57</v>
      </c>
      <c r="K26" s="27">
        <f>INDEX('GoR Raw Data_Mb_Biomarkers'!K:K,MATCH(C26,'GoR Raw Data_Mb_Biomarkers'!I:I,0))</f>
        <v>85.266000000000005</v>
      </c>
      <c r="L26" s="27">
        <f>INDEX('GoR Raw Data_Mb_Biomarkers'!R:R,MATCH(C26,'GoR Raw Data_Mb_Biomarkers'!P:P,0))</f>
        <v>64</v>
      </c>
      <c r="M26" s="27">
        <f>INDEX('GoR Raw Data_Mb_Biomarkers'!L:L,MATCH(C26,'GoR Raw Data_Mb_Biomarkers'!I:I,0))</f>
        <v>495.31400000000002</v>
      </c>
      <c r="N26" s="27">
        <f>INDEX('GoR Raw Data_Mb_Biomarkers'!S:S,MATCH(C26,'GoR Raw Data_Mb_Biomarkers'!P:P,0))</f>
        <v>65</v>
      </c>
      <c r="O26" s="27">
        <f>INDEX('GoR Raw Data_Mb_Biomarkers'!M:M,MATCH(C26,'GoR Raw Data_Mb_Biomarkers'!I:I,0))</f>
        <v>10.824</v>
      </c>
      <c r="P26" s="27">
        <f>INDEX('GoR Raw Data_Mb_Biomarkers'!T:T,MATCH(C26,'GoR Raw Data_Mb_Biomarkers'!P:P,0))</f>
        <v>29</v>
      </c>
      <c r="Q26" s="184"/>
      <c r="R26" s="184"/>
    </row>
    <row r="27" spans="1:18" x14ac:dyDescent="0.25">
      <c r="A27" s="177" t="s">
        <v>664</v>
      </c>
      <c r="B27" s="177" t="str">
        <f t="shared" si="4"/>
        <v>GoR</v>
      </c>
      <c r="C27" s="55" t="str">
        <f>'GoR Raw Data_Mb_Biomarkers'!I8</f>
        <v>160B</v>
      </c>
      <c r="D27" s="35" t="str">
        <f t="shared" si="5"/>
        <v>Mb</v>
      </c>
      <c r="E27" s="35" t="str">
        <f t="shared" si="6"/>
        <v>Mixed</v>
      </c>
      <c r="F27" s="35" t="str">
        <f t="shared" si="7"/>
        <v>digestive gland/foot</v>
      </c>
      <c r="G27" s="210"/>
      <c r="H27" s="210"/>
      <c r="I27" s="27">
        <f>INDEX('GoR Raw Data_Mb_Biomarkers'!J:J,MATCH(C27,'GoR Raw Data_Mb_Biomarkers'!I:I,0))</f>
        <v>6</v>
      </c>
      <c r="J27" s="27">
        <f>INDEX('GoR Raw Data_Mb_Biomarkers'!Q:Q,MATCH(C27,'GoR Raw Data_Mb_Biomarkers'!P:P,0))</f>
        <v>61</v>
      </c>
      <c r="K27" s="27">
        <f>INDEX('GoR Raw Data_Mb_Biomarkers'!K:K,MATCH(C27,'GoR Raw Data_Mb_Biomarkers'!I:I,0))</f>
        <v>91.679000000000002</v>
      </c>
      <c r="L27" s="27">
        <f>INDEX('GoR Raw Data_Mb_Biomarkers'!R:R,MATCH(C27,'GoR Raw Data_Mb_Biomarkers'!P:P,0))</f>
        <v>64</v>
      </c>
      <c r="M27" s="27">
        <f>INDEX('GoR Raw Data_Mb_Biomarkers'!L:L,MATCH(C27,'GoR Raw Data_Mb_Biomarkers'!I:I,0))</f>
        <v>515.61</v>
      </c>
      <c r="N27" s="27">
        <f>INDEX('GoR Raw Data_Mb_Biomarkers'!S:S,MATCH(C27,'GoR Raw Data_Mb_Biomarkers'!P:P,0))</f>
        <v>61</v>
      </c>
      <c r="O27" s="27">
        <f>INDEX('GoR Raw Data_Mb_Biomarkers'!M:M,MATCH(C27,'GoR Raw Data_Mb_Biomarkers'!I:I,0))</f>
        <v>13.885</v>
      </c>
      <c r="P27" s="27">
        <f>INDEX('GoR Raw Data_Mb_Biomarkers'!T:T,MATCH(C27,'GoR Raw Data_Mb_Biomarkers'!P:P,0))</f>
        <v>36</v>
      </c>
      <c r="Q27" s="184"/>
      <c r="R27" s="184"/>
    </row>
    <row r="28" spans="1:18" x14ac:dyDescent="0.25">
      <c r="A28" s="177" t="s">
        <v>664</v>
      </c>
      <c r="B28" s="177" t="str">
        <f t="shared" si="4"/>
        <v>GoR</v>
      </c>
      <c r="C28" s="55" t="str">
        <f>'GoR Raw Data_Mb_Biomarkers'!I9</f>
        <v>162B</v>
      </c>
      <c r="D28" s="35" t="str">
        <f t="shared" si="5"/>
        <v>Mb</v>
      </c>
      <c r="E28" s="35" t="str">
        <f t="shared" si="6"/>
        <v>Mixed</v>
      </c>
      <c r="F28" s="35" t="str">
        <f t="shared" si="7"/>
        <v>digestive gland/foot</v>
      </c>
      <c r="G28" s="210"/>
      <c r="H28" s="210"/>
      <c r="I28" s="27">
        <f>INDEX('GoR Raw Data_Mb_Biomarkers'!J:J,MATCH(C28,'GoR Raw Data_Mb_Biomarkers'!I:I,0))</f>
        <v>6</v>
      </c>
      <c r="J28" s="27">
        <f>INDEX('GoR Raw Data_Mb_Biomarkers'!Q:Q,MATCH(C28,'GoR Raw Data_Mb_Biomarkers'!P:P,0))</f>
        <v>56</v>
      </c>
      <c r="K28" s="27">
        <f>INDEX('GoR Raw Data_Mb_Biomarkers'!K:K,MATCH(C28,'GoR Raw Data_Mb_Biomarkers'!I:I,0))</f>
        <v>95.87</v>
      </c>
      <c r="L28" s="27">
        <f>INDEX('GoR Raw Data_Mb_Biomarkers'!R:R,MATCH(C28,'GoR Raw Data_Mb_Biomarkers'!P:P,0))</f>
        <v>61</v>
      </c>
      <c r="M28" s="27">
        <f>INDEX('GoR Raw Data_Mb_Biomarkers'!L:L,MATCH(C28,'GoR Raw Data_Mb_Biomarkers'!I:I,0))</f>
        <v>481.41399999999999</v>
      </c>
      <c r="N28" s="27">
        <f>INDEX('GoR Raw Data_Mb_Biomarkers'!S:S,MATCH(C28,'GoR Raw Data_Mb_Biomarkers'!P:P,0))</f>
        <v>58</v>
      </c>
      <c r="O28" s="27">
        <f>INDEX('GoR Raw Data_Mb_Biomarkers'!M:M,MATCH(C28,'GoR Raw Data_Mb_Biomarkers'!I:I,0))</f>
        <v>12.893000000000001</v>
      </c>
      <c r="P28" s="27">
        <f>INDEX('GoR Raw Data_Mb_Biomarkers'!T:T,MATCH(C28,'GoR Raw Data_Mb_Biomarkers'!P:P,0))</f>
        <v>32</v>
      </c>
      <c r="Q28" s="184"/>
      <c r="R28" s="184"/>
    </row>
    <row r="29" spans="1:18" x14ac:dyDescent="0.25">
      <c r="A29" s="177" t="s">
        <v>664</v>
      </c>
      <c r="B29" s="177" t="str">
        <f t="shared" si="4"/>
        <v>GoR</v>
      </c>
      <c r="C29" s="55" t="str">
        <f>'GoR Raw Data_Mb_Biomarkers'!I10</f>
        <v>101A</v>
      </c>
      <c r="D29" s="35" t="str">
        <f t="shared" si="5"/>
        <v>Mb</v>
      </c>
      <c r="E29" s="35" t="str">
        <f t="shared" si="6"/>
        <v>Mixed</v>
      </c>
      <c r="F29" s="35" t="str">
        <f t="shared" si="7"/>
        <v>digestive gland/foot</v>
      </c>
      <c r="G29" s="210"/>
      <c r="H29" s="210"/>
      <c r="I29" s="27">
        <f>INDEX('GoR Raw Data_Mb_Biomarkers'!J:J,MATCH(C29,'GoR Raw Data_Mb_Biomarkers'!I:I,0))</f>
        <v>7</v>
      </c>
      <c r="J29" s="27">
        <f>INDEX('GoR Raw Data_Mb_Biomarkers'!Q:Q,MATCH(C29,'GoR Raw Data_Mb_Biomarkers'!P:P,0))</f>
        <v>66</v>
      </c>
      <c r="K29" s="27">
        <f>INDEX('GoR Raw Data_Mb_Biomarkers'!K:K,MATCH(C29,'GoR Raw Data_Mb_Biomarkers'!I:I,0))</f>
        <v>79.438000000000002</v>
      </c>
      <c r="L29" s="27">
        <f>INDEX('GoR Raw Data_Mb_Biomarkers'!R:R,MATCH(C29,'GoR Raw Data_Mb_Biomarkers'!P:P,0))</f>
        <v>72</v>
      </c>
      <c r="M29" s="27">
        <f>INDEX('GoR Raw Data_Mb_Biomarkers'!L:L,MATCH(C29,'GoR Raw Data_Mb_Biomarkers'!I:I,0))</f>
        <v>585.95000000000005</v>
      </c>
      <c r="N29" s="27">
        <f>INDEX('GoR Raw Data_Mb_Biomarkers'!S:S,MATCH(C29,'GoR Raw Data_Mb_Biomarkers'!P:P,0))</f>
        <v>76</v>
      </c>
      <c r="O29" s="27">
        <f>INDEX('GoR Raw Data_Mb_Biomarkers'!M:M,MATCH(C29,'GoR Raw Data_Mb_Biomarkers'!I:I,0))</f>
        <v>16.218000000000004</v>
      </c>
      <c r="P29" s="27">
        <f>INDEX('GoR Raw Data_Mb_Biomarkers'!T:T,MATCH(C29,'GoR Raw Data_Mb_Biomarkers'!P:P,0))</f>
        <v>38</v>
      </c>
      <c r="Q29" s="184"/>
      <c r="R29" s="184"/>
    </row>
    <row r="30" spans="1:18" x14ac:dyDescent="0.25">
      <c r="A30" s="177" t="s">
        <v>664</v>
      </c>
      <c r="B30" s="177" t="str">
        <f t="shared" si="4"/>
        <v>GoR</v>
      </c>
      <c r="C30" s="55" t="str">
        <f>'GoR Raw Data_Mb_Biomarkers'!I11</f>
        <v>163B</v>
      </c>
      <c r="D30" s="35" t="str">
        <f t="shared" si="5"/>
        <v>Mb</v>
      </c>
      <c r="E30" s="35" t="str">
        <f t="shared" si="6"/>
        <v>Mixed</v>
      </c>
      <c r="F30" s="35" t="str">
        <f t="shared" si="7"/>
        <v>digestive gland/foot</v>
      </c>
      <c r="G30" s="210"/>
      <c r="H30" s="210"/>
      <c r="I30" s="27">
        <f>INDEX('GoR Raw Data_Mb_Biomarkers'!J:J,MATCH(C30,'GoR Raw Data_Mb_Biomarkers'!I:I,0))</f>
        <v>5</v>
      </c>
      <c r="J30" s="27">
        <f>INDEX('GoR Raw Data_Mb_Biomarkers'!Q:Q,MATCH(C30,'GoR Raw Data_Mb_Biomarkers'!P:P,0))</f>
        <v>69</v>
      </c>
      <c r="K30" s="27">
        <f>INDEX('GoR Raw Data_Mb_Biomarkers'!K:K,MATCH(C30,'GoR Raw Data_Mb_Biomarkers'!I:I,0))</f>
        <v>77.768000000000001</v>
      </c>
      <c r="L30" s="27">
        <f>INDEX('GoR Raw Data_Mb_Biomarkers'!R:R,MATCH(C30,'GoR Raw Data_Mb_Biomarkers'!P:P,0))</f>
        <v>67</v>
      </c>
      <c r="M30" s="27">
        <f>INDEX('GoR Raw Data_Mb_Biomarkers'!L:L,MATCH(C30,'GoR Raw Data_Mb_Biomarkers'!I:I,0))</f>
        <v>504.54750000000001</v>
      </c>
      <c r="N30" s="27">
        <f>INDEX('GoR Raw Data_Mb_Biomarkers'!S:S,MATCH(C30,'GoR Raw Data_Mb_Biomarkers'!P:P,0))</f>
        <v>68</v>
      </c>
      <c r="O30" s="27">
        <f>INDEX('GoR Raw Data_Mb_Biomarkers'!M:M,MATCH(C30,'GoR Raw Data_Mb_Biomarkers'!I:I,0))</f>
        <v>15.268000000000002</v>
      </c>
      <c r="P30" s="27">
        <f>INDEX('GoR Raw Data_Mb_Biomarkers'!T:T,MATCH(C30,'GoR Raw Data_Mb_Biomarkers'!P:P,0))</f>
        <v>39</v>
      </c>
      <c r="Q30" s="184"/>
      <c r="R30" s="184"/>
    </row>
    <row r="31" spans="1:18" x14ac:dyDescent="0.25">
      <c r="A31" s="177" t="s">
        <v>664</v>
      </c>
      <c r="B31" s="177" t="str">
        <f t="shared" si="4"/>
        <v>GoR</v>
      </c>
      <c r="C31" s="55" t="str">
        <f>'GoR Raw Data_Mb_Biomarkers'!I12</f>
        <v>125</v>
      </c>
      <c r="D31" s="35" t="str">
        <f t="shared" si="5"/>
        <v>Mb</v>
      </c>
      <c r="E31" s="35" t="str">
        <f t="shared" si="6"/>
        <v>Mixed</v>
      </c>
      <c r="F31" s="35" t="str">
        <f t="shared" si="7"/>
        <v>digestive gland/foot</v>
      </c>
      <c r="G31" s="210"/>
      <c r="H31" s="210"/>
      <c r="I31" s="27">
        <f>INDEX('GoR Raw Data_Mb_Biomarkers'!J:J,MATCH(C31,'GoR Raw Data_Mb_Biomarkers'!I:I,0))</f>
        <v>5.8000000000000007</v>
      </c>
      <c r="J31" s="27">
        <f>INDEX('GoR Raw Data_Mb_Biomarkers'!Q:Q,MATCH(C31,'GoR Raw Data_Mb_Biomarkers'!P:P,0))</f>
        <v>20</v>
      </c>
      <c r="K31" s="27">
        <f>INDEX('GoR Raw Data_Mb_Biomarkers'!K:K,MATCH(C31,'GoR Raw Data_Mb_Biomarkers'!I:I,0))</f>
        <v>66.89</v>
      </c>
      <c r="L31" s="27">
        <f>INDEX('GoR Raw Data_Mb_Biomarkers'!R:R,MATCH(C31,'GoR Raw Data_Mb_Biomarkers'!P:P,0))</f>
        <v>21</v>
      </c>
      <c r="M31" s="27">
        <f>INDEX('GoR Raw Data_Mb_Biomarkers'!L:L,MATCH(C31,'GoR Raw Data_Mb_Biomarkers'!I:I,0))</f>
        <v>512.00599999999997</v>
      </c>
      <c r="N31" s="27">
        <f>INDEX('GoR Raw Data_Mb_Biomarkers'!S:S,MATCH(C31,'GoR Raw Data_Mb_Biomarkers'!P:P,0))</f>
        <v>20</v>
      </c>
      <c r="O31" s="27">
        <f>INDEX('GoR Raw Data_Mb_Biomarkers'!M:M,MATCH(C31,'GoR Raw Data_Mb_Biomarkers'!I:I,0))</f>
        <v>11.97</v>
      </c>
      <c r="P31" s="27">
        <f>INDEX('GoR Raw Data_Mb_Biomarkers'!T:T,MATCH(C31,'GoR Raw Data_Mb_Biomarkers'!P:P,0))</f>
        <v>11</v>
      </c>
      <c r="Q31" s="184"/>
      <c r="R31" s="184"/>
    </row>
    <row r="32" spans="1:18" x14ac:dyDescent="0.25">
      <c r="A32" s="177" t="s">
        <v>664</v>
      </c>
      <c r="B32" s="177" t="str">
        <f t="shared" si="4"/>
        <v>GoR</v>
      </c>
      <c r="C32" s="55" t="str">
        <f>'GoR Raw Data_Mb_Biomarkers'!I13</f>
        <v>VAD5</v>
      </c>
      <c r="D32" s="35" t="str">
        <f t="shared" si="5"/>
        <v>Mb</v>
      </c>
      <c r="E32" s="35" t="str">
        <f t="shared" si="6"/>
        <v>Mixed</v>
      </c>
      <c r="F32" s="35" t="str">
        <f t="shared" si="7"/>
        <v>digestive gland/foot</v>
      </c>
      <c r="G32" s="210"/>
      <c r="H32" s="210"/>
      <c r="I32" s="27">
        <f>INDEX('GoR Raw Data_Mb_Biomarkers'!J:J,MATCH(C32,'GoR Raw Data_Mb_Biomarkers'!I:I,0))</f>
        <v>4.5999999999999996</v>
      </c>
      <c r="J32" s="27">
        <f>INDEX('GoR Raw Data_Mb_Biomarkers'!Q:Q,MATCH(C32,'GoR Raw Data_Mb_Biomarkers'!P:P,0))</f>
        <v>27</v>
      </c>
      <c r="K32" s="27">
        <f>INDEX('GoR Raw Data_Mb_Biomarkers'!K:K,MATCH(C32,'GoR Raw Data_Mb_Biomarkers'!I:I,0))</f>
        <v>76.835000000000008</v>
      </c>
      <c r="L32" s="27">
        <f>INDEX('GoR Raw Data_Mb_Biomarkers'!R:R,MATCH(C32,'GoR Raw Data_Mb_Biomarkers'!P:P,0))</f>
        <v>26</v>
      </c>
      <c r="M32" s="27">
        <f>INDEX('GoR Raw Data_Mb_Biomarkers'!L:L,MATCH(C32,'GoR Raw Data_Mb_Biomarkers'!I:I,0))</f>
        <v>480.12599999999998</v>
      </c>
      <c r="N32" s="27">
        <f>INDEX('GoR Raw Data_Mb_Biomarkers'!S:S,MATCH(C32,'GoR Raw Data_Mb_Biomarkers'!P:P,0))</f>
        <v>24</v>
      </c>
      <c r="O32" s="27">
        <f>INDEX('GoR Raw Data_Mb_Biomarkers'!M:M,MATCH(C32,'GoR Raw Data_Mb_Biomarkers'!I:I,0))</f>
        <v>13.765000000000001</v>
      </c>
      <c r="P32" s="27">
        <f>INDEX('GoR Raw Data_Mb_Biomarkers'!T:T,MATCH(C32,'GoR Raw Data_Mb_Biomarkers'!P:P,0))</f>
        <v>16</v>
      </c>
      <c r="Q32" s="184"/>
      <c r="R32" s="184"/>
    </row>
    <row r="33" spans="1:18" x14ac:dyDescent="0.25">
      <c r="A33" s="177" t="s">
        <v>664</v>
      </c>
      <c r="B33" s="177" t="str">
        <f t="shared" si="4"/>
        <v>GoR</v>
      </c>
      <c r="C33" s="55" t="str">
        <f>'GoR Raw Data_Mb_Biomarkers'!I14</f>
        <v>K21</v>
      </c>
      <c r="D33" s="35" t="str">
        <f t="shared" si="5"/>
        <v>Mb</v>
      </c>
      <c r="E33" s="35" t="str">
        <f t="shared" si="6"/>
        <v>Mixed</v>
      </c>
      <c r="F33" s="35" t="str">
        <f t="shared" si="7"/>
        <v>digestive gland/foot</v>
      </c>
      <c r="G33" s="210"/>
      <c r="H33" s="210"/>
      <c r="I33" s="27">
        <f>INDEX('GoR Raw Data_Mb_Biomarkers'!J:J,MATCH(C33,'GoR Raw Data_Mb_Biomarkers'!I:I,0))</f>
        <v>6.4</v>
      </c>
      <c r="J33" s="27">
        <f>INDEX('GoR Raw Data_Mb_Biomarkers'!Q:Q,MATCH(C33,'GoR Raw Data_Mb_Biomarkers'!P:P,0))</f>
        <v>5</v>
      </c>
      <c r="K33" s="27">
        <f>INDEX('GoR Raw Data_Mb_Biomarkers'!K:K,MATCH(C33,'GoR Raw Data_Mb_Biomarkers'!I:I,0))</f>
        <v>61.649999999999991</v>
      </c>
      <c r="L33" s="27">
        <f>INDEX('GoR Raw Data_Mb_Biomarkers'!R:R,MATCH(C33,'GoR Raw Data_Mb_Biomarkers'!P:P,0))</f>
        <v>5</v>
      </c>
      <c r="M33" s="27">
        <f>INDEX('GoR Raw Data_Mb_Biomarkers'!L:L,MATCH(C33,'GoR Raw Data_Mb_Biomarkers'!I:I,0))</f>
        <v>451.05200000000002</v>
      </c>
      <c r="N33" s="27">
        <f>INDEX('GoR Raw Data_Mb_Biomarkers'!S:S,MATCH(C33,'GoR Raw Data_Mb_Biomarkers'!P:P,0))</f>
        <v>5</v>
      </c>
      <c r="O33" s="27">
        <f>INDEX('GoR Raw Data_Mb_Biomarkers'!M:M,MATCH(C33,'GoR Raw Data_Mb_Biomarkers'!I:I,0))</f>
        <v>12.52</v>
      </c>
      <c r="P33" s="27">
        <f>INDEX('GoR Raw Data_Mb_Biomarkers'!T:T,MATCH(C33,'GoR Raw Data_Mb_Biomarkers'!P:P,0))</f>
        <v>6</v>
      </c>
      <c r="Q33" s="184"/>
      <c r="R33" s="184"/>
    </row>
    <row r="34" spans="1:18" x14ac:dyDescent="0.25">
      <c r="A34" s="177" t="s">
        <v>664</v>
      </c>
      <c r="B34" s="177" t="str">
        <f t="shared" si="4"/>
        <v>GoR</v>
      </c>
      <c r="C34" s="55" t="str">
        <f>'GoR Raw Data_Mb_Biomarkers'!I15</f>
        <v>L11</v>
      </c>
      <c r="D34" s="35" t="str">
        <f t="shared" si="5"/>
        <v>Mb</v>
      </c>
      <c r="E34" s="35" t="str">
        <f t="shared" si="6"/>
        <v>Mixed</v>
      </c>
      <c r="F34" s="35" t="str">
        <f t="shared" si="7"/>
        <v>digestive gland/foot</v>
      </c>
      <c r="G34" s="210"/>
      <c r="H34" s="210"/>
      <c r="I34" s="27">
        <f>INDEX('GoR Raw Data_Mb_Biomarkers'!J:J,MATCH(C34,'GoR Raw Data_Mb_Biomarkers'!I:I,0))</f>
        <v>4.7755236150473568</v>
      </c>
      <c r="J34" s="27">
        <f>INDEX('GoR Raw Data_Mb_Biomarkers'!Q:Q,MATCH(C34,'GoR Raw Data_Mb_Biomarkers'!P:P,0))</f>
        <v>9</v>
      </c>
      <c r="K34" s="184"/>
      <c r="L34" s="27">
        <f>INDEX('GoR Raw Data_Mb_Biomarkers'!R:R,MATCH(C34,'GoR Raw Data_Mb_Biomarkers'!P:P,0))</f>
        <v>0</v>
      </c>
      <c r="M34" s="27">
        <f>INDEX('GoR Raw Data_Mb_Biomarkers'!L:L,MATCH(C34,'GoR Raw Data_Mb_Biomarkers'!I:I,0))</f>
        <v>400.05715485713114</v>
      </c>
      <c r="N34" s="27">
        <f>INDEX('GoR Raw Data_Mb_Biomarkers'!S:S,MATCH(C34,'GoR Raw Data_Mb_Biomarkers'!P:P,0))</f>
        <v>9</v>
      </c>
      <c r="O34" s="27">
        <f>INDEX('GoR Raw Data_Mb_Biomarkers'!M:M,MATCH(C34,'GoR Raw Data_Mb_Biomarkers'!I:I,0))</f>
        <v>36.530316239652564</v>
      </c>
      <c r="P34" s="27">
        <f>INDEX('GoR Raw Data_Mb_Biomarkers'!T:T,MATCH(C34,'GoR Raw Data_Mb_Biomarkers'!P:P,0))</f>
        <v>9</v>
      </c>
      <c r="Q34" s="184"/>
      <c r="R34" s="184"/>
    </row>
    <row r="35" spans="1:18" x14ac:dyDescent="0.25">
      <c r="A35" s="177" t="s">
        <v>664</v>
      </c>
      <c r="B35" s="177" t="str">
        <f t="shared" si="4"/>
        <v>GoR</v>
      </c>
      <c r="C35" s="55" t="str">
        <f>'GoR Raw Data_Mb_Biomarkers'!I16</f>
        <v>L1</v>
      </c>
      <c r="D35" s="35" t="str">
        <f t="shared" si="5"/>
        <v>Mb</v>
      </c>
      <c r="E35" s="35" t="str">
        <f t="shared" si="6"/>
        <v>Mixed</v>
      </c>
      <c r="F35" s="35" t="str">
        <f t="shared" si="7"/>
        <v>digestive gland/foot</v>
      </c>
      <c r="G35" s="210"/>
      <c r="H35" s="210"/>
      <c r="I35" s="27">
        <f>INDEX('GoR Raw Data_Mb_Biomarkers'!J:J,MATCH(C35,'GoR Raw Data_Mb_Biomarkers'!I:I,0))</f>
        <v>2.7574480235060448</v>
      </c>
      <c r="J35" s="27">
        <f>INDEX('GoR Raw Data_Mb_Biomarkers'!Q:Q,MATCH(C35,'GoR Raw Data_Mb_Biomarkers'!P:P,0))</f>
        <v>10</v>
      </c>
      <c r="K35" s="27">
        <f>INDEX('GoR Raw Data_Mb_Biomarkers'!K:K,MATCH(C35,'GoR Raw Data_Mb_Biomarkers'!I:I,0))</f>
        <v>71.836689177427431</v>
      </c>
      <c r="L35" s="27">
        <f>INDEX('GoR Raw Data_Mb_Biomarkers'!R:R,MATCH(C35,'GoR Raw Data_Mb_Biomarkers'!P:P,0))</f>
        <v>10</v>
      </c>
      <c r="M35" s="27">
        <f>INDEX('GoR Raw Data_Mb_Biomarkers'!L:L,MATCH(C35,'GoR Raw Data_Mb_Biomarkers'!I:I,0))</f>
        <v>236.96092407024793</v>
      </c>
      <c r="N35" s="27">
        <f>INDEX('GoR Raw Data_Mb_Biomarkers'!S:S,MATCH(C35,'GoR Raw Data_Mb_Biomarkers'!P:P,0))</f>
        <v>10</v>
      </c>
      <c r="O35" s="27">
        <f>INDEX('GoR Raw Data_Mb_Biomarkers'!M:M,MATCH(C35,'GoR Raw Data_Mb_Biomarkers'!I:I,0))</f>
        <v>26.368359173338305</v>
      </c>
      <c r="P35" s="27">
        <f>INDEX('GoR Raw Data_Mb_Biomarkers'!T:T,MATCH(C35,'GoR Raw Data_Mb_Biomarkers'!P:P,0))</f>
        <v>10</v>
      </c>
      <c r="Q35" s="184"/>
      <c r="R35" s="184"/>
    </row>
    <row r="36" spans="1:18" x14ac:dyDescent="0.25">
      <c r="A36" s="177" t="s">
        <v>664</v>
      </c>
      <c r="B36" s="177" t="str">
        <f t="shared" si="4"/>
        <v>GoR</v>
      </c>
      <c r="C36" s="55" t="str">
        <f>'GoR Raw Data_Mb_Biomarkers'!I17</f>
        <v>L4</v>
      </c>
      <c r="D36" s="35" t="str">
        <f t="shared" si="5"/>
        <v>Mb</v>
      </c>
      <c r="E36" s="35" t="str">
        <f t="shared" si="6"/>
        <v>Mixed</v>
      </c>
      <c r="F36" s="35" t="str">
        <f t="shared" si="7"/>
        <v>digestive gland/foot</v>
      </c>
      <c r="G36" s="210"/>
      <c r="H36" s="210"/>
      <c r="I36" s="27">
        <f>INDEX('GoR Raw Data_Mb_Biomarkers'!J:J,MATCH(C36,'GoR Raw Data_Mb_Biomarkers'!I:I,0))</f>
        <v>6.1419725113642727</v>
      </c>
      <c r="J36" s="27">
        <f>INDEX('GoR Raw Data_Mb_Biomarkers'!Q:Q,MATCH(C36,'GoR Raw Data_Mb_Biomarkers'!P:P,0))</f>
        <v>10</v>
      </c>
      <c r="K36" s="184"/>
      <c r="L36" s="27">
        <f>INDEX('GoR Raw Data_Mb_Biomarkers'!R:R,MATCH(C36,'GoR Raw Data_Mb_Biomarkers'!P:P,0))</f>
        <v>0</v>
      </c>
      <c r="M36" s="27">
        <f>INDEX('GoR Raw Data_Mb_Biomarkers'!L:L,MATCH(C36,'GoR Raw Data_Mb_Biomarkers'!I:I,0))</f>
        <v>210.43520620584954</v>
      </c>
      <c r="N36" s="27">
        <f>INDEX('GoR Raw Data_Mb_Biomarkers'!S:S,MATCH(C36,'GoR Raw Data_Mb_Biomarkers'!P:P,0))</f>
        <v>10</v>
      </c>
      <c r="O36" s="27">
        <f>INDEX('GoR Raw Data_Mb_Biomarkers'!M:M,MATCH(C36,'GoR Raw Data_Mb_Biomarkers'!I:I,0))</f>
        <v>30.256250399176118</v>
      </c>
      <c r="P36" s="27">
        <f>INDEX('GoR Raw Data_Mb_Biomarkers'!T:T,MATCH(C36,'GoR Raw Data_Mb_Biomarkers'!P:P,0))</f>
        <v>10</v>
      </c>
      <c r="Q36" s="184"/>
      <c r="R36" s="184"/>
    </row>
    <row r="37" spans="1:18" x14ac:dyDescent="0.25">
      <c r="A37" s="177" t="s">
        <v>664</v>
      </c>
      <c r="B37" s="177" t="str">
        <f t="shared" ref="B37:B52" si="8">B36</f>
        <v>GoR</v>
      </c>
      <c r="C37" s="55" t="str">
        <f>'GoR Raw Data_Mb_Biomarkers'!I18</f>
        <v>L9</v>
      </c>
      <c r="D37" s="35" t="str">
        <f t="shared" si="5"/>
        <v>Mb</v>
      </c>
      <c r="E37" s="35" t="str">
        <f t="shared" si="6"/>
        <v>Mixed</v>
      </c>
      <c r="F37" s="35" t="str">
        <f t="shared" si="7"/>
        <v>digestive gland/foot</v>
      </c>
      <c r="G37" s="210"/>
      <c r="H37" s="210"/>
      <c r="I37" s="27">
        <f>INDEX('GoR Raw Data_Mb_Biomarkers'!J:J,MATCH(C37,'GoR Raw Data_Mb_Biomarkers'!I:I,0))</f>
        <v>6.1274663182197484</v>
      </c>
      <c r="J37" s="27">
        <f>INDEX('GoR Raw Data_Mb_Biomarkers'!Q:Q,MATCH(C37,'GoR Raw Data_Mb_Biomarkers'!P:P,0))</f>
        <v>10</v>
      </c>
      <c r="K37" s="184"/>
      <c r="L37" s="27">
        <f>INDEX('GoR Raw Data_Mb_Biomarkers'!R:R,MATCH(C37,'GoR Raw Data_Mb_Biomarkers'!P:P,0))</f>
        <v>0</v>
      </c>
      <c r="M37" s="27">
        <f>INDEX('GoR Raw Data_Mb_Biomarkers'!L:L,MATCH(C37,'GoR Raw Data_Mb_Biomarkers'!I:I,0))</f>
        <v>237.51778592713606</v>
      </c>
      <c r="N37" s="27">
        <f>INDEX('GoR Raw Data_Mb_Biomarkers'!S:S,MATCH(C37,'GoR Raw Data_Mb_Biomarkers'!P:P,0))</f>
        <v>10</v>
      </c>
      <c r="O37" s="27">
        <f>INDEX('GoR Raw Data_Mb_Biomarkers'!M:M,MATCH(C37,'GoR Raw Data_Mb_Biomarkers'!I:I,0))</f>
        <v>45.442980407364644</v>
      </c>
      <c r="P37" s="27">
        <f>INDEX('GoR Raw Data_Mb_Biomarkers'!T:T,MATCH(C37,'GoR Raw Data_Mb_Biomarkers'!P:P,0))</f>
        <v>10</v>
      </c>
      <c r="Q37" s="184"/>
      <c r="R37" s="184"/>
    </row>
    <row r="38" spans="1:18" x14ac:dyDescent="0.25">
      <c r="A38" s="177" t="s">
        <v>664</v>
      </c>
      <c r="B38" s="177" t="str">
        <f t="shared" si="8"/>
        <v>GoR</v>
      </c>
      <c r="C38" s="55" t="str">
        <f>'GoR Raw Data_Mb_Biomarkers'!I19</f>
        <v>N</v>
      </c>
      <c r="D38" s="35" t="str">
        <f t="shared" si="5"/>
        <v>Mb</v>
      </c>
      <c r="E38" s="35" t="str">
        <f t="shared" si="6"/>
        <v>Mixed</v>
      </c>
      <c r="F38" s="35" t="str">
        <f t="shared" si="7"/>
        <v>digestive gland/foot</v>
      </c>
      <c r="G38" s="210"/>
      <c r="H38" s="210"/>
      <c r="I38" s="27">
        <f>INDEX('GoR Raw Data_Mb_Biomarkers'!J:J,MATCH(C38,'GoR Raw Data_Mb_Biomarkers'!I:I,0))</f>
        <v>3.2088922078422941</v>
      </c>
      <c r="J38" s="27">
        <f>INDEX('GoR Raw Data_Mb_Biomarkers'!Q:Q,MATCH(C38,'GoR Raw Data_Mb_Biomarkers'!P:P,0))</f>
        <v>10</v>
      </c>
      <c r="K38" s="27">
        <f>INDEX('GoR Raw Data_Mb_Biomarkers'!K:K,MATCH(C38,'GoR Raw Data_Mb_Biomarkers'!I:I,0))</f>
        <v>47.029051410221079</v>
      </c>
      <c r="L38" s="27">
        <f>INDEX('GoR Raw Data_Mb_Biomarkers'!R:R,MATCH(C38,'GoR Raw Data_Mb_Biomarkers'!P:P,0))</f>
        <v>10</v>
      </c>
      <c r="M38" s="27">
        <f>INDEX('GoR Raw Data_Mb_Biomarkers'!L:L,MATCH(C38,'GoR Raw Data_Mb_Biomarkers'!I:I,0))</f>
        <v>700.77979358003142</v>
      </c>
      <c r="N38" s="27">
        <f>INDEX('GoR Raw Data_Mb_Biomarkers'!S:S,MATCH(C38,'GoR Raw Data_Mb_Biomarkers'!P:P,0))</f>
        <v>10</v>
      </c>
      <c r="O38" s="27">
        <f>INDEX('GoR Raw Data_Mb_Biomarkers'!M:M,MATCH(C38,'GoR Raw Data_Mb_Biomarkers'!I:I,0))</f>
        <v>34.86461071144037</v>
      </c>
      <c r="P38" s="27">
        <f>INDEX('GoR Raw Data_Mb_Biomarkers'!T:T,MATCH(C38,'GoR Raw Data_Mb_Biomarkers'!P:P,0))</f>
        <v>10</v>
      </c>
      <c r="Q38" s="184"/>
      <c r="R38" s="184"/>
    </row>
    <row r="39" spans="1:18" x14ac:dyDescent="0.25">
      <c r="A39" s="177" t="s">
        <v>664</v>
      </c>
      <c r="B39" s="177" t="str">
        <f t="shared" si="8"/>
        <v>GoR</v>
      </c>
      <c r="C39" s="55" t="str">
        <f>'GoR Raw Data_Mb_Biomarkers'!I20</f>
        <v>S4</v>
      </c>
      <c r="D39" s="35" t="str">
        <f t="shared" si="5"/>
        <v>Mb</v>
      </c>
      <c r="E39" s="35" t="str">
        <f t="shared" si="6"/>
        <v>Mixed</v>
      </c>
      <c r="F39" s="35" t="str">
        <f t="shared" si="7"/>
        <v>digestive gland/foot</v>
      </c>
      <c r="G39" s="210"/>
      <c r="H39" s="210"/>
      <c r="I39" s="27">
        <f>INDEX('GoR Raw Data_Mb_Biomarkers'!J:J,MATCH(C39,'GoR Raw Data_Mb_Biomarkers'!I:I,0))</f>
        <v>3.459123424419797</v>
      </c>
      <c r="J39" s="27">
        <f>INDEX('GoR Raw Data_Mb_Biomarkers'!Q:Q,MATCH(C39,'GoR Raw Data_Mb_Biomarkers'!P:P,0))</f>
        <v>4</v>
      </c>
      <c r="K39" s="27">
        <f>INDEX('GoR Raw Data_Mb_Biomarkers'!K:K,MATCH(C39,'GoR Raw Data_Mb_Biomarkers'!I:I,0))</f>
        <v>39.143167234734094</v>
      </c>
      <c r="L39" s="27">
        <f>INDEX('GoR Raw Data_Mb_Biomarkers'!R:R,MATCH(C39,'GoR Raw Data_Mb_Biomarkers'!P:P,0))</f>
        <v>4</v>
      </c>
      <c r="M39" s="27">
        <f>INDEX('GoR Raw Data_Mb_Biomarkers'!L:L,MATCH(C39,'GoR Raw Data_Mb_Biomarkers'!I:I,0))</f>
        <v>726.35538732262637</v>
      </c>
      <c r="N39" s="27">
        <f>INDEX('GoR Raw Data_Mb_Biomarkers'!S:S,MATCH(C39,'GoR Raw Data_Mb_Biomarkers'!P:P,0))</f>
        <v>4</v>
      </c>
      <c r="O39" s="27">
        <f>INDEX('GoR Raw Data_Mb_Biomarkers'!M:M,MATCH(C39,'GoR Raw Data_Mb_Biomarkers'!I:I,0))</f>
        <v>46.853666641234902</v>
      </c>
      <c r="P39" s="27">
        <f>INDEX('GoR Raw Data_Mb_Biomarkers'!T:T,MATCH(C39,'GoR Raw Data_Mb_Biomarkers'!P:P,0))</f>
        <v>4</v>
      </c>
      <c r="Q39" s="184"/>
      <c r="R39" s="184"/>
    </row>
    <row r="40" spans="1:18" x14ac:dyDescent="0.25">
      <c r="A40" s="177" t="s">
        <v>664</v>
      </c>
      <c r="B40" s="177" t="str">
        <f t="shared" si="8"/>
        <v>GoR</v>
      </c>
      <c r="C40" s="55" t="str">
        <f>'GoR Raw Data_Mb_Biomarkers'!I21</f>
        <v>V1</v>
      </c>
      <c r="D40" s="35" t="str">
        <f t="shared" si="5"/>
        <v>Mb</v>
      </c>
      <c r="E40" s="35" t="str">
        <f t="shared" si="6"/>
        <v>Mixed</v>
      </c>
      <c r="F40" s="35" t="str">
        <f t="shared" si="7"/>
        <v>digestive gland/foot</v>
      </c>
      <c r="G40" s="210"/>
      <c r="H40" s="210"/>
      <c r="I40" s="27">
        <f>INDEX('GoR Raw Data_Mb_Biomarkers'!J:J,MATCH(C40,'GoR Raw Data_Mb_Biomarkers'!I:I,0))</f>
        <v>2.8717145605057888</v>
      </c>
      <c r="J40" s="27">
        <f>INDEX('GoR Raw Data_Mb_Biomarkers'!Q:Q,MATCH(C40,'GoR Raw Data_Mb_Biomarkers'!P:P,0))</f>
        <v>8</v>
      </c>
      <c r="K40" s="27">
        <f>INDEX('GoR Raw Data_Mb_Biomarkers'!K:K,MATCH(C40,'GoR Raw Data_Mb_Biomarkers'!I:I,0))</f>
        <v>63.115171242410185</v>
      </c>
      <c r="L40" s="27">
        <f>INDEX('GoR Raw Data_Mb_Biomarkers'!R:R,MATCH(C40,'GoR Raw Data_Mb_Biomarkers'!P:P,0))</f>
        <v>8</v>
      </c>
      <c r="M40" s="27">
        <f>INDEX('GoR Raw Data_Mb_Biomarkers'!L:L,MATCH(C40,'GoR Raw Data_Mb_Biomarkers'!I:I,0))</f>
        <v>283.11459284676783</v>
      </c>
      <c r="N40" s="27">
        <f>INDEX('GoR Raw Data_Mb_Biomarkers'!S:S,MATCH(C40,'GoR Raw Data_Mb_Biomarkers'!P:P,0))</f>
        <v>8</v>
      </c>
      <c r="O40" s="27">
        <f>INDEX('GoR Raw Data_Mb_Biomarkers'!M:M,MATCH(C40,'GoR Raw Data_Mb_Biomarkers'!I:I,0))</f>
        <v>19.694050640146585</v>
      </c>
      <c r="P40" s="27">
        <f>INDEX('GoR Raw Data_Mb_Biomarkers'!T:T,MATCH(C40,'GoR Raw Data_Mb_Biomarkers'!P:P,0))</f>
        <v>8</v>
      </c>
      <c r="Q40" s="184"/>
      <c r="R40" s="184"/>
    </row>
    <row r="41" spans="1:18" x14ac:dyDescent="0.25">
      <c r="A41" s="177" t="s">
        <v>664</v>
      </c>
      <c r="B41" s="177" t="str">
        <f t="shared" si="8"/>
        <v>GoR</v>
      </c>
      <c r="C41" s="55" t="str">
        <f>'GoR Raw Data_Mb_Biomarkers'!I22</f>
        <v>V2</v>
      </c>
      <c r="D41" s="35" t="str">
        <f t="shared" si="5"/>
        <v>Mb</v>
      </c>
      <c r="E41" s="35" t="str">
        <f t="shared" si="6"/>
        <v>Mixed</v>
      </c>
      <c r="F41" s="35" t="str">
        <f t="shared" si="7"/>
        <v>digestive gland/foot</v>
      </c>
      <c r="G41" s="210"/>
      <c r="H41" s="210"/>
      <c r="I41" s="27">
        <f>INDEX('GoR Raw Data_Mb_Biomarkers'!J:J,MATCH(C41,'GoR Raw Data_Mb_Biomarkers'!I:I,0))</f>
        <v>4.6378856949017946</v>
      </c>
      <c r="J41" s="27">
        <f>INDEX('GoR Raw Data_Mb_Biomarkers'!Q:Q,MATCH(C41,'GoR Raw Data_Mb_Biomarkers'!P:P,0))</f>
        <v>10</v>
      </c>
      <c r="K41" s="27">
        <f>INDEX('GoR Raw Data_Mb_Biomarkers'!K:K,MATCH(C41,'GoR Raw Data_Mb_Biomarkers'!I:I,0))</f>
        <v>96.445473732193491</v>
      </c>
      <c r="L41" s="27">
        <f>INDEX('GoR Raw Data_Mb_Biomarkers'!R:R,MATCH(C41,'GoR Raw Data_Mb_Biomarkers'!P:P,0))</f>
        <v>10</v>
      </c>
      <c r="M41" s="27">
        <f>INDEX('GoR Raw Data_Mb_Biomarkers'!L:L,MATCH(C41,'GoR Raw Data_Mb_Biomarkers'!I:I,0))</f>
        <v>434.60848962627512</v>
      </c>
      <c r="N41" s="27">
        <f>INDEX('GoR Raw Data_Mb_Biomarkers'!S:S,MATCH(C41,'GoR Raw Data_Mb_Biomarkers'!P:P,0))</f>
        <v>10</v>
      </c>
      <c r="O41" s="27">
        <f>INDEX('GoR Raw Data_Mb_Biomarkers'!M:M,MATCH(C41,'GoR Raw Data_Mb_Biomarkers'!I:I,0))</f>
        <v>19.804890259185946</v>
      </c>
      <c r="P41" s="27">
        <f>INDEX('GoR Raw Data_Mb_Biomarkers'!T:T,MATCH(C41,'GoR Raw Data_Mb_Biomarkers'!P:P,0))</f>
        <v>10</v>
      </c>
      <c r="Q41" s="184"/>
      <c r="R41" s="184"/>
    </row>
    <row r="42" spans="1:18" x14ac:dyDescent="0.25">
      <c r="A42" s="177" t="s">
        <v>664</v>
      </c>
      <c r="B42" s="177" t="str">
        <f t="shared" si="8"/>
        <v>GoR</v>
      </c>
      <c r="C42" s="55" t="str">
        <f>'GoR Raw Data_Mb_Biomarkers'!I23</f>
        <v>V3</v>
      </c>
      <c r="D42" s="35" t="str">
        <f t="shared" si="5"/>
        <v>Mb</v>
      </c>
      <c r="E42" s="35" t="str">
        <f t="shared" si="6"/>
        <v>Mixed</v>
      </c>
      <c r="F42" s="35" t="str">
        <f t="shared" si="7"/>
        <v>digestive gland/foot</v>
      </c>
      <c r="G42" s="210"/>
      <c r="H42" s="210"/>
      <c r="I42" s="27">
        <f>INDEX('GoR Raw Data_Mb_Biomarkers'!J:J,MATCH(C42,'GoR Raw Data_Mb_Biomarkers'!I:I,0))</f>
        <v>3.1986150121132408</v>
      </c>
      <c r="J42" s="27">
        <f>INDEX('GoR Raw Data_Mb_Biomarkers'!Q:Q,MATCH(C42,'GoR Raw Data_Mb_Biomarkers'!P:P,0))</f>
        <v>10</v>
      </c>
      <c r="K42" s="27">
        <f>INDEX('GoR Raw Data_Mb_Biomarkers'!K:K,MATCH(C42,'GoR Raw Data_Mb_Biomarkers'!I:I,0))</f>
        <v>77.127021782897415</v>
      </c>
      <c r="L42" s="27">
        <f>INDEX('GoR Raw Data_Mb_Biomarkers'!R:R,MATCH(C42,'GoR Raw Data_Mb_Biomarkers'!P:P,0))</f>
        <v>10</v>
      </c>
      <c r="M42" s="27">
        <f>INDEX('GoR Raw Data_Mb_Biomarkers'!L:L,MATCH(C42,'GoR Raw Data_Mb_Biomarkers'!I:I,0))</f>
        <v>471.29682929193734</v>
      </c>
      <c r="N42" s="27">
        <f>INDEX('GoR Raw Data_Mb_Biomarkers'!S:S,MATCH(C42,'GoR Raw Data_Mb_Biomarkers'!P:P,0))</f>
        <v>10</v>
      </c>
      <c r="O42" s="27">
        <f>INDEX('GoR Raw Data_Mb_Biomarkers'!M:M,MATCH(C42,'GoR Raw Data_Mb_Biomarkers'!I:I,0))</f>
        <v>26.230633800394315</v>
      </c>
      <c r="P42" s="27">
        <f>INDEX('GoR Raw Data_Mb_Biomarkers'!T:T,MATCH(C42,'GoR Raw Data_Mb_Biomarkers'!P:P,0))</f>
        <v>10</v>
      </c>
      <c r="Q42" s="184"/>
      <c r="R42" s="184"/>
    </row>
    <row r="43" spans="1:18" x14ac:dyDescent="0.25">
      <c r="A43" s="177" t="s">
        <v>664</v>
      </c>
      <c r="B43" s="177" t="str">
        <f t="shared" si="8"/>
        <v>GoR</v>
      </c>
      <c r="C43" s="55" t="str">
        <f>'GoR Raw Data_Mb_Biomarkers'!I24</f>
        <v>V4</v>
      </c>
      <c r="D43" s="35" t="str">
        <f t="shared" si="5"/>
        <v>Mb</v>
      </c>
      <c r="E43" s="35" t="str">
        <f t="shared" si="6"/>
        <v>Mixed</v>
      </c>
      <c r="F43" s="35" t="str">
        <f t="shared" si="7"/>
        <v>digestive gland/foot</v>
      </c>
      <c r="G43" s="210"/>
      <c r="H43" s="210"/>
      <c r="I43" s="27">
        <f>INDEX('GoR Raw Data_Mb_Biomarkers'!J:J,MATCH(C43,'GoR Raw Data_Mb_Biomarkers'!I:I,0))</f>
        <v>4.1256179882948194</v>
      </c>
      <c r="J43" s="27">
        <f>INDEX('GoR Raw Data_Mb_Biomarkers'!Q:Q,MATCH(C43,'GoR Raw Data_Mb_Biomarkers'!P:P,0))</f>
        <v>9</v>
      </c>
      <c r="K43" s="27">
        <f>INDEX('GoR Raw Data_Mb_Biomarkers'!K:K,MATCH(C43,'GoR Raw Data_Mb_Biomarkers'!I:I,0))</f>
        <v>66.094567463777267</v>
      </c>
      <c r="L43" s="27">
        <f>INDEX('GoR Raw Data_Mb_Biomarkers'!R:R,MATCH(C43,'GoR Raw Data_Mb_Biomarkers'!P:P,0))</f>
        <v>9</v>
      </c>
      <c r="M43" s="27">
        <f>INDEX('GoR Raw Data_Mb_Biomarkers'!L:L,MATCH(C43,'GoR Raw Data_Mb_Biomarkers'!I:I,0))</f>
        <v>644.44917887486531</v>
      </c>
      <c r="N43" s="27">
        <f>INDEX('GoR Raw Data_Mb_Biomarkers'!S:S,MATCH(C43,'GoR Raw Data_Mb_Biomarkers'!P:P,0))</f>
        <v>9</v>
      </c>
      <c r="O43" s="27">
        <f>INDEX('GoR Raw Data_Mb_Biomarkers'!M:M,MATCH(C43,'GoR Raw Data_Mb_Biomarkers'!I:I,0))</f>
        <v>27.867139595387982</v>
      </c>
      <c r="P43" s="27">
        <f>INDEX('GoR Raw Data_Mb_Biomarkers'!T:T,MATCH(C43,'GoR Raw Data_Mb_Biomarkers'!P:P,0))</f>
        <v>9</v>
      </c>
      <c r="Q43" s="184"/>
      <c r="R43" s="184"/>
    </row>
    <row r="44" spans="1:18" x14ac:dyDescent="0.25">
      <c r="A44" s="177" t="s">
        <v>664</v>
      </c>
      <c r="B44" s="177" t="str">
        <f t="shared" si="8"/>
        <v>GoR</v>
      </c>
      <c r="C44" s="55" t="str">
        <f>'GoR Raw Data_Mb_Biomarkers'!I25</f>
        <v>V5</v>
      </c>
      <c r="D44" s="35" t="str">
        <f t="shared" si="5"/>
        <v>Mb</v>
      </c>
      <c r="E44" s="35" t="str">
        <f t="shared" si="6"/>
        <v>Mixed</v>
      </c>
      <c r="F44" s="35" t="str">
        <f t="shared" si="7"/>
        <v>digestive gland/foot</v>
      </c>
      <c r="G44" s="210"/>
      <c r="H44" s="210"/>
      <c r="I44" s="27">
        <f>INDEX('GoR Raw Data_Mb_Biomarkers'!J:J,MATCH(C44,'GoR Raw Data_Mb_Biomarkers'!I:I,0))</f>
        <v>5.0487669883390067</v>
      </c>
      <c r="J44" s="27">
        <f>INDEX('GoR Raw Data_Mb_Biomarkers'!Q:Q,MATCH(C44,'GoR Raw Data_Mb_Biomarkers'!P:P,0))</f>
        <v>7</v>
      </c>
      <c r="K44" s="27">
        <f>INDEX('GoR Raw Data_Mb_Biomarkers'!K:K,MATCH(C44,'GoR Raw Data_Mb_Biomarkers'!I:I,0))</f>
        <v>100.40267420107688</v>
      </c>
      <c r="L44" s="27">
        <f>INDEX('GoR Raw Data_Mb_Biomarkers'!R:R,MATCH(C44,'GoR Raw Data_Mb_Biomarkers'!P:P,0))</f>
        <v>7</v>
      </c>
      <c r="M44" s="27">
        <f>INDEX('GoR Raw Data_Mb_Biomarkers'!L:L,MATCH(C44,'GoR Raw Data_Mb_Biomarkers'!I:I,0))</f>
        <v>253.67860601971651</v>
      </c>
      <c r="N44" s="27">
        <f>INDEX('GoR Raw Data_Mb_Biomarkers'!S:S,MATCH(C44,'GoR Raw Data_Mb_Biomarkers'!P:P,0))</f>
        <v>7</v>
      </c>
      <c r="O44" s="27">
        <f>INDEX('GoR Raw Data_Mb_Biomarkers'!M:M,MATCH(C44,'GoR Raw Data_Mb_Biomarkers'!I:I,0))</f>
        <v>26.517844483039536</v>
      </c>
      <c r="P44" s="27">
        <f>INDEX('GoR Raw Data_Mb_Biomarkers'!T:T,MATCH(C44,'GoR Raw Data_Mb_Biomarkers'!P:P,0))</f>
        <v>7</v>
      </c>
      <c r="Q44" s="184"/>
      <c r="R44" s="184"/>
    </row>
    <row r="45" spans="1:18" x14ac:dyDescent="0.25">
      <c r="A45" s="177" t="s">
        <v>659</v>
      </c>
      <c r="B45" s="177" t="str">
        <f t="shared" si="8"/>
        <v>GoR</v>
      </c>
      <c r="C45" s="55" t="str">
        <f>'GoR Raw Data_Poro_Biomarkers'!I3</f>
        <v>SA</v>
      </c>
      <c r="D45" s="183" t="str">
        <f>Species!C4</f>
        <v>Poro</v>
      </c>
      <c r="E45" s="183" t="str">
        <f>Sex!A2</f>
        <v>Females</v>
      </c>
      <c r="F45" s="183" t="str">
        <f>Tissues!A2</f>
        <v>whole body</v>
      </c>
      <c r="G45" s="83">
        <f>INDEX('GoR Data_PE, PF'!L:L,MATCH(C45,'GoR Data_PE, PF'!I:I,0))</f>
        <v>3.0143347174580261E-2</v>
      </c>
      <c r="H45" s="83">
        <f>INDEX('GoR Data_PE, PF'!M:M,MATCH(C45,'GoR Data_PE, PF'!I:I,0))</f>
        <v>0.52631578947368418</v>
      </c>
      <c r="I45" s="27">
        <f>INDEX('GoR Raw Data_Poro_Biomarkers'!J:J,MATCH(C45,'GoR Raw Data_Poro_Biomarkers'!I:I,0))</f>
        <v>28.6</v>
      </c>
      <c r="J45" s="27">
        <f>INDEX('GoR Raw Data_Poro_Biomarkers'!Q:Q,MATCH(C45,'GoR Raw Data_Poro_Biomarkers'!P:P,0))</f>
        <v>57</v>
      </c>
      <c r="K45" s="27">
        <f>INDEX('GoR Raw Data_Poro_Biomarkers'!K:K,MATCH(C45,'GoR Raw Data_Poro_Biomarkers'!I:I,0))</f>
        <v>102.3</v>
      </c>
      <c r="L45" s="27">
        <f>INDEX('GoR Raw Data_Poro_Biomarkers'!R:R,MATCH(C45,'GoR Raw Data_Poro_Biomarkers'!P:P,0))</f>
        <v>46</v>
      </c>
      <c r="M45" s="27">
        <f>INDEX('GoR Raw Data_Poro_Biomarkers'!L:L,MATCH(C45,'GoR Raw Data_Poro_Biomarkers'!I:I,0))</f>
        <v>141.595</v>
      </c>
      <c r="N45" s="27">
        <f>INDEX('GoR Raw Data_Poro_Biomarkers'!S:S,MATCH(C45,'GoR Raw Data_Poro_Biomarkers'!P:P,0))</f>
        <v>46</v>
      </c>
      <c r="O45" s="27">
        <f>INDEX('GoR Raw Data_Poro_Biomarkers'!M:M,MATCH(C45,'GoR Raw Data_Poro_Biomarkers'!I:I,0))</f>
        <v>4.4400000000000004</v>
      </c>
      <c r="P45" s="27">
        <f>INDEX('GoR Raw Data_Poro_Biomarkers'!T:T,MATCH(C45,'GoR Raw Data_Poro_Biomarkers'!P:P,0))</f>
        <v>11</v>
      </c>
      <c r="Q45" s="27">
        <f>INDEX('GoR Raw Data_Poro_Biomarkers'!N:N,MATCH(C45,'GoR Raw Data_Poro_Biomarkers'!I:I,0))</f>
        <v>1.49</v>
      </c>
      <c r="R45" s="27">
        <f>INDEX('GoR Raw Data_Poro_Biomarkers'!U:U,MATCH(C45,'GoR Raw Data_Poro_Biomarkers'!P:P,0))</f>
        <v>11</v>
      </c>
    </row>
    <row r="46" spans="1:18" x14ac:dyDescent="0.25">
      <c r="A46" s="177" t="s">
        <v>659</v>
      </c>
      <c r="B46" s="177" t="str">
        <f t="shared" si="8"/>
        <v>GoR</v>
      </c>
      <c r="C46" s="55" t="str">
        <f>'GoR Raw Data_Poro_Biomarkers'!I4</f>
        <v>LIE</v>
      </c>
      <c r="D46" s="35" t="str">
        <f>D45</f>
        <v>Poro</v>
      </c>
      <c r="E46" s="35" t="str">
        <f t="shared" ref="E46:F46" si="9">E45</f>
        <v>Females</v>
      </c>
      <c r="F46" s="35" t="str">
        <f t="shared" si="9"/>
        <v>whole body</v>
      </c>
      <c r="G46" s="83">
        <f>INDEX('GoR Data_PE, PF'!L:L,MATCH(C46,'GoR Data_PE, PF'!I:I,0))</f>
        <v>2.2841848299912836E-2</v>
      </c>
      <c r="H46" s="83">
        <f>INDEX('GoR Data_PE, PF'!M:M,MATCH(C46,'GoR Data_PE, PF'!I:I,0))</f>
        <v>0.40909090909090912</v>
      </c>
      <c r="I46" s="27">
        <f>INDEX('GoR Raw Data_Poro_Biomarkers'!J:J,MATCH(C46,'GoR Raw Data_Poro_Biomarkers'!I:I,0))</f>
        <v>26.9</v>
      </c>
      <c r="J46" s="27">
        <f>INDEX('GoR Raw Data_Poro_Biomarkers'!Q:Q,MATCH(C46,'GoR Raw Data_Poro_Biomarkers'!P:P,0))</f>
        <v>50</v>
      </c>
      <c r="K46" s="27">
        <f>INDEX('GoR Raw Data_Poro_Biomarkers'!K:K,MATCH(C46,'GoR Raw Data_Poro_Biomarkers'!I:I,0))</f>
        <v>102.718</v>
      </c>
      <c r="L46" s="27">
        <f>INDEX('GoR Raw Data_Poro_Biomarkers'!R:R,MATCH(C46,'GoR Raw Data_Poro_Biomarkers'!P:P,0))</f>
        <v>40</v>
      </c>
      <c r="M46" s="27">
        <f>INDEX('GoR Raw Data_Poro_Biomarkers'!L:L,MATCH(C46,'GoR Raw Data_Poro_Biomarkers'!I:I,0))</f>
        <v>159.423</v>
      </c>
      <c r="N46" s="27">
        <f>INDEX('GoR Raw Data_Poro_Biomarkers'!S:S,MATCH(C46,'GoR Raw Data_Poro_Biomarkers'!P:P,0))</f>
        <v>40</v>
      </c>
      <c r="O46" s="27">
        <f>INDEX('GoR Raw Data_Poro_Biomarkers'!M:M,MATCH(C46,'GoR Raw Data_Poro_Biomarkers'!I:I,0))</f>
        <v>4.4640000000000004</v>
      </c>
      <c r="P46" s="27">
        <f>INDEX('GoR Raw Data_Poro_Biomarkers'!T:T,MATCH(C46,'GoR Raw Data_Poro_Biomarkers'!P:P,0))</f>
        <v>12</v>
      </c>
      <c r="Q46" s="27">
        <f>INDEX('GoR Raw Data_Poro_Biomarkers'!N:N,MATCH(C46,'GoR Raw Data_Poro_Biomarkers'!I:I,0))</f>
        <v>0.51800000000000002</v>
      </c>
      <c r="R46" s="27">
        <f>INDEX('GoR Raw Data_Poro_Biomarkers'!U:U,MATCH(C46,'GoR Raw Data_Poro_Biomarkers'!P:P,0))</f>
        <v>12</v>
      </c>
    </row>
    <row r="47" spans="1:18" x14ac:dyDescent="0.25">
      <c r="A47" s="177" t="s">
        <v>659</v>
      </c>
      <c r="B47" s="177" t="str">
        <f t="shared" si="8"/>
        <v>GoR</v>
      </c>
      <c r="C47" s="55" t="str">
        <f>'GoR Raw Data_Poro_Biomarkers'!I5</f>
        <v>ME</v>
      </c>
      <c r="D47" s="35" t="str">
        <f t="shared" ref="D47:D52" si="10">D46</f>
        <v>Poro</v>
      </c>
      <c r="E47" s="35" t="str">
        <f t="shared" ref="E47:E52" si="11">E46</f>
        <v>Females</v>
      </c>
      <c r="F47" s="35" t="str">
        <f t="shared" ref="F47:F52" si="12">F46</f>
        <v>whole body</v>
      </c>
      <c r="G47" s="83">
        <f>INDEX('GoR Data_PE, PF'!L:L,MATCH(C47,'GoR Data_PE, PF'!I:I,0))</f>
        <v>2.7999999999999973E-2</v>
      </c>
      <c r="H47" s="83">
        <f>INDEX('GoR Data_PE, PF'!M:M,MATCH(C47,'GoR Data_PE, PF'!I:I,0))</f>
        <v>0</v>
      </c>
      <c r="I47" s="27">
        <f>INDEX('GoR Raw Data_Poro_Biomarkers'!J:J,MATCH(C47,'GoR Raw Data_Poro_Biomarkers'!I:I,0))</f>
        <v>19.5</v>
      </c>
      <c r="J47" s="27">
        <f>INDEX('GoR Raw Data_Poro_Biomarkers'!Q:Q,MATCH(C47,'GoR Raw Data_Poro_Biomarkers'!P:P,0))</f>
        <v>12</v>
      </c>
      <c r="K47" s="27">
        <f>INDEX('GoR Raw Data_Poro_Biomarkers'!K:K,MATCH(C47,'GoR Raw Data_Poro_Biomarkers'!I:I,0))</f>
        <v>125.764</v>
      </c>
      <c r="L47" s="27">
        <f>INDEX('GoR Raw Data_Poro_Biomarkers'!R:R,MATCH(C47,'GoR Raw Data_Poro_Biomarkers'!P:P,0))</f>
        <v>5</v>
      </c>
      <c r="M47" s="27">
        <f>INDEX('GoR Raw Data_Poro_Biomarkers'!L:L,MATCH(C47,'GoR Raw Data_Poro_Biomarkers'!I:I,0))</f>
        <v>318.36</v>
      </c>
      <c r="N47" s="27">
        <f>INDEX('GoR Raw Data_Poro_Biomarkers'!S:S,MATCH(C47,'GoR Raw Data_Poro_Biomarkers'!P:P,0))</f>
        <v>5</v>
      </c>
      <c r="O47" s="184"/>
      <c r="P47" s="27">
        <f>INDEX('GoR Raw Data_Poro_Biomarkers'!T:T,MATCH(C47,'GoR Raw Data_Poro_Biomarkers'!P:P,0))</f>
        <v>0</v>
      </c>
      <c r="Q47" s="171"/>
      <c r="R47" s="27">
        <f>INDEX('GoR Raw Data_Poro_Biomarkers'!U:U,MATCH(C47,'GoR Raw Data_Poro_Biomarkers'!P:P,0))</f>
        <v>0</v>
      </c>
    </row>
    <row r="48" spans="1:18" x14ac:dyDescent="0.25">
      <c r="A48" s="177" t="s">
        <v>659</v>
      </c>
      <c r="B48" s="177" t="str">
        <f t="shared" si="8"/>
        <v>GoR</v>
      </c>
      <c r="C48" s="55" t="str">
        <f>'GoR Raw Data_Poro_Biomarkers'!I6</f>
        <v>KA</v>
      </c>
      <c r="D48" s="35" t="str">
        <f t="shared" si="10"/>
        <v>Poro</v>
      </c>
      <c r="E48" s="35" t="str">
        <f t="shared" si="11"/>
        <v>Females</v>
      </c>
      <c r="F48" s="35" t="str">
        <f t="shared" si="12"/>
        <v>whole body</v>
      </c>
      <c r="G48" s="83">
        <f>INDEX('GoR Data_PE, PF'!L:L,MATCH(C48,'GoR Data_PE, PF'!I:I,0))</f>
        <v>1.9000000000000059E-2</v>
      </c>
      <c r="H48" s="83">
        <f>INDEX('GoR Data_PE, PF'!M:M,MATCH(C48,'GoR Data_PE, PF'!I:I,0))</f>
        <v>1</v>
      </c>
      <c r="I48" s="27">
        <f>INDEX('GoR Raw Data_Poro_Biomarkers'!J:J,MATCH(C48,'GoR Raw Data_Poro_Biomarkers'!I:I,0))</f>
        <v>21.8</v>
      </c>
      <c r="J48" s="27">
        <f>INDEX('GoR Raw Data_Poro_Biomarkers'!Q:Q,MATCH(C48,'GoR Raw Data_Poro_Biomarkers'!P:P,0))</f>
        <v>15</v>
      </c>
      <c r="K48" s="27">
        <f>INDEX('GoR Raw Data_Poro_Biomarkers'!K:K,MATCH(C48,'GoR Raw Data_Poro_Biomarkers'!I:I,0))</f>
        <v>118.08800000000001</v>
      </c>
      <c r="L48" s="27">
        <f>INDEX('GoR Raw Data_Poro_Biomarkers'!R:R,MATCH(C48,'GoR Raw Data_Poro_Biomarkers'!P:P,0))</f>
        <v>5</v>
      </c>
      <c r="M48" s="27">
        <f>INDEX('GoR Raw Data_Poro_Biomarkers'!L:L,MATCH(C48,'GoR Raw Data_Poro_Biomarkers'!I:I,0))</f>
        <v>181.47799999999998</v>
      </c>
      <c r="N48" s="27">
        <f>INDEX('GoR Raw Data_Poro_Biomarkers'!S:S,MATCH(C48,'GoR Raw Data_Poro_Biomarkers'!P:P,0))</f>
        <v>5</v>
      </c>
      <c r="O48" s="184"/>
      <c r="P48" s="27">
        <f>INDEX('GoR Raw Data_Poro_Biomarkers'!T:T,MATCH(C48,'GoR Raw Data_Poro_Biomarkers'!P:P,0))</f>
        <v>0</v>
      </c>
      <c r="Q48" s="171"/>
      <c r="R48" s="27">
        <f>INDEX('GoR Raw Data_Poro_Biomarkers'!U:U,MATCH(C48,'GoR Raw Data_Poro_Biomarkers'!P:P,0))</f>
        <v>0</v>
      </c>
    </row>
    <row r="49" spans="1:18" x14ac:dyDescent="0.25">
      <c r="A49" s="177" t="s">
        <v>659</v>
      </c>
      <c r="B49" s="177" t="str">
        <f t="shared" si="8"/>
        <v>GoR</v>
      </c>
      <c r="C49" s="55" t="str">
        <f>'GoR Raw Data_Poro_Biomarkers'!I7</f>
        <v>DU</v>
      </c>
      <c r="D49" s="35" t="str">
        <f t="shared" si="10"/>
        <v>Poro</v>
      </c>
      <c r="E49" s="35" t="str">
        <f t="shared" si="11"/>
        <v>Females</v>
      </c>
      <c r="F49" s="35" t="str">
        <f t="shared" si="12"/>
        <v>whole body</v>
      </c>
      <c r="G49" s="83">
        <f>INDEX('GoR Data_PE, PF'!L:L,MATCH(C49,'GoR Data_PE, PF'!I:I,0))</f>
        <v>2.5000000000000001E-2</v>
      </c>
      <c r="H49" s="83">
        <f>INDEX('GoR Data_PE, PF'!M:M,MATCH(C49,'GoR Data_PE, PF'!I:I,0))</f>
        <v>0</v>
      </c>
      <c r="I49" s="27">
        <f>INDEX('GoR Raw Data_Poro_Biomarkers'!J:J,MATCH(C49,'GoR Raw Data_Poro_Biomarkers'!I:I,0))</f>
        <v>22.2</v>
      </c>
      <c r="J49" s="27">
        <f>INDEX('GoR Raw Data_Poro_Biomarkers'!Q:Q,MATCH(C49,'GoR Raw Data_Poro_Biomarkers'!P:P,0))</f>
        <v>13</v>
      </c>
      <c r="K49" s="27">
        <f>INDEX('GoR Raw Data_Poro_Biomarkers'!K:K,MATCH(C49,'GoR Raw Data_Poro_Biomarkers'!I:I,0))</f>
        <v>158.44400000000002</v>
      </c>
      <c r="L49" s="27">
        <f>INDEX('GoR Raw Data_Poro_Biomarkers'!R:R,MATCH(C49,'GoR Raw Data_Poro_Biomarkers'!P:P,0))</f>
        <v>4</v>
      </c>
      <c r="M49" s="27">
        <f>INDEX('GoR Raw Data_Poro_Biomarkers'!L:L,MATCH(C49,'GoR Raw Data_Poro_Biomarkers'!I:I,0))</f>
        <v>274.51499999999999</v>
      </c>
      <c r="N49" s="27">
        <f>INDEX('GoR Raw Data_Poro_Biomarkers'!S:S,MATCH(C49,'GoR Raw Data_Poro_Biomarkers'!P:P,0))</f>
        <v>4</v>
      </c>
      <c r="O49" s="184"/>
      <c r="P49" s="27">
        <f>INDEX('GoR Raw Data_Poro_Biomarkers'!T:T,MATCH(C49,'GoR Raw Data_Poro_Biomarkers'!P:P,0))</f>
        <v>0</v>
      </c>
      <c r="Q49" s="171"/>
      <c r="R49" s="27">
        <f>INDEX('GoR Raw Data_Poro_Biomarkers'!U:U,MATCH(C49,'GoR Raw Data_Poro_Biomarkers'!P:P,0))</f>
        <v>0</v>
      </c>
    </row>
    <row r="50" spans="1:18" x14ac:dyDescent="0.25">
      <c r="A50" s="177" t="s">
        <v>659</v>
      </c>
      <c r="B50" s="177" t="str">
        <f t="shared" si="8"/>
        <v>GoR</v>
      </c>
      <c r="C50" s="55" t="str">
        <f>'GoR Raw Data_Poro_Biomarkers'!I8</f>
        <v>VE</v>
      </c>
      <c r="D50" s="35" t="str">
        <f t="shared" si="10"/>
        <v>Poro</v>
      </c>
      <c r="E50" s="35" t="str">
        <f t="shared" si="11"/>
        <v>Females</v>
      </c>
      <c r="F50" s="35" t="str">
        <f t="shared" si="12"/>
        <v>whole body</v>
      </c>
      <c r="G50" s="83">
        <f>INDEX('GoR Data_PE, PF'!L:L,MATCH(C50,'GoR Data_PE, PF'!I:I,0))</f>
        <v>3.5159768064228367E-2</v>
      </c>
      <c r="H50" s="83">
        <f>INDEX('GoR Data_PE, PF'!M:M,MATCH(C50,'GoR Data_PE, PF'!I:I,0))</f>
        <v>0.48936170212765956</v>
      </c>
      <c r="I50" s="27">
        <f>INDEX('GoR Raw Data_Poro_Biomarkers'!J:J,MATCH(C50,'GoR Raw Data_Poro_Biomarkers'!I:I,0))</f>
        <v>28</v>
      </c>
      <c r="J50" s="27">
        <f>INDEX('GoR Raw Data_Poro_Biomarkers'!Q:Q,MATCH(C50,'GoR Raw Data_Poro_Biomarkers'!P:P,0))</f>
        <v>102</v>
      </c>
      <c r="K50" s="27">
        <f>INDEX('GoR Raw Data_Poro_Biomarkers'!K:K,MATCH(C50,'GoR Raw Data_Poro_Biomarkers'!I:I,0))</f>
        <v>115.785</v>
      </c>
      <c r="L50" s="27">
        <f>INDEX('GoR Raw Data_Poro_Biomarkers'!R:R,MATCH(C50,'GoR Raw Data_Poro_Biomarkers'!P:P,0))</f>
        <v>96</v>
      </c>
      <c r="M50" s="27">
        <f>INDEX('GoR Raw Data_Poro_Biomarkers'!L:L,MATCH(C50,'GoR Raw Data_Poro_Biomarkers'!I:I,0))</f>
        <v>252.14000000000001</v>
      </c>
      <c r="N50" s="27">
        <f>INDEX('GoR Raw Data_Poro_Biomarkers'!S:S,MATCH(C50,'GoR Raw Data_Poro_Biomarkers'!P:P,0))</f>
        <v>96</v>
      </c>
      <c r="O50" s="27">
        <f>INDEX('GoR Raw Data_Poro_Biomarkers'!M:M,MATCH(C50,'GoR Raw Data_Poro_Biomarkers'!I:I,0))</f>
        <v>3.653</v>
      </c>
      <c r="P50" s="27">
        <f>INDEX('GoR Raw Data_Poro_Biomarkers'!T:T,MATCH(C50,'GoR Raw Data_Poro_Biomarkers'!P:P,0))</f>
        <v>12</v>
      </c>
      <c r="Q50" s="27">
        <f>INDEX('GoR Raw Data_Poro_Biomarkers'!N:N,MATCH(C50,'GoR Raw Data_Poro_Biomarkers'!I:I,0))</f>
        <v>1.2540000000000002</v>
      </c>
      <c r="R50" s="27">
        <f>INDEX('GoR Raw Data_Poro_Biomarkers'!U:U,MATCH(C50,'GoR Raw Data_Poro_Biomarkers'!P:P,0))</f>
        <v>12</v>
      </c>
    </row>
    <row r="51" spans="1:18" x14ac:dyDescent="0.25">
      <c r="A51" s="177" t="s">
        <v>659</v>
      </c>
      <c r="B51" s="177" t="str">
        <f t="shared" si="8"/>
        <v>GoR</v>
      </c>
      <c r="C51" s="55" t="str">
        <f>'GoR Raw Data_Poro_Biomarkers'!I9</f>
        <v>LI</v>
      </c>
      <c r="D51" s="35" t="str">
        <f t="shared" si="10"/>
        <v>Poro</v>
      </c>
      <c r="E51" s="35" t="str">
        <f t="shared" si="11"/>
        <v>Females</v>
      </c>
      <c r="F51" s="35" t="str">
        <f t="shared" si="12"/>
        <v>whole body</v>
      </c>
      <c r="G51" s="83">
        <f>INDEX('GoR Data_PE, PF'!L:L,MATCH(C51,'GoR Data_PE, PF'!I:I,0))</f>
        <v>2.9484315404374573E-2</v>
      </c>
      <c r="H51" s="83">
        <f>INDEX('GoR Data_PE, PF'!M:M,MATCH(C51,'GoR Data_PE, PF'!I:I,0))</f>
        <v>0.36363636363636365</v>
      </c>
      <c r="I51" s="27">
        <f>INDEX('GoR Raw Data_Poro_Biomarkers'!J:J,MATCH(C51,'GoR Raw Data_Poro_Biomarkers'!I:I,0))</f>
        <v>22</v>
      </c>
      <c r="J51" s="27">
        <f>INDEX('GoR Raw Data_Poro_Biomarkers'!Q:Q,MATCH(C51,'GoR Raw Data_Poro_Biomarkers'!P:P,0))</f>
        <v>51</v>
      </c>
      <c r="K51" s="27">
        <f>INDEX('GoR Raw Data_Poro_Biomarkers'!K:K,MATCH(C51,'GoR Raw Data_Poro_Biomarkers'!I:I,0))</f>
        <v>98.031000000000006</v>
      </c>
      <c r="L51" s="27">
        <f>INDEX('GoR Raw Data_Poro_Biomarkers'!R:R,MATCH(C51,'GoR Raw Data_Poro_Biomarkers'!P:P,0))</f>
        <v>40</v>
      </c>
      <c r="M51" s="27">
        <f>INDEX('GoR Raw Data_Poro_Biomarkers'!L:L,MATCH(C51,'GoR Raw Data_Poro_Biomarkers'!I:I,0))</f>
        <v>132.09800000000013</v>
      </c>
      <c r="N51" s="27">
        <f>INDEX('GoR Raw Data_Poro_Biomarkers'!S:S,MATCH(C51,'GoR Raw Data_Poro_Biomarkers'!P:P,0))</f>
        <v>40</v>
      </c>
      <c r="O51" s="27">
        <f>INDEX('GoR Raw Data_Poro_Biomarkers'!M:M,MATCH(C51,'GoR Raw Data_Poro_Biomarkers'!I:I,0))</f>
        <v>4.49</v>
      </c>
      <c r="P51" s="27">
        <f>INDEX('GoR Raw Data_Poro_Biomarkers'!T:T,MATCH(C51,'GoR Raw Data_Poro_Biomarkers'!P:P,0))</f>
        <v>12</v>
      </c>
      <c r="Q51" s="27">
        <f>INDEX('GoR Raw Data_Poro_Biomarkers'!N:N,MATCH(C51,'GoR Raw Data_Poro_Biomarkers'!I:I,0))</f>
        <v>0.92300000000000004</v>
      </c>
      <c r="R51" s="27">
        <f>INDEX('GoR Raw Data_Poro_Biomarkers'!U:U,MATCH(C51,'GoR Raw Data_Poro_Biomarkers'!P:P,0))</f>
        <v>12</v>
      </c>
    </row>
    <row r="52" spans="1:18" x14ac:dyDescent="0.25">
      <c r="A52" s="177" t="s">
        <v>659</v>
      </c>
      <c r="B52" s="177" t="str">
        <f t="shared" si="8"/>
        <v>GoR</v>
      </c>
      <c r="C52" s="55" t="str">
        <f>'GoR Raw Data_Poro_Biomarkers'!I10</f>
        <v>BO</v>
      </c>
      <c r="D52" s="35" t="str">
        <f t="shared" si="10"/>
        <v>Poro</v>
      </c>
      <c r="E52" s="35" t="str">
        <f t="shared" si="11"/>
        <v>Females</v>
      </c>
      <c r="F52" s="35" t="str">
        <f t="shared" si="12"/>
        <v>whole body</v>
      </c>
      <c r="G52" s="83">
        <f>INDEX('GoR Data_PE, PF'!L:L,MATCH(C52,'GoR Data_PE, PF'!I:I,0))</f>
        <v>4.814358087235885E-2</v>
      </c>
      <c r="H52" s="83">
        <f>INDEX('GoR Data_PE, PF'!M:M,MATCH(C52,'GoR Data_PE, PF'!I:I,0))</f>
        <v>0.55555555555555558</v>
      </c>
      <c r="I52" s="27">
        <f>INDEX('GoR Raw Data_Poro_Biomarkers'!J:J,MATCH(C52,'GoR Raw Data_Poro_Biomarkers'!I:I,0))</f>
        <v>25.4</v>
      </c>
      <c r="J52" s="27">
        <f>INDEX('GoR Raw Data_Poro_Biomarkers'!Q:Q,MATCH(C52,'GoR Raw Data_Poro_Biomarkers'!P:P,0))</f>
        <v>105</v>
      </c>
      <c r="K52" s="27">
        <f>INDEX('GoR Raw Data_Poro_Biomarkers'!K:K,MATCH(C52,'GoR Raw Data_Poro_Biomarkers'!I:I,0))</f>
        <v>128.05600000000004</v>
      </c>
      <c r="L52" s="27">
        <f>INDEX('GoR Raw Data_Poro_Biomarkers'!R:R,MATCH(C52,'GoR Raw Data_Poro_Biomarkers'!P:P,0))</f>
        <v>90</v>
      </c>
      <c r="M52" s="27">
        <f>INDEX('GoR Raw Data_Poro_Biomarkers'!L:L,MATCH(C52,'GoR Raw Data_Poro_Biomarkers'!I:I,0))</f>
        <v>226.72200000000009</v>
      </c>
      <c r="N52" s="27">
        <f>INDEX('GoR Raw Data_Poro_Biomarkers'!S:S,MATCH(C52,'GoR Raw Data_Poro_Biomarkers'!P:P,0))</f>
        <v>87</v>
      </c>
      <c r="O52" s="27">
        <f>INDEX('GoR Raw Data_Poro_Biomarkers'!M:M,MATCH(C52,'GoR Raw Data_Poro_Biomarkers'!I:I,0))</f>
        <v>5.7030000000000003</v>
      </c>
      <c r="P52" s="27">
        <f>INDEX('GoR Raw Data_Poro_Biomarkers'!T:T,MATCH(C52,'GoR Raw Data_Poro_Biomarkers'!P:P,0))</f>
        <v>14</v>
      </c>
      <c r="Q52" s="27">
        <f>INDEX('GoR Raw Data_Poro_Biomarkers'!N:N,MATCH(C52,'GoR Raw Data_Poro_Biomarkers'!I:I,0))</f>
        <v>0.77800000000000014</v>
      </c>
      <c r="R52" s="27">
        <f>INDEX('GoR Raw Data_Poro_Biomarkers'!U:U,MATCH(C52,'GoR Raw Data_Poro_Biomarkers'!P:P,0))</f>
        <v>14</v>
      </c>
    </row>
  </sheetData>
  <phoneticPr fontId="3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46A14-2485-473F-8B21-CDAAA588C698}">
  <dimension ref="A1:R548"/>
  <sheetViews>
    <sheetView workbookViewId="0">
      <selection activeCell="Q25" sqref="Q25"/>
    </sheetView>
  </sheetViews>
  <sheetFormatPr defaultColWidth="16.140625" defaultRowHeight="15" x14ac:dyDescent="0.25"/>
  <cols>
    <col min="1" max="1" width="5.28515625" style="171" bestFit="1" customWidth="1"/>
    <col min="2" max="2" width="10.42578125" style="3" bestFit="1" customWidth="1"/>
    <col min="3" max="3" width="16" style="171" customWidth="1"/>
    <col min="4" max="4" width="17.140625" style="171" customWidth="1"/>
    <col min="5" max="5" width="14.5703125" style="171" customWidth="1"/>
    <col min="6" max="6" width="18.42578125" style="171" customWidth="1"/>
    <col min="7" max="7" width="8.5703125" style="4" customWidth="1"/>
    <col min="8" max="8" width="5.28515625" style="171" bestFit="1" customWidth="1"/>
    <col min="9" max="9" width="14.5703125" style="171" customWidth="1"/>
    <col min="10" max="10" width="17.28515625" style="171" customWidth="1"/>
    <col min="11" max="11" width="21.5703125" style="171" customWidth="1"/>
    <col min="12" max="12" width="22.28515625" style="171" customWidth="1"/>
    <col min="13" max="13" width="22.42578125" style="171" customWidth="1"/>
    <col min="14" max="14" width="8" style="171" customWidth="1"/>
    <col min="15" max="16384" width="16.140625" style="171"/>
  </cols>
  <sheetData>
    <row r="1" spans="1:18" x14ac:dyDescent="0.25">
      <c r="A1" s="136" t="s">
        <v>445</v>
      </c>
      <c r="B1" s="171"/>
      <c r="H1" s="136" t="s">
        <v>447</v>
      </c>
    </row>
    <row r="2" spans="1:18" x14ac:dyDescent="0.25">
      <c r="A2" s="4" t="s">
        <v>38</v>
      </c>
      <c r="B2" s="208" t="s">
        <v>83</v>
      </c>
      <c r="C2" s="209" t="s">
        <v>296</v>
      </c>
      <c r="D2" s="209" t="s">
        <v>667</v>
      </c>
      <c r="E2" s="209" t="s">
        <v>307</v>
      </c>
      <c r="F2" s="209" t="s">
        <v>297</v>
      </c>
      <c r="H2" s="207" t="s">
        <v>38</v>
      </c>
      <c r="I2" s="207" t="s">
        <v>83</v>
      </c>
      <c r="J2" s="207" t="s">
        <v>308</v>
      </c>
      <c r="K2" s="207" t="s">
        <v>309</v>
      </c>
      <c r="L2" s="207" t="s">
        <v>104</v>
      </c>
      <c r="M2" s="207" t="s">
        <v>107</v>
      </c>
      <c r="N2" s="207" t="s">
        <v>310</v>
      </c>
      <c r="O2" s="191" t="s">
        <v>313</v>
      </c>
    </row>
    <row r="3" spans="1:18" x14ac:dyDescent="0.25">
      <c r="A3" s="171" t="s">
        <v>77</v>
      </c>
      <c r="B3" s="3">
        <v>107</v>
      </c>
      <c r="C3" s="171">
        <v>158</v>
      </c>
      <c r="D3" s="171">
        <v>99.4</v>
      </c>
      <c r="E3" s="171">
        <v>0.94799999999999107</v>
      </c>
      <c r="F3" s="171">
        <v>1</v>
      </c>
      <c r="H3" s="205" t="s">
        <v>77</v>
      </c>
      <c r="I3" s="3">
        <v>107</v>
      </c>
      <c r="J3" s="206">
        <f>SUMIF(B:B,I3, C:C)</f>
        <v>1688</v>
      </c>
      <c r="K3" s="171">
        <f>SUMIF(B:B, I3, E:E)</f>
        <v>141.94099999999997</v>
      </c>
      <c r="L3" s="171">
        <f>K3/J3</f>
        <v>8.408827014218008E-2</v>
      </c>
      <c r="M3" s="171">
        <f>(COUNTIFS(B:B,I3,F:F,"0"))/N3</f>
        <v>0.4</v>
      </c>
      <c r="N3" s="171">
        <f>COUNTIFS(B:B,I3,C:C,"&gt;0")</f>
        <v>15</v>
      </c>
      <c r="O3" s="171" t="s">
        <v>674</v>
      </c>
      <c r="R3" s="3"/>
    </row>
    <row r="4" spans="1:18" x14ac:dyDescent="0.25">
      <c r="A4" s="171" t="s">
        <v>77</v>
      </c>
      <c r="B4" s="3" t="s">
        <v>477</v>
      </c>
      <c r="C4" s="171">
        <v>408</v>
      </c>
      <c r="D4" s="171">
        <v>97.6</v>
      </c>
      <c r="E4" s="171">
        <v>9.7920000000000229</v>
      </c>
      <c r="F4" s="171">
        <v>1</v>
      </c>
      <c r="H4" s="119" t="s">
        <v>77</v>
      </c>
      <c r="I4" s="3" t="s">
        <v>477</v>
      </c>
      <c r="J4" s="120">
        <f>SUMIF(B:B,I4, C:C)</f>
        <v>3287</v>
      </c>
      <c r="K4" s="171">
        <f t="shared" ref="K4:K36" si="0">SUMIF(B:B, I4, E:E)</f>
        <v>195.54000000000016</v>
      </c>
      <c r="L4" s="171">
        <f t="shared" ref="L4:L36" si="1">K4/J4</f>
        <v>5.9488895649528493E-2</v>
      </c>
      <c r="M4" s="171">
        <f t="shared" ref="M4:M36" si="2">(COUNTIFS(B:B,I4,F:F,"0"))/N4</f>
        <v>0.2857142857142857</v>
      </c>
      <c r="N4" s="171">
        <f t="shared" ref="N4:N36" si="3">COUNTIFS(B:B,I4,C:C,"&gt;0")</f>
        <v>14</v>
      </c>
      <c r="O4" s="171" t="s">
        <v>674</v>
      </c>
      <c r="R4" s="3"/>
    </row>
    <row r="5" spans="1:18" x14ac:dyDescent="0.25">
      <c r="A5" s="171" t="s">
        <v>77</v>
      </c>
      <c r="B5" s="3" t="s">
        <v>482</v>
      </c>
      <c r="C5" s="171">
        <v>206</v>
      </c>
      <c r="D5" s="171">
        <v>93.2</v>
      </c>
      <c r="E5" s="171">
        <v>14.007999999999996</v>
      </c>
      <c r="F5" s="171">
        <v>0</v>
      </c>
      <c r="H5" s="119" t="s">
        <v>77</v>
      </c>
      <c r="I5" s="3" t="s">
        <v>482</v>
      </c>
      <c r="J5" s="120">
        <f t="shared" ref="J5:J36" si="4">SUMIF(B:B,I5, C:C)</f>
        <v>2243</v>
      </c>
      <c r="K5" s="171">
        <f t="shared" si="0"/>
        <v>213.56899999999993</v>
      </c>
      <c r="L5" s="171">
        <f t="shared" si="1"/>
        <v>9.5215782434239823E-2</v>
      </c>
      <c r="M5" s="171">
        <f t="shared" si="2"/>
        <v>0.82352941176470584</v>
      </c>
      <c r="N5" s="171">
        <f t="shared" si="3"/>
        <v>17</v>
      </c>
      <c r="O5" s="171" t="s">
        <v>674</v>
      </c>
      <c r="R5" s="3"/>
    </row>
    <row r="6" spans="1:18" x14ac:dyDescent="0.25">
      <c r="A6" s="171" t="s">
        <v>77</v>
      </c>
      <c r="B6" s="3" t="s">
        <v>492</v>
      </c>
      <c r="C6" s="171">
        <v>278</v>
      </c>
      <c r="D6" s="171">
        <v>96</v>
      </c>
      <c r="E6" s="171">
        <v>11.12</v>
      </c>
      <c r="F6" s="171">
        <v>0</v>
      </c>
      <c r="H6" s="119" t="s">
        <v>77</v>
      </c>
      <c r="I6" s="3" t="s">
        <v>492</v>
      </c>
      <c r="J6" s="120">
        <f t="shared" si="4"/>
        <v>1492</v>
      </c>
      <c r="K6" s="171">
        <f t="shared" si="0"/>
        <v>117.20099999999995</v>
      </c>
      <c r="L6" s="171">
        <f t="shared" si="1"/>
        <v>7.8552949061662172E-2</v>
      </c>
      <c r="M6" s="171">
        <f t="shared" si="2"/>
        <v>0.5</v>
      </c>
      <c r="N6" s="171">
        <f t="shared" si="3"/>
        <v>14</v>
      </c>
      <c r="O6" s="171" t="s">
        <v>674</v>
      </c>
      <c r="R6" s="3"/>
    </row>
    <row r="7" spans="1:18" x14ac:dyDescent="0.25">
      <c r="A7" s="171" t="s">
        <v>77</v>
      </c>
      <c r="B7" s="3">
        <v>111</v>
      </c>
      <c r="C7" s="171">
        <v>470</v>
      </c>
      <c r="D7" s="171">
        <v>95.3</v>
      </c>
      <c r="E7" s="171">
        <v>22.090000000000014</v>
      </c>
      <c r="F7" s="171">
        <v>1</v>
      </c>
      <c r="H7" s="119" t="s">
        <v>77</v>
      </c>
      <c r="I7" s="3">
        <v>111</v>
      </c>
      <c r="J7" s="120">
        <f t="shared" si="4"/>
        <v>2709</v>
      </c>
      <c r="K7" s="171">
        <f t="shared" si="0"/>
        <v>221.17229999999998</v>
      </c>
      <c r="L7" s="171">
        <f t="shared" si="1"/>
        <v>8.1643521594684382E-2</v>
      </c>
      <c r="M7" s="171">
        <f t="shared" si="2"/>
        <v>0.27272727272727271</v>
      </c>
      <c r="N7" s="171">
        <f t="shared" si="3"/>
        <v>33</v>
      </c>
      <c r="O7" s="171" t="s">
        <v>674</v>
      </c>
      <c r="R7" s="3"/>
    </row>
    <row r="8" spans="1:18" x14ac:dyDescent="0.25">
      <c r="A8" s="171" t="s">
        <v>77</v>
      </c>
      <c r="B8" s="3" t="s">
        <v>494</v>
      </c>
      <c r="C8" s="171">
        <v>1017</v>
      </c>
      <c r="D8" s="171">
        <v>98.4</v>
      </c>
      <c r="E8" s="171">
        <v>16.271999999999942</v>
      </c>
      <c r="F8" s="171">
        <v>1</v>
      </c>
      <c r="H8" s="119" t="s">
        <v>77</v>
      </c>
      <c r="I8" s="3" t="s">
        <v>494</v>
      </c>
      <c r="J8" s="120">
        <f t="shared" si="4"/>
        <v>3211</v>
      </c>
      <c r="K8" s="171">
        <f t="shared" si="0"/>
        <v>88.544000000000054</v>
      </c>
      <c r="L8" s="110">
        <f t="shared" si="1"/>
        <v>2.7575210214886344E-2</v>
      </c>
      <c r="M8" s="171">
        <f t="shared" si="2"/>
        <v>0.2</v>
      </c>
      <c r="N8" s="171">
        <f t="shared" si="3"/>
        <v>15</v>
      </c>
      <c r="O8" s="171" t="s">
        <v>674</v>
      </c>
      <c r="R8" s="3"/>
    </row>
    <row r="9" spans="1:18" x14ac:dyDescent="0.25">
      <c r="A9" s="171" t="s">
        <v>77</v>
      </c>
      <c r="B9" s="3" t="s">
        <v>493</v>
      </c>
      <c r="C9" s="171">
        <v>950</v>
      </c>
      <c r="D9" s="171">
        <v>93.5</v>
      </c>
      <c r="E9" s="171">
        <v>61.75</v>
      </c>
      <c r="F9" s="171">
        <v>0</v>
      </c>
      <c r="H9" s="119" t="s">
        <v>77</v>
      </c>
      <c r="I9" s="3" t="s">
        <v>493</v>
      </c>
      <c r="J9" s="120">
        <f t="shared" si="4"/>
        <v>3201</v>
      </c>
      <c r="K9" s="171">
        <f t="shared" si="0"/>
        <v>277.8309999999999</v>
      </c>
      <c r="L9" s="110">
        <f t="shared" si="1"/>
        <v>8.6795064042486686E-2</v>
      </c>
      <c r="M9" s="171">
        <f t="shared" si="2"/>
        <v>0.66666666666666663</v>
      </c>
      <c r="N9" s="171">
        <f t="shared" si="3"/>
        <v>15</v>
      </c>
      <c r="O9" s="171" t="s">
        <v>674</v>
      </c>
      <c r="R9" s="3"/>
    </row>
    <row r="10" spans="1:18" x14ac:dyDescent="0.25">
      <c r="A10" s="171" t="s">
        <v>77</v>
      </c>
      <c r="B10" s="3" t="s">
        <v>512</v>
      </c>
      <c r="C10" s="171">
        <v>1657</v>
      </c>
      <c r="D10" s="171">
        <v>98.6</v>
      </c>
      <c r="E10" s="171">
        <v>23.198000000000093</v>
      </c>
      <c r="F10" s="171">
        <v>1</v>
      </c>
      <c r="H10" s="119" t="s">
        <v>77</v>
      </c>
      <c r="I10" s="3" t="s">
        <v>512</v>
      </c>
      <c r="J10" s="120">
        <f t="shared" si="4"/>
        <v>3601</v>
      </c>
      <c r="K10" s="171">
        <f t="shared" si="0"/>
        <v>151.16920000000002</v>
      </c>
      <c r="L10" s="110">
        <f t="shared" si="1"/>
        <v>4.1979783393501807E-2</v>
      </c>
      <c r="M10" s="171">
        <f t="shared" si="2"/>
        <v>0.33333333333333331</v>
      </c>
      <c r="N10" s="171">
        <f t="shared" si="3"/>
        <v>15</v>
      </c>
      <c r="O10" s="171" t="s">
        <v>674</v>
      </c>
      <c r="R10" s="3"/>
    </row>
    <row r="11" spans="1:18" x14ac:dyDescent="0.25">
      <c r="A11" s="171" t="s">
        <v>77</v>
      </c>
      <c r="B11" s="3" t="s">
        <v>495</v>
      </c>
      <c r="C11" s="171">
        <v>924</v>
      </c>
      <c r="D11" s="171">
        <v>100</v>
      </c>
      <c r="E11" s="171">
        <v>0</v>
      </c>
      <c r="F11" s="171">
        <v>1</v>
      </c>
      <c r="H11" s="119" t="s">
        <v>77</v>
      </c>
      <c r="I11" s="3" t="s">
        <v>495</v>
      </c>
      <c r="J11" s="120">
        <f t="shared" si="4"/>
        <v>3236</v>
      </c>
      <c r="K11" s="171">
        <f t="shared" si="0"/>
        <v>104.76299999999993</v>
      </c>
      <c r="L11" s="110">
        <f t="shared" si="1"/>
        <v>3.237422744128552E-2</v>
      </c>
      <c r="M11" s="171">
        <f t="shared" si="2"/>
        <v>0.375</v>
      </c>
      <c r="N11" s="171">
        <f t="shared" si="3"/>
        <v>16</v>
      </c>
      <c r="O11" s="171" t="s">
        <v>674</v>
      </c>
      <c r="R11" s="3"/>
    </row>
    <row r="12" spans="1:18" x14ac:dyDescent="0.25">
      <c r="A12" s="171" t="s">
        <v>77</v>
      </c>
      <c r="B12" s="3" t="s">
        <v>500</v>
      </c>
      <c r="C12" s="171">
        <v>16</v>
      </c>
      <c r="D12" s="171">
        <v>87.5</v>
      </c>
      <c r="E12" s="171">
        <v>2</v>
      </c>
      <c r="F12" s="171">
        <v>0</v>
      </c>
      <c r="H12" s="119" t="s">
        <v>77</v>
      </c>
      <c r="I12" s="3" t="s">
        <v>500</v>
      </c>
      <c r="J12" s="120">
        <f t="shared" si="4"/>
        <v>527</v>
      </c>
      <c r="K12" s="171">
        <f t="shared" si="0"/>
        <v>32.985999999999997</v>
      </c>
      <c r="L12" s="110">
        <f t="shared" si="1"/>
        <v>6.2592030360531306E-2</v>
      </c>
      <c r="M12" s="171">
        <f t="shared" si="2"/>
        <v>0.33333333333333331</v>
      </c>
      <c r="N12" s="171">
        <f t="shared" si="3"/>
        <v>30</v>
      </c>
      <c r="O12" s="171" t="s">
        <v>674</v>
      </c>
      <c r="R12" s="3"/>
    </row>
    <row r="13" spans="1:18" x14ac:dyDescent="0.25">
      <c r="A13" s="171" t="s">
        <v>77</v>
      </c>
      <c r="B13" s="3" t="s">
        <v>500</v>
      </c>
      <c r="C13" s="171">
        <v>15</v>
      </c>
      <c r="D13" s="171">
        <v>93.3</v>
      </c>
      <c r="E13" s="171">
        <v>1.0050000000000003</v>
      </c>
      <c r="F13" s="171">
        <v>0</v>
      </c>
      <c r="H13" s="119" t="s">
        <v>77</v>
      </c>
      <c r="I13" s="3">
        <v>135</v>
      </c>
      <c r="J13" s="120">
        <f t="shared" si="4"/>
        <v>688</v>
      </c>
      <c r="K13" s="171">
        <f t="shared" si="0"/>
        <v>130.74799999999999</v>
      </c>
      <c r="L13" s="110">
        <f t="shared" si="1"/>
        <v>0.19004069767441858</v>
      </c>
      <c r="M13" s="171">
        <f t="shared" si="2"/>
        <v>0.58333333333333337</v>
      </c>
      <c r="N13" s="171">
        <f t="shared" si="3"/>
        <v>12</v>
      </c>
      <c r="O13" s="171" t="s">
        <v>674</v>
      </c>
      <c r="R13" s="3"/>
    </row>
    <row r="14" spans="1:18" x14ac:dyDescent="0.25">
      <c r="A14" s="171" t="s">
        <v>77</v>
      </c>
      <c r="B14" s="3" t="s">
        <v>500</v>
      </c>
      <c r="C14" s="171">
        <v>19</v>
      </c>
      <c r="D14" s="171">
        <v>89.5</v>
      </c>
      <c r="E14" s="171">
        <v>1.9950000000000001</v>
      </c>
      <c r="F14" s="171">
        <v>0</v>
      </c>
      <c r="H14" s="119" t="s">
        <v>77</v>
      </c>
      <c r="I14" s="3">
        <v>142</v>
      </c>
      <c r="J14" s="120">
        <f t="shared" si="4"/>
        <v>2048</v>
      </c>
      <c r="K14" s="171">
        <f t="shared" si="0"/>
        <v>175.64400000000009</v>
      </c>
      <c r="L14" s="110">
        <f t="shared" si="1"/>
        <v>8.5763671875000044E-2</v>
      </c>
      <c r="M14" s="171">
        <f t="shared" si="2"/>
        <v>0.73333333333333328</v>
      </c>
      <c r="N14" s="171">
        <f t="shared" si="3"/>
        <v>15</v>
      </c>
      <c r="O14" s="171" t="s">
        <v>674</v>
      </c>
      <c r="R14" s="3"/>
    </row>
    <row r="15" spans="1:18" x14ac:dyDescent="0.25">
      <c r="A15" s="171" t="s">
        <v>77</v>
      </c>
      <c r="B15" s="3" t="s">
        <v>500</v>
      </c>
      <c r="C15" s="171">
        <v>1</v>
      </c>
      <c r="D15" s="171">
        <v>100</v>
      </c>
      <c r="E15" s="171">
        <v>0</v>
      </c>
      <c r="F15" s="171">
        <v>1</v>
      </c>
      <c r="H15" s="119" t="s">
        <v>77</v>
      </c>
      <c r="I15" s="3" t="s">
        <v>513</v>
      </c>
      <c r="J15" s="120">
        <f t="shared" si="4"/>
        <v>1697</v>
      </c>
      <c r="K15" s="171">
        <f t="shared" si="0"/>
        <v>131.03469999999996</v>
      </c>
      <c r="L15" s="110">
        <f t="shared" si="1"/>
        <v>7.7215497937536806E-2</v>
      </c>
      <c r="M15" s="171">
        <f t="shared" si="2"/>
        <v>0.6428571428571429</v>
      </c>
      <c r="N15" s="171">
        <f t="shared" si="3"/>
        <v>14</v>
      </c>
      <c r="O15" s="171" t="s">
        <v>674</v>
      </c>
      <c r="R15" s="3"/>
    </row>
    <row r="16" spans="1:18" x14ac:dyDescent="0.25">
      <c r="A16" s="171" t="s">
        <v>77</v>
      </c>
      <c r="B16" s="3" t="s">
        <v>500</v>
      </c>
      <c r="C16" s="171">
        <v>9</v>
      </c>
      <c r="D16" s="171">
        <v>77.8</v>
      </c>
      <c r="E16" s="171">
        <v>1.9980000000000002</v>
      </c>
      <c r="F16" s="171">
        <v>0</v>
      </c>
      <c r="H16" s="119" t="s">
        <v>77</v>
      </c>
      <c r="I16" s="3" t="s">
        <v>489</v>
      </c>
      <c r="J16" s="120">
        <f t="shared" si="4"/>
        <v>736</v>
      </c>
      <c r="K16" s="171">
        <f t="shared" si="0"/>
        <v>62.289000000000016</v>
      </c>
      <c r="L16" s="110">
        <f t="shared" si="1"/>
        <v>8.4631793478260886E-2</v>
      </c>
      <c r="M16" s="171">
        <f t="shared" si="2"/>
        <v>0.5</v>
      </c>
      <c r="N16" s="171">
        <f t="shared" si="3"/>
        <v>12</v>
      </c>
      <c r="O16" s="171" t="s">
        <v>674</v>
      </c>
      <c r="R16" s="3"/>
    </row>
    <row r="17" spans="1:18" x14ac:dyDescent="0.25">
      <c r="A17" s="171" t="s">
        <v>77</v>
      </c>
      <c r="B17" s="3" t="s">
        <v>500</v>
      </c>
      <c r="C17" s="171">
        <v>23</v>
      </c>
      <c r="D17" s="171">
        <v>87</v>
      </c>
      <c r="E17" s="171">
        <v>2.99</v>
      </c>
      <c r="F17" s="171">
        <v>0</v>
      </c>
      <c r="H17" s="119" t="s">
        <v>77</v>
      </c>
      <c r="I17" s="3" t="s">
        <v>505</v>
      </c>
      <c r="J17" s="120">
        <f t="shared" si="4"/>
        <v>2027</v>
      </c>
      <c r="K17" s="171">
        <f t="shared" si="0"/>
        <v>56.755999999999943</v>
      </c>
      <c r="L17" s="110">
        <f t="shared" si="1"/>
        <v>2.7999999999999973E-2</v>
      </c>
      <c r="M17" s="171">
        <f t="shared" si="2"/>
        <v>0</v>
      </c>
      <c r="N17" s="171">
        <f t="shared" si="3"/>
        <v>1</v>
      </c>
      <c r="O17" s="171" t="s">
        <v>675</v>
      </c>
      <c r="R17" s="3"/>
    </row>
    <row r="18" spans="1:18" x14ac:dyDescent="0.25">
      <c r="A18" s="171" t="s">
        <v>77</v>
      </c>
      <c r="B18" s="3" t="s">
        <v>500</v>
      </c>
      <c r="C18" s="171">
        <v>24</v>
      </c>
      <c r="D18" s="171">
        <v>100</v>
      </c>
      <c r="E18" s="171">
        <v>0</v>
      </c>
      <c r="F18" s="171">
        <v>1</v>
      </c>
      <c r="H18" s="119" t="s">
        <v>77</v>
      </c>
      <c r="I18" s="3" t="s">
        <v>509</v>
      </c>
      <c r="J18" s="120">
        <f t="shared" si="4"/>
        <v>16617</v>
      </c>
      <c r="K18" s="171">
        <f t="shared" si="0"/>
        <v>500.89200000000022</v>
      </c>
      <c r="L18" s="110">
        <f t="shared" si="1"/>
        <v>3.0143347174580261E-2</v>
      </c>
      <c r="M18" s="171">
        <f t="shared" si="2"/>
        <v>0.52631578947368418</v>
      </c>
      <c r="N18" s="171">
        <f t="shared" si="3"/>
        <v>38</v>
      </c>
      <c r="O18" s="171" t="s">
        <v>675</v>
      </c>
      <c r="R18" s="3"/>
    </row>
    <row r="19" spans="1:18" x14ac:dyDescent="0.25">
      <c r="A19" s="171" t="s">
        <v>77</v>
      </c>
      <c r="B19" s="3" t="s">
        <v>500</v>
      </c>
      <c r="C19" s="171">
        <v>12</v>
      </c>
      <c r="D19" s="171">
        <v>100</v>
      </c>
      <c r="E19" s="171">
        <v>0</v>
      </c>
      <c r="F19" s="171">
        <v>1</v>
      </c>
      <c r="H19" s="119" t="s">
        <v>77</v>
      </c>
      <c r="I19" s="3" t="s">
        <v>503</v>
      </c>
      <c r="J19" s="120">
        <f t="shared" si="4"/>
        <v>12847</v>
      </c>
      <c r="K19" s="171">
        <f t="shared" si="0"/>
        <v>378.78500000000014</v>
      </c>
      <c r="L19" s="110">
        <f t="shared" si="1"/>
        <v>2.9484315404374573E-2</v>
      </c>
      <c r="M19" s="171">
        <f t="shared" si="2"/>
        <v>0.36363636363636365</v>
      </c>
      <c r="N19" s="171">
        <f t="shared" si="3"/>
        <v>33</v>
      </c>
      <c r="O19" s="171" t="s">
        <v>675</v>
      </c>
      <c r="R19" s="3"/>
    </row>
    <row r="20" spans="1:18" x14ac:dyDescent="0.25">
      <c r="A20" s="171" t="s">
        <v>77</v>
      </c>
      <c r="B20" s="3" t="s">
        <v>500</v>
      </c>
      <c r="C20" s="171">
        <v>24</v>
      </c>
      <c r="D20" s="171">
        <v>100</v>
      </c>
      <c r="E20" s="171">
        <v>0</v>
      </c>
      <c r="F20" s="171">
        <v>1</v>
      </c>
      <c r="H20" s="119" t="s">
        <v>77</v>
      </c>
      <c r="I20" s="3" t="s">
        <v>496</v>
      </c>
      <c r="J20" s="120">
        <f t="shared" si="4"/>
        <v>16186</v>
      </c>
      <c r="K20" s="171">
        <f t="shared" si="0"/>
        <v>779.25200000000029</v>
      </c>
      <c r="L20" s="110">
        <f t="shared" si="1"/>
        <v>4.814358087235885E-2</v>
      </c>
      <c r="M20" s="171">
        <f t="shared" si="2"/>
        <v>0.55555555555555558</v>
      </c>
      <c r="N20" s="171">
        <f t="shared" si="3"/>
        <v>54</v>
      </c>
      <c r="O20" s="171" t="s">
        <v>675</v>
      </c>
      <c r="R20" s="3"/>
    </row>
    <row r="21" spans="1:18" x14ac:dyDescent="0.25">
      <c r="A21" s="171" t="s">
        <v>77</v>
      </c>
      <c r="B21" s="3" t="s">
        <v>500</v>
      </c>
      <c r="C21" s="171">
        <v>21</v>
      </c>
      <c r="D21" s="171">
        <v>100</v>
      </c>
      <c r="E21" s="171">
        <v>0</v>
      </c>
      <c r="F21" s="171">
        <v>1</v>
      </c>
      <c r="H21" s="119" t="s">
        <v>77</v>
      </c>
      <c r="I21" s="3" t="s">
        <v>514</v>
      </c>
      <c r="J21" s="120">
        <f t="shared" si="4"/>
        <v>11210</v>
      </c>
      <c r="K21" s="171">
        <f t="shared" si="0"/>
        <v>394.14100000000002</v>
      </c>
      <c r="L21" s="110">
        <f t="shared" si="1"/>
        <v>3.5159768064228367E-2</v>
      </c>
      <c r="M21" s="171">
        <f t="shared" si="2"/>
        <v>0.48936170212765956</v>
      </c>
      <c r="N21" s="171">
        <f t="shared" si="3"/>
        <v>47</v>
      </c>
      <c r="O21" s="171" t="s">
        <v>675</v>
      </c>
      <c r="R21" s="3"/>
    </row>
    <row r="22" spans="1:18" x14ac:dyDescent="0.25">
      <c r="A22" s="171" t="s">
        <v>77</v>
      </c>
      <c r="B22" s="3" t="s">
        <v>500</v>
      </c>
      <c r="C22" s="171">
        <v>29</v>
      </c>
      <c r="D22" s="171">
        <v>100</v>
      </c>
      <c r="E22" s="171">
        <v>0</v>
      </c>
      <c r="F22" s="171">
        <v>1</v>
      </c>
      <c r="H22" s="119" t="s">
        <v>77</v>
      </c>
      <c r="I22" s="3" t="s">
        <v>504</v>
      </c>
      <c r="J22" s="120">
        <f t="shared" si="4"/>
        <v>5735</v>
      </c>
      <c r="K22" s="171">
        <f t="shared" si="0"/>
        <v>130.9980000000001</v>
      </c>
      <c r="L22" s="110">
        <f t="shared" si="1"/>
        <v>2.2841848299912836E-2</v>
      </c>
      <c r="M22" s="171">
        <f t="shared" si="2"/>
        <v>0.40909090909090912</v>
      </c>
      <c r="N22" s="171">
        <f t="shared" si="3"/>
        <v>22</v>
      </c>
      <c r="O22" s="171" t="s">
        <v>675</v>
      </c>
      <c r="R22" s="3"/>
    </row>
    <row r="23" spans="1:18" x14ac:dyDescent="0.25">
      <c r="A23" s="171" t="s">
        <v>77</v>
      </c>
      <c r="B23" s="3" t="s">
        <v>500</v>
      </c>
      <c r="C23" s="171">
        <v>35</v>
      </c>
      <c r="D23" s="171">
        <v>97.1</v>
      </c>
      <c r="E23" s="171">
        <v>1.0150000000000019</v>
      </c>
      <c r="F23" s="171">
        <v>1</v>
      </c>
      <c r="H23" s="119" t="s">
        <v>77</v>
      </c>
      <c r="I23" s="3" t="s">
        <v>498</v>
      </c>
      <c r="J23" s="120">
        <f t="shared" si="4"/>
        <v>481</v>
      </c>
      <c r="K23" s="171">
        <f t="shared" si="0"/>
        <v>12.025</v>
      </c>
      <c r="L23" s="110">
        <f t="shared" si="1"/>
        <v>2.5000000000000001E-2</v>
      </c>
      <c r="M23" s="171">
        <f t="shared" si="2"/>
        <v>0</v>
      </c>
      <c r="N23" s="171">
        <f t="shared" si="3"/>
        <v>1</v>
      </c>
      <c r="O23" s="171" t="s">
        <v>675</v>
      </c>
      <c r="R23" s="3"/>
    </row>
    <row r="24" spans="1:18" x14ac:dyDescent="0.25">
      <c r="A24" s="171" t="s">
        <v>77</v>
      </c>
      <c r="B24" s="3" t="s">
        <v>500</v>
      </c>
      <c r="C24" s="171">
        <v>9</v>
      </c>
      <c r="D24" s="171">
        <v>55.6</v>
      </c>
      <c r="E24" s="171">
        <v>3.9959999999999996</v>
      </c>
      <c r="F24" s="171">
        <v>0</v>
      </c>
      <c r="H24" s="119" t="s">
        <v>77</v>
      </c>
      <c r="I24" s="3" t="s">
        <v>502</v>
      </c>
      <c r="J24" s="120">
        <f t="shared" si="4"/>
        <v>764</v>
      </c>
      <c r="K24" s="171">
        <f t="shared" si="0"/>
        <v>14.516000000000044</v>
      </c>
      <c r="L24" s="110">
        <f t="shared" si="1"/>
        <v>1.9000000000000059E-2</v>
      </c>
      <c r="M24" s="171">
        <f t="shared" si="2"/>
        <v>1</v>
      </c>
      <c r="N24" s="171">
        <f t="shared" si="3"/>
        <v>1</v>
      </c>
      <c r="O24" s="171" t="s">
        <v>675</v>
      </c>
      <c r="R24" s="3"/>
    </row>
    <row r="25" spans="1:18" x14ac:dyDescent="0.25">
      <c r="A25" s="171" t="s">
        <v>77</v>
      </c>
      <c r="B25" s="3" t="s">
        <v>500</v>
      </c>
      <c r="C25" s="171">
        <v>14</v>
      </c>
      <c r="D25" s="171">
        <v>100</v>
      </c>
      <c r="E25" s="171">
        <v>0</v>
      </c>
      <c r="F25" s="171">
        <v>1</v>
      </c>
      <c r="H25" s="119" t="s">
        <v>77</v>
      </c>
      <c r="I25" s="3" t="s">
        <v>668</v>
      </c>
      <c r="J25" s="120">
        <f t="shared" si="4"/>
        <v>244</v>
      </c>
      <c r="K25" s="171">
        <f t="shared" si="0"/>
        <v>41</v>
      </c>
      <c r="L25" s="110">
        <f t="shared" si="1"/>
        <v>0.16803278688524589</v>
      </c>
      <c r="M25" s="171">
        <f t="shared" si="2"/>
        <v>0.35714285714285715</v>
      </c>
      <c r="N25" s="171">
        <f t="shared" si="3"/>
        <v>14</v>
      </c>
      <c r="O25" s="171" t="s">
        <v>674</v>
      </c>
      <c r="R25" s="3"/>
    </row>
    <row r="26" spans="1:18" x14ac:dyDescent="0.25">
      <c r="A26" s="171" t="s">
        <v>77</v>
      </c>
      <c r="B26" s="3" t="s">
        <v>500</v>
      </c>
      <c r="C26" s="171">
        <v>11</v>
      </c>
      <c r="D26" s="171">
        <v>90.9</v>
      </c>
      <c r="E26" s="171">
        <v>1.0009999999999994</v>
      </c>
      <c r="F26" s="171">
        <v>1</v>
      </c>
      <c r="H26" s="119" t="s">
        <v>77</v>
      </c>
      <c r="I26" s="3" t="s">
        <v>79</v>
      </c>
      <c r="J26" s="120">
        <f t="shared" si="4"/>
        <v>99</v>
      </c>
      <c r="K26" s="171">
        <f t="shared" si="0"/>
        <v>1.9999999999999973</v>
      </c>
      <c r="L26" s="110">
        <f t="shared" si="1"/>
        <v>2.0202020202020176E-2</v>
      </c>
      <c r="M26" s="171">
        <f t="shared" si="2"/>
        <v>0</v>
      </c>
      <c r="N26" s="171">
        <f t="shared" si="3"/>
        <v>4</v>
      </c>
      <c r="O26" s="171" t="s">
        <v>674</v>
      </c>
      <c r="R26" s="3"/>
    </row>
    <row r="27" spans="1:18" x14ac:dyDescent="0.25">
      <c r="A27" s="171" t="s">
        <v>77</v>
      </c>
      <c r="B27" s="3" t="s">
        <v>500</v>
      </c>
      <c r="C27" s="171">
        <v>40</v>
      </c>
      <c r="D27" s="171">
        <v>97.5</v>
      </c>
      <c r="E27" s="171">
        <v>1</v>
      </c>
      <c r="F27" s="171">
        <v>1</v>
      </c>
      <c r="H27" s="119" t="s">
        <v>77</v>
      </c>
      <c r="I27" s="3" t="s">
        <v>669</v>
      </c>
      <c r="J27" s="120">
        <f t="shared" si="4"/>
        <v>358</v>
      </c>
      <c r="K27" s="171">
        <f t="shared" si="0"/>
        <v>45.000000000000007</v>
      </c>
      <c r="L27" s="110">
        <f t="shared" si="1"/>
        <v>0.12569832402234637</v>
      </c>
      <c r="M27" s="171">
        <f t="shared" si="2"/>
        <v>0.58333333333333337</v>
      </c>
      <c r="N27" s="171">
        <f t="shared" si="3"/>
        <v>12</v>
      </c>
      <c r="O27" s="171" t="s">
        <v>674</v>
      </c>
      <c r="R27" s="3"/>
    </row>
    <row r="28" spans="1:18" x14ac:dyDescent="0.25">
      <c r="A28" s="171" t="s">
        <v>77</v>
      </c>
      <c r="B28" s="3" t="s">
        <v>500</v>
      </c>
      <c r="C28" s="171">
        <v>25</v>
      </c>
      <c r="D28" s="171">
        <v>96</v>
      </c>
      <c r="E28" s="171">
        <v>1</v>
      </c>
      <c r="F28" s="171">
        <v>1</v>
      </c>
      <c r="H28" s="119" t="s">
        <v>77</v>
      </c>
      <c r="I28" s="3" t="s">
        <v>324</v>
      </c>
      <c r="J28" s="120">
        <f t="shared" si="4"/>
        <v>126</v>
      </c>
      <c r="K28" s="171">
        <f t="shared" si="0"/>
        <v>15.999999999999998</v>
      </c>
      <c r="L28" s="110">
        <f t="shared" si="1"/>
        <v>0.12698412698412698</v>
      </c>
      <c r="M28" s="171">
        <f t="shared" si="2"/>
        <v>0.6</v>
      </c>
      <c r="N28" s="171">
        <f t="shared" si="3"/>
        <v>5</v>
      </c>
      <c r="O28" s="171" t="s">
        <v>674</v>
      </c>
      <c r="R28" s="3"/>
    </row>
    <row r="29" spans="1:18" x14ac:dyDescent="0.25">
      <c r="A29" s="171" t="s">
        <v>77</v>
      </c>
      <c r="B29" s="3" t="s">
        <v>500</v>
      </c>
      <c r="C29" s="171">
        <v>19</v>
      </c>
      <c r="D29" s="171">
        <v>79</v>
      </c>
      <c r="E29" s="171">
        <v>3.99</v>
      </c>
      <c r="F29" s="171">
        <v>0</v>
      </c>
      <c r="H29" s="119" t="s">
        <v>77</v>
      </c>
      <c r="I29" s="3" t="s">
        <v>670</v>
      </c>
      <c r="J29" s="120">
        <f t="shared" si="4"/>
        <v>100</v>
      </c>
      <c r="K29" s="171">
        <f t="shared" si="0"/>
        <v>4</v>
      </c>
      <c r="L29" s="110">
        <f t="shared" si="1"/>
        <v>0.04</v>
      </c>
      <c r="M29" s="171">
        <f t="shared" si="2"/>
        <v>0.2</v>
      </c>
      <c r="N29" s="171">
        <f t="shared" si="3"/>
        <v>5</v>
      </c>
      <c r="O29" s="171" t="s">
        <v>674</v>
      </c>
      <c r="R29" s="3"/>
    </row>
    <row r="30" spans="1:18" x14ac:dyDescent="0.25">
      <c r="A30" s="171" t="s">
        <v>77</v>
      </c>
      <c r="B30" s="3" t="s">
        <v>500</v>
      </c>
      <c r="C30" s="171">
        <v>12</v>
      </c>
      <c r="D30" s="171">
        <v>75</v>
      </c>
      <c r="E30" s="171">
        <v>3</v>
      </c>
      <c r="F30" s="171">
        <v>0</v>
      </c>
      <c r="H30" s="119" t="s">
        <v>77</v>
      </c>
      <c r="I30" s="3" t="s">
        <v>629</v>
      </c>
      <c r="J30" s="120">
        <f t="shared" si="4"/>
        <v>47</v>
      </c>
      <c r="K30" s="171">
        <f t="shared" si="0"/>
        <v>4.9999999999999982</v>
      </c>
      <c r="L30" s="110">
        <f t="shared" si="1"/>
        <v>0.10638297872340421</v>
      </c>
      <c r="M30" s="171">
        <f t="shared" si="2"/>
        <v>0.5</v>
      </c>
      <c r="N30" s="171">
        <f t="shared" si="3"/>
        <v>2</v>
      </c>
      <c r="O30" s="171" t="s">
        <v>674</v>
      </c>
      <c r="R30" s="3"/>
    </row>
    <row r="31" spans="1:18" x14ac:dyDescent="0.25">
      <c r="A31" s="171" t="s">
        <v>77</v>
      </c>
      <c r="B31" s="3" t="s">
        <v>500</v>
      </c>
      <c r="C31" s="171">
        <v>21</v>
      </c>
      <c r="D31" s="171">
        <v>95.2</v>
      </c>
      <c r="E31" s="171">
        <v>1.0079999999999993</v>
      </c>
      <c r="F31" s="171">
        <v>1</v>
      </c>
      <c r="H31" s="119" t="s">
        <v>77</v>
      </c>
      <c r="I31" s="3" t="s">
        <v>630</v>
      </c>
      <c r="J31" s="120">
        <f t="shared" si="4"/>
        <v>144</v>
      </c>
      <c r="K31" s="171">
        <f t="shared" si="0"/>
        <v>13.714285714285714</v>
      </c>
      <c r="L31" s="110">
        <f t="shared" si="1"/>
        <v>9.5238095238095233E-2</v>
      </c>
      <c r="M31" s="171">
        <f t="shared" si="2"/>
        <v>0.16666666666666666</v>
      </c>
      <c r="N31" s="171">
        <f t="shared" si="3"/>
        <v>6</v>
      </c>
      <c r="O31" s="171" t="s">
        <v>674</v>
      </c>
      <c r="R31" s="3"/>
    </row>
    <row r="32" spans="1:18" x14ac:dyDescent="0.25">
      <c r="A32" s="171" t="s">
        <v>77</v>
      </c>
      <c r="B32" s="3" t="s">
        <v>500</v>
      </c>
      <c r="C32" s="171">
        <v>17</v>
      </c>
      <c r="D32" s="171">
        <v>100</v>
      </c>
      <c r="E32" s="171">
        <v>0</v>
      </c>
      <c r="F32" s="171">
        <v>1</v>
      </c>
      <c r="H32" s="119" t="s">
        <v>77</v>
      </c>
      <c r="I32" s="3">
        <v>2</v>
      </c>
      <c r="J32" s="120">
        <f t="shared" si="4"/>
        <v>232</v>
      </c>
      <c r="K32" s="171">
        <f t="shared" si="0"/>
        <v>52.278787878787874</v>
      </c>
      <c r="L32" s="110">
        <f t="shared" si="1"/>
        <v>0.22533960292580979</v>
      </c>
      <c r="M32" s="171">
        <f t="shared" si="2"/>
        <v>0.66666666666666663</v>
      </c>
      <c r="N32" s="171">
        <f t="shared" si="3"/>
        <v>9</v>
      </c>
      <c r="O32" s="171" t="s">
        <v>674</v>
      </c>
      <c r="R32" s="3"/>
    </row>
    <row r="33" spans="1:18" x14ac:dyDescent="0.25">
      <c r="A33" s="171" t="s">
        <v>77</v>
      </c>
      <c r="B33" s="3" t="s">
        <v>500</v>
      </c>
      <c r="C33" s="171">
        <v>7</v>
      </c>
      <c r="D33" s="171">
        <v>71.400000000000006</v>
      </c>
      <c r="E33" s="171">
        <v>2.0019999999999998</v>
      </c>
      <c r="F33" s="171">
        <v>0</v>
      </c>
      <c r="H33" s="119" t="s">
        <v>77</v>
      </c>
      <c r="I33" s="3">
        <v>3</v>
      </c>
      <c r="J33" s="120">
        <f t="shared" si="4"/>
        <v>492</v>
      </c>
      <c r="K33" s="171">
        <f t="shared" si="0"/>
        <v>137</v>
      </c>
      <c r="L33" s="110">
        <f t="shared" si="1"/>
        <v>0.27845528455284552</v>
      </c>
      <c r="M33" s="171">
        <f t="shared" si="2"/>
        <v>0.7</v>
      </c>
      <c r="N33" s="171">
        <f t="shared" si="3"/>
        <v>20</v>
      </c>
      <c r="O33" s="171" t="s">
        <v>674</v>
      </c>
      <c r="R33" s="3"/>
    </row>
    <row r="34" spans="1:18" x14ac:dyDescent="0.25">
      <c r="A34" s="171" t="s">
        <v>77</v>
      </c>
      <c r="B34" s="3" t="s">
        <v>500</v>
      </c>
      <c r="C34" s="171">
        <v>11</v>
      </c>
      <c r="D34" s="171">
        <v>90.9</v>
      </c>
      <c r="E34" s="171">
        <v>1.0009999999999994</v>
      </c>
      <c r="F34" s="171">
        <v>1</v>
      </c>
      <c r="H34" s="119" t="s">
        <v>77</v>
      </c>
      <c r="I34" s="3" t="s">
        <v>671</v>
      </c>
      <c r="J34" s="120">
        <f t="shared" si="4"/>
        <v>325</v>
      </c>
      <c r="K34" s="171">
        <f t="shared" si="0"/>
        <v>60.999999999999993</v>
      </c>
      <c r="L34" s="110">
        <f t="shared" si="1"/>
        <v>0.18769230769230766</v>
      </c>
      <c r="M34" s="171">
        <f t="shared" si="2"/>
        <v>0.5</v>
      </c>
      <c r="N34" s="171">
        <f t="shared" si="3"/>
        <v>10</v>
      </c>
      <c r="O34" s="171" t="s">
        <v>674</v>
      </c>
      <c r="R34" s="3"/>
    </row>
    <row r="35" spans="1:18" x14ac:dyDescent="0.25">
      <c r="A35" s="171" t="s">
        <v>77</v>
      </c>
      <c r="B35" s="3" t="s">
        <v>500</v>
      </c>
      <c r="C35" s="171">
        <v>23</v>
      </c>
      <c r="D35" s="171">
        <v>95.7</v>
      </c>
      <c r="E35" s="171">
        <v>0.98899999999999932</v>
      </c>
      <c r="F35" s="171">
        <v>1</v>
      </c>
      <c r="H35" s="119" t="s">
        <v>77</v>
      </c>
      <c r="I35" s="3" t="s">
        <v>672</v>
      </c>
      <c r="J35" s="120">
        <f t="shared" si="4"/>
        <v>438</v>
      </c>
      <c r="K35" s="171">
        <f t="shared" si="0"/>
        <v>61</v>
      </c>
      <c r="L35" s="110">
        <f t="shared" si="1"/>
        <v>0.13926940639269406</v>
      </c>
      <c r="M35" s="171">
        <f t="shared" si="2"/>
        <v>0.58333333333333337</v>
      </c>
      <c r="N35" s="171">
        <f t="shared" si="3"/>
        <v>12</v>
      </c>
      <c r="O35" s="171" t="s">
        <v>674</v>
      </c>
      <c r="R35" s="3"/>
    </row>
    <row r="36" spans="1:18" x14ac:dyDescent="0.25">
      <c r="A36" s="171" t="s">
        <v>77</v>
      </c>
      <c r="B36" s="3" t="s">
        <v>500</v>
      </c>
      <c r="C36" s="171">
        <v>16</v>
      </c>
      <c r="D36" s="171">
        <v>100</v>
      </c>
      <c r="E36" s="171">
        <v>0</v>
      </c>
      <c r="F36" s="171">
        <v>1</v>
      </c>
      <c r="H36" s="119" t="s">
        <v>77</v>
      </c>
      <c r="I36" s="3" t="s">
        <v>673</v>
      </c>
      <c r="J36" s="120">
        <f t="shared" si="4"/>
        <v>481</v>
      </c>
      <c r="K36" s="171">
        <f t="shared" si="0"/>
        <v>100.99999999999999</v>
      </c>
      <c r="L36" s="110">
        <f t="shared" si="1"/>
        <v>0.20997920997920996</v>
      </c>
      <c r="M36" s="171">
        <f t="shared" si="2"/>
        <v>0.76923076923076927</v>
      </c>
      <c r="N36" s="171">
        <f t="shared" si="3"/>
        <v>13</v>
      </c>
      <c r="O36" s="171" t="s">
        <v>674</v>
      </c>
      <c r="R36" s="3"/>
    </row>
    <row r="37" spans="1:18" x14ac:dyDescent="0.25">
      <c r="A37" s="171" t="s">
        <v>77</v>
      </c>
      <c r="B37" s="3" t="s">
        <v>500</v>
      </c>
      <c r="C37" s="171">
        <v>14</v>
      </c>
      <c r="D37" s="171">
        <v>100</v>
      </c>
      <c r="E37" s="171">
        <v>0</v>
      </c>
      <c r="F37" s="171">
        <v>1</v>
      </c>
    </row>
    <row r="38" spans="1:18" x14ac:dyDescent="0.25">
      <c r="A38" s="171" t="s">
        <v>77</v>
      </c>
      <c r="B38" s="3" t="s">
        <v>500</v>
      </c>
      <c r="C38" s="171">
        <v>30</v>
      </c>
      <c r="D38" s="171">
        <v>96.7</v>
      </c>
      <c r="E38" s="171">
        <v>0.9899999999999991</v>
      </c>
      <c r="F38" s="171">
        <v>1</v>
      </c>
    </row>
    <row r="39" spans="1:18" x14ac:dyDescent="0.25">
      <c r="A39" s="171" t="s">
        <v>77</v>
      </c>
      <c r="B39" s="3" t="s">
        <v>500</v>
      </c>
      <c r="C39" s="171">
        <v>6</v>
      </c>
      <c r="D39" s="171">
        <v>100</v>
      </c>
      <c r="E39" s="171">
        <v>0</v>
      </c>
      <c r="F39" s="171">
        <v>1</v>
      </c>
    </row>
    <row r="40" spans="1:18" x14ac:dyDescent="0.25">
      <c r="A40" s="171" t="s">
        <v>77</v>
      </c>
      <c r="B40" s="3" t="s">
        <v>500</v>
      </c>
      <c r="C40" s="171">
        <v>7</v>
      </c>
      <c r="D40" s="171">
        <v>100</v>
      </c>
      <c r="E40" s="171">
        <v>0</v>
      </c>
      <c r="F40" s="171">
        <v>1</v>
      </c>
    </row>
    <row r="41" spans="1:18" x14ac:dyDescent="0.25">
      <c r="A41" s="171" t="s">
        <v>77</v>
      </c>
      <c r="B41" s="3" t="s">
        <v>500</v>
      </c>
      <c r="C41" s="171">
        <v>17</v>
      </c>
      <c r="D41" s="171">
        <v>88.2</v>
      </c>
      <c r="E41" s="171">
        <v>2.0059999999999998</v>
      </c>
      <c r="F41" s="171">
        <v>0</v>
      </c>
    </row>
    <row r="42" spans="1:18" x14ac:dyDescent="0.25">
      <c r="A42" s="171" t="s">
        <v>77</v>
      </c>
      <c r="B42" s="3" t="s">
        <v>493</v>
      </c>
      <c r="C42" s="171">
        <v>1688</v>
      </c>
      <c r="D42" s="171">
        <v>90.4</v>
      </c>
      <c r="E42" s="171">
        <v>162.04799999999989</v>
      </c>
      <c r="F42" s="171">
        <v>0</v>
      </c>
    </row>
    <row r="43" spans="1:18" x14ac:dyDescent="0.25">
      <c r="A43" s="171" t="s">
        <v>77</v>
      </c>
      <c r="B43" s="3" t="s">
        <v>493</v>
      </c>
      <c r="C43" s="171">
        <v>17</v>
      </c>
      <c r="D43" s="171">
        <v>100</v>
      </c>
      <c r="E43" s="171">
        <v>0</v>
      </c>
      <c r="F43" s="171">
        <v>1</v>
      </c>
    </row>
    <row r="44" spans="1:18" x14ac:dyDescent="0.25">
      <c r="A44" s="171" t="s">
        <v>77</v>
      </c>
      <c r="B44" s="3" t="s">
        <v>493</v>
      </c>
      <c r="C44" s="171">
        <v>51</v>
      </c>
      <c r="D44" s="171">
        <v>98</v>
      </c>
      <c r="E44" s="171">
        <v>1.02</v>
      </c>
      <c r="F44" s="171">
        <v>1</v>
      </c>
    </row>
    <row r="45" spans="1:18" x14ac:dyDescent="0.25">
      <c r="A45" s="171" t="s">
        <v>77</v>
      </c>
      <c r="B45" s="3" t="s">
        <v>493</v>
      </c>
      <c r="C45" s="171">
        <v>47</v>
      </c>
      <c r="D45" s="171">
        <v>95.8</v>
      </c>
      <c r="E45" s="171">
        <v>1.9740000000000015</v>
      </c>
      <c r="F45" s="171">
        <v>0</v>
      </c>
    </row>
    <row r="46" spans="1:18" x14ac:dyDescent="0.25">
      <c r="A46" s="171" t="s">
        <v>77</v>
      </c>
      <c r="B46" s="3" t="s">
        <v>493</v>
      </c>
      <c r="C46" s="171">
        <v>46</v>
      </c>
      <c r="D46" s="171">
        <v>71.7</v>
      </c>
      <c r="E46" s="171">
        <v>13.017999999999999</v>
      </c>
      <c r="F46" s="171">
        <v>0</v>
      </c>
    </row>
    <row r="47" spans="1:18" x14ac:dyDescent="0.25">
      <c r="A47" s="171" t="s">
        <v>77</v>
      </c>
      <c r="B47" s="3" t="s">
        <v>493</v>
      </c>
      <c r="C47" s="171">
        <v>42</v>
      </c>
      <c r="D47" s="171">
        <v>95.2</v>
      </c>
      <c r="E47" s="171">
        <v>2.0159999999999987</v>
      </c>
      <c r="F47" s="171">
        <v>0</v>
      </c>
    </row>
    <row r="48" spans="1:18" x14ac:dyDescent="0.25">
      <c r="A48" s="171" t="s">
        <v>77</v>
      </c>
      <c r="B48" s="3" t="s">
        <v>493</v>
      </c>
      <c r="C48" s="171">
        <v>38</v>
      </c>
      <c r="D48" s="171">
        <v>100</v>
      </c>
      <c r="E48" s="171">
        <v>0</v>
      </c>
      <c r="F48" s="171">
        <v>1</v>
      </c>
    </row>
    <row r="49" spans="1:6" x14ac:dyDescent="0.25">
      <c r="A49" s="171" t="s">
        <v>77</v>
      </c>
      <c r="B49" s="3" t="s">
        <v>493</v>
      </c>
      <c r="C49" s="171">
        <v>54</v>
      </c>
      <c r="D49" s="171">
        <v>64.8</v>
      </c>
      <c r="E49" s="171">
        <v>19.008000000000003</v>
      </c>
      <c r="F49" s="171">
        <v>0</v>
      </c>
    </row>
    <row r="50" spans="1:6" x14ac:dyDescent="0.25">
      <c r="A50" s="171" t="s">
        <v>77</v>
      </c>
      <c r="B50" s="3" t="s">
        <v>493</v>
      </c>
      <c r="C50" s="171">
        <v>44</v>
      </c>
      <c r="D50" s="171">
        <v>100</v>
      </c>
      <c r="E50" s="171">
        <v>0</v>
      </c>
      <c r="F50" s="171">
        <v>1</v>
      </c>
    </row>
    <row r="51" spans="1:6" x14ac:dyDescent="0.25">
      <c r="A51" s="171" t="s">
        <v>77</v>
      </c>
      <c r="B51" s="3" t="s">
        <v>493</v>
      </c>
      <c r="C51" s="171">
        <v>37</v>
      </c>
      <c r="D51" s="171">
        <v>91.9</v>
      </c>
      <c r="E51" s="171">
        <v>2.9969999999999981</v>
      </c>
      <c r="F51" s="171">
        <v>0</v>
      </c>
    </row>
    <row r="52" spans="1:6" x14ac:dyDescent="0.25">
      <c r="A52" s="171" t="s">
        <v>77</v>
      </c>
      <c r="B52" s="3" t="s">
        <v>493</v>
      </c>
      <c r="C52" s="171">
        <v>54</v>
      </c>
      <c r="D52" s="171">
        <v>87</v>
      </c>
      <c r="E52" s="171">
        <v>7.02</v>
      </c>
      <c r="F52" s="171">
        <v>0</v>
      </c>
    </row>
    <row r="53" spans="1:6" x14ac:dyDescent="0.25">
      <c r="A53" s="171" t="s">
        <v>77</v>
      </c>
      <c r="B53" s="3" t="s">
        <v>493</v>
      </c>
      <c r="C53" s="171">
        <v>30</v>
      </c>
      <c r="D53" s="171">
        <v>86.7</v>
      </c>
      <c r="E53" s="171">
        <v>3.9899999999999989</v>
      </c>
      <c r="F53" s="171">
        <v>0</v>
      </c>
    </row>
    <row r="54" spans="1:6" x14ac:dyDescent="0.25">
      <c r="A54" s="171" t="s">
        <v>77</v>
      </c>
      <c r="B54" s="3" t="s">
        <v>493</v>
      </c>
      <c r="C54" s="171">
        <v>38</v>
      </c>
      <c r="D54" s="171">
        <v>100</v>
      </c>
      <c r="E54" s="171">
        <v>0</v>
      </c>
      <c r="F54" s="171">
        <v>1</v>
      </c>
    </row>
    <row r="55" spans="1:6" x14ac:dyDescent="0.25">
      <c r="A55" s="171" t="s">
        <v>77</v>
      </c>
      <c r="B55" s="3" t="s">
        <v>493</v>
      </c>
      <c r="C55" s="171">
        <v>65</v>
      </c>
      <c r="D55" s="171">
        <v>95.4</v>
      </c>
      <c r="E55" s="171">
        <v>2.9899999999999967</v>
      </c>
      <c r="F55" s="171">
        <v>0</v>
      </c>
    </row>
    <row r="56" spans="1:6" x14ac:dyDescent="0.25">
      <c r="A56" s="171" t="s">
        <v>77</v>
      </c>
      <c r="B56" s="3">
        <v>135</v>
      </c>
      <c r="C56" s="171">
        <v>441</v>
      </c>
      <c r="D56" s="171">
        <v>78.5</v>
      </c>
      <c r="E56" s="171">
        <v>94.814999999999998</v>
      </c>
      <c r="F56" s="171">
        <v>0</v>
      </c>
    </row>
    <row r="57" spans="1:6" x14ac:dyDescent="0.25">
      <c r="A57" s="171" t="s">
        <v>77</v>
      </c>
      <c r="B57" s="3">
        <v>135</v>
      </c>
      <c r="C57" s="171">
        <v>45</v>
      </c>
      <c r="D57" s="171">
        <v>97.8</v>
      </c>
      <c r="E57" s="171">
        <v>0.99000000000000132</v>
      </c>
      <c r="F57" s="171">
        <v>1</v>
      </c>
    </row>
    <row r="58" spans="1:6" x14ac:dyDescent="0.25">
      <c r="A58" s="171" t="s">
        <v>77</v>
      </c>
      <c r="B58" s="3">
        <v>135</v>
      </c>
      <c r="C58" s="171">
        <v>11</v>
      </c>
      <c r="D58" s="171">
        <v>27.299999999999997</v>
      </c>
      <c r="E58" s="171">
        <v>7.9970000000000008</v>
      </c>
      <c r="F58" s="171">
        <v>0</v>
      </c>
    </row>
    <row r="59" spans="1:6" x14ac:dyDescent="0.25">
      <c r="A59" s="171" t="s">
        <v>77</v>
      </c>
      <c r="B59" s="3">
        <v>135</v>
      </c>
      <c r="C59" s="171">
        <v>23</v>
      </c>
      <c r="D59" s="171">
        <v>78.3</v>
      </c>
      <c r="E59" s="171">
        <v>4.9910000000000005</v>
      </c>
      <c r="F59" s="171">
        <v>0</v>
      </c>
    </row>
    <row r="60" spans="1:6" x14ac:dyDescent="0.25">
      <c r="A60" s="171" t="s">
        <v>77</v>
      </c>
      <c r="B60" s="3">
        <v>135</v>
      </c>
      <c r="C60" s="171">
        <v>23</v>
      </c>
      <c r="D60" s="171">
        <v>100</v>
      </c>
      <c r="E60" s="171">
        <v>0</v>
      </c>
      <c r="F60" s="171">
        <v>1</v>
      </c>
    </row>
    <row r="61" spans="1:6" x14ac:dyDescent="0.25">
      <c r="A61" s="171" t="s">
        <v>77</v>
      </c>
      <c r="B61" s="3">
        <v>135</v>
      </c>
      <c r="C61" s="171">
        <v>11</v>
      </c>
      <c r="D61" s="171">
        <v>100</v>
      </c>
      <c r="E61" s="171">
        <v>0</v>
      </c>
      <c r="F61" s="171">
        <v>1</v>
      </c>
    </row>
    <row r="62" spans="1:6" x14ac:dyDescent="0.25">
      <c r="A62" s="171" t="s">
        <v>77</v>
      </c>
      <c r="B62" s="3">
        <v>135</v>
      </c>
      <c r="C62" s="171">
        <v>8</v>
      </c>
      <c r="D62" s="171">
        <v>25</v>
      </c>
      <c r="E62" s="171">
        <v>6</v>
      </c>
      <c r="F62" s="171">
        <v>0</v>
      </c>
    </row>
    <row r="63" spans="1:6" x14ac:dyDescent="0.25">
      <c r="A63" s="171" t="s">
        <v>77</v>
      </c>
      <c r="B63" s="3">
        <v>135</v>
      </c>
      <c r="C63" s="171">
        <v>9</v>
      </c>
      <c r="D63" s="171">
        <v>66.7</v>
      </c>
      <c r="E63" s="171">
        <v>2.9969999999999999</v>
      </c>
      <c r="F63" s="171">
        <v>0</v>
      </c>
    </row>
    <row r="64" spans="1:6" x14ac:dyDescent="0.25">
      <c r="A64" s="171" t="s">
        <v>77</v>
      </c>
      <c r="B64" s="3">
        <v>135</v>
      </c>
      <c r="C64" s="171">
        <v>22</v>
      </c>
      <c r="D64" s="171">
        <v>81.900000000000006</v>
      </c>
      <c r="E64" s="171">
        <v>3.9819999999999989</v>
      </c>
      <c r="F64" s="171">
        <v>0</v>
      </c>
    </row>
    <row r="65" spans="1:6" x14ac:dyDescent="0.25">
      <c r="A65" s="171" t="s">
        <v>77</v>
      </c>
      <c r="B65" s="3">
        <v>135</v>
      </c>
      <c r="C65" s="171">
        <v>27</v>
      </c>
      <c r="D65" s="171">
        <v>100</v>
      </c>
      <c r="E65" s="171">
        <v>0</v>
      </c>
      <c r="F65" s="171">
        <v>1</v>
      </c>
    </row>
    <row r="66" spans="1:6" x14ac:dyDescent="0.25">
      <c r="A66" s="171" t="s">
        <v>77</v>
      </c>
      <c r="B66" s="3">
        <v>135</v>
      </c>
      <c r="C66" s="171">
        <v>44</v>
      </c>
      <c r="D66" s="171">
        <v>79.599999999999994</v>
      </c>
      <c r="E66" s="171">
        <v>8.9760000000000026</v>
      </c>
      <c r="F66" s="171">
        <v>0</v>
      </c>
    </row>
    <row r="67" spans="1:6" x14ac:dyDescent="0.25">
      <c r="A67" s="171" t="s">
        <v>77</v>
      </c>
      <c r="B67" s="3">
        <v>135</v>
      </c>
      <c r="C67" s="171">
        <v>24</v>
      </c>
      <c r="D67" s="171">
        <v>100</v>
      </c>
      <c r="E67" s="171">
        <v>0</v>
      </c>
      <c r="F67" s="171">
        <v>1</v>
      </c>
    </row>
    <row r="68" spans="1:6" x14ac:dyDescent="0.25">
      <c r="A68" s="171" t="s">
        <v>77</v>
      </c>
      <c r="B68" s="3">
        <v>142</v>
      </c>
      <c r="C68" s="171">
        <v>1616</v>
      </c>
      <c r="D68" s="171">
        <v>92.1</v>
      </c>
      <c r="E68" s="171">
        <v>127.66400000000009</v>
      </c>
      <c r="F68" s="171">
        <v>0</v>
      </c>
    </row>
    <row r="69" spans="1:6" x14ac:dyDescent="0.25">
      <c r="A69" s="171" t="s">
        <v>77</v>
      </c>
      <c r="B69" s="3">
        <v>142</v>
      </c>
      <c r="C69" s="171">
        <v>47</v>
      </c>
      <c r="D69" s="171">
        <v>100</v>
      </c>
      <c r="E69" s="171">
        <v>0</v>
      </c>
      <c r="F69" s="171">
        <v>1</v>
      </c>
    </row>
    <row r="70" spans="1:6" x14ac:dyDescent="0.25">
      <c r="A70" s="171" t="s">
        <v>77</v>
      </c>
      <c r="B70" s="3">
        <v>142</v>
      </c>
      <c r="C70" s="171">
        <v>21</v>
      </c>
      <c r="D70" s="171">
        <v>90.4</v>
      </c>
      <c r="E70" s="171">
        <v>2.0159999999999987</v>
      </c>
      <c r="F70" s="171">
        <v>0</v>
      </c>
    </row>
    <row r="71" spans="1:6" x14ac:dyDescent="0.25">
      <c r="A71" s="171" t="s">
        <v>77</v>
      </c>
      <c r="B71" s="3">
        <v>142</v>
      </c>
      <c r="C71" s="171">
        <v>52</v>
      </c>
      <c r="D71" s="171">
        <v>88.5</v>
      </c>
      <c r="E71" s="171">
        <v>5.98</v>
      </c>
      <c r="F71" s="171">
        <v>0</v>
      </c>
    </row>
    <row r="72" spans="1:6" x14ac:dyDescent="0.25">
      <c r="A72" s="171" t="s">
        <v>77</v>
      </c>
      <c r="B72" s="3">
        <v>142</v>
      </c>
      <c r="C72" s="171">
        <v>38</v>
      </c>
      <c r="D72" s="171">
        <v>100</v>
      </c>
      <c r="E72" s="171">
        <v>0</v>
      </c>
      <c r="F72" s="171">
        <v>1</v>
      </c>
    </row>
    <row r="73" spans="1:6" x14ac:dyDescent="0.25">
      <c r="A73" s="171" t="s">
        <v>77</v>
      </c>
      <c r="B73" s="3">
        <v>142</v>
      </c>
      <c r="C73" s="171">
        <v>39</v>
      </c>
      <c r="D73" s="171">
        <v>92.3</v>
      </c>
      <c r="E73" s="171">
        <v>3.0030000000000014</v>
      </c>
      <c r="F73" s="171">
        <v>0</v>
      </c>
    </row>
    <row r="74" spans="1:6" x14ac:dyDescent="0.25">
      <c r="A74" s="171" t="s">
        <v>77</v>
      </c>
      <c r="B74" s="3">
        <v>142</v>
      </c>
      <c r="C74" s="171">
        <v>17</v>
      </c>
      <c r="D74" s="171">
        <v>94.1</v>
      </c>
      <c r="E74" s="171">
        <v>1.003000000000001</v>
      </c>
      <c r="F74" s="171">
        <v>1</v>
      </c>
    </row>
    <row r="75" spans="1:6" x14ac:dyDescent="0.25">
      <c r="A75" s="171" t="s">
        <v>77</v>
      </c>
      <c r="B75" s="3">
        <v>142</v>
      </c>
      <c r="C75" s="171">
        <v>56</v>
      </c>
      <c r="D75" s="171">
        <v>96.4</v>
      </c>
      <c r="E75" s="171">
        <v>2.0159999999999969</v>
      </c>
      <c r="F75" s="171">
        <v>0</v>
      </c>
    </row>
    <row r="76" spans="1:6" x14ac:dyDescent="0.25">
      <c r="A76" s="171" t="s">
        <v>77</v>
      </c>
      <c r="B76" s="3">
        <v>142</v>
      </c>
      <c r="C76" s="171">
        <v>31</v>
      </c>
      <c r="D76" s="171">
        <v>80.7</v>
      </c>
      <c r="E76" s="171">
        <v>5.9829999999999997</v>
      </c>
      <c r="F76" s="171">
        <v>0</v>
      </c>
    </row>
    <row r="77" spans="1:6" x14ac:dyDescent="0.25">
      <c r="A77" s="171" t="s">
        <v>77</v>
      </c>
      <c r="B77" s="3">
        <v>142</v>
      </c>
      <c r="C77" s="171">
        <v>34</v>
      </c>
      <c r="D77" s="171">
        <v>91.2</v>
      </c>
      <c r="E77" s="171">
        <v>2.9919999999999991</v>
      </c>
      <c r="F77" s="171">
        <v>0</v>
      </c>
    </row>
    <row r="78" spans="1:6" x14ac:dyDescent="0.25">
      <c r="A78" s="171" t="s">
        <v>77</v>
      </c>
      <c r="B78" s="3">
        <v>142</v>
      </c>
      <c r="C78" s="171">
        <v>21</v>
      </c>
      <c r="D78" s="171">
        <v>71.400000000000006</v>
      </c>
      <c r="E78" s="171">
        <v>6.0059999999999993</v>
      </c>
      <c r="F78" s="171">
        <v>0</v>
      </c>
    </row>
    <row r="79" spans="1:6" x14ac:dyDescent="0.25">
      <c r="A79" s="171" t="s">
        <v>77</v>
      </c>
      <c r="B79" s="3">
        <v>142</v>
      </c>
      <c r="C79" s="171">
        <v>20</v>
      </c>
      <c r="D79" s="171">
        <v>75</v>
      </c>
      <c r="E79" s="171">
        <v>5</v>
      </c>
      <c r="F79" s="171">
        <v>0</v>
      </c>
    </row>
    <row r="80" spans="1:6" x14ac:dyDescent="0.25">
      <c r="A80" s="171" t="s">
        <v>77</v>
      </c>
      <c r="B80" s="3">
        <v>142</v>
      </c>
      <c r="C80" s="171">
        <v>24</v>
      </c>
      <c r="D80" s="171">
        <v>75</v>
      </c>
      <c r="E80" s="171">
        <v>6</v>
      </c>
      <c r="F80" s="171">
        <v>0</v>
      </c>
    </row>
    <row r="81" spans="1:6" x14ac:dyDescent="0.25">
      <c r="A81" s="171" t="s">
        <v>77</v>
      </c>
      <c r="B81" s="3">
        <v>142</v>
      </c>
      <c r="C81" s="171">
        <v>23</v>
      </c>
      <c r="D81" s="171">
        <v>65.300000000000011</v>
      </c>
      <c r="E81" s="171">
        <v>7.9809999999999972</v>
      </c>
      <c r="F81" s="171">
        <v>0</v>
      </c>
    </row>
    <row r="82" spans="1:6" x14ac:dyDescent="0.25">
      <c r="A82" s="171" t="s">
        <v>77</v>
      </c>
      <c r="B82" s="3">
        <v>142</v>
      </c>
      <c r="C82" s="171">
        <v>9</v>
      </c>
      <c r="D82" s="171">
        <v>100</v>
      </c>
      <c r="E82" s="171">
        <v>0</v>
      </c>
      <c r="F82" s="171">
        <v>1</v>
      </c>
    </row>
    <row r="83" spans="1:6" x14ac:dyDescent="0.25">
      <c r="A83" s="171" t="s">
        <v>77</v>
      </c>
      <c r="B83" s="3" t="s">
        <v>492</v>
      </c>
      <c r="C83" s="171">
        <v>781</v>
      </c>
      <c r="D83" s="171">
        <v>90.9</v>
      </c>
      <c r="E83" s="171">
        <v>71.070999999999955</v>
      </c>
      <c r="F83" s="171">
        <v>0</v>
      </c>
    </row>
    <row r="84" spans="1:6" x14ac:dyDescent="0.25">
      <c r="A84" s="171" t="s">
        <v>77</v>
      </c>
      <c r="B84" s="3" t="s">
        <v>492</v>
      </c>
      <c r="C84" s="171">
        <v>36</v>
      </c>
      <c r="D84" s="171">
        <v>58.3</v>
      </c>
      <c r="E84" s="171">
        <v>15.012</v>
      </c>
      <c r="F84" s="171">
        <v>0</v>
      </c>
    </row>
    <row r="85" spans="1:6" x14ac:dyDescent="0.25">
      <c r="A85" s="171" t="s">
        <v>77</v>
      </c>
      <c r="B85" s="3" t="s">
        <v>492</v>
      </c>
      <c r="C85" s="171">
        <v>49</v>
      </c>
      <c r="D85" s="171">
        <v>98</v>
      </c>
      <c r="E85" s="171">
        <v>0.98</v>
      </c>
      <c r="F85" s="171">
        <v>1</v>
      </c>
    </row>
    <row r="86" spans="1:6" x14ac:dyDescent="0.25">
      <c r="A86" s="171" t="s">
        <v>77</v>
      </c>
      <c r="B86" s="3" t="s">
        <v>492</v>
      </c>
      <c r="C86" s="171">
        <v>53</v>
      </c>
      <c r="D86" s="171">
        <v>96.2</v>
      </c>
      <c r="E86" s="171">
        <v>2.0139999999999985</v>
      </c>
      <c r="F86" s="171">
        <v>0</v>
      </c>
    </row>
    <row r="87" spans="1:6" x14ac:dyDescent="0.25">
      <c r="A87" s="171" t="s">
        <v>77</v>
      </c>
      <c r="B87" s="3" t="s">
        <v>492</v>
      </c>
      <c r="C87" s="171">
        <v>47</v>
      </c>
      <c r="D87" s="171">
        <v>97.9</v>
      </c>
      <c r="E87" s="171">
        <v>0.98699999999999732</v>
      </c>
      <c r="F87" s="171">
        <v>1</v>
      </c>
    </row>
    <row r="88" spans="1:6" x14ac:dyDescent="0.25">
      <c r="A88" s="171" t="s">
        <v>77</v>
      </c>
      <c r="B88" s="3" t="s">
        <v>492</v>
      </c>
      <c r="C88" s="171">
        <v>42</v>
      </c>
      <c r="D88" s="171">
        <v>97.6</v>
      </c>
      <c r="E88" s="171">
        <v>1.0080000000000024</v>
      </c>
      <c r="F88" s="171">
        <v>1</v>
      </c>
    </row>
    <row r="89" spans="1:6" x14ac:dyDescent="0.25">
      <c r="A89" s="171" t="s">
        <v>77</v>
      </c>
      <c r="B89" s="3" t="s">
        <v>492</v>
      </c>
      <c r="C89" s="171">
        <v>42</v>
      </c>
      <c r="D89" s="171">
        <v>97.6</v>
      </c>
      <c r="E89" s="171">
        <v>1.0080000000000024</v>
      </c>
      <c r="F89" s="171">
        <v>1</v>
      </c>
    </row>
    <row r="90" spans="1:6" x14ac:dyDescent="0.25">
      <c r="A90" s="171" t="s">
        <v>77</v>
      </c>
      <c r="B90" s="3" t="s">
        <v>492</v>
      </c>
      <c r="C90" s="171">
        <v>33</v>
      </c>
      <c r="D90" s="171">
        <v>90.9</v>
      </c>
      <c r="E90" s="171">
        <v>3.0029999999999983</v>
      </c>
      <c r="F90" s="171">
        <v>0</v>
      </c>
    </row>
    <row r="91" spans="1:6" x14ac:dyDescent="0.25">
      <c r="A91" s="171" t="s">
        <v>77</v>
      </c>
      <c r="B91" s="3" t="s">
        <v>492</v>
      </c>
      <c r="C91" s="171">
        <v>20</v>
      </c>
      <c r="D91" s="171">
        <v>90</v>
      </c>
      <c r="E91" s="171">
        <v>2</v>
      </c>
      <c r="F91" s="171">
        <v>0</v>
      </c>
    </row>
    <row r="92" spans="1:6" x14ac:dyDescent="0.25">
      <c r="A92" s="171" t="s">
        <v>77</v>
      </c>
      <c r="B92" s="3" t="s">
        <v>492</v>
      </c>
      <c r="C92" s="171">
        <v>50</v>
      </c>
      <c r="D92" s="171">
        <v>100</v>
      </c>
      <c r="E92" s="171">
        <v>0</v>
      </c>
      <c r="F92" s="171">
        <v>1</v>
      </c>
    </row>
    <row r="93" spans="1:6" x14ac:dyDescent="0.25">
      <c r="A93" s="171" t="s">
        <v>77</v>
      </c>
      <c r="B93" s="3" t="s">
        <v>492</v>
      </c>
      <c r="C93" s="171">
        <v>29</v>
      </c>
      <c r="D93" s="171">
        <v>100</v>
      </c>
      <c r="E93" s="171">
        <v>0</v>
      </c>
      <c r="F93" s="171">
        <v>1</v>
      </c>
    </row>
    <row r="94" spans="1:6" x14ac:dyDescent="0.25">
      <c r="A94" s="171" t="s">
        <v>77</v>
      </c>
      <c r="B94" s="3" t="s">
        <v>492</v>
      </c>
      <c r="C94" s="171">
        <v>21</v>
      </c>
      <c r="D94" s="171">
        <v>100</v>
      </c>
      <c r="E94" s="171">
        <v>0</v>
      </c>
      <c r="F94" s="171">
        <v>1</v>
      </c>
    </row>
    <row r="95" spans="1:6" x14ac:dyDescent="0.25">
      <c r="A95" s="171" t="s">
        <v>77</v>
      </c>
      <c r="B95" s="3" t="s">
        <v>492</v>
      </c>
      <c r="C95" s="171">
        <v>11</v>
      </c>
      <c r="D95" s="171">
        <v>18.200000000000003</v>
      </c>
      <c r="E95" s="171">
        <v>8.9979999999999993</v>
      </c>
      <c r="F95" s="171">
        <v>0</v>
      </c>
    </row>
    <row r="96" spans="1:6" x14ac:dyDescent="0.25">
      <c r="A96" s="171" t="s">
        <v>77</v>
      </c>
      <c r="B96" s="3" t="s">
        <v>482</v>
      </c>
      <c r="C96" s="171">
        <v>1550</v>
      </c>
      <c r="D96" s="171">
        <v>91.9</v>
      </c>
      <c r="E96" s="171">
        <v>125.54999999999991</v>
      </c>
      <c r="F96" s="171">
        <v>0</v>
      </c>
    </row>
    <row r="97" spans="1:6" x14ac:dyDescent="0.25">
      <c r="A97" s="171" t="s">
        <v>77</v>
      </c>
      <c r="B97" s="3" t="s">
        <v>482</v>
      </c>
      <c r="C97" s="171">
        <v>34</v>
      </c>
      <c r="D97" s="171">
        <v>94.2</v>
      </c>
      <c r="E97" s="171">
        <v>1.9719999999999991</v>
      </c>
      <c r="F97" s="171">
        <v>0</v>
      </c>
    </row>
    <row r="98" spans="1:6" x14ac:dyDescent="0.25">
      <c r="A98" s="171" t="s">
        <v>77</v>
      </c>
      <c r="B98" s="3" t="s">
        <v>482</v>
      </c>
      <c r="C98" s="171">
        <v>38</v>
      </c>
      <c r="D98" s="171">
        <v>100</v>
      </c>
      <c r="E98" s="171">
        <v>0</v>
      </c>
      <c r="F98" s="171">
        <v>1</v>
      </c>
    </row>
    <row r="99" spans="1:6" x14ac:dyDescent="0.25">
      <c r="A99" s="171" t="s">
        <v>77</v>
      </c>
      <c r="B99" s="3" t="s">
        <v>482</v>
      </c>
      <c r="C99" s="171">
        <v>27</v>
      </c>
      <c r="D99" s="171">
        <v>70.400000000000006</v>
      </c>
      <c r="E99" s="171">
        <v>7.9919999999999982</v>
      </c>
      <c r="F99" s="171">
        <v>0</v>
      </c>
    </row>
    <row r="100" spans="1:6" x14ac:dyDescent="0.25">
      <c r="A100" s="171" t="s">
        <v>77</v>
      </c>
      <c r="B100" s="3" t="s">
        <v>482</v>
      </c>
      <c r="C100" s="171">
        <v>34</v>
      </c>
      <c r="D100" s="171">
        <v>100</v>
      </c>
      <c r="E100" s="171">
        <v>0</v>
      </c>
      <c r="F100" s="171">
        <v>1</v>
      </c>
    </row>
    <row r="101" spans="1:6" x14ac:dyDescent="0.25">
      <c r="A101" s="171" t="s">
        <v>77</v>
      </c>
      <c r="B101" s="3" t="s">
        <v>482</v>
      </c>
      <c r="C101" s="171">
        <v>37</v>
      </c>
      <c r="D101" s="171">
        <v>100</v>
      </c>
      <c r="E101" s="171">
        <v>0</v>
      </c>
      <c r="F101" s="171">
        <v>1</v>
      </c>
    </row>
    <row r="102" spans="1:6" x14ac:dyDescent="0.25">
      <c r="A102" s="171" t="s">
        <v>77</v>
      </c>
      <c r="B102" s="3" t="s">
        <v>482</v>
      </c>
      <c r="C102" s="171">
        <v>41</v>
      </c>
      <c r="D102" s="171">
        <v>90.2</v>
      </c>
      <c r="E102" s="171">
        <v>4.0179999999999989</v>
      </c>
      <c r="F102" s="171">
        <v>0</v>
      </c>
    </row>
    <row r="103" spans="1:6" x14ac:dyDescent="0.25">
      <c r="A103" s="171" t="s">
        <v>77</v>
      </c>
      <c r="B103" s="3" t="s">
        <v>482</v>
      </c>
      <c r="C103" s="171">
        <v>25</v>
      </c>
      <c r="D103" s="171">
        <v>64</v>
      </c>
      <c r="E103" s="171">
        <v>9</v>
      </c>
      <c r="F103" s="171">
        <v>0</v>
      </c>
    </row>
    <row r="104" spans="1:6" x14ac:dyDescent="0.25">
      <c r="A104" s="171" t="s">
        <v>77</v>
      </c>
      <c r="B104" s="3" t="s">
        <v>482</v>
      </c>
      <c r="C104" s="171">
        <v>27</v>
      </c>
      <c r="D104" s="171">
        <v>85.2</v>
      </c>
      <c r="E104" s="171">
        <v>3.9959999999999991</v>
      </c>
      <c r="F104" s="171">
        <v>0</v>
      </c>
    </row>
    <row r="105" spans="1:6" x14ac:dyDescent="0.25">
      <c r="A105" s="171" t="s">
        <v>77</v>
      </c>
      <c r="B105" s="3" t="s">
        <v>482</v>
      </c>
      <c r="C105" s="171">
        <v>33</v>
      </c>
      <c r="D105" s="171">
        <v>81.8</v>
      </c>
      <c r="E105" s="171">
        <v>6.0060000000000011</v>
      </c>
      <c r="F105" s="171">
        <v>0</v>
      </c>
    </row>
    <row r="106" spans="1:6" x14ac:dyDescent="0.25">
      <c r="A106" s="171" t="s">
        <v>77</v>
      </c>
      <c r="B106" s="3" t="s">
        <v>482</v>
      </c>
      <c r="C106" s="171">
        <v>38</v>
      </c>
      <c r="D106" s="171">
        <v>92.1</v>
      </c>
      <c r="E106" s="171">
        <v>3.002000000000002</v>
      </c>
      <c r="F106" s="171">
        <v>0</v>
      </c>
    </row>
    <row r="107" spans="1:6" x14ac:dyDescent="0.25">
      <c r="A107" s="171" t="s">
        <v>77</v>
      </c>
      <c r="B107" s="3" t="s">
        <v>482</v>
      </c>
      <c r="C107" s="171">
        <v>28</v>
      </c>
      <c r="D107" s="171">
        <v>71.400000000000006</v>
      </c>
      <c r="E107" s="171">
        <v>8.0079999999999991</v>
      </c>
      <c r="F107" s="171">
        <v>0</v>
      </c>
    </row>
    <row r="108" spans="1:6" x14ac:dyDescent="0.25">
      <c r="A108" s="171" t="s">
        <v>77</v>
      </c>
      <c r="B108" s="3" t="s">
        <v>482</v>
      </c>
      <c r="C108" s="171">
        <v>41</v>
      </c>
      <c r="D108" s="171">
        <v>85.3</v>
      </c>
      <c r="E108" s="171">
        <v>6.0270000000000019</v>
      </c>
      <c r="F108" s="171">
        <v>0</v>
      </c>
    </row>
    <row r="109" spans="1:6" x14ac:dyDescent="0.25">
      <c r="A109" s="171" t="s">
        <v>77</v>
      </c>
      <c r="B109" s="3" t="s">
        <v>482</v>
      </c>
      <c r="C109" s="171">
        <v>34</v>
      </c>
      <c r="D109" s="171">
        <v>85.3</v>
      </c>
      <c r="E109" s="171">
        <v>4.9980000000000011</v>
      </c>
      <c r="F109" s="171">
        <v>0</v>
      </c>
    </row>
    <row r="110" spans="1:6" x14ac:dyDescent="0.25">
      <c r="A110" s="171" t="s">
        <v>77</v>
      </c>
      <c r="B110" s="3" t="s">
        <v>482</v>
      </c>
      <c r="C110" s="171">
        <v>37</v>
      </c>
      <c r="D110" s="171">
        <v>81.099999999999994</v>
      </c>
      <c r="E110" s="171">
        <v>6.9930000000000021</v>
      </c>
      <c r="F110" s="171">
        <v>0</v>
      </c>
    </row>
    <row r="111" spans="1:6" x14ac:dyDescent="0.25">
      <c r="A111" s="171" t="s">
        <v>77</v>
      </c>
      <c r="B111" s="3" t="s">
        <v>482</v>
      </c>
      <c r="C111" s="171">
        <v>13</v>
      </c>
      <c r="D111" s="171">
        <v>7.6999999999999886</v>
      </c>
      <c r="E111" s="171">
        <v>11.999000000000001</v>
      </c>
      <c r="F111" s="171">
        <v>0</v>
      </c>
    </row>
    <row r="112" spans="1:6" x14ac:dyDescent="0.25">
      <c r="A112" s="171" t="s">
        <v>77</v>
      </c>
      <c r="B112" s="3">
        <v>107</v>
      </c>
      <c r="C112" s="171">
        <v>1294</v>
      </c>
      <c r="D112" s="171">
        <v>91.5</v>
      </c>
      <c r="E112" s="171">
        <v>109.99</v>
      </c>
      <c r="F112" s="171">
        <v>0</v>
      </c>
    </row>
    <row r="113" spans="1:6" x14ac:dyDescent="0.25">
      <c r="A113" s="171" t="s">
        <v>77</v>
      </c>
      <c r="B113" s="3">
        <v>107</v>
      </c>
      <c r="C113" s="171">
        <v>15</v>
      </c>
      <c r="D113" s="171">
        <v>93.3</v>
      </c>
      <c r="E113" s="171">
        <v>1.0050000000000003</v>
      </c>
      <c r="F113" s="171">
        <v>1</v>
      </c>
    </row>
    <row r="114" spans="1:6" x14ac:dyDescent="0.25">
      <c r="A114" s="171" t="s">
        <v>77</v>
      </c>
      <c r="B114" s="3">
        <v>107</v>
      </c>
      <c r="C114" s="171">
        <v>16</v>
      </c>
      <c r="D114" s="171">
        <v>100</v>
      </c>
      <c r="E114" s="171">
        <v>0</v>
      </c>
      <c r="F114" s="171">
        <v>1</v>
      </c>
    </row>
    <row r="115" spans="1:6" x14ac:dyDescent="0.25">
      <c r="A115" s="171" t="s">
        <v>77</v>
      </c>
      <c r="B115" s="3">
        <v>107</v>
      </c>
      <c r="C115" s="171">
        <v>22</v>
      </c>
      <c r="D115" s="171">
        <v>95.5</v>
      </c>
      <c r="E115" s="171">
        <v>0.99</v>
      </c>
      <c r="F115" s="171">
        <v>1</v>
      </c>
    </row>
    <row r="116" spans="1:6" x14ac:dyDescent="0.25">
      <c r="A116" s="171" t="s">
        <v>77</v>
      </c>
      <c r="B116" s="3">
        <v>107</v>
      </c>
      <c r="C116" s="171">
        <v>20</v>
      </c>
      <c r="D116" s="171">
        <v>95</v>
      </c>
      <c r="E116" s="171">
        <v>1</v>
      </c>
      <c r="F116" s="171">
        <v>1</v>
      </c>
    </row>
    <row r="117" spans="1:6" x14ac:dyDescent="0.25">
      <c r="A117" s="171" t="s">
        <v>77</v>
      </c>
      <c r="B117" s="3">
        <v>107</v>
      </c>
      <c r="C117" s="171">
        <v>26</v>
      </c>
      <c r="D117" s="171">
        <v>100</v>
      </c>
      <c r="E117" s="171">
        <v>0</v>
      </c>
      <c r="F117" s="171">
        <v>1</v>
      </c>
    </row>
    <row r="118" spans="1:6" x14ac:dyDescent="0.25">
      <c r="A118" s="171" t="s">
        <v>77</v>
      </c>
      <c r="B118" s="3">
        <v>107</v>
      </c>
      <c r="C118" s="171">
        <v>19</v>
      </c>
      <c r="D118" s="171">
        <v>94.7</v>
      </c>
      <c r="E118" s="171">
        <v>1.0069999999999995</v>
      </c>
      <c r="F118" s="171">
        <v>1</v>
      </c>
    </row>
    <row r="119" spans="1:6" x14ac:dyDescent="0.25">
      <c r="A119" s="171" t="s">
        <v>77</v>
      </c>
      <c r="B119" s="3">
        <v>107</v>
      </c>
      <c r="C119" s="171">
        <v>18</v>
      </c>
      <c r="D119" s="171">
        <v>94.4</v>
      </c>
      <c r="E119" s="171">
        <v>1.0079999999999989</v>
      </c>
      <c r="F119" s="171">
        <v>1</v>
      </c>
    </row>
    <row r="120" spans="1:6" x14ac:dyDescent="0.25">
      <c r="A120" s="171" t="s">
        <v>77</v>
      </c>
      <c r="B120" s="3">
        <v>107</v>
      </c>
      <c r="C120" s="171">
        <v>20</v>
      </c>
      <c r="D120" s="171">
        <v>85</v>
      </c>
      <c r="E120" s="171">
        <v>3</v>
      </c>
      <c r="F120" s="171">
        <v>0</v>
      </c>
    </row>
    <row r="121" spans="1:6" x14ac:dyDescent="0.25">
      <c r="A121" s="171" t="s">
        <v>77</v>
      </c>
      <c r="B121" s="3">
        <v>107</v>
      </c>
      <c r="C121" s="171">
        <v>14</v>
      </c>
      <c r="D121" s="171">
        <v>14.299999999999997</v>
      </c>
      <c r="E121" s="171">
        <v>11.997999999999999</v>
      </c>
      <c r="F121" s="171">
        <v>0</v>
      </c>
    </row>
    <row r="122" spans="1:6" x14ac:dyDescent="0.25">
      <c r="A122" s="171" t="s">
        <v>77</v>
      </c>
      <c r="B122" s="3">
        <v>107</v>
      </c>
      <c r="C122" s="171">
        <v>14</v>
      </c>
      <c r="D122" s="171">
        <v>92.9</v>
      </c>
      <c r="E122" s="171">
        <v>0.99399999999999922</v>
      </c>
      <c r="F122" s="171">
        <v>1</v>
      </c>
    </row>
    <row r="123" spans="1:6" x14ac:dyDescent="0.25">
      <c r="A123" s="171" t="s">
        <v>77</v>
      </c>
      <c r="B123" s="3">
        <v>107</v>
      </c>
      <c r="C123" s="171">
        <v>18</v>
      </c>
      <c r="D123" s="171">
        <v>66.7</v>
      </c>
      <c r="E123" s="171">
        <v>5.9939999999999998</v>
      </c>
      <c r="F123" s="171">
        <v>0</v>
      </c>
    </row>
    <row r="124" spans="1:6" x14ac:dyDescent="0.25">
      <c r="A124" s="171" t="s">
        <v>77</v>
      </c>
      <c r="B124" s="3">
        <v>107</v>
      </c>
      <c r="C124" s="171">
        <v>15</v>
      </c>
      <c r="D124" s="171">
        <v>80</v>
      </c>
      <c r="E124" s="171">
        <v>3</v>
      </c>
      <c r="F124" s="171">
        <v>0</v>
      </c>
    </row>
    <row r="125" spans="1:6" x14ac:dyDescent="0.25">
      <c r="A125" s="171" t="s">
        <v>77</v>
      </c>
      <c r="B125" s="3">
        <v>107</v>
      </c>
      <c r="C125" s="171">
        <v>19</v>
      </c>
      <c r="D125" s="171">
        <v>94.7</v>
      </c>
      <c r="E125" s="171">
        <v>1.0069999999999995</v>
      </c>
      <c r="F125" s="171">
        <v>0</v>
      </c>
    </row>
    <row r="126" spans="1:6" x14ac:dyDescent="0.25">
      <c r="A126" s="171" t="s">
        <v>77</v>
      </c>
      <c r="B126" s="3">
        <v>111</v>
      </c>
      <c r="C126" s="171">
        <v>1455</v>
      </c>
      <c r="D126" s="171">
        <v>90.51</v>
      </c>
      <c r="E126" s="171">
        <v>138.07949999999994</v>
      </c>
      <c r="F126" s="171">
        <v>0</v>
      </c>
    </row>
    <row r="127" spans="1:6" x14ac:dyDescent="0.25">
      <c r="A127" s="171" t="s">
        <v>77</v>
      </c>
      <c r="B127" s="3">
        <v>111</v>
      </c>
      <c r="C127" s="171">
        <v>41</v>
      </c>
      <c r="D127" s="171">
        <v>100</v>
      </c>
      <c r="E127" s="171">
        <v>0</v>
      </c>
      <c r="F127" s="171">
        <v>1</v>
      </c>
    </row>
    <row r="128" spans="1:6" x14ac:dyDescent="0.25">
      <c r="A128" s="171" t="s">
        <v>77</v>
      </c>
      <c r="B128" s="3">
        <v>111</v>
      </c>
      <c r="C128" s="171">
        <v>40</v>
      </c>
      <c r="D128" s="171">
        <v>87.5</v>
      </c>
      <c r="E128" s="171">
        <v>5</v>
      </c>
      <c r="F128" s="171">
        <v>0</v>
      </c>
    </row>
    <row r="129" spans="1:6" x14ac:dyDescent="0.25">
      <c r="A129" s="171" t="s">
        <v>77</v>
      </c>
      <c r="B129" s="3">
        <v>111</v>
      </c>
      <c r="C129" s="171">
        <v>44</v>
      </c>
      <c r="D129" s="171">
        <v>88.64</v>
      </c>
      <c r="E129" s="171">
        <v>4.9984000000000002</v>
      </c>
      <c r="F129" s="171">
        <v>0</v>
      </c>
    </row>
    <row r="130" spans="1:6" x14ac:dyDescent="0.25">
      <c r="A130" s="171" t="s">
        <v>77</v>
      </c>
      <c r="B130" s="3">
        <v>111</v>
      </c>
      <c r="C130" s="171">
        <v>29</v>
      </c>
      <c r="D130" s="171">
        <v>93.1</v>
      </c>
      <c r="E130" s="171">
        <v>2.0010000000000017</v>
      </c>
      <c r="F130" s="171">
        <v>0</v>
      </c>
    </row>
    <row r="131" spans="1:6" x14ac:dyDescent="0.25">
      <c r="A131" s="171" t="s">
        <v>77</v>
      </c>
      <c r="B131" s="3">
        <v>111</v>
      </c>
      <c r="C131" s="171">
        <v>25</v>
      </c>
      <c r="D131" s="171">
        <v>96</v>
      </c>
      <c r="E131" s="171">
        <v>1</v>
      </c>
      <c r="F131" s="171">
        <v>1</v>
      </c>
    </row>
    <row r="132" spans="1:6" x14ac:dyDescent="0.25">
      <c r="A132" s="171" t="s">
        <v>77</v>
      </c>
      <c r="B132" s="3">
        <v>111</v>
      </c>
      <c r="C132" s="171">
        <v>33</v>
      </c>
      <c r="D132" s="171">
        <v>96.97</v>
      </c>
      <c r="E132" s="171">
        <v>0.99990000000000034</v>
      </c>
      <c r="F132" s="171">
        <v>1</v>
      </c>
    </row>
    <row r="133" spans="1:6" x14ac:dyDescent="0.25">
      <c r="A133" s="171" t="s">
        <v>77</v>
      </c>
      <c r="B133" s="3">
        <v>111</v>
      </c>
      <c r="C133" s="171">
        <v>26</v>
      </c>
      <c r="D133" s="171">
        <v>96.15</v>
      </c>
      <c r="E133" s="171">
        <v>1.0009999999999986</v>
      </c>
      <c r="F133" s="171">
        <v>1</v>
      </c>
    </row>
    <row r="134" spans="1:6" x14ac:dyDescent="0.25">
      <c r="A134" s="171" t="s">
        <v>77</v>
      </c>
      <c r="B134" s="3">
        <v>111</v>
      </c>
      <c r="C134" s="171">
        <v>22</v>
      </c>
      <c r="D134" s="171">
        <v>95.45</v>
      </c>
      <c r="E134" s="171">
        <v>1.0009999999999994</v>
      </c>
      <c r="F134" s="171">
        <v>1</v>
      </c>
    </row>
    <row r="135" spans="1:6" x14ac:dyDescent="0.25">
      <c r="A135" s="171" t="s">
        <v>77</v>
      </c>
      <c r="B135" s="3">
        <v>111</v>
      </c>
      <c r="C135" s="171">
        <v>33</v>
      </c>
      <c r="D135" s="171">
        <v>87.88</v>
      </c>
      <c r="E135" s="171">
        <v>3.9996000000000014</v>
      </c>
      <c r="F135" s="171">
        <v>0</v>
      </c>
    </row>
    <row r="136" spans="1:6" x14ac:dyDescent="0.25">
      <c r="A136" s="171" t="s">
        <v>77</v>
      </c>
      <c r="B136" s="3">
        <v>111</v>
      </c>
      <c r="C136" s="171">
        <v>13</v>
      </c>
      <c r="D136" s="171">
        <v>7.6899999999999977</v>
      </c>
      <c r="E136" s="171">
        <v>12.000299999999999</v>
      </c>
      <c r="F136" s="171">
        <v>0</v>
      </c>
    </row>
    <row r="137" spans="1:6" x14ac:dyDescent="0.25">
      <c r="A137" s="171" t="s">
        <v>77</v>
      </c>
      <c r="B137" s="3">
        <v>111</v>
      </c>
      <c r="C137" s="171">
        <v>22</v>
      </c>
      <c r="D137" s="171">
        <v>100</v>
      </c>
      <c r="E137" s="171">
        <v>0</v>
      </c>
      <c r="F137" s="171">
        <v>1</v>
      </c>
    </row>
    <row r="138" spans="1:6" x14ac:dyDescent="0.25">
      <c r="A138" s="171" t="s">
        <v>77</v>
      </c>
      <c r="B138" s="3">
        <v>111</v>
      </c>
      <c r="C138" s="171">
        <v>31</v>
      </c>
      <c r="D138" s="171">
        <v>90.32</v>
      </c>
      <c r="E138" s="171">
        <v>3.0008000000000021</v>
      </c>
      <c r="F138" s="171">
        <v>0</v>
      </c>
    </row>
    <row r="139" spans="1:6" x14ac:dyDescent="0.25">
      <c r="A139" s="171" t="s">
        <v>77</v>
      </c>
      <c r="B139" s="3">
        <v>111</v>
      </c>
      <c r="C139" s="171">
        <v>22</v>
      </c>
      <c r="D139" s="171">
        <v>36.36</v>
      </c>
      <c r="E139" s="171">
        <v>14.0008</v>
      </c>
      <c r="F139" s="171">
        <v>0</v>
      </c>
    </row>
    <row r="140" spans="1:6" x14ac:dyDescent="0.25">
      <c r="A140" s="171" t="s">
        <v>77</v>
      </c>
      <c r="B140" s="3">
        <v>111</v>
      </c>
      <c r="C140" s="171">
        <v>12</v>
      </c>
      <c r="D140" s="171">
        <v>100</v>
      </c>
      <c r="E140" s="171">
        <v>0</v>
      </c>
      <c r="F140" s="171">
        <v>1</v>
      </c>
    </row>
    <row r="141" spans="1:6" x14ac:dyDescent="0.25">
      <c r="A141" s="171" t="s">
        <v>77</v>
      </c>
      <c r="B141" s="3">
        <v>111</v>
      </c>
      <c r="C141" s="171">
        <v>17</v>
      </c>
      <c r="D141" s="171">
        <v>100</v>
      </c>
      <c r="E141" s="171">
        <v>0</v>
      </c>
      <c r="F141" s="171">
        <v>1</v>
      </c>
    </row>
    <row r="142" spans="1:6" x14ac:dyDescent="0.25">
      <c r="A142" s="171" t="s">
        <v>77</v>
      </c>
      <c r="B142" s="3" t="s">
        <v>494</v>
      </c>
      <c r="C142" s="171">
        <v>1871</v>
      </c>
      <c r="D142" s="171">
        <v>97.1</v>
      </c>
      <c r="E142" s="171">
        <v>54.259000000000107</v>
      </c>
      <c r="F142" s="171">
        <v>1</v>
      </c>
    </row>
    <row r="143" spans="1:6" x14ac:dyDescent="0.25">
      <c r="A143" s="171" t="s">
        <v>77</v>
      </c>
      <c r="B143" s="3" t="s">
        <v>494</v>
      </c>
      <c r="C143" s="171">
        <v>14</v>
      </c>
      <c r="D143" s="171">
        <v>78.599999999999994</v>
      </c>
      <c r="E143" s="171">
        <v>2.9960000000000009</v>
      </c>
      <c r="F143" s="171">
        <v>0</v>
      </c>
    </row>
    <row r="144" spans="1:6" x14ac:dyDescent="0.25">
      <c r="A144" s="171" t="s">
        <v>77</v>
      </c>
      <c r="B144" s="3" t="s">
        <v>494</v>
      </c>
      <c r="C144" s="171">
        <v>20</v>
      </c>
      <c r="D144" s="171">
        <v>95</v>
      </c>
      <c r="E144" s="171">
        <v>1</v>
      </c>
      <c r="F144" s="171">
        <v>1</v>
      </c>
    </row>
    <row r="145" spans="1:6" x14ac:dyDescent="0.25">
      <c r="A145" s="171" t="s">
        <v>77</v>
      </c>
      <c r="B145" s="3" t="s">
        <v>494</v>
      </c>
      <c r="C145" s="171">
        <v>34</v>
      </c>
      <c r="D145" s="171">
        <v>97.1</v>
      </c>
      <c r="E145" s="171">
        <v>0.98600000000000199</v>
      </c>
      <c r="F145" s="171">
        <v>1</v>
      </c>
    </row>
    <row r="146" spans="1:6" x14ac:dyDescent="0.25">
      <c r="A146" s="171" t="s">
        <v>77</v>
      </c>
      <c r="B146" s="3" t="s">
        <v>494</v>
      </c>
      <c r="C146" s="171">
        <v>44</v>
      </c>
      <c r="D146" s="171">
        <v>100</v>
      </c>
      <c r="E146" s="171">
        <v>0</v>
      </c>
      <c r="F146" s="171">
        <v>1</v>
      </c>
    </row>
    <row r="147" spans="1:6" x14ac:dyDescent="0.25">
      <c r="A147" s="171" t="s">
        <v>77</v>
      </c>
      <c r="B147" s="3" t="s">
        <v>494</v>
      </c>
      <c r="C147" s="171">
        <v>48</v>
      </c>
      <c r="D147" s="171">
        <v>100</v>
      </c>
      <c r="E147" s="171">
        <v>0</v>
      </c>
      <c r="F147" s="171">
        <v>1</v>
      </c>
    </row>
    <row r="148" spans="1:6" x14ac:dyDescent="0.25">
      <c r="A148" s="171" t="s">
        <v>77</v>
      </c>
      <c r="B148" s="3" t="s">
        <v>494</v>
      </c>
      <c r="C148" s="171">
        <v>46</v>
      </c>
      <c r="D148" s="171">
        <v>97.8</v>
      </c>
      <c r="E148" s="171">
        <v>1.0120000000000013</v>
      </c>
      <c r="F148" s="171">
        <v>1</v>
      </c>
    </row>
    <row r="149" spans="1:6" x14ac:dyDescent="0.25">
      <c r="A149" s="171" t="s">
        <v>77</v>
      </c>
      <c r="B149" s="3" t="s">
        <v>494</v>
      </c>
      <c r="C149" s="171">
        <v>33</v>
      </c>
      <c r="D149" s="171">
        <v>90.9</v>
      </c>
      <c r="E149" s="171">
        <v>3.0029999999999983</v>
      </c>
      <c r="F149" s="171">
        <v>0</v>
      </c>
    </row>
    <row r="150" spans="1:6" x14ac:dyDescent="0.25">
      <c r="A150" s="171" t="s">
        <v>77</v>
      </c>
      <c r="B150" s="3" t="s">
        <v>494</v>
      </c>
      <c r="C150" s="171">
        <v>17</v>
      </c>
      <c r="D150" s="171">
        <v>94.1</v>
      </c>
      <c r="E150" s="171">
        <v>1.003000000000001</v>
      </c>
      <c r="F150" s="171">
        <v>1</v>
      </c>
    </row>
    <row r="151" spans="1:6" x14ac:dyDescent="0.25">
      <c r="A151" s="171" t="s">
        <v>77</v>
      </c>
      <c r="B151" s="3" t="s">
        <v>494</v>
      </c>
      <c r="C151" s="171">
        <v>19</v>
      </c>
      <c r="D151" s="171">
        <v>94.7</v>
      </c>
      <c r="E151" s="171">
        <v>1.0069999999999995</v>
      </c>
      <c r="F151" s="171">
        <v>1</v>
      </c>
    </row>
    <row r="152" spans="1:6" x14ac:dyDescent="0.25">
      <c r="A152" s="171" t="s">
        <v>77</v>
      </c>
      <c r="B152" s="3" t="s">
        <v>494</v>
      </c>
      <c r="C152" s="171">
        <v>14</v>
      </c>
      <c r="D152" s="171">
        <v>92.9</v>
      </c>
      <c r="E152" s="171">
        <v>0.99399999999999922</v>
      </c>
      <c r="F152" s="171">
        <v>1</v>
      </c>
    </row>
    <row r="153" spans="1:6" x14ac:dyDescent="0.25">
      <c r="A153" s="171" t="s">
        <v>77</v>
      </c>
      <c r="B153" s="3" t="s">
        <v>494</v>
      </c>
      <c r="C153" s="171">
        <v>12</v>
      </c>
      <c r="D153" s="171">
        <v>83.3</v>
      </c>
      <c r="E153" s="171">
        <v>2.0040000000000004</v>
      </c>
      <c r="F153" s="171">
        <v>1</v>
      </c>
    </row>
    <row r="154" spans="1:6" x14ac:dyDescent="0.25">
      <c r="A154" s="171" t="s">
        <v>77</v>
      </c>
      <c r="B154" s="3" t="s">
        <v>494</v>
      </c>
      <c r="C154" s="171">
        <v>15</v>
      </c>
      <c r="D154" s="171">
        <v>93.3</v>
      </c>
      <c r="E154" s="171">
        <v>1.0050000000000003</v>
      </c>
      <c r="F154" s="171">
        <v>1</v>
      </c>
    </row>
    <row r="155" spans="1:6" x14ac:dyDescent="0.25">
      <c r="A155" s="171" t="s">
        <v>77</v>
      </c>
      <c r="B155" s="3" t="s">
        <v>494</v>
      </c>
      <c r="C155" s="171">
        <v>7</v>
      </c>
      <c r="D155" s="171">
        <v>57.099999999999994</v>
      </c>
      <c r="E155" s="171">
        <v>3.0030000000000006</v>
      </c>
      <c r="F155" s="171">
        <v>0</v>
      </c>
    </row>
    <row r="156" spans="1:6" x14ac:dyDescent="0.25">
      <c r="A156" s="171" t="s">
        <v>77</v>
      </c>
      <c r="B156" s="3" t="s">
        <v>512</v>
      </c>
      <c r="C156" s="171">
        <v>1554</v>
      </c>
      <c r="D156" s="171">
        <v>93.76</v>
      </c>
      <c r="E156" s="171">
        <v>96.969599999999915</v>
      </c>
      <c r="F156" s="171">
        <v>0</v>
      </c>
    </row>
    <row r="157" spans="1:6" x14ac:dyDescent="0.25">
      <c r="A157" s="171" t="s">
        <v>77</v>
      </c>
      <c r="B157" s="3" t="s">
        <v>512</v>
      </c>
      <c r="C157" s="171">
        <v>54</v>
      </c>
      <c r="D157" s="171">
        <v>100</v>
      </c>
      <c r="E157" s="171">
        <v>0</v>
      </c>
      <c r="F157" s="171">
        <v>1</v>
      </c>
    </row>
    <row r="158" spans="1:6" x14ac:dyDescent="0.25">
      <c r="A158" s="171" t="s">
        <v>77</v>
      </c>
      <c r="B158" s="3" t="s">
        <v>512</v>
      </c>
      <c r="C158" s="171">
        <v>39</v>
      </c>
      <c r="D158" s="171">
        <v>97.44</v>
      </c>
      <c r="E158" s="171">
        <v>0.99840000000000084</v>
      </c>
      <c r="F158" s="171">
        <v>1</v>
      </c>
    </row>
    <row r="159" spans="1:6" x14ac:dyDescent="0.25">
      <c r="A159" s="171" t="s">
        <v>77</v>
      </c>
      <c r="B159" s="3" t="s">
        <v>512</v>
      </c>
      <c r="C159" s="171">
        <v>32</v>
      </c>
      <c r="D159" s="171">
        <v>100</v>
      </c>
      <c r="E159" s="171">
        <v>0</v>
      </c>
      <c r="F159" s="171">
        <v>1</v>
      </c>
    </row>
    <row r="160" spans="1:6" x14ac:dyDescent="0.25">
      <c r="A160" s="171" t="s">
        <v>77</v>
      </c>
      <c r="B160" s="3" t="s">
        <v>512</v>
      </c>
      <c r="C160" s="171">
        <v>24</v>
      </c>
      <c r="D160" s="171">
        <v>87.49</v>
      </c>
      <c r="E160" s="171">
        <v>3.0024000000000011</v>
      </c>
      <c r="F160" s="171">
        <v>0</v>
      </c>
    </row>
    <row r="161" spans="1:6" x14ac:dyDescent="0.25">
      <c r="A161" s="171" t="s">
        <v>77</v>
      </c>
      <c r="B161" s="3" t="s">
        <v>512</v>
      </c>
      <c r="C161" s="171">
        <v>27</v>
      </c>
      <c r="D161" s="171">
        <v>96.3</v>
      </c>
      <c r="E161" s="171">
        <v>0.99900000000000078</v>
      </c>
      <c r="F161" s="171">
        <v>1</v>
      </c>
    </row>
    <row r="162" spans="1:6" x14ac:dyDescent="0.25">
      <c r="A162" s="171" t="s">
        <v>77</v>
      </c>
      <c r="B162" s="3" t="s">
        <v>512</v>
      </c>
      <c r="C162" s="171">
        <v>18</v>
      </c>
      <c r="D162" s="171">
        <v>88.88</v>
      </c>
      <c r="E162" s="171">
        <v>2.0016000000000007</v>
      </c>
      <c r="F162" s="171">
        <v>1</v>
      </c>
    </row>
    <row r="163" spans="1:6" x14ac:dyDescent="0.25">
      <c r="A163" s="171" t="s">
        <v>77</v>
      </c>
      <c r="B163" s="3" t="s">
        <v>512</v>
      </c>
      <c r="C163" s="171">
        <v>32</v>
      </c>
      <c r="D163" s="171">
        <v>96.87</v>
      </c>
      <c r="E163" s="171">
        <v>1.0015999999999985</v>
      </c>
      <c r="F163" s="171">
        <v>1</v>
      </c>
    </row>
    <row r="164" spans="1:6" x14ac:dyDescent="0.25">
      <c r="A164" s="171" t="s">
        <v>77</v>
      </c>
      <c r="B164" s="3" t="s">
        <v>512</v>
      </c>
      <c r="C164" s="171">
        <v>27</v>
      </c>
      <c r="D164" s="171">
        <v>92.59</v>
      </c>
      <c r="E164" s="171">
        <v>2.0006999999999993</v>
      </c>
      <c r="F164" s="171">
        <v>1</v>
      </c>
    </row>
    <row r="165" spans="1:6" x14ac:dyDescent="0.25">
      <c r="A165" s="171" t="s">
        <v>77</v>
      </c>
      <c r="B165" s="3" t="s">
        <v>512</v>
      </c>
      <c r="C165" s="171">
        <v>31</v>
      </c>
      <c r="D165" s="171">
        <v>100</v>
      </c>
      <c r="E165" s="171">
        <v>0</v>
      </c>
      <c r="F165" s="171">
        <v>1</v>
      </c>
    </row>
    <row r="166" spans="1:6" x14ac:dyDescent="0.25">
      <c r="A166" s="171" t="s">
        <v>77</v>
      </c>
      <c r="B166" s="3" t="s">
        <v>512</v>
      </c>
      <c r="C166" s="171">
        <v>31</v>
      </c>
      <c r="D166" s="171">
        <v>93.55</v>
      </c>
      <c r="E166" s="171">
        <v>1.9995000000000009</v>
      </c>
      <c r="F166" s="171">
        <v>1</v>
      </c>
    </row>
    <row r="167" spans="1:6" x14ac:dyDescent="0.25">
      <c r="A167" s="171" t="s">
        <v>77</v>
      </c>
      <c r="B167" s="3" t="s">
        <v>512</v>
      </c>
      <c r="C167" s="171">
        <v>28</v>
      </c>
      <c r="D167" s="171">
        <v>75</v>
      </c>
      <c r="E167" s="171">
        <v>7</v>
      </c>
      <c r="F167" s="171">
        <v>0</v>
      </c>
    </row>
    <row r="168" spans="1:6" x14ac:dyDescent="0.25">
      <c r="A168" s="171" t="s">
        <v>77</v>
      </c>
      <c r="B168" s="3" t="s">
        <v>512</v>
      </c>
      <c r="C168" s="171">
        <v>27</v>
      </c>
      <c r="D168" s="171">
        <v>74.08</v>
      </c>
      <c r="E168" s="171">
        <v>6.9984000000000002</v>
      </c>
      <c r="F168" s="171">
        <v>0</v>
      </c>
    </row>
    <row r="169" spans="1:6" x14ac:dyDescent="0.25">
      <c r="A169" s="171" t="s">
        <v>77</v>
      </c>
      <c r="B169" s="3" t="s">
        <v>512</v>
      </c>
      <c r="C169" s="171">
        <v>20</v>
      </c>
      <c r="D169" s="171">
        <v>75</v>
      </c>
      <c r="E169" s="171">
        <v>5</v>
      </c>
      <c r="F169" s="171">
        <v>0</v>
      </c>
    </row>
    <row r="170" spans="1:6" x14ac:dyDescent="0.25">
      <c r="A170" s="171" t="s">
        <v>77</v>
      </c>
      <c r="B170" s="3" t="s">
        <v>513</v>
      </c>
      <c r="C170" s="171">
        <v>1217</v>
      </c>
      <c r="D170" s="171">
        <v>93.67</v>
      </c>
      <c r="E170" s="171">
        <v>77.036099999999976</v>
      </c>
      <c r="F170" s="171">
        <v>0</v>
      </c>
    </row>
    <row r="171" spans="1:6" x14ac:dyDescent="0.25">
      <c r="A171" s="171" t="s">
        <v>77</v>
      </c>
      <c r="B171" s="3" t="s">
        <v>513</v>
      </c>
      <c r="C171" s="171">
        <v>48</v>
      </c>
      <c r="D171" s="171">
        <v>93.75</v>
      </c>
      <c r="E171" s="171">
        <v>3</v>
      </c>
      <c r="F171" s="171">
        <v>0</v>
      </c>
    </row>
    <row r="172" spans="1:6" x14ac:dyDescent="0.25">
      <c r="A172" s="171" t="s">
        <v>77</v>
      </c>
      <c r="B172" s="3" t="s">
        <v>513</v>
      </c>
      <c r="C172" s="171">
        <v>44</v>
      </c>
      <c r="D172" s="171">
        <v>95.45</v>
      </c>
      <c r="E172" s="171">
        <v>2.0019999999999989</v>
      </c>
      <c r="F172" s="171">
        <v>1</v>
      </c>
    </row>
    <row r="173" spans="1:6" x14ac:dyDescent="0.25">
      <c r="A173" s="171" t="s">
        <v>77</v>
      </c>
      <c r="B173" s="3" t="s">
        <v>513</v>
      </c>
      <c r="C173" s="171">
        <v>48</v>
      </c>
      <c r="D173" s="171">
        <v>100</v>
      </c>
      <c r="E173" s="171">
        <v>0</v>
      </c>
      <c r="F173" s="171">
        <v>1</v>
      </c>
    </row>
    <row r="174" spans="1:6" x14ac:dyDescent="0.25">
      <c r="A174" s="171" t="s">
        <v>77</v>
      </c>
      <c r="B174" s="3" t="s">
        <v>513</v>
      </c>
      <c r="C174" s="171">
        <v>45</v>
      </c>
      <c r="D174" s="171">
        <v>97.78</v>
      </c>
      <c r="E174" s="171">
        <v>0.99899999999999944</v>
      </c>
      <c r="F174" s="171">
        <v>1</v>
      </c>
    </row>
    <row r="175" spans="1:6" x14ac:dyDescent="0.25">
      <c r="A175" s="171" t="s">
        <v>77</v>
      </c>
      <c r="B175" s="3" t="s">
        <v>513</v>
      </c>
      <c r="C175" s="171">
        <v>32</v>
      </c>
      <c r="D175" s="171">
        <v>100</v>
      </c>
      <c r="E175" s="171">
        <v>0</v>
      </c>
      <c r="F175" s="171">
        <v>1</v>
      </c>
    </row>
    <row r="176" spans="1:6" x14ac:dyDescent="0.25">
      <c r="A176" s="171" t="s">
        <v>77</v>
      </c>
      <c r="B176" s="3" t="s">
        <v>513</v>
      </c>
      <c r="C176" s="171">
        <v>49</v>
      </c>
      <c r="D176" s="171">
        <v>73.47</v>
      </c>
      <c r="E176" s="171">
        <v>12.999700000000001</v>
      </c>
      <c r="F176" s="171">
        <v>0</v>
      </c>
    </row>
    <row r="177" spans="1:6" x14ac:dyDescent="0.25">
      <c r="A177" s="171" t="s">
        <v>77</v>
      </c>
      <c r="B177" s="3" t="s">
        <v>513</v>
      </c>
      <c r="C177" s="171">
        <v>54</v>
      </c>
      <c r="D177" s="171">
        <v>94.45</v>
      </c>
      <c r="E177" s="171">
        <v>2.9969999999999981</v>
      </c>
      <c r="F177" s="171">
        <v>0</v>
      </c>
    </row>
    <row r="178" spans="1:6" x14ac:dyDescent="0.25">
      <c r="A178" s="171" t="s">
        <v>77</v>
      </c>
      <c r="B178" s="3" t="s">
        <v>513</v>
      </c>
      <c r="C178" s="171">
        <v>66</v>
      </c>
      <c r="D178" s="171">
        <v>89.39</v>
      </c>
      <c r="E178" s="171">
        <v>7.0026000000000002</v>
      </c>
      <c r="F178" s="171">
        <v>0</v>
      </c>
    </row>
    <row r="179" spans="1:6" x14ac:dyDescent="0.25">
      <c r="A179" s="171" t="s">
        <v>77</v>
      </c>
      <c r="B179" s="3" t="s">
        <v>513</v>
      </c>
      <c r="C179" s="171">
        <v>19</v>
      </c>
      <c r="D179" s="171">
        <v>78.95</v>
      </c>
      <c r="E179" s="171">
        <v>3.9994999999999994</v>
      </c>
      <c r="F179" s="171">
        <v>0</v>
      </c>
    </row>
    <row r="180" spans="1:6" x14ac:dyDescent="0.25">
      <c r="A180" s="171" t="s">
        <v>77</v>
      </c>
      <c r="B180" s="3" t="s">
        <v>513</v>
      </c>
      <c r="C180" s="171">
        <v>33</v>
      </c>
      <c r="D180" s="171">
        <v>96.97</v>
      </c>
      <c r="E180" s="171">
        <v>0.99990000000000034</v>
      </c>
      <c r="F180" s="171">
        <v>1</v>
      </c>
    </row>
    <row r="181" spans="1:6" x14ac:dyDescent="0.25">
      <c r="A181" s="171" t="s">
        <v>77</v>
      </c>
      <c r="B181" s="3" t="s">
        <v>513</v>
      </c>
      <c r="C181" s="171">
        <v>9</v>
      </c>
      <c r="D181" s="171">
        <v>11.120000000000005</v>
      </c>
      <c r="E181" s="171">
        <v>7.9991999999999992</v>
      </c>
      <c r="F181" s="171">
        <v>0</v>
      </c>
    </row>
    <row r="182" spans="1:6" x14ac:dyDescent="0.25">
      <c r="A182" s="171" t="s">
        <v>77</v>
      </c>
      <c r="B182" s="3" t="s">
        <v>513</v>
      </c>
      <c r="C182" s="171">
        <v>15</v>
      </c>
      <c r="D182" s="171">
        <v>66.67</v>
      </c>
      <c r="E182" s="171">
        <v>4.9995000000000003</v>
      </c>
      <c r="F182" s="171">
        <v>0</v>
      </c>
    </row>
    <row r="183" spans="1:6" x14ac:dyDescent="0.25">
      <c r="A183" s="171" t="s">
        <v>77</v>
      </c>
      <c r="B183" s="3" t="s">
        <v>513</v>
      </c>
      <c r="C183" s="171">
        <v>18</v>
      </c>
      <c r="D183" s="171">
        <v>61.11</v>
      </c>
      <c r="E183" s="171">
        <v>7.0001999999999995</v>
      </c>
      <c r="F183" s="171">
        <v>0</v>
      </c>
    </row>
    <row r="184" spans="1:6" x14ac:dyDescent="0.25">
      <c r="A184" s="171" t="s">
        <v>77</v>
      </c>
      <c r="B184" s="3" t="s">
        <v>489</v>
      </c>
      <c r="C184" s="171">
        <v>368</v>
      </c>
      <c r="D184" s="171">
        <v>91.5</v>
      </c>
      <c r="E184" s="171">
        <v>31.28</v>
      </c>
      <c r="F184" s="171">
        <v>0</v>
      </c>
    </row>
    <row r="185" spans="1:6" x14ac:dyDescent="0.25">
      <c r="A185" s="171" t="s">
        <v>77</v>
      </c>
      <c r="B185" s="3" t="s">
        <v>489</v>
      </c>
      <c r="C185" s="171">
        <v>24</v>
      </c>
      <c r="D185" s="171">
        <v>100</v>
      </c>
      <c r="E185" s="171">
        <v>0</v>
      </c>
      <c r="F185" s="171">
        <v>1</v>
      </c>
    </row>
    <row r="186" spans="1:6" x14ac:dyDescent="0.25">
      <c r="A186" s="171" t="s">
        <v>77</v>
      </c>
      <c r="B186" s="3" t="s">
        <v>489</v>
      </c>
      <c r="C186" s="171">
        <v>28</v>
      </c>
      <c r="D186" s="171">
        <v>82.1</v>
      </c>
      <c r="E186" s="171">
        <v>5.0120000000000013</v>
      </c>
      <c r="F186" s="171">
        <v>0</v>
      </c>
    </row>
    <row r="187" spans="1:6" x14ac:dyDescent="0.25">
      <c r="A187" s="171" t="s">
        <v>77</v>
      </c>
      <c r="B187" s="3" t="s">
        <v>489</v>
      </c>
      <c r="C187" s="171">
        <v>58</v>
      </c>
      <c r="D187" s="171">
        <v>98.3</v>
      </c>
      <c r="E187" s="171">
        <v>0.98600000000000165</v>
      </c>
      <c r="F187" s="171">
        <v>1</v>
      </c>
    </row>
    <row r="188" spans="1:6" x14ac:dyDescent="0.25">
      <c r="A188" s="171" t="s">
        <v>77</v>
      </c>
      <c r="B188" s="3" t="s">
        <v>489</v>
      </c>
      <c r="C188" s="171">
        <v>32</v>
      </c>
      <c r="D188" s="171">
        <v>90.6</v>
      </c>
      <c r="E188" s="171">
        <v>3.0080000000000018</v>
      </c>
      <c r="F188" s="171">
        <v>0</v>
      </c>
    </row>
    <row r="189" spans="1:6" x14ac:dyDescent="0.25">
      <c r="A189" s="171" t="s">
        <v>77</v>
      </c>
      <c r="B189" s="3" t="s">
        <v>489</v>
      </c>
      <c r="C189" s="171">
        <v>28</v>
      </c>
      <c r="D189" s="171">
        <v>100</v>
      </c>
      <c r="E189" s="171">
        <v>0</v>
      </c>
      <c r="F189" s="171">
        <v>1</v>
      </c>
    </row>
    <row r="190" spans="1:6" x14ac:dyDescent="0.25">
      <c r="A190" s="171" t="s">
        <v>77</v>
      </c>
      <c r="B190" s="3" t="s">
        <v>489</v>
      </c>
      <c r="C190" s="171">
        <v>32</v>
      </c>
      <c r="D190" s="171">
        <v>100</v>
      </c>
      <c r="E190" s="171">
        <v>0</v>
      </c>
      <c r="F190" s="171">
        <v>1</v>
      </c>
    </row>
    <row r="191" spans="1:6" x14ac:dyDescent="0.25">
      <c r="A191" s="171" t="s">
        <v>77</v>
      </c>
      <c r="B191" s="3" t="s">
        <v>489</v>
      </c>
      <c r="C191" s="171">
        <v>31</v>
      </c>
      <c r="D191" s="171">
        <v>90.3</v>
      </c>
      <c r="E191" s="171">
        <v>3.007000000000001</v>
      </c>
      <c r="F191" s="171">
        <v>0</v>
      </c>
    </row>
    <row r="192" spans="1:6" x14ac:dyDescent="0.25">
      <c r="A192" s="171" t="s">
        <v>77</v>
      </c>
      <c r="B192" s="3" t="s">
        <v>489</v>
      </c>
      <c r="C192" s="171">
        <v>38</v>
      </c>
      <c r="D192" s="171">
        <v>92.1</v>
      </c>
      <c r="E192" s="171">
        <v>3.002000000000002</v>
      </c>
      <c r="F192" s="171">
        <v>0</v>
      </c>
    </row>
    <row r="193" spans="1:6" x14ac:dyDescent="0.25">
      <c r="A193" s="171" t="s">
        <v>77</v>
      </c>
      <c r="B193" s="3" t="s">
        <v>489</v>
      </c>
      <c r="C193" s="171">
        <v>32</v>
      </c>
      <c r="D193" s="171">
        <v>56.2</v>
      </c>
      <c r="E193" s="171">
        <v>14.015999999999998</v>
      </c>
      <c r="F193" s="171">
        <v>0</v>
      </c>
    </row>
    <row r="194" spans="1:6" x14ac:dyDescent="0.25">
      <c r="A194" s="171" t="s">
        <v>77</v>
      </c>
      <c r="B194" s="3" t="s">
        <v>489</v>
      </c>
      <c r="C194" s="171">
        <v>34</v>
      </c>
      <c r="D194" s="171">
        <v>97.1</v>
      </c>
      <c r="E194" s="171">
        <v>0.98600000000000199</v>
      </c>
      <c r="F194" s="171">
        <v>1</v>
      </c>
    </row>
    <row r="195" spans="1:6" x14ac:dyDescent="0.25">
      <c r="A195" s="171" t="s">
        <v>77</v>
      </c>
      <c r="B195" s="3" t="s">
        <v>489</v>
      </c>
      <c r="C195" s="171">
        <v>31</v>
      </c>
      <c r="D195" s="171">
        <v>96.8</v>
      </c>
      <c r="E195" s="171">
        <v>0.99200000000000088</v>
      </c>
      <c r="F195" s="171">
        <v>1</v>
      </c>
    </row>
    <row r="196" spans="1:6" x14ac:dyDescent="0.25">
      <c r="A196" s="171" t="s">
        <v>77</v>
      </c>
      <c r="B196" s="3" t="s">
        <v>495</v>
      </c>
      <c r="C196" s="171">
        <v>1744</v>
      </c>
      <c r="D196" s="171">
        <v>96.4</v>
      </c>
      <c r="E196" s="171">
        <v>62.783999999999907</v>
      </c>
      <c r="F196" s="171">
        <v>1</v>
      </c>
    </row>
    <row r="197" spans="1:6" x14ac:dyDescent="0.25">
      <c r="A197" s="171" t="s">
        <v>77</v>
      </c>
      <c r="B197" s="3" t="s">
        <v>495</v>
      </c>
      <c r="C197" s="171">
        <v>45</v>
      </c>
      <c r="D197" s="171">
        <v>97.8</v>
      </c>
      <c r="E197" s="171">
        <v>0.99000000000000132</v>
      </c>
      <c r="F197" s="171">
        <v>1</v>
      </c>
    </row>
    <row r="198" spans="1:6" x14ac:dyDescent="0.25">
      <c r="A198" s="171" t="s">
        <v>77</v>
      </c>
      <c r="B198" s="3" t="s">
        <v>495</v>
      </c>
      <c r="C198" s="171">
        <v>55</v>
      </c>
      <c r="D198" s="171">
        <v>98.2</v>
      </c>
      <c r="E198" s="171">
        <v>0.98999999999999844</v>
      </c>
      <c r="F198" s="171">
        <v>1</v>
      </c>
    </row>
    <row r="199" spans="1:6" x14ac:dyDescent="0.25">
      <c r="A199" s="171" t="s">
        <v>77</v>
      </c>
      <c r="B199" s="3" t="s">
        <v>495</v>
      </c>
      <c r="C199" s="171">
        <v>80</v>
      </c>
      <c r="D199" s="171">
        <v>100</v>
      </c>
      <c r="E199" s="171">
        <v>0</v>
      </c>
      <c r="F199" s="171">
        <v>1</v>
      </c>
    </row>
    <row r="200" spans="1:6" x14ac:dyDescent="0.25">
      <c r="A200" s="171" t="s">
        <v>77</v>
      </c>
      <c r="B200" s="3" t="s">
        <v>495</v>
      </c>
      <c r="C200" s="171">
        <v>33</v>
      </c>
      <c r="D200" s="171">
        <v>97</v>
      </c>
      <c r="E200" s="171">
        <v>0.99</v>
      </c>
      <c r="F200" s="171">
        <v>1</v>
      </c>
    </row>
    <row r="201" spans="1:6" x14ac:dyDescent="0.25">
      <c r="A201" s="171" t="s">
        <v>77</v>
      </c>
      <c r="B201" s="3" t="s">
        <v>495</v>
      </c>
      <c r="C201" s="171">
        <v>49</v>
      </c>
      <c r="D201" s="171">
        <v>98</v>
      </c>
      <c r="E201" s="171">
        <v>0.98</v>
      </c>
      <c r="F201" s="171">
        <v>1</v>
      </c>
    </row>
    <row r="202" spans="1:6" x14ac:dyDescent="0.25">
      <c r="A202" s="171" t="s">
        <v>77</v>
      </c>
      <c r="B202" s="3" t="s">
        <v>495</v>
      </c>
      <c r="C202" s="171">
        <v>27</v>
      </c>
      <c r="D202" s="171">
        <v>100</v>
      </c>
      <c r="E202" s="171">
        <v>0</v>
      </c>
      <c r="F202" s="171">
        <v>1</v>
      </c>
    </row>
    <row r="203" spans="1:6" x14ac:dyDescent="0.25">
      <c r="A203" s="171" t="s">
        <v>77</v>
      </c>
      <c r="B203" s="3" t="s">
        <v>495</v>
      </c>
      <c r="C203" s="171">
        <v>40</v>
      </c>
      <c r="D203" s="171">
        <v>95</v>
      </c>
      <c r="E203" s="171">
        <v>2</v>
      </c>
      <c r="F203" s="171">
        <v>0</v>
      </c>
    </row>
    <row r="204" spans="1:6" x14ac:dyDescent="0.25">
      <c r="A204" s="171" t="s">
        <v>77</v>
      </c>
      <c r="B204" s="3" t="s">
        <v>495</v>
      </c>
      <c r="C204" s="171">
        <v>40</v>
      </c>
      <c r="D204" s="171">
        <v>70</v>
      </c>
      <c r="E204" s="171">
        <v>12</v>
      </c>
      <c r="F204" s="171">
        <v>0</v>
      </c>
    </row>
    <row r="205" spans="1:6" x14ac:dyDescent="0.25">
      <c r="A205" s="171" t="s">
        <v>77</v>
      </c>
      <c r="B205" s="3" t="s">
        <v>495</v>
      </c>
      <c r="C205" s="171">
        <v>28</v>
      </c>
      <c r="D205" s="171">
        <v>92.8</v>
      </c>
      <c r="E205" s="171">
        <v>2.0160000000000009</v>
      </c>
      <c r="F205" s="171">
        <v>1</v>
      </c>
    </row>
    <row r="206" spans="1:6" x14ac:dyDescent="0.25">
      <c r="A206" s="171" t="s">
        <v>77</v>
      </c>
      <c r="B206" s="3" t="s">
        <v>495</v>
      </c>
      <c r="C206" s="171">
        <v>39</v>
      </c>
      <c r="D206" s="171">
        <v>94.8</v>
      </c>
      <c r="E206" s="171">
        <v>2.0280000000000014</v>
      </c>
      <c r="F206" s="171">
        <v>1</v>
      </c>
    </row>
    <row r="207" spans="1:6" x14ac:dyDescent="0.25">
      <c r="A207" s="171" t="s">
        <v>77</v>
      </c>
      <c r="B207" s="3" t="s">
        <v>495</v>
      </c>
      <c r="C207" s="171">
        <v>35</v>
      </c>
      <c r="D207" s="171">
        <v>80</v>
      </c>
      <c r="E207" s="171">
        <v>7</v>
      </c>
      <c r="F207" s="171">
        <v>0</v>
      </c>
    </row>
    <row r="208" spans="1:6" x14ac:dyDescent="0.25">
      <c r="A208" s="171" t="s">
        <v>77</v>
      </c>
      <c r="B208" s="3" t="s">
        <v>495</v>
      </c>
      <c r="C208" s="171">
        <v>37</v>
      </c>
      <c r="D208" s="171">
        <v>86.5</v>
      </c>
      <c r="E208" s="171">
        <v>4.9950000000000001</v>
      </c>
      <c r="F208" s="171">
        <v>0</v>
      </c>
    </row>
    <row r="209" spans="1:6" x14ac:dyDescent="0.25">
      <c r="A209" s="171" t="s">
        <v>77</v>
      </c>
      <c r="B209" s="3" t="s">
        <v>495</v>
      </c>
      <c r="C209" s="171">
        <v>35</v>
      </c>
      <c r="D209" s="171">
        <v>88.6</v>
      </c>
      <c r="E209" s="171">
        <v>3.9900000000000024</v>
      </c>
      <c r="F209" s="171">
        <v>0</v>
      </c>
    </row>
    <row r="210" spans="1:6" x14ac:dyDescent="0.25">
      <c r="A210" s="171" t="s">
        <v>77</v>
      </c>
      <c r="B210" s="3" t="s">
        <v>495</v>
      </c>
      <c r="C210" s="171">
        <v>25</v>
      </c>
      <c r="D210" s="171">
        <v>84</v>
      </c>
      <c r="E210" s="171">
        <v>4</v>
      </c>
      <c r="F210" s="171">
        <v>0</v>
      </c>
    </row>
    <row r="211" spans="1:6" x14ac:dyDescent="0.25">
      <c r="A211" s="171" t="s">
        <v>77</v>
      </c>
      <c r="B211" s="3" t="s">
        <v>477</v>
      </c>
      <c r="C211" s="171">
        <v>2482</v>
      </c>
      <c r="D211" s="171">
        <v>93.6</v>
      </c>
      <c r="E211" s="171">
        <v>158.84800000000013</v>
      </c>
      <c r="F211" s="171">
        <v>0</v>
      </c>
    </row>
    <row r="212" spans="1:6" x14ac:dyDescent="0.25">
      <c r="A212" s="171" t="s">
        <v>77</v>
      </c>
      <c r="B212" s="3" t="s">
        <v>477</v>
      </c>
      <c r="C212" s="171">
        <v>26</v>
      </c>
      <c r="D212" s="171">
        <v>100</v>
      </c>
      <c r="E212" s="171">
        <v>0</v>
      </c>
      <c r="F212" s="171">
        <v>1</v>
      </c>
    </row>
    <row r="213" spans="1:6" x14ac:dyDescent="0.25">
      <c r="A213" s="171" t="s">
        <v>77</v>
      </c>
      <c r="B213" s="3" t="s">
        <v>477</v>
      </c>
      <c r="C213" s="171">
        <v>45</v>
      </c>
      <c r="D213" s="171">
        <v>95.6</v>
      </c>
      <c r="E213" s="171">
        <v>1.9800000000000026</v>
      </c>
      <c r="F213" s="171">
        <v>1</v>
      </c>
    </row>
    <row r="214" spans="1:6" x14ac:dyDescent="0.25">
      <c r="A214" s="171" t="s">
        <v>77</v>
      </c>
      <c r="B214" s="3" t="s">
        <v>477</v>
      </c>
      <c r="C214" s="171">
        <v>35</v>
      </c>
      <c r="D214" s="171">
        <v>100</v>
      </c>
      <c r="E214" s="171">
        <v>0</v>
      </c>
      <c r="F214" s="171">
        <v>1</v>
      </c>
    </row>
    <row r="215" spans="1:6" x14ac:dyDescent="0.25">
      <c r="A215" s="171" t="s">
        <v>77</v>
      </c>
      <c r="B215" s="3" t="s">
        <v>477</v>
      </c>
      <c r="C215" s="171">
        <v>32</v>
      </c>
      <c r="D215" s="171">
        <v>100</v>
      </c>
      <c r="E215" s="171">
        <v>0</v>
      </c>
      <c r="F215" s="171">
        <v>1</v>
      </c>
    </row>
    <row r="216" spans="1:6" x14ac:dyDescent="0.25">
      <c r="A216" s="171" t="s">
        <v>77</v>
      </c>
      <c r="B216" s="3" t="s">
        <v>477</v>
      </c>
      <c r="C216" s="171">
        <v>37</v>
      </c>
      <c r="D216" s="171">
        <v>97.3</v>
      </c>
      <c r="E216" s="171">
        <v>0.999000000000001</v>
      </c>
      <c r="F216" s="171">
        <v>1</v>
      </c>
    </row>
    <row r="217" spans="1:6" x14ac:dyDescent="0.25">
      <c r="A217" s="171" t="s">
        <v>77</v>
      </c>
      <c r="B217" s="3" t="s">
        <v>477</v>
      </c>
      <c r="C217" s="171">
        <v>30</v>
      </c>
      <c r="D217" s="171">
        <v>100</v>
      </c>
      <c r="E217" s="171">
        <v>0</v>
      </c>
      <c r="F217" s="171">
        <v>1</v>
      </c>
    </row>
    <row r="218" spans="1:6" x14ac:dyDescent="0.25">
      <c r="A218" s="171" t="s">
        <v>77</v>
      </c>
      <c r="B218" s="3" t="s">
        <v>477</v>
      </c>
      <c r="C218" s="171">
        <v>22</v>
      </c>
      <c r="D218" s="171">
        <v>81.900000000000006</v>
      </c>
      <c r="E218" s="171">
        <v>3.9819999999999989</v>
      </c>
      <c r="F218" s="171">
        <v>0</v>
      </c>
    </row>
    <row r="219" spans="1:6" x14ac:dyDescent="0.25">
      <c r="A219" s="171" t="s">
        <v>77</v>
      </c>
      <c r="B219" s="3" t="s">
        <v>477</v>
      </c>
      <c r="C219" s="171">
        <v>37</v>
      </c>
      <c r="D219" s="171">
        <v>89.2</v>
      </c>
      <c r="E219" s="171">
        <v>3.9959999999999991</v>
      </c>
      <c r="F219" s="171">
        <v>0</v>
      </c>
    </row>
    <row r="220" spans="1:6" x14ac:dyDescent="0.25">
      <c r="A220" s="171" t="s">
        <v>77</v>
      </c>
      <c r="B220" s="3" t="s">
        <v>477</v>
      </c>
      <c r="C220" s="171">
        <v>41</v>
      </c>
      <c r="D220" s="171">
        <v>85.4</v>
      </c>
      <c r="E220" s="171">
        <v>5.985999999999998</v>
      </c>
      <c r="F220" s="171">
        <v>0</v>
      </c>
    </row>
    <row r="221" spans="1:6" x14ac:dyDescent="0.25">
      <c r="A221" s="171" t="s">
        <v>77</v>
      </c>
      <c r="B221" s="3" t="s">
        <v>477</v>
      </c>
      <c r="C221" s="171">
        <v>31</v>
      </c>
      <c r="D221" s="171">
        <v>93.6</v>
      </c>
      <c r="E221" s="171">
        <v>1.9840000000000018</v>
      </c>
      <c r="F221" s="171">
        <v>1</v>
      </c>
    </row>
    <row r="222" spans="1:6" x14ac:dyDescent="0.25">
      <c r="A222" s="171" t="s">
        <v>77</v>
      </c>
      <c r="B222" s="3" t="s">
        <v>477</v>
      </c>
      <c r="C222" s="171">
        <v>39</v>
      </c>
      <c r="D222" s="171">
        <v>94.9</v>
      </c>
      <c r="E222" s="171">
        <v>1.9889999999999979</v>
      </c>
      <c r="F222" s="171">
        <v>1</v>
      </c>
    </row>
    <row r="223" spans="1:6" x14ac:dyDescent="0.25">
      <c r="A223" s="171" t="s">
        <v>77</v>
      </c>
      <c r="B223" s="3" t="s">
        <v>477</v>
      </c>
      <c r="C223" s="171">
        <v>22</v>
      </c>
      <c r="D223" s="171">
        <v>72.8</v>
      </c>
      <c r="E223" s="171">
        <v>5.9840000000000009</v>
      </c>
      <c r="F223" s="171">
        <v>1</v>
      </c>
    </row>
    <row r="224" spans="1:6" x14ac:dyDescent="0.25">
      <c r="A224" s="171" t="s">
        <v>77</v>
      </c>
      <c r="B224" s="3" t="s">
        <v>505</v>
      </c>
      <c r="C224" s="171">
        <v>2027</v>
      </c>
      <c r="D224" s="171">
        <v>97.2</v>
      </c>
      <c r="E224" s="171">
        <v>56.755999999999943</v>
      </c>
      <c r="F224" s="171">
        <v>1</v>
      </c>
    </row>
    <row r="225" spans="1:6" x14ac:dyDescent="0.25">
      <c r="A225" s="171" t="s">
        <v>77</v>
      </c>
      <c r="B225" s="3" t="s">
        <v>509</v>
      </c>
      <c r="C225" s="171">
        <v>1987</v>
      </c>
      <c r="D225" s="171">
        <v>97.4</v>
      </c>
      <c r="E225" s="171">
        <v>51.661999999999892</v>
      </c>
      <c r="F225" s="171">
        <v>1</v>
      </c>
    </row>
    <row r="226" spans="1:6" x14ac:dyDescent="0.25">
      <c r="A226" s="171" t="s">
        <v>77</v>
      </c>
      <c r="B226" s="3" t="s">
        <v>503</v>
      </c>
      <c r="C226" s="171">
        <v>1371</v>
      </c>
      <c r="D226" s="171">
        <v>97.5</v>
      </c>
      <c r="E226" s="171">
        <v>34.274999999999999</v>
      </c>
      <c r="F226" s="171">
        <v>1</v>
      </c>
    </row>
    <row r="227" spans="1:6" x14ac:dyDescent="0.25">
      <c r="A227" s="171" t="s">
        <v>77</v>
      </c>
      <c r="B227" s="3" t="s">
        <v>496</v>
      </c>
      <c r="C227" s="171">
        <v>2848</v>
      </c>
      <c r="D227" s="171">
        <v>97.7</v>
      </c>
      <c r="E227" s="171">
        <v>65.50399999999992</v>
      </c>
      <c r="F227" s="171">
        <v>1</v>
      </c>
    </row>
    <row r="228" spans="1:6" x14ac:dyDescent="0.25">
      <c r="A228" s="171" t="s">
        <v>77</v>
      </c>
      <c r="B228" s="3" t="s">
        <v>514</v>
      </c>
      <c r="C228" s="171">
        <v>635</v>
      </c>
      <c r="D228" s="171">
        <v>96.9</v>
      </c>
      <c r="E228" s="171">
        <v>19.684999999999963</v>
      </c>
      <c r="F228" s="171">
        <v>1</v>
      </c>
    </row>
    <row r="229" spans="1:6" x14ac:dyDescent="0.25">
      <c r="A229" s="171" t="s">
        <v>77</v>
      </c>
      <c r="B229" s="3" t="s">
        <v>504</v>
      </c>
      <c r="C229" s="171">
        <v>792</v>
      </c>
      <c r="D229" s="171">
        <v>96.4</v>
      </c>
      <c r="E229" s="171">
        <v>28.511999999999954</v>
      </c>
      <c r="F229" s="171">
        <v>0</v>
      </c>
    </row>
    <row r="230" spans="1:6" x14ac:dyDescent="0.25">
      <c r="A230" s="171" t="s">
        <v>77</v>
      </c>
      <c r="B230" s="3" t="s">
        <v>498</v>
      </c>
      <c r="C230" s="171">
        <v>481</v>
      </c>
      <c r="D230" s="171">
        <v>97.5</v>
      </c>
      <c r="E230" s="171">
        <v>12.025</v>
      </c>
      <c r="F230" s="171">
        <v>1</v>
      </c>
    </row>
    <row r="231" spans="1:6" x14ac:dyDescent="0.25">
      <c r="A231" s="171" t="s">
        <v>77</v>
      </c>
      <c r="B231" s="3" t="s">
        <v>502</v>
      </c>
      <c r="C231" s="171">
        <v>764</v>
      </c>
      <c r="D231" s="171">
        <v>98.1</v>
      </c>
      <c r="E231" s="171">
        <v>14.516000000000044</v>
      </c>
      <c r="F231" s="171">
        <v>0</v>
      </c>
    </row>
    <row r="232" spans="1:6" x14ac:dyDescent="0.25">
      <c r="A232" s="171" t="s">
        <v>77</v>
      </c>
      <c r="B232" s="3" t="s">
        <v>496</v>
      </c>
      <c r="C232" s="171">
        <v>5199</v>
      </c>
      <c r="D232" s="171">
        <v>94.3</v>
      </c>
      <c r="E232" s="171">
        <v>296.34300000000013</v>
      </c>
      <c r="F232" s="171">
        <v>0</v>
      </c>
    </row>
    <row r="233" spans="1:6" x14ac:dyDescent="0.25">
      <c r="A233" s="171" t="s">
        <v>77</v>
      </c>
      <c r="B233" s="3" t="s">
        <v>504</v>
      </c>
      <c r="C233" s="171">
        <v>240</v>
      </c>
      <c r="D233" s="171">
        <v>95.8</v>
      </c>
      <c r="E233" s="171">
        <v>10.080000000000007</v>
      </c>
      <c r="F233" s="171">
        <v>1</v>
      </c>
    </row>
    <row r="234" spans="1:6" x14ac:dyDescent="0.25">
      <c r="A234" s="171" t="s">
        <v>77</v>
      </c>
      <c r="B234" s="3" t="s">
        <v>503</v>
      </c>
      <c r="C234" s="171">
        <v>1489</v>
      </c>
      <c r="D234" s="171">
        <v>97</v>
      </c>
      <c r="E234" s="171">
        <v>44.67</v>
      </c>
      <c r="F234" s="171">
        <v>0</v>
      </c>
    </row>
    <row r="235" spans="1:6" x14ac:dyDescent="0.25">
      <c r="A235" s="171" t="s">
        <v>77</v>
      </c>
      <c r="B235" s="3" t="s">
        <v>509</v>
      </c>
      <c r="C235" s="171">
        <v>3706</v>
      </c>
      <c r="D235" s="171">
        <v>97.3</v>
      </c>
      <c r="E235" s="171">
        <v>100.0620000000001</v>
      </c>
      <c r="F235" s="171">
        <v>0</v>
      </c>
    </row>
    <row r="236" spans="1:6" x14ac:dyDescent="0.25">
      <c r="A236" s="171" t="s">
        <v>77</v>
      </c>
      <c r="B236" s="3" t="s">
        <v>514</v>
      </c>
      <c r="C236" s="171">
        <v>4271</v>
      </c>
      <c r="D236" s="171">
        <v>96.7</v>
      </c>
      <c r="E236" s="171">
        <v>140.94299999999987</v>
      </c>
      <c r="F236" s="171">
        <v>0</v>
      </c>
    </row>
    <row r="237" spans="1:6" x14ac:dyDescent="0.25">
      <c r="A237" s="171" t="s">
        <v>77</v>
      </c>
      <c r="B237" s="3" t="s">
        <v>496</v>
      </c>
      <c r="C237" s="171">
        <v>119</v>
      </c>
      <c r="D237" s="171">
        <v>100</v>
      </c>
      <c r="E237" s="171">
        <v>0</v>
      </c>
      <c r="F237" s="171">
        <v>1</v>
      </c>
    </row>
    <row r="238" spans="1:6" x14ac:dyDescent="0.25">
      <c r="A238" s="171" t="s">
        <v>77</v>
      </c>
      <c r="B238" s="3" t="s">
        <v>496</v>
      </c>
      <c r="C238" s="171">
        <v>109</v>
      </c>
      <c r="D238" s="171">
        <v>94.5</v>
      </c>
      <c r="E238" s="171">
        <v>5.9950000000000001</v>
      </c>
      <c r="F238" s="171">
        <v>0</v>
      </c>
    </row>
    <row r="239" spans="1:6" x14ac:dyDescent="0.25">
      <c r="A239" s="171" t="s">
        <v>77</v>
      </c>
      <c r="B239" s="3" t="s">
        <v>496</v>
      </c>
      <c r="C239" s="171">
        <v>96</v>
      </c>
      <c r="D239" s="171">
        <v>96.9</v>
      </c>
      <c r="E239" s="171">
        <v>2.9759999999999946</v>
      </c>
      <c r="F239" s="171">
        <v>0</v>
      </c>
    </row>
    <row r="240" spans="1:6" x14ac:dyDescent="0.25">
      <c r="A240" s="171" t="s">
        <v>77</v>
      </c>
      <c r="B240" s="3" t="s">
        <v>496</v>
      </c>
      <c r="C240" s="171">
        <v>153</v>
      </c>
      <c r="D240" s="171">
        <v>99.3</v>
      </c>
      <c r="E240" s="171">
        <v>1.0710000000000044</v>
      </c>
      <c r="F240" s="171">
        <v>1</v>
      </c>
    </row>
    <row r="241" spans="1:6" x14ac:dyDescent="0.25">
      <c r="A241" s="171" t="s">
        <v>77</v>
      </c>
      <c r="B241" s="3" t="s">
        <v>496</v>
      </c>
      <c r="C241" s="171">
        <v>101</v>
      </c>
      <c r="D241" s="171">
        <v>96</v>
      </c>
      <c r="E241" s="171">
        <v>4.04</v>
      </c>
      <c r="F241" s="171">
        <v>0</v>
      </c>
    </row>
    <row r="242" spans="1:6" x14ac:dyDescent="0.25">
      <c r="A242" s="171" t="s">
        <v>77</v>
      </c>
      <c r="B242" s="3" t="s">
        <v>496</v>
      </c>
      <c r="C242" s="171">
        <v>119</v>
      </c>
      <c r="D242" s="171">
        <v>95.8</v>
      </c>
      <c r="E242" s="171">
        <v>4.9980000000000038</v>
      </c>
      <c r="F242" s="171">
        <v>0</v>
      </c>
    </row>
    <row r="243" spans="1:6" x14ac:dyDescent="0.25">
      <c r="A243" s="171" t="s">
        <v>77</v>
      </c>
      <c r="B243" s="3" t="s">
        <v>496</v>
      </c>
      <c r="C243" s="171">
        <v>178</v>
      </c>
      <c r="D243" s="171">
        <v>94.4</v>
      </c>
      <c r="E243" s="171">
        <v>9.9679999999999911</v>
      </c>
      <c r="F243" s="171">
        <v>0</v>
      </c>
    </row>
    <row r="244" spans="1:6" x14ac:dyDescent="0.25">
      <c r="A244" s="171" t="s">
        <v>77</v>
      </c>
      <c r="B244" s="3" t="s">
        <v>496</v>
      </c>
      <c r="C244" s="171">
        <v>117</v>
      </c>
      <c r="D244" s="171">
        <v>100</v>
      </c>
      <c r="E244" s="171">
        <v>0</v>
      </c>
      <c r="F244" s="171">
        <v>1</v>
      </c>
    </row>
    <row r="245" spans="1:6" x14ac:dyDescent="0.25">
      <c r="A245" s="171" t="s">
        <v>77</v>
      </c>
      <c r="B245" s="3" t="s">
        <v>496</v>
      </c>
      <c r="C245" s="171">
        <v>139</v>
      </c>
      <c r="D245" s="171">
        <v>86.3</v>
      </c>
      <c r="E245" s="171">
        <v>19.043000000000003</v>
      </c>
      <c r="F245" s="171">
        <v>0</v>
      </c>
    </row>
    <row r="246" spans="1:6" x14ac:dyDescent="0.25">
      <c r="A246" s="171" t="s">
        <v>77</v>
      </c>
      <c r="B246" s="3" t="s">
        <v>496</v>
      </c>
      <c r="C246" s="171">
        <v>179</v>
      </c>
      <c r="D246" s="171">
        <v>98.3</v>
      </c>
      <c r="E246" s="171">
        <v>3.043000000000005</v>
      </c>
      <c r="F246" s="171">
        <v>0</v>
      </c>
    </row>
    <row r="247" spans="1:6" x14ac:dyDescent="0.25">
      <c r="A247" s="171" t="s">
        <v>77</v>
      </c>
      <c r="B247" s="3" t="s">
        <v>496</v>
      </c>
      <c r="C247" s="171">
        <v>132</v>
      </c>
      <c r="D247" s="171">
        <v>93.9</v>
      </c>
      <c r="E247" s="171">
        <v>8.0519999999999925</v>
      </c>
      <c r="F247" s="171">
        <v>0</v>
      </c>
    </row>
    <row r="248" spans="1:6" x14ac:dyDescent="0.25">
      <c r="A248" s="171" t="s">
        <v>77</v>
      </c>
      <c r="B248" s="3" t="s">
        <v>496</v>
      </c>
      <c r="C248" s="171">
        <v>161</v>
      </c>
      <c r="D248" s="171">
        <v>98.1</v>
      </c>
      <c r="E248" s="171">
        <v>3.059000000000009</v>
      </c>
      <c r="F248" s="171">
        <v>0</v>
      </c>
    </row>
    <row r="249" spans="1:6" x14ac:dyDescent="0.25">
      <c r="A249" s="171" t="s">
        <v>77</v>
      </c>
      <c r="B249" s="3" t="s">
        <v>496</v>
      </c>
      <c r="C249" s="171">
        <v>138</v>
      </c>
      <c r="D249" s="171">
        <v>93.5</v>
      </c>
      <c r="E249" s="171">
        <v>8.9700000000000006</v>
      </c>
      <c r="F249" s="171">
        <v>0</v>
      </c>
    </row>
    <row r="250" spans="1:6" x14ac:dyDescent="0.25">
      <c r="A250" s="171" t="s">
        <v>77</v>
      </c>
      <c r="B250" s="3" t="s">
        <v>496</v>
      </c>
      <c r="C250" s="171">
        <v>132</v>
      </c>
      <c r="D250" s="171">
        <v>95.4</v>
      </c>
      <c r="E250" s="171">
        <v>6.0719999999999921</v>
      </c>
      <c r="F250" s="171">
        <v>0</v>
      </c>
    </row>
    <row r="251" spans="1:6" x14ac:dyDescent="0.25">
      <c r="A251" s="171" t="s">
        <v>77</v>
      </c>
      <c r="B251" s="3" t="s">
        <v>496</v>
      </c>
      <c r="C251" s="171">
        <v>66</v>
      </c>
      <c r="D251" s="171">
        <v>98.5</v>
      </c>
      <c r="E251" s="171">
        <v>0.99</v>
      </c>
      <c r="F251" s="171">
        <v>1</v>
      </c>
    </row>
    <row r="252" spans="1:6" x14ac:dyDescent="0.25">
      <c r="A252" s="171" t="s">
        <v>77</v>
      </c>
      <c r="B252" s="3" t="s">
        <v>496</v>
      </c>
      <c r="C252" s="171">
        <v>48</v>
      </c>
      <c r="D252" s="171">
        <v>93.7</v>
      </c>
      <c r="E252" s="171">
        <v>3.0239999999999987</v>
      </c>
      <c r="F252" s="171">
        <v>0</v>
      </c>
    </row>
    <row r="253" spans="1:6" x14ac:dyDescent="0.25">
      <c r="A253" s="171" t="s">
        <v>77</v>
      </c>
      <c r="B253" s="3" t="s">
        <v>496</v>
      </c>
      <c r="C253" s="171">
        <v>137</v>
      </c>
      <c r="D253" s="171">
        <v>99.3</v>
      </c>
      <c r="E253" s="171">
        <v>0.95900000000000385</v>
      </c>
      <c r="F253" s="171">
        <v>1</v>
      </c>
    </row>
    <row r="254" spans="1:6" x14ac:dyDescent="0.25">
      <c r="A254" s="171" t="s">
        <v>77</v>
      </c>
      <c r="B254" s="3" t="s">
        <v>496</v>
      </c>
      <c r="C254" s="171">
        <v>135</v>
      </c>
      <c r="D254" s="171">
        <v>98.5</v>
      </c>
      <c r="E254" s="171">
        <v>2.0249999999999999</v>
      </c>
      <c r="F254" s="171">
        <v>1</v>
      </c>
    </row>
    <row r="255" spans="1:6" x14ac:dyDescent="0.25">
      <c r="A255" s="171" t="s">
        <v>77</v>
      </c>
      <c r="B255" s="3" t="s">
        <v>496</v>
      </c>
      <c r="C255" s="171">
        <v>135</v>
      </c>
      <c r="D255" s="171">
        <v>98.5</v>
      </c>
      <c r="E255" s="171">
        <v>2.0249999999999999</v>
      </c>
      <c r="F255" s="171">
        <v>1</v>
      </c>
    </row>
    <row r="256" spans="1:6" x14ac:dyDescent="0.25">
      <c r="A256" s="171" t="s">
        <v>77</v>
      </c>
      <c r="B256" s="3" t="s">
        <v>496</v>
      </c>
      <c r="C256" s="171">
        <v>127</v>
      </c>
      <c r="D256" s="171">
        <v>99.2</v>
      </c>
      <c r="E256" s="171">
        <v>1.0159999999999965</v>
      </c>
      <c r="F256" s="171">
        <v>1</v>
      </c>
    </row>
    <row r="257" spans="1:6" x14ac:dyDescent="0.25">
      <c r="A257" s="171" t="s">
        <v>77</v>
      </c>
      <c r="B257" s="3" t="s">
        <v>496</v>
      </c>
      <c r="C257" s="171">
        <v>99</v>
      </c>
      <c r="D257" s="171">
        <v>79.8</v>
      </c>
      <c r="E257" s="171">
        <v>19.998000000000001</v>
      </c>
      <c r="F257" s="171">
        <v>0</v>
      </c>
    </row>
    <row r="258" spans="1:6" x14ac:dyDescent="0.25">
      <c r="A258" s="171" t="s">
        <v>77</v>
      </c>
      <c r="B258" s="3" t="s">
        <v>496</v>
      </c>
      <c r="C258" s="171">
        <v>81</v>
      </c>
      <c r="D258" s="171">
        <v>95.1</v>
      </c>
      <c r="E258" s="171">
        <v>3.9690000000000043</v>
      </c>
      <c r="F258" s="171">
        <v>0</v>
      </c>
    </row>
    <row r="259" spans="1:6" x14ac:dyDescent="0.25">
      <c r="A259" s="171" t="s">
        <v>77</v>
      </c>
      <c r="B259" s="3" t="s">
        <v>496</v>
      </c>
      <c r="C259" s="171">
        <v>52</v>
      </c>
      <c r="D259" s="171">
        <v>73.099999999999994</v>
      </c>
      <c r="E259" s="171">
        <v>13.988000000000001</v>
      </c>
      <c r="F259" s="171">
        <v>0</v>
      </c>
    </row>
    <row r="260" spans="1:6" x14ac:dyDescent="0.25">
      <c r="A260" s="171" t="s">
        <v>77</v>
      </c>
      <c r="B260" s="3" t="s">
        <v>496</v>
      </c>
      <c r="C260" s="171">
        <v>60</v>
      </c>
      <c r="D260" s="171">
        <v>88.3</v>
      </c>
      <c r="E260" s="171">
        <v>7.0200000000000022</v>
      </c>
      <c r="F260" s="171">
        <v>0</v>
      </c>
    </row>
    <row r="261" spans="1:6" x14ac:dyDescent="0.25">
      <c r="A261" s="171" t="s">
        <v>77</v>
      </c>
      <c r="B261" s="3" t="s">
        <v>496</v>
      </c>
      <c r="C261" s="171">
        <v>53</v>
      </c>
      <c r="D261" s="171">
        <v>94.3</v>
      </c>
      <c r="E261" s="171">
        <v>3.0210000000000012</v>
      </c>
      <c r="F261" s="171">
        <v>0</v>
      </c>
    </row>
    <row r="262" spans="1:6" x14ac:dyDescent="0.25">
      <c r="A262" s="171" t="s">
        <v>77</v>
      </c>
      <c r="B262" s="3" t="s">
        <v>496</v>
      </c>
      <c r="C262" s="171">
        <v>22</v>
      </c>
      <c r="D262" s="171">
        <v>90.9</v>
      </c>
      <c r="E262" s="171">
        <v>2.0019999999999989</v>
      </c>
      <c r="F262" s="171">
        <v>1</v>
      </c>
    </row>
    <row r="263" spans="1:6" x14ac:dyDescent="0.25">
      <c r="A263" s="171" t="s">
        <v>77</v>
      </c>
      <c r="B263" s="3" t="s">
        <v>496</v>
      </c>
      <c r="C263" s="171">
        <v>42</v>
      </c>
      <c r="D263" s="171">
        <v>97.6</v>
      </c>
      <c r="E263" s="171">
        <v>1.0080000000000024</v>
      </c>
      <c r="F263" s="171">
        <v>1</v>
      </c>
    </row>
    <row r="264" spans="1:6" x14ac:dyDescent="0.25">
      <c r="A264" s="171" t="s">
        <v>77</v>
      </c>
      <c r="B264" s="3" t="s">
        <v>496</v>
      </c>
      <c r="C264" s="171">
        <v>14</v>
      </c>
      <c r="D264" s="171">
        <v>92.9</v>
      </c>
      <c r="E264" s="171">
        <v>0.99399999999999922</v>
      </c>
      <c r="F264" s="171">
        <v>1</v>
      </c>
    </row>
    <row r="265" spans="1:6" x14ac:dyDescent="0.25">
      <c r="A265" s="171" t="s">
        <v>77</v>
      </c>
      <c r="B265" s="3" t="s">
        <v>496</v>
      </c>
      <c r="C265" s="171">
        <v>55</v>
      </c>
      <c r="D265" s="171">
        <v>78.2</v>
      </c>
      <c r="E265" s="171">
        <v>11.989999999999998</v>
      </c>
      <c r="F265" s="171">
        <v>0</v>
      </c>
    </row>
    <row r="266" spans="1:6" x14ac:dyDescent="0.25">
      <c r="A266" s="171" t="s">
        <v>77</v>
      </c>
      <c r="B266" s="3" t="s">
        <v>496</v>
      </c>
      <c r="C266" s="171">
        <v>80</v>
      </c>
      <c r="D266" s="171">
        <v>98.7</v>
      </c>
      <c r="E266" s="171">
        <v>1.0399999999999978</v>
      </c>
      <c r="F266" s="171">
        <v>1</v>
      </c>
    </row>
    <row r="267" spans="1:6" x14ac:dyDescent="0.25">
      <c r="A267" s="171" t="s">
        <v>77</v>
      </c>
      <c r="B267" s="3" t="s">
        <v>496</v>
      </c>
      <c r="C267" s="171">
        <v>8</v>
      </c>
      <c r="D267" s="171">
        <v>0</v>
      </c>
      <c r="E267" s="171">
        <v>8</v>
      </c>
      <c r="F267" s="171">
        <v>0</v>
      </c>
    </row>
    <row r="268" spans="1:6" x14ac:dyDescent="0.25">
      <c r="A268" s="171" t="s">
        <v>77</v>
      </c>
      <c r="B268" s="3" t="s">
        <v>496</v>
      </c>
      <c r="C268" s="171">
        <v>30</v>
      </c>
      <c r="D268" s="171">
        <v>100</v>
      </c>
      <c r="E268" s="171">
        <v>0</v>
      </c>
      <c r="F268" s="171">
        <v>1</v>
      </c>
    </row>
    <row r="269" spans="1:6" x14ac:dyDescent="0.25">
      <c r="A269" s="171" t="s">
        <v>77</v>
      </c>
      <c r="B269" s="3" t="s">
        <v>496</v>
      </c>
      <c r="C269" s="171">
        <v>16</v>
      </c>
      <c r="D269" s="171">
        <v>87.5</v>
      </c>
      <c r="E269" s="171">
        <v>2</v>
      </c>
      <c r="F269" s="171">
        <v>1</v>
      </c>
    </row>
    <row r="270" spans="1:6" x14ac:dyDescent="0.25">
      <c r="A270" s="171" t="s">
        <v>77</v>
      </c>
      <c r="B270" s="3" t="s">
        <v>496</v>
      </c>
      <c r="C270" s="171">
        <v>57</v>
      </c>
      <c r="D270" s="171">
        <v>100</v>
      </c>
      <c r="E270" s="171">
        <v>0</v>
      </c>
      <c r="F270" s="171">
        <v>1</v>
      </c>
    </row>
    <row r="271" spans="1:6" x14ac:dyDescent="0.25">
      <c r="A271" s="171" t="s">
        <v>77</v>
      </c>
      <c r="B271" s="3" t="s">
        <v>496</v>
      </c>
      <c r="C271" s="171">
        <v>29</v>
      </c>
      <c r="D271" s="171">
        <v>100</v>
      </c>
      <c r="E271" s="171">
        <v>0</v>
      </c>
      <c r="F271" s="171">
        <v>1</v>
      </c>
    </row>
    <row r="272" spans="1:6" x14ac:dyDescent="0.25">
      <c r="A272" s="171" t="s">
        <v>77</v>
      </c>
      <c r="B272" s="3" t="s">
        <v>496</v>
      </c>
      <c r="C272" s="171">
        <v>30</v>
      </c>
      <c r="D272" s="171">
        <v>100</v>
      </c>
      <c r="E272" s="171">
        <v>0</v>
      </c>
      <c r="F272" s="171">
        <v>1</v>
      </c>
    </row>
    <row r="273" spans="1:6" x14ac:dyDescent="0.25">
      <c r="A273" s="171" t="s">
        <v>77</v>
      </c>
      <c r="B273" s="3" t="s">
        <v>496</v>
      </c>
      <c r="C273" s="171">
        <v>57</v>
      </c>
      <c r="D273" s="171">
        <v>100</v>
      </c>
      <c r="E273" s="171">
        <v>0</v>
      </c>
      <c r="F273" s="171">
        <v>1</v>
      </c>
    </row>
    <row r="274" spans="1:6" x14ac:dyDescent="0.25">
      <c r="A274" s="171" t="s">
        <v>77</v>
      </c>
      <c r="B274" s="3" t="s">
        <v>514</v>
      </c>
      <c r="C274" s="171">
        <v>122</v>
      </c>
      <c r="D274" s="171">
        <v>98.4</v>
      </c>
      <c r="E274" s="171">
        <v>1.9519999999999931</v>
      </c>
      <c r="F274" s="171">
        <v>1</v>
      </c>
    </row>
    <row r="275" spans="1:6" x14ac:dyDescent="0.25">
      <c r="A275" s="171" t="s">
        <v>77</v>
      </c>
      <c r="B275" s="3" t="s">
        <v>514</v>
      </c>
      <c r="C275" s="171">
        <v>124</v>
      </c>
      <c r="D275" s="171">
        <v>98.4</v>
      </c>
      <c r="E275" s="171">
        <v>1.9839999999999929</v>
      </c>
      <c r="F275" s="171">
        <v>1</v>
      </c>
    </row>
    <row r="276" spans="1:6" x14ac:dyDescent="0.25">
      <c r="A276" s="171" t="s">
        <v>77</v>
      </c>
      <c r="B276" s="3" t="s">
        <v>514</v>
      </c>
      <c r="C276" s="171">
        <v>95</v>
      </c>
      <c r="D276" s="171">
        <v>91.6</v>
      </c>
      <c r="E276" s="171">
        <v>7.9800000000000058</v>
      </c>
      <c r="F276" s="171">
        <v>0</v>
      </c>
    </row>
    <row r="277" spans="1:6" x14ac:dyDescent="0.25">
      <c r="A277" s="171" t="s">
        <v>77</v>
      </c>
      <c r="B277" s="3" t="s">
        <v>514</v>
      </c>
      <c r="C277" s="171">
        <v>107</v>
      </c>
      <c r="D277" s="171">
        <v>100</v>
      </c>
      <c r="E277" s="171">
        <v>0</v>
      </c>
      <c r="F277" s="171">
        <v>1</v>
      </c>
    </row>
    <row r="278" spans="1:6" x14ac:dyDescent="0.25">
      <c r="A278" s="171" t="s">
        <v>77</v>
      </c>
      <c r="B278" s="3" t="s">
        <v>514</v>
      </c>
      <c r="C278" s="171">
        <v>93</v>
      </c>
      <c r="D278" s="171">
        <v>95.7</v>
      </c>
      <c r="E278" s="171">
        <v>3.9989999999999974</v>
      </c>
      <c r="F278" s="171">
        <v>0</v>
      </c>
    </row>
    <row r="279" spans="1:6" x14ac:dyDescent="0.25">
      <c r="A279" s="171" t="s">
        <v>77</v>
      </c>
      <c r="B279" s="3" t="s">
        <v>514</v>
      </c>
      <c r="C279" s="171">
        <v>108</v>
      </c>
      <c r="D279" s="171">
        <v>95.4</v>
      </c>
      <c r="E279" s="171">
        <v>4.9679999999999938</v>
      </c>
      <c r="F279" s="171">
        <v>0</v>
      </c>
    </row>
    <row r="280" spans="1:6" x14ac:dyDescent="0.25">
      <c r="A280" s="171" t="s">
        <v>77</v>
      </c>
      <c r="B280" s="3" t="s">
        <v>514</v>
      </c>
      <c r="C280" s="171">
        <v>88</v>
      </c>
      <c r="D280" s="171">
        <v>98.9</v>
      </c>
      <c r="E280" s="171">
        <v>0.96799999999999498</v>
      </c>
      <c r="F280" s="171">
        <v>1</v>
      </c>
    </row>
    <row r="281" spans="1:6" x14ac:dyDescent="0.25">
      <c r="A281" s="171" t="s">
        <v>77</v>
      </c>
      <c r="B281" s="3" t="s">
        <v>514</v>
      </c>
      <c r="C281" s="171">
        <v>123</v>
      </c>
      <c r="D281" s="171">
        <v>95.9</v>
      </c>
      <c r="E281" s="171">
        <v>5.042999999999993</v>
      </c>
      <c r="F281" s="171">
        <v>0</v>
      </c>
    </row>
    <row r="282" spans="1:6" x14ac:dyDescent="0.25">
      <c r="A282" s="171" t="s">
        <v>77</v>
      </c>
      <c r="B282" s="3" t="s">
        <v>514</v>
      </c>
      <c r="C282" s="171">
        <v>98</v>
      </c>
      <c r="D282" s="171">
        <v>99</v>
      </c>
      <c r="E282" s="171">
        <v>0.98</v>
      </c>
      <c r="F282" s="171">
        <v>1</v>
      </c>
    </row>
    <row r="283" spans="1:6" x14ac:dyDescent="0.25">
      <c r="A283" s="171" t="s">
        <v>77</v>
      </c>
      <c r="B283" s="3" t="s">
        <v>514</v>
      </c>
      <c r="C283" s="171">
        <v>40</v>
      </c>
      <c r="D283" s="171">
        <v>100</v>
      </c>
      <c r="E283" s="171">
        <v>0</v>
      </c>
      <c r="F283" s="171">
        <v>1</v>
      </c>
    </row>
    <row r="284" spans="1:6" x14ac:dyDescent="0.25">
      <c r="A284" s="171" t="s">
        <v>77</v>
      </c>
      <c r="B284" s="3" t="s">
        <v>514</v>
      </c>
      <c r="C284" s="171">
        <v>86</v>
      </c>
      <c r="D284" s="171">
        <v>84.9</v>
      </c>
      <c r="E284" s="171">
        <v>12.985999999999995</v>
      </c>
      <c r="F284" s="171">
        <v>0</v>
      </c>
    </row>
    <row r="285" spans="1:6" x14ac:dyDescent="0.25">
      <c r="A285" s="171" t="s">
        <v>77</v>
      </c>
      <c r="B285" s="3" t="s">
        <v>514</v>
      </c>
      <c r="C285" s="171">
        <v>48</v>
      </c>
      <c r="D285" s="171">
        <v>97.9</v>
      </c>
      <c r="E285" s="171">
        <v>1.0079999999999973</v>
      </c>
      <c r="F285" s="171">
        <v>1</v>
      </c>
    </row>
    <row r="286" spans="1:6" x14ac:dyDescent="0.25">
      <c r="A286" s="171" t="s">
        <v>77</v>
      </c>
      <c r="B286" s="3" t="s">
        <v>514</v>
      </c>
      <c r="C286" s="171">
        <v>96</v>
      </c>
      <c r="D286" s="171">
        <v>100</v>
      </c>
      <c r="E286" s="171">
        <v>0</v>
      </c>
      <c r="F286" s="171">
        <v>1</v>
      </c>
    </row>
    <row r="287" spans="1:6" x14ac:dyDescent="0.25">
      <c r="A287" s="171" t="s">
        <v>77</v>
      </c>
      <c r="B287" s="3" t="s">
        <v>514</v>
      </c>
      <c r="C287" s="171">
        <v>34</v>
      </c>
      <c r="D287" s="171">
        <v>94.2</v>
      </c>
      <c r="E287" s="171">
        <v>1.9719999999999991</v>
      </c>
      <c r="F287" s="171">
        <v>1</v>
      </c>
    </row>
    <row r="288" spans="1:6" x14ac:dyDescent="0.25">
      <c r="A288" s="171" t="s">
        <v>77</v>
      </c>
      <c r="B288" s="3" t="s">
        <v>514</v>
      </c>
      <c r="C288" s="171">
        <v>17</v>
      </c>
      <c r="D288" s="171">
        <v>76.5</v>
      </c>
      <c r="E288" s="171">
        <v>3.9950000000000001</v>
      </c>
      <c r="F288" s="171">
        <v>0</v>
      </c>
    </row>
    <row r="289" spans="1:6" x14ac:dyDescent="0.25">
      <c r="A289" s="171" t="s">
        <v>77</v>
      </c>
      <c r="B289" s="3" t="s">
        <v>514</v>
      </c>
      <c r="C289" s="171">
        <v>21</v>
      </c>
      <c r="D289" s="171">
        <v>95.2</v>
      </c>
      <c r="E289" s="171">
        <v>1.0079999999999993</v>
      </c>
      <c r="F289" s="171">
        <v>1</v>
      </c>
    </row>
    <row r="290" spans="1:6" x14ac:dyDescent="0.25">
      <c r="A290" s="171" t="s">
        <v>77</v>
      </c>
      <c r="B290" s="3" t="s">
        <v>514</v>
      </c>
      <c r="C290" s="171">
        <v>13</v>
      </c>
      <c r="D290" s="171">
        <v>76.900000000000006</v>
      </c>
      <c r="E290" s="171">
        <v>3.0029999999999997</v>
      </c>
      <c r="F290" s="171">
        <v>0</v>
      </c>
    </row>
    <row r="291" spans="1:6" x14ac:dyDescent="0.25">
      <c r="A291" s="171" t="s">
        <v>77</v>
      </c>
      <c r="B291" s="3" t="s">
        <v>514</v>
      </c>
      <c r="C291" s="171">
        <v>14</v>
      </c>
      <c r="D291" s="171">
        <v>71.400000000000006</v>
      </c>
      <c r="E291" s="171">
        <v>4.0039999999999996</v>
      </c>
      <c r="F291" s="171">
        <v>0</v>
      </c>
    </row>
    <row r="292" spans="1:6" x14ac:dyDescent="0.25">
      <c r="A292" s="171" t="s">
        <v>77</v>
      </c>
      <c r="B292" s="3" t="s">
        <v>514</v>
      </c>
      <c r="C292" s="171">
        <v>32</v>
      </c>
      <c r="D292" s="171">
        <v>90.6</v>
      </c>
      <c r="E292" s="171">
        <v>3.0080000000000018</v>
      </c>
      <c r="F292" s="171">
        <v>0</v>
      </c>
    </row>
    <row r="293" spans="1:6" x14ac:dyDescent="0.25">
      <c r="A293" s="171" t="s">
        <v>77</v>
      </c>
      <c r="B293" s="3" t="s">
        <v>514</v>
      </c>
      <c r="C293" s="171">
        <v>15</v>
      </c>
      <c r="D293" s="171">
        <v>93.3</v>
      </c>
      <c r="E293" s="171">
        <v>1.0050000000000003</v>
      </c>
      <c r="F293" s="171">
        <v>1</v>
      </c>
    </row>
    <row r="294" spans="1:6" x14ac:dyDescent="0.25">
      <c r="A294" s="171" t="s">
        <v>77</v>
      </c>
      <c r="B294" s="3" t="s">
        <v>514</v>
      </c>
      <c r="C294" s="171">
        <v>10</v>
      </c>
      <c r="D294" s="171">
        <v>90</v>
      </c>
      <c r="E294" s="171">
        <v>1</v>
      </c>
      <c r="F294" s="171">
        <v>1</v>
      </c>
    </row>
    <row r="295" spans="1:6" x14ac:dyDescent="0.25">
      <c r="A295" s="171" t="s">
        <v>77</v>
      </c>
      <c r="B295" s="3" t="s">
        <v>514</v>
      </c>
      <c r="C295" s="171">
        <v>8</v>
      </c>
      <c r="D295" s="171">
        <v>100</v>
      </c>
      <c r="E295" s="171">
        <v>0</v>
      </c>
      <c r="F295" s="171">
        <v>1</v>
      </c>
    </row>
    <row r="296" spans="1:6" x14ac:dyDescent="0.25">
      <c r="A296" s="171" t="s">
        <v>77</v>
      </c>
      <c r="B296" s="3" t="s">
        <v>514</v>
      </c>
      <c r="C296" s="171">
        <v>17</v>
      </c>
      <c r="D296" s="171">
        <v>70.599999999999994</v>
      </c>
      <c r="E296" s="171">
        <v>4.9980000000000011</v>
      </c>
      <c r="F296" s="171">
        <v>0</v>
      </c>
    </row>
    <row r="297" spans="1:6" x14ac:dyDescent="0.25">
      <c r="A297" s="171" t="s">
        <v>77</v>
      </c>
      <c r="B297" s="3" t="s">
        <v>514</v>
      </c>
      <c r="C297" s="171">
        <v>17</v>
      </c>
      <c r="D297" s="171">
        <v>94.1</v>
      </c>
      <c r="E297" s="171">
        <v>1.003000000000001</v>
      </c>
      <c r="F297" s="171">
        <v>1</v>
      </c>
    </row>
    <row r="298" spans="1:6" x14ac:dyDescent="0.25">
      <c r="A298" s="171" t="s">
        <v>77</v>
      </c>
      <c r="B298" s="3" t="s">
        <v>514</v>
      </c>
      <c r="C298" s="171">
        <v>26</v>
      </c>
      <c r="D298" s="171">
        <v>96.2</v>
      </c>
      <c r="E298" s="171">
        <v>0.98799999999999921</v>
      </c>
      <c r="F298" s="171">
        <v>1</v>
      </c>
    </row>
    <row r="299" spans="1:6" x14ac:dyDescent="0.25">
      <c r="A299" s="171" t="s">
        <v>77</v>
      </c>
      <c r="B299" s="3" t="s">
        <v>514</v>
      </c>
      <c r="C299" s="171">
        <v>43</v>
      </c>
      <c r="D299" s="171">
        <v>90.6</v>
      </c>
      <c r="E299" s="171">
        <v>4.0420000000000025</v>
      </c>
      <c r="F299" s="171">
        <v>0</v>
      </c>
    </row>
    <row r="300" spans="1:6" x14ac:dyDescent="0.25">
      <c r="A300" s="171" t="s">
        <v>77</v>
      </c>
      <c r="B300" s="3" t="s">
        <v>514</v>
      </c>
      <c r="C300" s="171">
        <v>52</v>
      </c>
      <c r="D300" s="171">
        <v>96.2</v>
      </c>
      <c r="E300" s="171">
        <v>1.9759999999999984</v>
      </c>
      <c r="F300" s="171">
        <v>1</v>
      </c>
    </row>
    <row r="301" spans="1:6" x14ac:dyDescent="0.25">
      <c r="A301" s="171" t="s">
        <v>77</v>
      </c>
      <c r="B301" s="3" t="s">
        <v>514</v>
      </c>
      <c r="C301" s="171">
        <v>6</v>
      </c>
      <c r="D301" s="171">
        <v>100</v>
      </c>
      <c r="E301" s="171">
        <v>0</v>
      </c>
      <c r="F301" s="171">
        <v>1</v>
      </c>
    </row>
    <row r="302" spans="1:6" x14ac:dyDescent="0.25">
      <c r="A302" s="171" t="s">
        <v>77</v>
      </c>
      <c r="B302" s="3" t="s">
        <v>514</v>
      </c>
      <c r="C302" s="171">
        <v>28</v>
      </c>
      <c r="D302" s="171">
        <v>96.4</v>
      </c>
      <c r="E302" s="171">
        <v>1.0079999999999985</v>
      </c>
      <c r="F302" s="171">
        <v>1</v>
      </c>
    </row>
    <row r="303" spans="1:6" x14ac:dyDescent="0.25">
      <c r="A303" s="171" t="s">
        <v>77</v>
      </c>
      <c r="B303" s="3" t="s">
        <v>514</v>
      </c>
      <c r="C303" s="171">
        <v>32</v>
      </c>
      <c r="D303" s="171">
        <v>59.3</v>
      </c>
      <c r="E303" s="171">
        <v>13.024000000000001</v>
      </c>
      <c r="F303" s="171">
        <v>0</v>
      </c>
    </row>
    <row r="304" spans="1:6" x14ac:dyDescent="0.25">
      <c r="A304" s="171" t="s">
        <v>77</v>
      </c>
      <c r="B304" s="3" t="s">
        <v>514</v>
      </c>
      <c r="C304" s="171">
        <v>20</v>
      </c>
      <c r="D304" s="171">
        <v>90</v>
      </c>
      <c r="E304" s="171">
        <v>2</v>
      </c>
      <c r="F304" s="171">
        <v>0</v>
      </c>
    </row>
    <row r="305" spans="1:6" x14ac:dyDescent="0.25">
      <c r="A305" s="171" t="s">
        <v>77</v>
      </c>
      <c r="B305" s="3" t="s">
        <v>514</v>
      </c>
      <c r="C305" s="171">
        <v>24</v>
      </c>
      <c r="D305" s="171">
        <v>100</v>
      </c>
      <c r="E305" s="171">
        <v>0</v>
      </c>
      <c r="F305" s="171">
        <v>1</v>
      </c>
    </row>
    <row r="306" spans="1:6" x14ac:dyDescent="0.25">
      <c r="A306" s="171" t="s">
        <v>77</v>
      </c>
      <c r="B306" s="3" t="s">
        <v>509</v>
      </c>
      <c r="C306" s="171">
        <v>136</v>
      </c>
      <c r="D306" s="171">
        <v>92.7</v>
      </c>
      <c r="E306" s="171">
        <v>9.9279999999999955</v>
      </c>
      <c r="F306" s="171">
        <v>0</v>
      </c>
    </row>
    <row r="307" spans="1:6" x14ac:dyDescent="0.25">
      <c r="A307" s="171" t="s">
        <v>77</v>
      </c>
      <c r="B307" s="3" t="s">
        <v>509</v>
      </c>
      <c r="C307" s="171">
        <v>85</v>
      </c>
      <c r="D307" s="171">
        <v>90.6</v>
      </c>
      <c r="E307" s="171">
        <v>7.9900000000000047</v>
      </c>
      <c r="F307" s="171">
        <v>0</v>
      </c>
    </row>
    <row r="308" spans="1:6" x14ac:dyDescent="0.25">
      <c r="A308" s="171" t="s">
        <v>77</v>
      </c>
      <c r="B308" s="3" t="s">
        <v>509</v>
      </c>
      <c r="C308" s="171">
        <v>92</v>
      </c>
      <c r="D308" s="171">
        <v>94.6</v>
      </c>
      <c r="E308" s="171">
        <v>4.9680000000000053</v>
      </c>
      <c r="F308" s="171">
        <v>0</v>
      </c>
    </row>
    <row r="309" spans="1:6" x14ac:dyDescent="0.25">
      <c r="A309" s="171" t="s">
        <v>77</v>
      </c>
      <c r="B309" s="3" t="s">
        <v>509</v>
      </c>
      <c r="C309" s="171">
        <v>129</v>
      </c>
      <c r="D309" s="171">
        <v>100</v>
      </c>
      <c r="E309" s="171">
        <v>0</v>
      </c>
      <c r="F309" s="171">
        <v>1</v>
      </c>
    </row>
    <row r="310" spans="1:6" x14ac:dyDescent="0.25">
      <c r="A310" s="171" t="s">
        <v>77</v>
      </c>
      <c r="B310" s="3" t="s">
        <v>509</v>
      </c>
      <c r="C310" s="171">
        <v>74</v>
      </c>
      <c r="D310" s="171">
        <v>95.9</v>
      </c>
      <c r="E310" s="171">
        <v>3.0339999999999958</v>
      </c>
      <c r="F310" s="171">
        <v>0</v>
      </c>
    </row>
    <row r="311" spans="1:6" x14ac:dyDescent="0.25">
      <c r="A311" s="171" t="s">
        <v>77</v>
      </c>
      <c r="B311" s="3" t="s">
        <v>509</v>
      </c>
      <c r="C311" s="171">
        <v>126</v>
      </c>
      <c r="D311" s="171">
        <v>85.7</v>
      </c>
      <c r="E311" s="171">
        <v>18.017999999999997</v>
      </c>
      <c r="F311" s="171">
        <v>0</v>
      </c>
    </row>
    <row r="312" spans="1:6" x14ac:dyDescent="0.25">
      <c r="A312" s="171" t="s">
        <v>77</v>
      </c>
      <c r="B312" s="3" t="s">
        <v>509</v>
      </c>
      <c r="C312" s="171">
        <v>88</v>
      </c>
      <c r="D312" s="171">
        <v>96.6</v>
      </c>
      <c r="E312" s="171">
        <v>2.9920000000000049</v>
      </c>
      <c r="F312" s="171">
        <v>0</v>
      </c>
    </row>
    <row r="313" spans="1:6" x14ac:dyDescent="0.25">
      <c r="A313" s="171" t="s">
        <v>77</v>
      </c>
      <c r="B313" s="3" t="s">
        <v>509</v>
      </c>
      <c r="C313" s="171">
        <v>105</v>
      </c>
      <c r="D313" s="171">
        <v>99</v>
      </c>
      <c r="E313" s="171">
        <v>1.05</v>
      </c>
      <c r="F313" s="171">
        <v>1</v>
      </c>
    </row>
    <row r="314" spans="1:6" x14ac:dyDescent="0.25">
      <c r="A314" s="171" t="s">
        <v>77</v>
      </c>
      <c r="B314" s="3" t="s">
        <v>509</v>
      </c>
      <c r="C314" s="171">
        <v>99</v>
      </c>
      <c r="D314" s="171">
        <v>97</v>
      </c>
      <c r="E314" s="171">
        <v>2.97</v>
      </c>
      <c r="F314" s="171">
        <v>0</v>
      </c>
    </row>
    <row r="315" spans="1:6" x14ac:dyDescent="0.25">
      <c r="A315" s="171" t="s">
        <v>77</v>
      </c>
      <c r="B315" s="3" t="s">
        <v>509</v>
      </c>
      <c r="C315" s="171">
        <v>92</v>
      </c>
      <c r="D315" s="171">
        <v>100</v>
      </c>
      <c r="E315" s="171">
        <v>0</v>
      </c>
      <c r="F315" s="171">
        <v>1</v>
      </c>
    </row>
    <row r="316" spans="1:6" x14ac:dyDescent="0.25">
      <c r="A316" s="171" t="s">
        <v>77</v>
      </c>
      <c r="B316" s="3" t="s">
        <v>509</v>
      </c>
      <c r="C316" s="171">
        <v>117</v>
      </c>
      <c r="D316" s="171">
        <v>97.4</v>
      </c>
      <c r="E316" s="171">
        <v>3.0419999999999936</v>
      </c>
      <c r="F316" s="171">
        <v>0</v>
      </c>
    </row>
    <row r="317" spans="1:6" x14ac:dyDescent="0.25">
      <c r="A317" s="171" t="s">
        <v>77</v>
      </c>
      <c r="B317" s="3" t="s">
        <v>509</v>
      </c>
      <c r="C317" s="171">
        <v>89</v>
      </c>
      <c r="D317" s="171">
        <v>100</v>
      </c>
      <c r="E317" s="171">
        <v>0</v>
      </c>
      <c r="F317" s="171">
        <v>1</v>
      </c>
    </row>
    <row r="318" spans="1:6" x14ac:dyDescent="0.25">
      <c r="A318" s="171" t="s">
        <v>77</v>
      </c>
      <c r="B318" s="3" t="s">
        <v>509</v>
      </c>
      <c r="C318" s="171">
        <v>110</v>
      </c>
      <c r="D318" s="171">
        <v>98.2</v>
      </c>
      <c r="E318" s="171">
        <v>1.9799999999999969</v>
      </c>
      <c r="F318" s="171">
        <v>1</v>
      </c>
    </row>
    <row r="319" spans="1:6" x14ac:dyDescent="0.25">
      <c r="A319" s="171" t="s">
        <v>77</v>
      </c>
      <c r="B319" s="3" t="s">
        <v>509</v>
      </c>
      <c r="C319" s="171">
        <v>64</v>
      </c>
      <c r="D319" s="171">
        <v>98.4</v>
      </c>
      <c r="E319" s="171">
        <v>1.0239999999999965</v>
      </c>
      <c r="F319" s="171">
        <v>1</v>
      </c>
    </row>
    <row r="320" spans="1:6" x14ac:dyDescent="0.25">
      <c r="A320" s="171" t="s">
        <v>77</v>
      </c>
      <c r="B320" s="3" t="s">
        <v>509</v>
      </c>
      <c r="C320" s="171">
        <v>92</v>
      </c>
      <c r="D320" s="171">
        <v>96.7</v>
      </c>
      <c r="E320" s="171">
        <v>3.0359999999999974</v>
      </c>
      <c r="F320" s="171">
        <v>0</v>
      </c>
    </row>
    <row r="321" spans="1:6" x14ac:dyDescent="0.25">
      <c r="A321" s="171" t="s">
        <v>77</v>
      </c>
      <c r="B321" s="3" t="s">
        <v>509</v>
      </c>
      <c r="C321" s="171">
        <v>94</v>
      </c>
      <c r="D321" s="171">
        <v>84</v>
      </c>
      <c r="E321" s="171">
        <v>15.04</v>
      </c>
      <c r="F321" s="171">
        <v>0</v>
      </c>
    </row>
    <row r="322" spans="1:6" x14ac:dyDescent="0.25">
      <c r="A322" s="171" t="s">
        <v>77</v>
      </c>
      <c r="B322" s="3" t="s">
        <v>509</v>
      </c>
      <c r="C322" s="171">
        <v>73</v>
      </c>
      <c r="D322" s="171">
        <v>100</v>
      </c>
      <c r="E322" s="171">
        <v>0</v>
      </c>
      <c r="F322" s="171">
        <v>1</v>
      </c>
    </row>
    <row r="323" spans="1:6" x14ac:dyDescent="0.25">
      <c r="A323" s="171" t="s">
        <v>77</v>
      </c>
      <c r="B323" s="3" t="s">
        <v>509</v>
      </c>
      <c r="C323" s="171">
        <v>96</v>
      </c>
      <c r="D323" s="171">
        <v>96.9</v>
      </c>
      <c r="E323" s="171">
        <v>2.9759999999999946</v>
      </c>
      <c r="F323" s="171">
        <v>0</v>
      </c>
    </row>
    <row r="324" spans="1:6" x14ac:dyDescent="0.25">
      <c r="A324" s="171" t="s">
        <v>77</v>
      </c>
      <c r="B324" s="3" t="s">
        <v>509</v>
      </c>
      <c r="C324" s="171">
        <v>71</v>
      </c>
      <c r="D324" s="171">
        <v>100</v>
      </c>
      <c r="E324" s="171">
        <v>0</v>
      </c>
      <c r="F324" s="171">
        <v>1</v>
      </c>
    </row>
    <row r="325" spans="1:6" x14ac:dyDescent="0.25">
      <c r="A325" s="171" t="s">
        <v>77</v>
      </c>
      <c r="B325" s="3" t="s">
        <v>509</v>
      </c>
      <c r="C325" s="171">
        <v>76</v>
      </c>
      <c r="D325" s="171">
        <v>100</v>
      </c>
      <c r="E325" s="171">
        <v>0</v>
      </c>
      <c r="F325" s="171">
        <v>1</v>
      </c>
    </row>
    <row r="326" spans="1:6" x14ac:dyDescent="0.25">
      <c r="A326" s="171" t="s">
        <v>77</v>
      </c>
      <c r="B326" s="3" t="s">
        <v>509</v>
      </c>
      <c r="C326" s="171">
        <v>65</v>
      </c>
      <c r="D326" s="171">
        <v>100</v>
      </c>
      <c r="E326" s="171">
        <v>0</v>
      </c>
      <c r="F326" s="171">
        <v>1</v>
      </c>
    </row>
    <row r="327" spans="1:6" x14ac:dyDescent="0.25">
      <c r="A327" s="171" t="s">
        <v>77</v>
      </c>
      <c r="B327" s="3" t="s">
        <v>509</v>
      </c>
      <c r="C327" s="171">
        <v>99</v>
      </c>
      <c r="D327" s="171">
        <v>100</v>
      </c>
      <c r="E327" s="171">
        <v>0</v>
      </c>
      <c r="F327" s="171">
        <v>1</v>
      </c>
    </row>
    <row r="328" spans="1:6" x14ac:dyDescent="0.25">
      <c r="A328" s="171" t="s">
        <v>77</v>
      </c>
      <c r="B328" s="3" t="s">
        <v>509</v>
      </c>
      <c r="C328" s="171">
        <v>77</v>
      </c>
      <c r="D328" s="171">
        <v>90.9</v>
      </c>
      <c r="E328" s="171">
        <v>7.0069999999999961</v>
      </c>
      <c r="F328" s="171">
        <v>0</v>
      </c>
    </row>
    <row r="329" spans="1:6" x14ac:dyDescent="0.25">
      <c r="A329" s="171" t="s">
        <v>77</v>
      </c>
      <c r="B329" s="3" t="s">
        <v>509</v>
      </c>
      <c r="C329" s="171">
        <v>109</v>
      </c>
      <c r="D329" s="171">
        <v>100</v>
      </c>
      <c r="E329" s="171">
        <v>0</v>
      </c>
      <c r="F329" s="171">
        <v>1</v>
      </c>
    </row>
    <row r="330" spans="1:6" x14ac:dyDescent="0.25">
      <c r="A330" s="171" t="s">
        <v>77</v>
      </c>
      <c r="B330" s="3" t="s">
        <v>503</v>
      </c>
      <c r="C330" s="171">
        <v>109</v>
      </c>
      <c r="D330" s="171">
        <v>100</v>
      </c>
      <c r="E330" s="171">
        <v>0</v>
      </c>
      <c r="F330" s="171">
        <v>1</v>
      </c>
    </row>
    <row r="331" spans="1:6" x14ac:dyDescent="0.25">
      <c r="A331" s="171" t="s">
        <v>77</v>
      </c>
      <c r="B331" s="3" t="s">
        <v>503</v>
      </c>
      <c r="C331" s="171">
        <v>80</v>
      </c>
      <c r="D331" s="171">
        <v>96.2</v>
      </c>
      <c r="E331" s="171">
        <v>3.0399999999999978</v>
      </c>
      <c r="F331" s="171">
        <v>0</v>
      </c>
    </row>
    <row r="332" spans="1:6" x14ac:dyDescent="0.25">
      <c r="A332" s="171" t="s">
        <v>77</v>
      </c>
      <c r="B332" s="3" t="s">
        <v>503</v>
      </c>
      <c r="C332" s="171">
        <v>101</v>
      </c>
      <c r="D332" s="171">
        <v>100</v>
      </c>
      <c r="E332" s="171">
        <v>0</v>
      </c>
      <c r="F332" s="171">
        <v>1</v>
      </c>
    </row>
    <row r="333" spans="1:6" x14ac:dyDescent="0.25">
      <c r="A333" s="171" t="s">
        <v>77</v>
      </c>
      <c r="B333" s="3" t="s">
        <v>503</v>
      </c>
      <c r="C333" s="171">
        <v>79</v>
      </c>
      <c r="D333" s="171">
        <v>100</v>
      </c>
      <c r="E333" s="171">
        <v>0</v>
      </c>
      <c r="F333" s="171">
        <v>1</v>
      </c>
    </row>
    <row r="334" spans="1:6" x14ac:dyDescent="0.25">
      <c r="A334" s="171" t="s">
        <v>77</v>
      </c>
      <c r="B334" s="3" t="s">
        <v>503</v>
      </c>
      <c r="C334" s="171">
        <v>140</v>
      </c>
      <c r="D334" s="171">
        <v>98.6</v>
      </c>
      <c r="E334" s="171">
        <v>1.960000000000008</v>
      </c>
      <c r="F334" s="171">
        <v>1</v>
      </c>
    </row>
    <row r="335" spans="1:6" x14ac:dyDescent="0.25">
      <c r="A335" s="171" t="s">
        <v>77</v>
      </c>
      <c r="B335" s="3" t="s">
        <v>503</v>
      </c>
      <c r="C335" s="171">
        <v>69</v>
      </c>
      <c r="D335" s="171">
        <v>94.2</v>
      </c>
      <c r="E335" s="171">
        <v>4.001999999999998</v>
      </c>
      <c r="F335" s="171">
        <v>0</v>
      </c>
    </row>
    <row r="336" spans="1:6" x14ac:dyDescent="0.25">
      <c r="A336" s="171" t="s">
        <v>77</v>
      </c>
      <c r="B336" s="3" t="s">
        <v>503</v>
      </c>
      <c r="C336" s="171">
        <v>129</v>
      </c>
      <c r="D336" s="171">
        <v>99.2</v>
      </c>
      <c r="E336" s="171">
        <v>1.0319999999999963</v>
      </c>
      <c r="F336" s="171">
        <v>1</v>
      </c>
    </row>
    <row r="337" spans="1:6" x14ac:dyDescent="0.25">
      <c r="A337" s="171" t="s">
        <v>77</v>
      </c>
      <c r="B337" s="3" t="s">
        <v>503</v>
      </c>
      <c r="C337" s="171">
        <v>32</v>
      </c>
      <c r="D337" s="171">
        <v>93.8</v>
      </c>
      <c r="E337" s="171">
        <v>1.9840000000000009</v>
      </c>
      <c r="F337" s="171">
        <v>1</v>
      </c>
    </row>
    <row r="338" spans="1:6" x14ac:dyDescent="0.25">
      <c r="A338" s="171" t="s">
        <v>77</v>
      </c>
      <c r="B338" s="3" t="s">
        <v>503</v>
      </c>
      <c r="C338" s="171">
        <v>17</v>
      </c>
      <c r="D338" s="171">
        <v>88.2</v>
      </c>
      <c r="E338" s="171">
        <v>2.0059999999999998</v>
      </c>
      <c r="F338" s="171">
        <v>1</v>
      </c>
    </row>
    <row r="339" spans="1:6" x14ac:dyDescent="0.25">
      <c r="A339" s="171" t="s">
        <v>77</v>
      </c>
      <c r="B339" s="3" t="s">
        <v>503</v>
      </c>
      <c r="C339" s="171">
        <v>29</v>
      </c>
      <c r="D339" s="171">
        <v>93.1</v>
      </c>
      <c r="E339" s="171">
        <v>2.0010000000000017</v>
      </c>
      <c r="F339" s="171">
        <v>1</v>
      </c>
    </row>
    <row r="340" spans="1:6" x14ac:dyDescent="0.25">
      <c r="A340" s="171" t="s">
        <v>77</v>
      </c>
      <c r="B340" s="3" t="s">
        <v>503</v>
      </c>
      <c r="C340" s="171">
        <v>23</v>
      </c>
      <c r="D340" s="171">
        <v>87</v>
      </c>
      <c r="E340" s="171">
        <v>2.99</v>
      </c>
      <c r="F340" s="171">
        <v>0</v>
      </c>
    </row>
    <row r="341" spans="1:6" x14ac:dyDescent="0.25">
      <c r="A341" s="171" t="s">
        <v>77</v>
      </c>
      <c r="B341" s="3" t="s">
        <v>503</v>
      </c>
      <c r="C341" s="171">
        <v>26</v>
      </c>
      <c r="D341" s="171">
        <v>100</v>
      </c>
      <c r="E341" s="171">
        <v>0</v>
      </c>
      <c r="F341" s="171">
        <v>1</v>
      </c>
    </row>
    <row r="342" spans="1:6" x14ac:dyDescent="0.25">
      <c r="A342" s="171" t="s">
        <v>77</v>
      </c>
      <c r="B342" s="3" t="s">
        <v>503</v>
      </c>
      <c r="C342" s="171">
        <v>14</v>
      </c>
      <c r="D342" s="171">
        <v>85.7</v>
      </c>
      <c r="E342" s="171">
        <v>2.0019999999999998</v>
      </c>
      <c r="F342" s="171">
        <v>1</v>
      </c>
    </row>
    <row r="343" spans="1:6" x14ac:dyDescent="0.25">
      <c r="A343" s="171" t="s">
        <v>77</v>
      </c>
      <c r="B343" s="3" t="s">
        <v>503</v>
      </c>
      <c r="C343" s="171">
        <v>32</v>
      </c>
      <c r="D343" s="171">
        <v>93.7</v>
      </c>
      <c r="E343" s="171">
        <v>2.0159999999999991</v>
      </c>
      <c r="F343" s="171">
        <v>1</v>
      </c>
    </row>
    <row r="344" spans="1:6" x14ac:dyDescent="0.25">
      <c r="A344" s="171" t="s">
        <v>77</v>
      </c>
      <c r="B344" s="3" t="s">
        <v>503</v>
      </c>
      <c r="C344" s="171">
        <v>25</v>
      </c>
      <c r="D344" s="171">
        <v>96</v>
      </c>
      <c r="E344" s="171">
        <v>1</v>
      </c>
      <c r="F344" s="171">
        <v>1</v>
      </c>
    </row>
    <row r="345" spans="1:6" x14ac:dyDescent="0.25">
      <c r="A345" s="171" t="s">
        <v>77</v>
      </c>
      <c r="B345" s="3" t="s">
        <v>503</v>
      </c>
      <c r="C345" s="171">
        <v>34</v>
      </c>
      <c r="D345" s="171">
        <v>97.1</v>
      </c>
      <c r="E345" s="171">
        <v>0.98600000000000199</v>
      </c>
      <c r="F345" s="171">
        <v>1</v>
      </c>
    </row>
    <row r="346" spans="1:6" x14ac:dyDescent="0.25">
      <c r="A346" s="171" t="s">
        <v>77</v>
      </c>
      <c r="B346" s="3" t="s">
        <v>503</v>
      </c>
      <c r="C346" s="171">
        <v>34</v>
      </c>
      <c r="D346" s="171">
        <v>100</v>
      </c>
      <c r="E346" s="171">
        <v>0</v>
      </c>
      <c r="F346" s="171">
        <v>1</v>
      </c>
    </row>
    <row r="347" spans="1:6" x14ac:dyDescent="0.25">
      <c r="A347" s="171" t="s">
        <v>77</v>
      </c>
      <c r="B347" s="3" t="s">
        <v>503</v>
      </c>
      <c r="C347" s="171">
        <v>37</v>
      </c>
      <c r="D347" s="171">
        <v>97.3</v>
      </c>
      <c r="E347" s="171">
        <v>0.999000000000001</v>
      </c>
      <c r="F347" s="171">
        <v>1</v>
      </c>
    </row>
    <row r="348" spans="1:6" x14ac:dyDescent="0.25">
      <c r="A348" s="171" t="s">
        <v>77</v>
      </c>
      <c r="B348" s="3" t="s">
        <v>504</v>
      </c>
      <c r="C348" s="171">
        <v>31</v>
      </c>
      <c r="D348" s="171">
        <v>100</v>
      </c>
      <c r="E348" s="171">
        <v>0</v>
      </c>
      <c r="F348" s="171">
        <v>1</v>
      </c>
    </row>
    <row r="349" spans="1:6" x14ac:dyDescent="0.25">
      <c r="A349" s="171" t="s">
        <v>77</v>
      </c>
      <c r="B349" s="3" t="s">
        <v>504</v>
      </c>
      <c r="C349" s="171">
        <v>40</v>
      </c>
      <c r="D349" s="171">
        <v>100</v>
      </c>
      <c r="E349" s="171">
        <v>0</v>
      </c>
      <c r="F349" s="171">
        <v>1</v>
      </c>
    </row>
    <row r="350" spans="1:6" x14ac:dyDescent="0.25">
      <c r="A350" s="171" t="s">
        <v>77</v>
      </c>
      <c r="B350" s="3" t="s">
        <v>504</v>
      </c>
      <c r="C350" s="171">
        <v>33</v>
      </c>
      <c r="D350" s="171">
        <v>97</v>
      </c>
      <c r="E350" s="171">
        <v>0.99</v>
      </c>
      <c r="F350" s="171">
        <v>1</v>
      </c>
    </row>
    <row r="351" spans="1:6" x14ac:dyDescent="0.25">
      <c r="A351" s="171" t="s">
        <v>77</v>
      </c>
      <c r="B351" s="3" t="s">
        <v>504</v>
      </c>
      <c r="C351" s="171">
        <v>52</v>
      </c>
      <c r="D351" s="171">
        <v>98.1</v>
      </c>
      <c r="E351" s="171">
        <v>0.98800000000000299</v>
      </c>
      <c r="F351" s="171">
        <v>1</v>
      </c>
    </row>
    <row r="352" spans="1:6" x14ac:dyDescent="0.25">
      <c r="A352" s="171" t="s">
        <v>77</v>
      </c>
      <c r="B352" s="3" t="s">
        <v>504</v>
      </c>
      <c r="C352" s="171">
        <v>29</v>
      </c>
      <c r="D352" s="171">
        <v>96.6</v>
      </c>
      <c r="E352" s="171">
        <v>0.98600000000000165</v>
      </c>
      <c r="F352" s="171">
        <v>1</v>
      </c>
    </row>
    <row r="353" spans="1:6" x14ac:dyDescent="0.25">
      <c r="A353" s="171" t="s">
        <v>77</v>
      </c>
      <c r="B353" s="3" t="s">
        <v>504</v>
      </c>
      <c r="C353" s="171">
        <v>21</v>
      </c>
      <c r="D353" s="171">
        <v>95.2</v>
      </c>
      <c r="E353" s="171">
        <v>1.0079999999999993</v>
      </c>
      <c r="F353" s="171">
        <v>1</v>
      </c>
    </row>
    <row r="354" spans="1:6" x14ac:dyDescent="0.25">
      <c r="A354" s="171" t="s">
        <v>77</v>
      </c>
      <c r="B354" s="3" t="s">
        <v>504</v>
      </c>
      <c r="C354" s="171">
        <v>34</v>
      </c>
      <c r="D354" s="171">
        <v>82.4</v>
      </c>
      <c r="E354" s="171">
        <v>5.9839999999999982</v>
      </c>
      <c r="F354" s="171">
        <v>0</v>
      </c>
    </row>
    <row r="355" spans="1:6" x14ac:dyDescent="0.25">
      <c r="A355" s="171" t="s">
        <v>77</v>
      </c>
      <c r="B355" s="3" t="s">
        <v>514</v>
      </c>
      <c r="C355" s="171">
        <v>3333</v>
      </c>
      <c r="D355" s="171">
        <v>96.8</v>
      </c>
      <c r="E355" s="171">
        <v>106.65600000000009</v>
      </c>
      <c r="F355" s="171">
        <v>0</v>
      </c>
    </row>
    <row r="356" spans="1:6" x14ac:dyDescent="0.25">
      <c r="A356" s="171" t="s">
        <v>77</v>
      </c>
      <c r="B356" s="3" t="s">
        <v>496</v>
      </c>
      <c r="C356" s="171">
        <v>3096</v>
      </c>
      <c r="D356" s="171">
        <v>95.5</v>
      </c>
      <c r="E356" s="171">
        <v>139.32</v>
      </c>
      <c r="F356" s="171">
        <v>0</v>
      </c>
    </row>
    <row r="357" spans="1:6" x14ac:dyDescent="0.25">
      <c r="A357" s="171" t="s">
        <v>77</v>
      </c>
      <c r="B357" s="3" t="s">
        <v>509</v>
      </c>
      <c r="C357" s="171">
        <v>7185</v>
      </c>
      <c r="D357" s="171">
        <v>97.3</v>
      </c>
      <c r="E357" s="171">
        <v>193.99500000000023</v>
      </c>
      <c r="F357" s="171">
        <v>0</v>
      </c>
    </row>
    <row r="358" spans="1:6" x14ac:dyDescent="0.25">
      <c r="A358" s="171" t="s">
        <v>77</v>
      </c>
      <c r="B358" s="3" t="s">
        <v>503</v>
      </c>
      <c r="C358" s="171">
        <v>7334</v>
      </c>
      <c r="D358" s="171">
        <v>96.8</v>
      </c>
      <c r="E358" s="171">
        <v>234.68800000000022</v>
      </c>
      <c r="F358" s="171">
        <v>0</v>
      </c>
    </row>
    <row r="359" spans="1:6" x14ac:dyDescent="0.25">
      <c r="A359" s="171" t="s">
        <v>77</v>
      </c>
      <c r="B359" s="3" t="s">
        <v>504</v>
      </c>
      <c r="C359" s="171">
        <v>2654</v>
      </c>
      <c r="D359" s="171">
        <v>98.1</v>
      </c>
      <c r="E359" s="171">
        <v>50.426000000000151</v>
      </c>
      <c r="F359" s="171">
        <v>0</v>
      </c>
    </row>
    <row r="360" spans="1:6" x14ac:dyDescent="0.25">
      <c r="A360" s="171" t="s">
        <v>77</v>
      </c>
      <c r="B360" s="3" t="s">
        <v>514</v>
      </c>
      <c r="C360" s="171">
        <v>127</v>
      </c>
      <c r="D360" s="171">
        <v>96.1</v>
      </c>
      <c r="E360" s="171">
        <v>4.9530000000000074</v>
      </c>
      <c r="F360" s="171">
        <v>0</v>
      </c>
    </row>
    <row r="361" spans="1:6" x14ac:dyDescent="0.25">
      <c r="A361" s="171" t="s">
        <v>77</v>
      </c>
      <c r="B361" s="3" t="s">
        <v>514</v>
      </c>
      <c r="C361" s="171">
        <v>90</v>
      </c>
      <c r="D361" s="171">
        <v>91.1</v>
      </c>
      <c r="E361" s="171">
        <v>8.0100000000000051</v>
      </c>
      <c r="F361" s="171">
        <v>0</v>
      </c>
    </row>
    <row r="362" spans="1:6" x14ac:dyDescent="0.25">
      <c r="A362" s="171" t="s">
        <v>77</v>
      </c>
      <c r="B362" s="3" t="s">
        <v>514</v>
      </c>
      <c r="C362" s="171">
        <v>161</v>
      </c>
      <c r="D362" s="171">
        <v>98.8</v>
      </c>
      <c r="E362" s="171">
        <v>1.9320000000000044</v>
      </c>
      <c r="F362" s="171">
        <v>0</v>
      </c>
    </row>
    <row r="363" spans="1:6" x14ac:dyDescent="0.25">
      <c r="A363" s="171" t="s">
        <v>77</v>
      </c>
      <c r="B363" s="3" t="s">
        <v>514</v>
      </c>
      <c r="C363" s="171">
        <v>101</v>
      </c>
      <c r="D363" s="171">
        <v>95</v>
      </c>
      <c r="E363" s="171">
        <v>5.05</v>
      </c>
      <c r="F363" s="171">
        <v>0</v>
      </c>
    </row>
    <row r="364" spans="1:6" x14ac:dyDescent="0.25">
      <c r="A364" s="171" t="s">
        <v>77</v>
      </c>
      <c r="B364" s="3" t="s">
        <v>514</v>
      </c>
      <c r="C364" s="171">
        <v>129</v>
      </c>
      <c r="D364" s="171">
        <v>97.6</v>
      </c>
      <c r="E364" s="171">
        <v>3.0960000000000072</v>
      </c>
      <c r="F364" s="171">
        <v>0</v>
      </c>
    </row>
    <row r="365" spans="1:6" x14ac:dyDescent="0.25">
      <c r="A365" s="171" t="s">
        <v>77</v>
      </c>
      <c r="B365" s="3" t="s">
        <v>514</v>
      </c>
      <c r="C365" s="171">
        <v>98</v>
      </c>
      <c r="D365" s="171">
        <v>100</v>
      </c>
      <c r="E365" s="171">
        <v>0</v>
      </c>
      <c r="F365" s="171">
        <v>1</v>
      </c>
    </row>
    <row r="366" spans="1:6" x14ac:dyDescent="0.25">
      <c r="A366" s="171" t="s">
        <v>77</v>
      </c>
      <c r="B366" s="3" t="s">
        <v>514</v>
      </c>
      <c r="C366" s="171">
        <v>88</v>
      </c>
      <c r="D366" s="171">
        <v>98.9</v>
      </c>
      <c r="E366" s="171">
        <v>0.96799999999999498</v>
      </c>
      <c r="F366" s="171">
        <v>1</v>
      </c>
    </row>
    <row r="367" spans="1:6" x14ac:dyDescent="0.25">
      <c r="A367" s="171" t="s">
        <v>77</v>
      </c>
      <c r="B367" s="3" t="s">
        <v>514</v>
      </c>
      <c r="C367" s="171">
        <v>70</v>
      </c>
      <c r="D367" s="171">
        <v>94.3</v>
      </c>
      <c r="E367" s="171">
        <v>3.9900000000000024</v>
      </c>
      <c r="F367" s="171">
        <v>0</v>
      </c>
    </row>
    <row r="368" spans="1:6" x14ac:dyDescent="0.25">
      <c r="A368" s="171" t="s">
        <v>77</v>
      </c>
      <c r="B368" s="3" t="s">
        <v>514</v>
      </c>
      <c r="C368" s="171">
        <v>142</v>
      </c>
      <c r="D368" s="171">
        <v>100</v>
      </c>
      <c r="E368" s="171">
        <v>0</v>
      </c>
      <c r="F368" s="171">
        <v>1</v>
      </c>
    </row>
    <row r="369" spans="1:6" x14ac:dyDescent="0.25">
      <c r="A369" s="171" t="s">
        <v>77</v>
      </c>
      <c r="B369" s="3" t="s">
        <v>514</v>
      </c>
      <c r="C369" s="171">
        <v>106</v>
      </c>
      <c r="D369" s="171">
        <v>100</v>
      </c>
      <c r="E369" s="171">
        <v>0</v>
      </c>
      <c r="F369" s="171">
        <v>1</v>
      </c>
    </row>
    <row r="370" spans="1:6" x14ac:dyDescent="0.25">
      <c r="A370" s="171" t="s">
        <v>77</v>
      </c>
      <c r="B370" s="3" t="s">
        <v>514</v>
      </c>
      <c r="C370" s="171">
        <v>123</v>
      </c>
      <c r="D370" s="171">
        <v>97.6</v>
      </c>
      <c r="E370" s="171">
        <v>2.9520000000000071</v>
      </c>
      <c r="F370" s="171">
        <v>0</v>
      </c>
    </row>
    <row r="371" spans="1:6" x14ac:dyDescent="0.25">
      <c r="A371" s="171" t="s">
        <v>77</v>
      </c>
      <c r="B371" s="3" t="s">
        <v>514</v>
      </c>
      <c r="C371" s="171">
        <v>79</v>
      </c>
      <c r="D371" s="171">
        <v>92.4</v>
      </c>
      <c r="E371" s="171">
        <v>6.0039999999999951</v>
      </c>
      <c r="F371" s="171">
        <v>0</v>
      </c>
    </row>
    <row r="372" spans="1:6" x14ac:dyDescent="0.25">
      <c r="A372" s="171" t="s">
        <v>77</v>
      </c>
      <c r="B372" s="3" t="s">
        <v>504</v>
      </c>
      <c r="C372" s="171">
        <v>133</v>
      </c>
      <c r="D372" s="171">
        <v>98.4</v>
      </c>
      <c r="E372" s="171">
        <v>2.1279999999999926</v>
      </c>
      <c r="F372" s="171">
        <v>1</v>
      </c>
    </row>
    <row r="373" spans="1:6" x14ac:dyDescent="0.25">
      <c r="A373" s="171" t="s">
        <v>77</v>
      </c>
      <c r="B373" s="3" t="s">
        <v>504</v>
      </c>
      <c r="C373" s="171">
        <v>123</v>
      </c>
      <c r="D373" s="171">
        <v>97.6</v>
      </c>
      <c r="E373" s="171">
        <v>2.9520000000000071</v>
      </c>
      <c r="F373" s="171">
        <v>0</v>
      </c>
    </row>
    <row r="374" spans="1:6" x14ac:dyDescent="0.25">
      <c r="A374" s="171" t="s">
        <v>77</v>
      </c>
      <c r="B374" s="3" t="s">
        <v>504</v>
      </c>
      <c r="C374" s="171">
        <v>156</v>
      </c>
      <c r="D374" s="171">
        <v>99.4</v>
      </c>
      <c r="E374" s="171">
        <v>0.93599999999999117</v>
      </c>
      <c r="F374" s="171">
        <v>1</v>
      </c>
    </row>
    <row r="375" spans="1:6" x14ac:dyDescent="0.25">
      <c r="A375" s="171" t="s">
        <v>77</v>
      </c>
      <c r="B375" s="3" t="s">
        <v>504</v>
      </c>
      <c r="C375" s="171">
        <v>180</v>
      </c>
      <c r="D375" s="171">
        <v>95.6</v>
      </c>
      <c r="E375" s="171">
        <v>7.9200000000000106</v>
      </c>
      <c r="F375" s="171">
        <v>0</v>
      </c>
    </row>
    <row r="376" spans="1:6" x14ac:dyDescent="0.25">
      <c r="A376" s="171" t="s">
        <v>77</v>
      </c>
      <c r="B376" s="3" t="s">
        <v>504</v>
      </c>
      <c r="C376" s="171">
        <v>146</v>
      </c>
      <c r="D376" s="171">
        <v>97.9</v>
      </c>
      <c r="E376" s="171">
        <v>3.0659999999999918</v>
      </c>
      <c r="F376" s="171">
        <v>0</v>
      </c>
    </row>
    <row r="377" spans="1:6" x14ac:dyDescent="0.25">
      <c r="A377" s="171" t="s">
        <v>77</v>
      </c>
      <c r="B377" s="3" t="s">
        <v>504</v>
      </c>
      <c r="C377" s="171">
        <v>140</v>
      </c>
      <c r="D377" s="171">
        <v>100</v>
      </c>
      <c r="E377" s="171">
        <v>0</v>
      </c>
      <c r="F377" s="171">
        <v>1</v>
      </c>
    </row>
    <row r="378" spans="1:6" x14ac:dyDescent="0.25">
      <c r="A378" s="171" t="s">
        <v>77</v>
      </c>
      <c r="B378" s="3" t="s">
        <v>504</v>
      </c>
      <c r="C378" s="171">
        <v>170</v>
      </c>
      <c r="D378" s="171">
        <v>100</v>
      </c>
      <c r="E378" s="171">
        <v>0</v>
      </c>
      <c r="F378" s="171">
        <v>1</v>
      </c>
    </row>
    <row r="379" spans="1:6" x14ac:dyDescent="0.25">
      <c r="A379" s="171" t="s">
        <v>77</v>
      </c>
      <c r="B379" s="3" t="s">
        <v>504</v>
      </c>
      <c r="C379" s="171">
        <v>148</v>
      </c>
      <c r="D379" s="171">
        <v>97.3</v>
      </c>
      <c r="E379" s="171">
        <v>3.996000000000004</v>
      </c>
      <c r="F379" s="171">
        <v>0</v>
      </c>
    </row>
    <row r="380" spans="1:6" x14ac:dyDescent="0.25">
      <c r="A380" s="171" t="s">
        <v>77</v>
      </c>
      <c r="B380" s="3" t="s">
        <v>504</v>
      </c>
      <c r="C380" s="171">
        <v>191</v>
      </c>
      <c r="D380" s="171">
        <v>97.4</v>
      </c>
      <c r="E380" s="171">
        <v>4.9659999999999886</v>
      </c>
      <c r="F380" s="171">
        <v>0</v>
      </c>
    </row>
    <row r="381" spans="1:6" x14ac:dyDescent="0.25">
      <c r="A381" s="171" t="s">
        <v>77</v>
      </c>
      <c r="B381" s="3" t="s">
        <v>504</v>
      </c>
      <c r="C381" s="171">
        <v>170</v>
      </c>
      <c r="D381" s="171">
        <v>99.4</v>
      </c>
      <c r="E381" s="171">
        <v>1.0199999999999902</v>
      </c>
      <c r="F381" s="171">
        <v>1</v>
      </c>
    </row>
    <row r="382" spans="1:6" x14ac:dyDescent="0.25">
      <c r="A382" s="171" t="s">
        <v>77</v>
      </c>
      <c r="B382" s="3" t="s">
        <v>504</v>
      </c>
      <c r="C382" s="171">
        <v>140</v>
      </c>
      <c r="D382" s="171">
        <v>96.4</v>
      </c>
      <c r="E382" s="171">
        <v>5.039999999999992</v>
      </c>
      <c r="F382" s="171">
        <v>0</v>
      </c>
    </row>
    <row r="383" spans="1:6" x14ac:dyDescent="0.25">
      <c r="A383" s="171" t="s">
        <v>77</v>
      </c>
      <c r="B383" s="3" t="s">
        <v>504</v>
      </c>
      <c r="C383" s="171">
        <v>112</v>
      </c>
      <c r="D383" s="171">
        <v>100</v>
      </c>
      <c r="E383" s="171">
        <v>0</v>
      </c>
      <c r="F383" s="171">
        <v>1</v>
      </c>
    </row>
    <row r="384" spans="1:6" x14ac:dyDescent="0.25">
      <c r="A384" s="171" t="s">
        <v>77</v>
      </c>
      <c r="B384" s="3" t="s">
        <v>509</v>
      </c>
      <c r="C384" s="171">
        <v>99</v>
      </c>
      <c r="D384" s="171">
        <v>97</v>
      </c>
      <c r="E384" s="171">
        <v>2.97</v>
      </c>
      <c r="F384" s="171">
        <v>0</v>
      </c>
    </row>
    <row r="385" spans="1:6" x14ac:dyDescent="0.25">
      <c r="A385" s="171" t="s">
        <v>77</v>
      </c>
      <c r="B385" s="3" t="s">
        <v>509</v>
      </c>
      <c r="C385" s="171">
        <v>132</v>
      </c>
      <c r="D385" s="171">
        <v>96.9</v>
      </c>
      <c r="E385" s="171">
        <v>4.0919999999999925</v>
      </c>
      <c r="F385" s="171">
        <v>0</v>
      </c>
    </row>
    <row r="386" spans="1:6" x14ac:dyDescent="0.25">
      <c r="A386" s="171" t="s">
        <v>77</v>
      </c>
      <c r="B386" s="3" t="s">
        <v>509</v>
      </c>
      <c r="C386" s="171">
        <v>144</v>
      </c>
      <c r="D386" s="171">
        <v>99.3</v>
      </c>
      <c r="E386" s="171">
        <v>1.008000000000004</v>
      </c>
      <c r="F386" s="171">
        <v>1</v>
      </c>
    </row>
    <row r="387" spans="1:6" x14ac:dyDescent="0.25">
      <c r="A387" s="171" t="s">
        <v>77</v>
      </c>
      <c r="B387" s="3" t="s">
        <v>509</v>
      </c>
      <c r="C387" s="171">
        <v>178</v>
      </c>
      <c r="D387" s="171">
        <v>98.8</v>
      </c>
      <c r="E387" s="171">
        <v>2.136000000000005</v>
      </c>
      <c r="F387" s="171">
        <v>1</v>
      </c>
    </row>
    <row r="388" spans="1:6" x14ac:dyDescent="0.25">
      <c r="A388" s="171" t="s">
        <v>77</v>
      </c>
      <c r="B388" s="3" t="s">
        <v>509</v>
      </c>
      <c r="C388" s="171">
        <v>152</v>
      </c>
      <c r="D388" s="171">
        <v>99.3</v>
      </c>
      <c r="E388" s="171">
        <v>1.0640000000000043</v>
      </c>
      <c r="F388" s="171">
        <v>1</v>
      </c>
    </row>
    <row r="389" spans="1:6" x14ac:dyDescent="0.25">
      <c r="A389" s="171" t="s">
        <v>77</v>
      </c>
      <c r="B389" s="3" t="s">
        <v>509</v>
      </c>
      <c r="C389" s="171">
        <v>95</v>
      </c>
      <c r="D389" s="171">
        <v>100</v>
      </c>
      <c r="E389" s="171">
        <v>0</v>
      </c>
      <c r="F389" s="171">
        <v>1</v>
      </c>
    </row>
    <row r="390" spans="1:6" x14ac:dyDescent="0.25">
      <c r="A390" s="171" t="s">
        <v>77</v>
      </c>
      <c r="B390" s="3" t="s">
        <v>509</v>
      </c>
      <c r="C390" s="171">
        <v>119</v>
      </c>
      <c r="D390" s="171">
        <v>100</v>
      </c>
      <c r="E390" s="171">
        <v>0</v>
      </c>
      <c r="F390" s="171">
        <v>1</v>
      </c>
    </row>
    <row r="391" spans="1:6" x14ac:dyDescent="0.25">
      <c r="A391" s="171" t="s">
        <v>77</v>
      </c>
      <c r="B391" s="3" t="s">
        <v>509</v>
      </c>
      <c r="C391" s="171">
        <v>183</v>
      </c>
      <c r="D391" s="171">
        <v>96.8</v>
      </c>
      <c r="E391" s="171">
        <v>5.8560000000000052</v>
      </c>
      <c r="F391" s="171">
        <v>0</v>
      </c>
    </row>
    <row r="392" spans="1:6" x14ac:dyDescent="0.25">
      <c r="A392" s="171" t="s">
        <v>77</v>
      </c>
      <c r="B392" s="3" t="s">
        <v>509</v>
      </c>
      <c r="C392" s="171">
        <v>161</v>
      </c>
      <c r="D392" s="171">
        <v>96.2</v>
      </c>
      <c r="E392" s="171">
        <v>6.117999999999995</v>
      </c>
      <c r="F392" s="171">
        <v>0</v>
      </c>
    </row>
    <row r="393" spans="1:6" x14ac:dyDescent="0.25">
      <c r="A393" s="171" t="s">
        <v>77</v>
      </c>
      <c r="B393" s="3" t="s">
        <v>509</v>
      </c>
      <c r="C393" s="171">
        <v>128</v>
      </c>
      <c r="D393" s="171">
        <v>65.7</v>
      </c>
      <c r="E393" s="171">
        <v>43.903999999999996</v>
      </c>
      <c r="F393" s="171">
        <v>0</v>
      </c>
    </row>
    <row r="394" spans="1:6" x14ac:dyDescent="0.25">
      <c r="A394" s="171" t="s">
        <v>77</v>
      </c>
      <c r="B394" s="3" t="s">
        <v>509</v>
      </c>
      <c r="C394" s="171">
        <v>90</v>
      </c>
      <c r="D394" s="171">
        <v>96.7</v>
      </c>
      <c r="E394" s="171">
        <v>2.9699999999999975</v>
      </c>
      <c r="F394" s="171">
        <v>0</v>
      </c>
    </row>
    <row r="395" spans="1:6" x14ac:dyDescent="0.25">
      <c r="A395" s="171" t="s">
        <v>77</v>
      </c>
      <c r="B395" s="3" t="s">
        <v>503</v>
      </c>
      <c r="C395" s="171">
        <v>167</v>
      </c>
      <c r="D395" s="171">
        <v>99.4</v>
      </c>
      <c r="E395" s="171">
        <v>1.0019999999999905</v>
      </c>
      <c r="F395" s="171">
        <v>1</v>
      </c>
    </row>
    <row r="396" spans="1:6" x14ac:dyDescent="0.25">
      <c r="A396" s="171" t="s">
        <v>77</v>
      </c>
      <c r="B396" s="3" t="s">
        <v>503</v>
      </c>
      <c r="C396" s="171">
        <v>93</v>
      </c>
      <c r="D396" s="171">
        <v>94.6</v>
      </c>
      <c r="E396" s="171">
        <v>5.0220000000000047</v>
      </c>
      <c r="F396" s="171">
        <v>0</v>
      </c>
    </row>
    <row r="397" spans="1:6" x14ac:dyDescent="0.25">
      <c r="A397" s="171" t="s">
        <v>77</v>
      </c>
      <c r="B397" s="3" t="s">
        <v>503</v>
      </c>
      <c r="C397" s="171">
        <v>162</v>
      </c>
      <c r="D397" s="171">
        <v>98.8</v>
      </c>
      <c r="E397" s="171">
        <v>1.9440000000000046</v>
      </c>
      <c r="F397" s="171">
        <v>1</v>
      </c>
    </row>
    <row r="398" spans="1:6" x14ac:dyDescent="0.25">
      <c r="A398" s="171" t="s">
        <v>77</v>
      </c>
      <c r="B398" s="3" t="s">
        <v>503</v>
      </c>
      <c r="C398" s="171">
        <v>102</v>
      </c>
      <c r="D398" s="171">
        <v>98</v>
      </c>
      <c r="E398" s="171">
        <v>2.04</v>
      </c>
      <c r="F398" s="171">
        <v>1</v>
      </c>
    </row>
    <row r="399" spans="1:6" x14ac:dyDescent="0.25">
      <c r="A399" s="171" t="s">
        <v>77</v>
      </c>
      <c r="B399" s="3" t="s">
        <v>503</v>
      </c>
      <c r="C399" s="171">
        <v>182</v>
      </c>
      <c r="D399" s="171">
        <v>97.8</v>
      </c>
      <c r="E399" s="171">
        <v>4.0040000000000058</v>
      </c>
      <c r="F399" s="171">
        <v>0</v>
      </c>
    </row>
    <row r="400" spans="1:6" x14ac:dyDescent="0.25">
      <c r="A400" s="171" t="s">
        <v>77</v>
      </c>
      <c r="B400" s="3" t="s">
        <v>503</v>
      </c>
      <c r="C400" s="171">
        <v>102</v>
      </c>
      <c r="D400" s="171">
        <v>95.1</v>
      </c>
      <c r="E400" s="171">
        <v>4.9980000000000055</v>
      </c>
      <c r="F400" s="171">
        <v>0</v>
      </c>
    </row>
    <row r="401" spans="1:6" x14ac:dyDescent="0.25">
      <c r="A401" s="171" t="s">
        <v>77</v>
      </c>
      <c r="B401" s="3" t="s">
        <v>503</v>
      </c>
      <c r="C401" s="171">
        <v>117</v>
      </c>
      <c r="D401" s="171">
        <v>100</v>
      </c>
      <c r="E401" s="171">
        <v>0</v>
      </c>
      <c r="F401" s="171">
        <v>1</v>
      </c>
    </row>
    <row r="402" spans="1:6" x14ac:dyDescent="0.25">
      <c r="A402" s="171" t="s">
        <v>77</v>
      </c>
      <c r="B402" s="3" t="s">
        <v>503</v>
      </c>
      <c r="C402" s="171">
        <v>159</v>
      </c>
      <c r="D402" s="171">
        <v>96.9</v>
      </c>
      <c r="E402" s="171">
        <v>4.9289999999999905</v>
      </c>
      <c r="F402" s="171">
        <v>0</v>
      </c>
    </row>
    <row r="403" spans="1:6" x14ac:dyDescent="0.25">
      <c r="A403" s="171" t="s">
        <v>77</v>
      </c>
      <c r="B403" s="3" t="s">
        <v>503</v>
      </c>
      <c r="C403" s="171">
        <v>158</v>
      </c>
      <c r="D403" s="171">
        <v>96.8</v>
      </c>
      <c r="E403" s="171">
        <v>5.0560000000000045</v>
      </c>
      <c r="F403" s="171">
        <v>0</v>
      </c>
    </row>
    <row r="404" spans="1:6" x14ac:dyDescent="0.25">
      <c r="A404" s="171" t="s">
        <v>77</v>
      </c>
      <c r="B404" s="3" t="s">
        <v>503</v>
      </c>
      <c r="C404" s="171">
        <v>122</v>
      </c>
      <c r="D404" s="171">
        <v>100</v>
      </c>
      <c r="E404" s="171">
        <v>0</v>
      </c>
      <c r="F404" s="171">
        <v>1</v>
      </c>
    </row>
    <row r="405" spans="1:6" x14ac:dyDescent="0.25">
      <c r="A405" s="171" t="s">
        <v>77</v>
      </c>
      <c r="B405" s="3" t="s">
        <v>503</v>
      </c>
      <c r="C405" s="171">
        <v>149</v>
      </c>
      <c r="D405" s="171">
        <v>95.9</v>
      </c>
      <c r="E405" s="171">
        <v>6.108999999999992</v>
      </c>
      <c r="F405" s="171">
        <v>0</v>
      </c>
    </row>
    <row r="406" spans="1:6" x14ac:dyDescent="0.25">
      <c r="A406" s="171" t="s">
        <v>77</v>
      </c>
      <c r="B406" s="3" t="s">
        <v>503</v>
      </c>
      <c r="C406" s="171">
        <v>130</v>
      </c>
      <c r="D406" s="171">
        <v>96.9</v>
      </c>
      <c r="E406" s="171">
        <v>4.0299999999999923</v>
      </c>
      <c r="F406" s="171">
        <v>0</v>
      </c>
    </row>
    <row r="407" spans="1:6" x14ac:dyDescent="0.25">
      <c r="A407" s="171" t="s">
        <v>77</v>
      </c>
      <c r="B407" s="3" t="s">
        <v>496</v>
      </c>
      <c r="C407" s="171">
        <v>159</v>
      </c>
      <c r="D407" s="171">
        <v>99.4</v>
      </c>
      <c r="E407" s="171">
        <v>0.95399999999999097</v>
      </c>
      <c r="F407" s="171">
        <v>1</v>
      </c>
    </row>
    <row r="408" spans="1:6" x14ac:dyDescent="0.25">
      <c r="A408" s="171" t="s">
        <v>77</v>
      </c>
      <c r="B408" s="3" t="s">
        <v>496</v>
      </c>
      <c r="C408" s="171">
        <v>136</v>
      </c>
      <c r="D408" s="171">
        <v>97.1</v>
      </c>
      <c r="E408" s="171">
        <v>3.9440000000000079</v>
      </c>
      <c r="F408" s="171">
        <v>0</v>
      </c>
    </row>
    <row r="409" spans="1:6" x14ac:dyDescent="0.25">
      <c r="A409" s="171" t="s">
        <v>77</v>
      </c>
      <c r="B409" s="3" t="s">
        <v>496</v>
      </c>
      <c r="C409" s="171">
        <v>90</v>
      </c>
      <c r="D409" s="171">
        <v>96.7</v>
      </c>
      <c r="E409" s="171">
        <v>2.9699999999999975</v>
      </c>
      <c r="F409" s="171">
        <v>0</v>
      </c>
    </row>
    <row r="410" spans="1:6" x14ac:dyDescent="0.25">
      <c r="A410" s="171" t="s">
        <v>77</v>
      </c>
      <c r="B410" s="3" t="s">
        <v>496</v>
      </c>
      <c r="C410" s="171">
        <v>156</v>
      </c>
      <c r="D410" s="171">
        <v>99.4</v>
      </c>
      <c r="E410" s="171">
        <v>0.93599999999999117</v>
      </c>
      <c r="F410" s="171">
        <v>1</v>
      </c>
    </row>
    <row r="411" spans="1:6" x14ac:dyDescent="0.25">
      <c r="A411" s="171" t="s">
        <v>77</v>
      </c>
      <c r="B411" s="3" t="s">
        <v>496</v>
      </c>
      <c r="C411" s="171">
        <v>177</v>
      </c>
      <c r="D411" s="171">
        <v>97.7</v>
      </c>
      <c r="E411" s="171">
        <v>4.0709999999999953</v>
      </c>
      <c r="F411" s="171">
        <v>0</v>
      </c>
    </row>
    <row r="412" spans="1:6" x14ac:dyDescent="0.25">
      <c r="A412" s="171" t="s">
        <v>77</v>
      </c>
      <c r="B412" s="3" t="s">
        <v>496</v>
      </c>
      <c r="C412" s="171">
        <v>72</v>
      </c>
      <c r="D412" s="171">
        <v>98.6</v>
      </c>
      <c r="E412" s="171">
        <v>1.008000000000004</v>
      </c>
      <c r="F412" s="171">
        <v>1</v>
      </c>
    </row>
    <row r="413" spans="1:6" x14ac:dyDescent="0.25">
      <c r="A413" s="171" t="s">
        <v>77</v>
      </c>
      <c r="B413" s="3" t="s">
        <v>496</v>
      </c>
      <c r="C413" s="171">
        <v>116</v>
      </c>
      <c r="D413" s="171">
        <v>97.4</v>
      </c>
      <c r="E413" s="171">
        <v>3.0159999999999934</v>
      </c>
      <c r="F413" s="171">
        <v>0</v>
      </c>
    </row>
    <row r="414" spans="1:6" x14ac:dyDescent="0.25">
      <c r="A414" s="171" t="s">
        <v>77</v>
      </c>
      <c r="B414" s="3" t="s">
        <v>496</v>
      </c>
      <c r="C414" s="171">
        <v>90</v>
      </c>
      <c r="D414" s="171">
        <v>95.6</v>
      </c>
      <c r="E414" s="171">
        <v>3.9600000000000053</v>
      </c>
      <c r="F414" s="171">
        <v>0</v>
      </c>
    </row>
    <row r="415" spans="1:6" x14ac:dyDescent="0.25">
      <c r="A415" s="171" t="s">
        <v>77</v>
      </c>
      <c r="B415" s="3" t="s">
        <v>496</v>
      </c>
      <c r="C415" s="171">
        <v>80</v>
      </c>
      <c r="D415" s="171">
        <v>93.7</v>
      </c>
      <c r="E415" s="171">
        <v>5.0399999999999974</v>
      </c>
      <c r="F415" s="171">
        <v>0</v>
      </c>
    </row>
    <row r="416" spans="1:6" x14ac:dyDescent="0.25">
      <c r="A416" s="171" t="s">
        <v>77</v>
      </c>
      <c r="B416" s="3" t="s">
        <v>496</v>
      </c>
      <c r="C416" s="171">
        <v>24</v>
      </c>
      <c r="D416" s="171">
        <v>95.8</v>
      </c>
      <c r="E416" s="171">
        <v>1.0080000000000007</v>
      </c>
      <c r="F416" s="171">
        <v>1</v>
      </c>
    </row>
    <row r="417" spans="1:6" x14ac:dyDescent="0.25">
      <c r="A417" s="171" t="s">
        <v>77</v>
      </c>
      <c r="B417" s="3" t="s">
        <v>496</v>
      </c>
      <c r="C417" s="171">
        <v>188</v>
      </c>
      <c r="D417" s="171">
        <v>67.599999999999994</v>
      </c>
      <c r="E417" s="171">
        <v>60.912000000000006</v>
      </c>
      <c r="F417" s="171">
        <v>0</v>
      </c>
    </row>
    <row r="418" spans="1:6" x14ac:dyDescent="0.25">
      <c r="A418" s="171" t="s">
        <v>77</v>
      </c>
      <c r="B418" s="3" t="s">
        <v>496</v>
      </c>
      <c r="C418" s="171">
        <v>150</v>
      </c>
      <c r="D418" s="171">
        <v>84.7</v>
      </c>
      <c r="E418" s="171">
        <v>22.949999999999996</v>
      </c>
      <c r="F418" s="171">
        <v>0</v>
      </c>
    </row>
    <row r="419" spans="1:6" x14ac:dyDescent="0.25">
      <c r="A419" s="171" t="s">
        <v>77</v>
      </c>
      <c r="B419" s="3" t="s">
        <v>496</v>
      </c>
      <c r="C419" s="171">
        <v>155</v>
      </c>
      <c r="D419" s="171">
        <v>96.8</v>
      </c>
      <c r="E419" s="171">
        <v>4.9600000000000044</v>
      </c>
      <c r="F419" s="171">
        <v>0</v>
      </c>
    </row>
    <row r="420" spans="1:6" x14ac:dyDescent="0.25">
      <c r="A420" s="171" t="s">
        <v>77</v>
      </c>
      <c r="B420" s="3" t="s">
        <v>496</v>
      </c>
      <c r="C420" s="171">
        <v>144</v>
      </c>
      <c r="D420" s="171">
        <v>100</v>
      </c>
      <c r="E420" s="171">
        <v>0</v>
      </c>
      <c r="F420" s="171">
        <v>1</v>
      </c>
    </row>
    <row r="421" spans="1:6" x14ac:dyDescent="0.25">
      <c r="A421" s="171" t="s">
        <v>81</v>
      </c>
      <c r="B421" s="3" t="s">
        <v>668</v>
      </c>
      <c r="C421" s="171">
        <v>21</v>
      </c>
      <c r="D421" s="171">
        <v>95.238095238095241</v>
      </c>
      <c r="E421" s="171">
        <v>0.99999999999999944</v>
      </c>
      <c r="F421" s="171">
        <v>1</v>
      </c>
    </row>
    <row r="422" spans="1:6" x14ac:dyDescent="0.25">
      <c r="A422" s="171" t="s">
        <v>81</v>
      </c>
      <c r="B422" s="3" t="s">
        <v>668</v>
      </c>
      <c r="C422" s="171">
        <v>14</v>
      </c>
      <c r="D422" s="171">
        <v>85.714285714285722</v>
      </c>
      <c r="E422" s="171">
        <v>1.9999999999999989</v>
      </c>
      <c r="F422" s="171">
        <v>1</v>
      </c>
    </row>
    <row r="423" spans="1:6" x14ac:dyDescent="0.25">
      <c r="A423" s="171" t="s">
        <v>81</v>
      </c>
      <c r="B423" s="3" t="s">
        <v>668</v>
      </c>
      <c r="C423" s="171">
        <v>15</v>
      </c>
      <c r="D423" s="171">
        <v>93.333333333333329</v>
      </c>
      <c r="E423" s="171">
        <v>1.0000000000000007</v>
      </c>
      <c r="F423" s="171">
        <v>1</v>
      </c>
    </row>
    <row r="424" spans="1:6" x14ac:dyDescent="0.25">
      <c r="A424" s="171" t="s">
        <v>81</v>
      </c>
      <c r="B424" s="3" t="s">
        <v>668</v>
      </c>
      <c r="C424" s="171">
        <v>13</v>
      </c>
      <c r="D424" s="171">
        <v>84.615384615384613</v>
      </c>
      <c r="E424" s="171">
        <v>2.0000000000000004</v>
      </c>
      <c r="F424" s="171">
        <v>1</v>
      </c>
    </row>
    <row r="425" spans="1:6" x14ac:dyDescent="0.25">
      <c r="A425" s="171" t="s">
        <v>81</v>
      </c>
      <c r="B425" s="3" t="s">
        <v>668</v>
      </c>
      <c r="C425" s="171">
        <v>12</v>
      </c>
      <c r="D425" s="171">
        <v>16.666666666666686</v>
      </c>
      <c r="E425" s="171">
        <v>9.9999999999999982</v>
      </c>
      <c r="F425" s="171">
        <v>0</v>
      </c>
    </row>
    <row r="426" spans="1:6" x14ac:dyDescent="0.25">
      <c r="A426" s="171" t="s">
        <v>81</v>
      </c>
      <c r="B426" s="3" t="s">
        <v>668</v>
      </c>
      <c r="C426" s="171">
        <v>15</v>
      </c>
      <c r="D426" s="171">
        <v>93.333333333333329</v>
      </c>
      <c r="E426" s="171">
        <v>1.0000000000000007</v>
      </c>
      <c r="F426" s="171">
        <v>1</v>
      </c>
    </row>
    <row r="427" spans="1:6" x14ac:dyDescent="0.25">
      <c r="A427" s="171" t="s">
        <v>81</v>
      </c>
      <c r="B427" s="3" t="s">
        <v>668</v>
      </c>
      <c r="C427" s="171">
        <v>26</v>
      </c>
      <c r="D427" s="171">
        <v>84.615384615384613</v>
      </c>
      <c r="E427" s="171">
        <v>4.0000000000000009</v>
      </c>
      <c r="F427" s="171">
        <v>0</v>
      </c>
    </row>
    <row r="428" spans="1:6" x14ac:dyDescent="0.25">
      <c r="A428" s="171" t="s">
        <v>81</v>
      </c>
      <c r="B428" s="3" t="s">
        <v>668</v>
      </c>
      <c r="C428" s="171">
        <v>18</v>
      </c>
      <c r="D428" s="171">
        <v>100</v>
      </c>
      <c r="E428" s="171">
        <v>0</v>
      </c>
      <c r="F428" s="171">
        <v>1</v>
      </c>
    </row>
    <row r="429" spans="1:6" x14ac:dyDescent="0.25">
      <c r="A429" s="171" t="s">
        <v>81</v>
      </c>
      <c r="B429" s="3" t="s">
        <v>668</v>
      </c>
      <c r="C429" s="171">
        <v>13</v>
      </c>
      <c r="D429" s="171">
        <v>46.153846153846153</v>
      </c>
      <c r="E429" s="171">
        <v>7</v>
      </c>
      <c r="F429" s="171">
        <v>0</v>
      </c>
    </row>
    <row r="430" spans="1:6" x14ac:dyDescent="0.25">
      <c r="A430" s="171" t="s">
        <v>81</v>
      </c>
      <c r="B430" s="3" t="s">
        <v>668</v>
      </c>
      <c r="C430" s="171">
        <v>21</v>
      </c>
      <c r="D430" s="171">
        <v>95.238095238095241</v>
      </c>
      <c r="E430" s="171">
        <v>0.99999999999999944</v>
      </c>
      <c r="F430" s="171">
        <v>1</v>
      </c>
    </row>
    <row r="431" spans="1:6" x14ac:dyDescent="0.25">
      <c r="A431" s="171" t="s">
        <v>81</v>
      </c>
      <c r="B431" s="3" t="s">
        <v>668</v>
      </c>
      <c r="C431" s="171">
        <v>24</v>
      </c>
      <c r="D431" s="171">
        <v>100</v>
      </c>
      <c r="E431" s="171">
        <v>0</v>
      </c>
      <c r="F431" s="171">
        <v>1</v>
      </c>
    </row>
    <row r="432" spans="1:6" x14ac:dyDescent="0.25">
      <c r="A432" s="171" t="s">
        <v>81</v>
      </c>
      <c r="B432" s="3" t="s">
        <v>668</v>
      </c>
      <c r="C432" s="171">
        <v>18</v>
      </c>
      <c r="D432" s="171">
        <v>72.222222222222229</v>
      </c>
      <c r="E432" s="171">
        <v>4.9999999999999991</v>
      </c>
      <c r="F432" s="171">
        <v>0</v>
      </c>
    </row>
    <row r="433" spans="1:6" x14ac:dyDescent="0.25">
      <c r="A433" s="171" t="s">
        <v>81</v>
      </c>
      <c r="B433" s="3" t="s">
        <v>668</v>
      </c>
      <c r="C433" s="171">
        <v>18</v>
      </c>
      <c r="D433" s="171">
        <v>66.666666666666671</v>
      </c>
      <c r="E433" s="171">
        <v>5.9999999999999991</v>
      </c>
      <c r="F433" s="171">
        <v>0</v>
      </c>
    </row>
    <row r="434" spans="1:6" x14ac:dyDescent="0.25">
      <c r="A434" s="171" t="s">
        <v>81</v>
      </c>
      <c r="B434" s="3" t="s">
        <v>668</v>
      </c>
      <c r="C434" s="171">
        <v>16</v>
      </c>
      <c r="D434" s="171">
        <v>93.75</v>
      </c>
      <c r="E434" s="171">
        <v>1</v>
      </c>
      <c r="F434" s="171">
        <v>1</v>
      </c>
    </row>
    <row r="435" spans="1:6" x14ac:dyDescent="0.25">
      <c r="A435" s="171" t="s">
        <v>81</v>
      </c>
      <c r="B435" s="3" t="s">
        <v>79</v>
      </c>
      <c r="C435" s="171">
        <v>36</v>
      </c>
      <c r="D435" s="171">
        <v>100</v>
      </c>
      <c r="E435" s="171">
        <v>0</v>
      </c>
      <c r="F435" s="171">
        <v>1</v>
      </c>
    </row>
    <row r="436" spans="1:6" x14ac:dyDescent="0.25">
      <c r="A436" s="171" t="s">
        <v>81</v>
      </c>
      <c r="B436" s="3" t="s">
        <v>79</v>
      </c>
      <c r="C436" s="171">
        <v>30</v>
      </c>
      <c r="D436" s="171">
        <v>96.666666666666671</v>
      </c>
      <c r="E436" s="171">
        <v>0.99999999999999856</v>
      </c>
      <c r="F436" s="171">
        <v>1</v>
      </c>
    </row>
    <row r="437" spans="1:6" x14ac:dyDescent="0.25">
      <c r="A437" s="171" t="s">
        <v>81</v>
      </c>
      <c r="B437" s="3" t="s">
        <v>79</v>
      </c>
      <c r="C437" s="171">
        <v>23</v>
      </c>
      <c r="D437" s="171">
        <v>95.652173913043484</v>
      </c>
      <c r="E437" s="171">
        <v>0.99999999999999867</v>
      </c>
      <c r="F437" s="171">
        <v>1</v>
      </c>
    </row>
    <row r="438" spans="1:6" x14ac:dyDescent="0.25">
      <c r="A438" s="171" t="s">
        <v>81</v>
      </c>
      <c r="B438" s="3" t="s">
        <v>79</v>
      </c>
      <c r="C438" s="171">
        <v>10</v>
      </c>
      <c r="D438" s="171">
        <v>100</v>
      </c>
      <c r="E438" s="171">
        <v>0</v>
      </c>
      <c r="F438" s="171">
        <v>1</v>
      </c>
    </row>
    <row r="439" spans="1:6" x14ac:dyDescent="0.25">
      <c r="A439" s="171" t="s">
        <v>81</v>
      </c>
      <c r="B439" s="3" t="s">
        <v>669</v>
      </c>
      <c r="C439" s="171">
        <v>37</v>
      </c>
      <c r="D439" s="171">
        <v>97.297297297297291</v>
      </c>
      <c r="E439" s="171">
        <v>1.0000000000000022</v>
      </c>
      <c r="F439" s="171">
        <v>1</v>
      </c>
    </row>
    <row r="440" spans="1:6" x14ac:dyDescent="0.25">
      <c r="A440" s="171" t="s">
        <v>81</v>
      </c>
      <c r="B440" s="3" t="s">
        <v>669</v>
      </c>
      <c r="C440" s="171">
        <v>40</v>
      </c>
      <c r="D440" s="171">
        <v>97.5</v>
      </c>
      <c r="E440" s="171">
        <v>1</v>
      </c>
      <c r="F440" s="171">
        <v>1</v>
      </c>
    </row>
    <row r="441" spans="1:6" x14ac:dyDescent="0.25">
      <c r="A441" s="171" t="s">
        <v>81</v>
      </c>
      <c r="B441" s="3" t="s">
        <v>669</v>
      </c>
      <c r="C441" s="171">
        <v>24</v>
      </c>
      <c r="D441" s="171">
        <v>95.833333333333329</v>
      </c>
      <c r="E441" s="171">
        <v>1.0000000000000011</v>
      </c>
      <c r="F441" s="171">
        <v>1</v>
      </c>
    </row>
    <row r="442" spans="1:6" x14ac:dyDescent="0.25">
      <c r="A442" s="171" t="s">
        <v>81</v>
      </c>
      <c r="B442" s="3" t="s">
        <v>669</v>
      </c>
      <c r="C442" s="171">
        <v>52</v>
      </c>
      <c r="D442" s="171">
        <v>84.615384615384613</v>
      </c>
      <c r="E442" s="171">
        <v>8.0000000000000018</v>
      </c>
      <c r="F442" s="171">
        <v>0</v>
      </c>
    </row>
    <row r="443" spans="1:6" x14ac:dyDescent="0.25">
      <c r="A443" s="171" t="s">
        <v>81</v>
      </c>
      <c r="B443" s="3" t="s">
        <v>669</v>
      </c>
      <c r="C443" s="171">
        <v>15</v>
      </c>
      <c r="D443" s="171">
        <v>33.333333333333343</v>
      </c>
      <c r="E443" s="171">
        <v>9.9999999999999982</v>
      </c>
      <c r="F443" s="171">
        <v>0</v>
      </c>
    </row>
    <row r="444" spans="1:6" x14ac:dyDescent="0.25">
      <c r="A444" s="171" t="s">
        <v>81</v>
      </c>
      <c r="B444" s="3" t="s">
        <v>669</v>
      </c>
      <c r="C444" s="171">
        <v>43</v>
      </c>
      <c r="D444" s="171">
        <v>93.023255813953483</v>
      </c>
      <c r="E444" s="171">
        <v>3.0000000000000022</v>
      </c>
      <c r="F444" s="171">
        <v>0</v>
      </c>
    </row>
    <row r="445" spans="1:6" x14ac:dyDescent="0.25">
      <c r="A445" s="171" t="s">
        <v>81</v>
      </c>
      <c r="B445" s="3" t="s">
        <v>669</v>
      </c>
      <c r="C445" s="171">
        <v>19</v>
      </c>
      <c r="D445" s="171">
        <v>63.15789473684211</v>
      </c>
      <c r="E445" s="171">
        <v>6.9999999999999991</v>
      </c>
      <c r="F445" s="171">
        <v>0</v>
      </c>
    </row>
    <row r="446" spans="1:6" x14ac:dyDescent="0.25">
      <c r="A446" s="171" t="s">
        <v>81</v>
      </c>
      <c r="B446" s="3" t="s">
        <v>669</v>
      </c>
      <c r="C446" s="171">
        <v>29</v>
      </c>
      <c r="D446" s="171">
        <v>100</v>
      </c>
      <c r="E446" s="171">
        <v>0</v>
      </c>
      <c r="F446" s="171">
        <v>1</v>
      </c>
    </row>
    <row r="447" spans="1:6" x14ac:dyDescent="0.25">
      <c r="A447" s="171" t="s">
        <v>81</v>
      </c>
      <c r="B447" s="3" t="s">
        <v>669</v>
      </c>
      <c r="C447" s="171">
        <v>24</v>
      </c>
      <c r="D447" s="171">
        <v>91.666666666666671</v>
      </c>
      <c r="E447" s="171">
        <v>1.9999999999999989</v>
      </c>
      <c r="F447" s="171">
        <v>1</v>
      </c>
    </row>
    <row r="448" spans="1:6" x14ac:dyDescent="0.25">
      <c r="A448" s="171" t="s">
        <v>81</v>
      </c>
      <c r="B448" s="3" t="s">
        <v>669</v>
      </c>
      <c r="C448" s="171">
        <v>29</v>
      </c>
      <c r="D448" s="171">
        <v>79.310344827586206</v>
      </c>
      <c r="E448" s="171">
        <v>6</v>
      </c>
      <c r="F448" s="171">
        <v>0</v>
      </c>
    </row>
    <row r="449" spans="1:6" x14ac:dyDescent="0.25">
      <c r="A449" s="171" t="s">
        <v>81</v>
      </c>
      <c r="B449" s="3" t="s">
        <v>669</v>
      </c>
      <c r="C449" s="171">
        <v>26</v>
      </c>
      <c r="D449" s="171">
        <v>88.461538461538467</v>
      </c>
      <c r="E449" s="171">
        <v>2.9999999999999987</v>
      </c>
      <c r="F449" s="171">
        <v>0</v>
      </c>
    </row>
    <row r="450" spans="1:6" x14ac:dyDescent="0.25">
      <c r="A450" s="171" t="s">
        <v>81</v>
      </c>
      <c r="B450" s="3" t="s">
        <v>669</v>
      </c>
      <c r="C450" s="171">
        <v>20</v>
      </c>
      <c r="D450" s="171">
        <v>85</v>
      </c>
      <c r="E450" s="171">
        <v>3</v>
      </c>
      <c r="F450" s="171">
        <v>0</v>
      </c>
    </row>
    <row r="451" spans="1:6" x14ac:dyDescent="0.25">
      <c r="A451" s="171" t="s">
        <v>81</v>
      </c>
      <c r="B451" s="3" t="s">
        <v>324</v>
      </c>
      <c r="C451" s="171">
        <v>25</v>
      </c>
      <c r="D451" s="171">
        <v>100</v>
      </c>
      <c r="E451" s="171">
        <v>0</v>
      </c>
      <c r="F451" s="171">
        <v>1</v>
      </c>
    </row>
    <row r="452" spans="1:6" x14ac:dyDescent="0.25">
      <c r="A452" s="171" t="s">
        <v>81</v>
      </c>
      <c r="B452" s="3" t="s">
        <v>324</v>
      </c>
      <c r="C452" s="171">
        <v>20</v>
      </c>
      <c r="D452" s="171">
        <v>90</v>
      </c>
      <c r="E452" s="171">
        <v>2</v>
      </c>
      <c r="F452" s="171">
        <v>1</v>
      </c>
    </row>
    <row r="453" spans="1:6" x14ac:dyDescent="0.25">
      <c r="A453" s="171" t="s">
        <v>81</v>
      </c>
      <c r="B453" s="3" t="s">
        <v>324</v>
      </c>
      <c r="C453" s="171">
        <v>18</v>
      </c>
      <c r="D453" s="171">
        <v>66.666666666666671</v>
      </c>
      <c r="E453" s="171">
        <v>5.9999999999999991</v>
      </c>
      <c r="F453" s="171">
        <v>0</v>
      </c>
    </row>
    <row r="454" spans="1:6" x14ac:dyDescent="0.25">
      <c r="A454" s="171" t="s">
        <v>81</v>
      </c>
      <c r="B454" s="3" t="s">
        <v>324</v>
      </c>
      <c r="C454" s="171">
        <v>33</v>
      </c>
      <c r="D454" s="171">
        <v>87.878787878787875</v>
      </c>
      <c r="E454" s="171">
        <v>4.0000000000000009</v>
      </c>
      <c r="F454" s="171">
        <v>0</v>
      </c>
    </row>
    <row r="455" spans="1:6" x14ac:dyDescent="0.25">
      <c r="A455" s="171" t="s">
        <v>81</v>
      </c>
      <c r="B455" s="3" t="s">
        <v>324</v>
      </c>
      <c r="C455" s="171">
        <v>30</v>
      </c>
      <c r="D455" s="171">
        <v>86.666666666666671</v>
      </c>
      <c r="E455" s="171">
        <v>3.9999999999999987</v>
      </c>
      <c r="F455" s="171">
        <v>0</v>
      </c>
    </row>
    <row r="456" spans="1:6" x14ac:dyDescent="0.25">
      <c r="A456" s="171" t="s">
        <v>81</v>
      </c>
      <c r="B456" s="3" t="s">
        <v>670</v>
      </c>
      <c r="C456" s="171">
        <v>40</v>
      </c>
      <c r="D456" s="171">
        <v>100</v>
      </c>
      <c r="E456" s="171">
        <v>0</v>
      </c>
      <c r="F456" s="171">
        <v>1</v>
      </c>
    </row>
    <row r="457" spans="1:6" x14ac:dyDescent="0.25">
      <c r="A457" s="171" t="s">
        <v>81</v>
      </c>
      <c r="B457" s="3" t="s">
        <v>670</v>
      </c>
      <c r="C457" s="171">
        <v>11</v>
      </c>
      <c r="D457" s="171">
        <v>90.909090909090907</v>
      </c>
      <c r="E457" s="171">
        <v>1.0000000000000002</v>
      </c>
      <c r="F457" s="171">
        <v>1</v>
      </c>
    </row>
    <row r="458" spans="1:6" x14ac:dyDescent="0.25">
      <c r="A458" s="171" t="s">
        <v>81</v>
      </c>
      <c r="B458" s="3" t="s">
        <v>670</v>
      </c>
      <c r="C458" s="171">
        <v>23</v>
      </c>
      <c r="D458" s="171">
        <v>86.956521739130437</v>
      </c>
      <c r="E458" s="171">
        <v>2.9999999999999996</v>
      </c>
      <c r="F458" s="171">
        <v>0</v>
      </c>
    </row>
    <row r="459" spans="1:6" x14ac:dyDescent="0.25">
      <c r="A459" s="171" t="s">
        <v>81</v>
      </c>
      <c r="B459" s="3" t="s">
        <v>670</v>
      </c>
      <c r="C459" s="171">
        <v>12</v>
      </c>
      <c r="D459" s="171">
        <v>100</v>
      </c>
      <c r="E459" s="171">
        <v>0</v>
      </c>
      <c r="F459" s="171">
        <v>1</v>
      </c>
    </row>
    <row r="460" spans="1:6" x14ac:dyDescent="0.25">
      <c r="A460" s="171" t="s">
        <v>81</v>
      </c>
      <c r="B460" s="3" t="s">
        <v>670</v>
      </c>
      <c r="C460" s="171">
        <v>14</v>
      </c>
      <c r="D460" s="171">
        <v>100</v>
      </c>
      <c r="E460" s="171">
        <v>0</v>
      </c>
      <c r="F460" s="171">
        <v>1</v>
      </c>
    </row>
    <row r="461" spans="1:6" x14ac:dyDescent="0.25">
      <c r="A461" s="171" t="s">
        <v>77</v>
      </c>
      <c r="B461" s="3" t="s">
        <v>629</v>
      </c>
      <c r="C461" s="171">
        <v>27</v>
      </c>
      <c r="D461" s="171">
        <v>85.18518518518519</v>
      </c>
      <c r="E461" s="171">
        <v>3.9999999999999987</v>
      </c>
      <c r="F461" s="171">
        <v>0</v>
      </c>
    </row>
    <row r="462" spans="1:6" x14ac:dyDescent="0.25">
      <c r="A462" s="171" t="s">
        <v>77</v>
      </c>
      <c r="B462" s="3" t="s">
        <v>629</v>
      </c>
      <c r="C462" s="171">
        <v>20</v>
      </c>
      <c r="D462" s="171">
        <v>95</v>
      </c>
      <c r="E462" s="171">
        <v>1</v>
      </c>
      <c r="F462" s="171">
        <v>1</v>
      </c>
    </row>
    <row r="463" spans="1:6" x14ac:dyDescent="0.25">
      <c r="A463" s="171" t="s">
        <v>77</v>
      </c>
      <c r="B463" s="3" t="s">
        <v>630</v>
      </c>
      <c r="C463" s="171">
        <v>24</v>
      </c>
      <c r="D463" s="171">
        <v>95.833333333333329</v>
      </c>
      <c r="E463" s="171">
        <v>1.0000000000000011</v>
      </c>
      <c r="F463" s="171">
        <v>1</v>
      </c>
    </row>
    <row r="464" spans="1:6" x14ac:dyDescent="0.25">
      <c r="A464" s="171" t="s">
        <v>77</v>
      </c>
      <c r="B464" s="3" t="s">
        <v>630</v>
      </c>
      <c r="C464" s="171">
        <v>24</v>
      </c>
      <c r="D464" s="171">
        <v>100</v>
      </c>
      <c r="E464" s="171">
        <v>0</v>
      </c>
      <c r="F464" s="171">
        <v>1</v>
      </c>
    </row>
    <row r="465" spans="1:6" x14ac:dyDescent="0.25">
      <c r="A465" s="171" t="s">
        <v>77</v>
      </c>
      <c r="B465" s="3" t="s">
        <v>630</v>
      </c>
      <c r="C465" s="171">
        <v>19</v>
      </c>
      <c r="D465" s="171">
        <v>85.714285714285722</v>
      </c>
      <c r="E465" s="171">
        <v>2.7142857142857126</v>
      </c>
      <c r="F465" s="171">
        <v>1</v>
      </c>
    </row>
    <row r="466" spans="1:6" x14ac:dyDescent="0.25">
      <c r="A466" s="171" t="s">
        <v>77</v>
      </c>
      <c r="B466" s="3" t="s">
        <v>630</v>
      </c>
      <c r="C466" s="171">
        <v>24</v>
      </c>
      <c r="D466" s="171">
        <v>100</v>
      </c>
      <c r="E466" s="171">
        <v>0</v>
      </c>
      <c r="F466" s="171">
        <v>1</v>
      </c>
    </row>
    <row r="467" spans="1:6" x14ac:dyDescent="0.25">
      <c r="A467" s="171" t="s">
        <v>77</v>
      </c>
      <c r="B467" s="3" t="s">
        <v>630</v>
      </c>
      <c r="C467" s="171">
        <v>23</v>
      </c>
      <c r="D467" s="171">
        <v>56.521739130434781</v>
      </c>
      <c r="E467" s="171">
        <v>10</v>
      </c>
      <c r="F467" s="171">
        <v>0</v>
      </c>
    </row>
    <row r="468" spans="1:6" x14ac:dyDescent="0.25">
      <c r="A468" s="171" t="s">
        <v>77</v>
      </c>
      <c r="B468" s="3" t="s">
        <v>630</v>
      </c>
      <c r="C468" s="171">
        <v>30</v>
      </c>
      <c r="D468" s="171">
        <v>100</v>
      </c>
      <c r="E468" s="171">
        <v>0</v>
      </c>
      <c r="F468" s="171">
        <v>1</v>
      </c>
    </row>
    <row r="469" spans="1:6" x14ac:dyDescent="0.25">
      <c r="A469" s="171" t="s">
        <v>77</v>
      </c>
      <c r="B469" s="3">
        <v>111</v>
      </c>
      <c r="C469" s="171">
        <v>27</v>
      </c>
      <c r="D469" s="171">
        <v>92.592592592592595</v>
      </c>
      <c r="E469" s="171">
        <v>1.9999999999999993</v>
      </c>
      <c r="F469" s="171">
        <v>1</v>
      </c>
    </row>
    <row r="470" spans="1:6" x14ac:dyDescent="0.25">
      <c r="A470" s="171" t="s">
        <v>77</v>
      </c>
      <c r="B470" s="3">
        <v>111</v>
      </c>
      <c r="C470" s="171">
        <v>39</v>
      </c>
      <c r="D470" s="171">
        <v>97.435897435897431</v>
      </c>
      <c r="E470" s="171">
        <v>1.000000000000002</v>
      </c>
      <c r="F470" s="171">
        <v>1</v>
      </c>
    </row>
    <row r="471" spans="1:6" x14ac:dyDescent="0.25">
      <c r="A471" s="171" t="s">
        <v>77</v>
      </c>
      <c r="B471" s="3">
        <v>111</v>
      </c>
      <c r="C471" s="171">
        <v>37</v>
      </c>
      <c r="D471" s="171">
        <v>100</v>
      </c>
      <c r="E471" s="171">
        <v>0</v>
      </c>
      <c r="F471" s="171">
        <v>1</v>
      </c>
    </row>
    <row r="472" spans="1:6" x14ac:dyDescent="0.25">
      <c r="A472" s="171" t="s">
        <v>77</v>
      </c>
      <c r="B472" s="3">
        <v>111</v>
      </c>
      <c r="C472" s="171">
        <v>8</v>
      </c>
      <c r="D472" s="171">
        <v>100</v>
      </c>
      <c r="E472" s="171">
        <v>0</v>
      </c>
      <c r="F472" s="171">
        <v>1</v>
      </c>
    </row>
    <row r="473" spans="1:6" x14ac:dyDescent="0.25">
      <c r="A473" s="171" t="s">
        <v>77</v>
      </c>
      <c r="B473" s="3">
        <v>111</v>
      </c>
      <c r="C473" s="171">
        <v>25</v>
      </c>
      <c r="D473" s="171">
        <v>92</v>
      </c>
      <c r="E473" s="171">
        <v>2</v>
      </c>
      <c r="F473" s="171">
        <v>1</v>
      </c>
    </row>
    <row r="474" spans="1:6" x14ac:dyDescent="0.25">
      <c r="A474" s="171" t="s">
        <v>77</v>
      </c>
      <c r="B474" s="3">
        <v>111</v>
      </c>
      <c r="C474" s="171">
        <v>28</v>
      </c>
      <c r="D474" s="171">
        <v>100</v>
      </c>
      <c r="E474" s="171">
        <v>0</v>
      </c>
      <c r="F474" s="171">
        <v>1</v>
      </c>
    </row>
    <row r="475" spans="1:6" x14ac:dyDescent="0.25">
      <c r="A475" s="171" t="s">
        <v>77</v>
      </c>
      <c r="B475" s="3">
        <v>111</v>
      </c>
      <c r="C475" s="171">
        <v>9</v>
      </c>
      <c r="D475" s="171">
        <v>88.888888888888886</v>
      </c>
      <c r="E475" s="171">
        <v>1.0000000000000002</v>
      </c>
      <c r="F475" s="171">
        <v>1</v>
      </c>
    </row>
    <row r="476" spans="1:6" x14ac:dyDescent="0.25">
      <c r="A476" s="171" t="s">
        <v>77</v>
      </c>
      <c r="B476" s="3">
        <v>111</v>
      </c>
      <c r="C476" s="171">
        <v>24</v>
      </c>
      <c r="D476" s="171">
        <v>95.833333333333329</v>
      </c>
      <c r="E476" s="171">
        <v>1.0000000000000011</v>
      </c>
      <c r="F476" s="171">
        <v>1</v>
      </c>
    </row>
    <row r="477" spans="1:6" x14ac:dyDescent="0.25">
      <c r="A477" s="171" t="s">
        <v>77</v>
      </c>
      <c r="B477" s="3">
        <v>111</v>
      </c>
      <c r="C477" s="171">
        <v>33</v>
      </c>
      <c r="D477" s="171">
        <v>100</v>
      </c>
      <c r="E477" s="171">
        <v>0</v>
      </c>
      <c r="F477" s="171">
        <v>1</v>
      </c>
    </row>
    <row r="478" spans="1:6" x14ac:dyDescent="0.25">
      <c r="A478" s="171" t="s">
        <v>77</v>
      </c>
      <c r="B478" s="3">
        <v>111</v>
      </c>
      <c r="C478" s="171">
        <v>29</v>
      </c>
      <c r="D478" s="171">
        <v>100</v>
      </c>
      <c r="E478" s="171">
        <v>0</v>
      </c>
      <c r="F478" s="171">
        <v>1</v>
      </c>
    </row>
    <row r="479" spans="1:6" x14ac:dyDescent="0.25">
      <c r="A479" s="171" t="s">
        <v>77</v>
      </c>
      <c r="B479" s="3">
        <v>111</v>
      </c>
      <c r="C479" s="171">
        <v>16</v>
      </c>
      <c r="D479" s="171">
        <v>100</v>
      </c>
      <c r="E479" s="171">
        <v>0</v>
      </c>
      <c r="F479" s="171">
        <v>1</v>
      </c>
    </row>
    <row r="480" spans="1:6" x14ac:dyDescent="0.25">
      <c r="A480" s="171" t="s">
        <v>77</v>
      </c>
      <c r="B480" s="3">
        <v>111</v>
      </c>
      <c r="C480" s="171">
        <v>12</v>
      </c>
      <c r="D480" s="171">
        <v>100</v>
      </c>
      <c r="E480" s="171">
        <v>0</v>
      </c>
      <c r="F480" s="171">
        <v>1</v>
      </c>
    </row>
    <row r="481" spans="1:6" x14ac:dyDescent="0.25">
      <c r="A481" s="171" t="s">
        <v>77</v>
      </c>
      <c r="B481" s="3">
        <v>111</v>
      </c>
      <c r="C481" s="171">
        <v>19</v>
      </c>
      <c r="D481" s="171">
        <v>100</v>
      </c>
      <c r="E481" s="171">
        <v>0</v>
      </c>
      <c r="F481" s="171">
        <v>1</v>
      </c>
    </row>
    <row r="482" spans="1:6" x14ac:dyDescent="0.25">
      <c r="A482" s="171" t="s">
        <v>77</v>
      </c>
      <c r="B482" s="3">
        <v>111</v>
      </c>
      <c r="C482" s="171">
        <v>27</v>
      </c>
      <c r="D482" s="171">
        <v>92.592592592592595</v>
      </c>
      <c r="E482" s="171">
        <v>1.9999999999999993</v>
      </c>
      <c r="F482" s="171">
        <v>1</v>
      </c>
    </row>
    <row r="483" spans="1:6" x14ac:dyDescent="0.25">
      <c r="A483" s="171" t="s">
        <v>77</v>
      </c>
      <c r="B483" s="3">
        <v>111</v>
      </c>
      <c r="C483" s="171">
        <v>14</v>
      </c>
      <c r="D483" s="171">
        <v>100</v>
      </c>
      <c r="E483" s="171">
        <v>0</v>
      </c>
      <c r="F483" s="171">
        <v>1</v>
      </c>
    </row>
    <row r="484" spans="1:6" x14ac:dyDescent="0.25">
      <c r="A484" s="171" t="s">
        <v>77</v>
      </c>
      <c r="B484" s="3">
        <v>111</v>
      </c>
      <c r="C484" s="171">
        <v>27</v>
      </c>
      <c r="D484" s="171">
        <v>88.888888888888886</v>
      </c>
      <c r="E484" s="171">
        <v>3.0000000000000013</v>
      </c>
      <c r="F484" s="171">
        <v>0</v>
      </c>
    </row>
    <row r="485" spans="1:6" x14ac:dyDescent="0.25">
      <c r="A485" s="171" t="s">
        <v>81</v>
      </c>
      <c r="B485" s="3">
        <v>2</v>
      </c>
      <c r="C485" s="171">
        <v>20</v>
      </c>
      <c r="D485" s="171">
        <v>12.272727272727266</v>
      </c>
      <c r="E485" s="171">
        <v>17.545454545454547</v>
      </c>
      <c r="F485" s="171">
        <v>0</v>
      </c>
    </row>
    <row r="486" spans="1:6" x14ac:dyDescent="0.25">
      <c r="A486" s="171" t="s">
        <v>81</v>
      </c>
      <c r="B486" s="3">
        <v>2</v>
      </c>
      <c r="C486" s="171">
        <v>10</v>
      </c>
      <c r="D486" s="171">
        <v>100</v>
      </c>
      <c r="E486" s="171">
        <v>0</v>
      </c>
      <c r="F486" s="171">
        <v>1</v>
      </c>
    </row>
    <row r="487" spans="1:6" x14ac:dyDescent="0.25">
      <c r="A487" s="171" t="s">
        <v>81</v>
      </c>
      <c r="B487" s="3">
        <v>2</v>
      </c>
      <c r="C487" s="171">
        <v>17</v>
      </c>
      <c r="D487" s="171">
        <v>12.941176470588232</v>
      </c>
      <c r="E487" s="171">
        <v>14.8</v>
      </c>
      <c r="F487" s="171">
        <v>0</v>
      </c>
    </row>
    <row r="488" spans="1:6" x14ac:dyDescent="0.25">
      <c r="A488" s="171" t="s">
        <v>81</v>
      </c>
      <c r="B488" s="3">
        <v>2</v>
      </c>
      <c r="C488" s="171">
        <v>20</v>
      </c>
      <c r="D488" s="171">
        <v>100</v>
      </c>
      <c r="E488" s="171">
        <v>0</v>
      </c>
      <c r="F488" s="171">
        <v>1</v>
      </c>
    </row>
    <row r="489" spans="1:6" x14ac:dyDescent="0.25">
      <c r="A489" s="171" t="s">
        <v>81</v>
      </c>
      <c r="B489" s="3">
        <v>2</v>
      </c>
      <c r="C489" s="171">
        <v>32</v>
      </c>
      <c r="D489" s="171">
        <v>83.333333333333343</v>
      </c>
      <c r="E489" s="171">
        <v>5.3333333333333304</v>
      </c>
      <c r="F489" s="171">
        <v>0</v>
      </c>
    </row>
    <row r="490" spans="1:6" x14ac:dyDescent="0.25">
      <c r="A490" s="171" t="s">
        <v>81</v>
      </c>
      <c r="B490" s="3">
        <v>2</v>
      </c>
      <c r="C490" s="171">
        <v>18</v>
      </c>
      <c r="D490" s="171">
        <v>74.444444444444443</v>
      </c>
      <c r="E490" s="171">
        <v>4.5999999999999996</v>
      </c>
      <c r="F490" s="171">
        <v>0</v>
      </c>
    </row>
    <row r="491" spans="1:6" x14ac:dyDescent="0.25">
      <c r="A491" s="171" t="s">
        <v>81</v>
      </c>
      <c r="B491" s="3">
        <v>2</v>
      </c>
      <c r="C491" s="171">
        <v>41</v>
      </c>
      <c r="D491" s="171">
        <v>92.682926829268297</v>
      </c>
      <c r="E491" s="171">
        <v>2.9999999999999982</v>
      </c>
      <c r="F491" s="171">
        <v>0</v>
      </c>
    </row>
    <row r="492" spans="1:6" x14ac:dyDescent="0.25">
      <c r="A492" s="171" t="s">
        <v>81</v>
      </c>
      <c r="B492" s="3">
        <v>2</v>
      </c>
      <c r="C492" s="171">
        <v>35</v>
      </c>
      <c r="D492" s="171">
        <v>94.285714285714292</v>
      </c>
      <c r="E492" s="171">
        <v>1.9999999999999978</v>
      </c>
      <c r="F492" s="171">
        <v>1</v>
      </c>
    </row>
    <row r="493" spans="1:6" x14ac:dyDescent="0.25">
      <c r="A493" s="171" t="s">
        <v>81</v>
      </c>
      <c r="B493" s="3">
        <v>2</v>
      </c>
      <c r="C493" s="171">
        <v>39</v>
      </c>
      <c r="D493" s="171">
        <v>87.179487179487182</v>
      </c>
      <c r="E493" s="171">
        <v>4.9999999999999991</v>
      </c>
      <c r="F493" s="171">
        <v>0</v>
      </c>
    </row>
    <row r="494" spans="1:6" x14ac:dyDescent="0.25">
      <c r="A494" s="171" t="s">
        <v>81</v>
      </c>
      <c r="B494" s="3">
        <v>3</v>
      </c>
      <c r="C494" s="171">
        <v>28</v>
      </c>
      <c r="D494" s="171">
        <v>82.142857142857139</v>
      </c>
      <c r="E494" s="171">
        <v>5.0000000000000009</v>
      </c>
      <c r="F494" s="171">
        <v>0</v>
      </c>
    </row>
    <row r="495" spans="1:6" x14ac:dyDescent="0.25">
      <c r="A495" s="171" t="s">
        <v>81</v>
      </c>
      <c r="B495" s="3">
        <v>3</v>
      </c>
      <c r="C495" s="171">
        <v>13</v>
      </c>
      <c r="D495" s="171">
        <v>92.307692307692307</v>
      </c>
      <c r="E495" s="171">
        <v>1.0000000000000002</v>
      </c>
      <c r="F495" s="171">
        <v>1</v>
      </c>
    </row>
    <row r="496" spans="1:6" x14ac:dyDescent="0.25">
      <c r="A496" s="171" t="s">
        <v>81</v>
      </c>
      <c r="B496" s="3">
        <v>3</v>
      </c>
      <c r="C496" s="171">
        <v>23</v>
      </c>
      <c r="D496" s="171">
        <v>52.173913043478258</v>
      </c>
      <c r="E496" s="171">
        <v>11</v>
      </c>
      <c r="F496" s="171">
        <v>0</v>
      </c>
    </row>
    <row r="497" spans="1:6" x14ac:dyDescent="0.25">
      <c r="A497" s="171" t="s">
        <v>81</v>
      </c>
      <c r="B497" s="3">
        <v>3</v>
      </c>
      <c r="C497" s="171">
        <v>34</v>
      </c>
      <c r="D497" s="171">
        <v>58.823529411764703</v>
      </c>
      <c r="E497" s="171">
        <v>14</v>
      </c>
      <c r="F497" s="171">
        <v>0</v>
      </c>
    </row>
    <row r="498" spans="1:6" x14ac:dyDescent="0.25">
      <c r="A498" s="171" t="s">
        <v>81</v>
      </c>
      <c r="B498" s="3">
        <v>3</v>
      </c>
      <c r="C498" s="171">
        <v>15</v>
      </c>
      <c r="D498" s="171">
        <v>13.333333333333343</v>
      </c>
      <c r="E498" s="171">
        <v>12.999999999999998</v>
      </c>
      <c r="F498" s="171">
        <v>0</v>
      </c>
    </row>
    <row r="499" spans="1:6" x14ac:dyDescent="0.25">
      <c r="A499" s="171" t="s">
        <v>81</v>
      </c>
      <c r="B499" s="3">
        <v>3</v>
      </c>
      <c r="C499" s="171">
        <v>47</v>
      </c>
      <c r="D499" s="171">
        <v>97.872340425531917</v>
      </c>
      <c r="E499" s="171">
        <v>0.99999999999999911</v>
      </c>
      <c r="F499" s="171">
        <v>1</v>
      </c>
    </row>
    <row r="500" spans="1:6" x14ac:dyDescent="0.25">
      <c r="A500" s="171" t="s">
        <v>81</v>
      </c>
      <c r="B500" s="3">
        <v>3</v>
      </c>
      <c r="C500" s="171">
        <v>25</v>
      </c>
      <c r="D500" s="171">
        <v>92</v>
      </c>
      <c r="E500" s="171">
        <v>2</v>
      </c>
      <c r="F500" s="171">
        <v>1</v>
      </c>
    </row>
    <row r="501" spans="1:6" x14ac:dyDescent="0.25">
      <c r="A501" s="171" t="s">
        <v>81</v>
      </c>
      <c r="B501" s="3">
        <v>3</v>
      </c>
      <c r="C501" s="171">
        <v>17</v>
      </c>
      <c r="D501" s="171">
        <v>52.941176470588239</v>
      </c>
      <c r="E501" s="171">
        <v>7.9999999999999991</v>
      </c>
      <c r="F501" s="171">
        <v>0</v>
      </c>
    </row>
    <row r="502" spans="1:6" x14ac:dyDescent="0.25">
      <c r="A502" s="171" t="s">
        <v>81</v>
      </c>
      <c r="B502" s="3">
        <v>3</v>
      </c>
      <c r="C502" s="171">
        <v>26</v>
      </c>
      <c r="D502" s="171">
        <v>92.307692307692307</v>
      </c>
      <c r="E502" s="171">
        <v>2.0000000000000004</v>
      </c>
      <c r="F502" s="171">
        <v>1</v>
      </c>
    </row>
    <row r="503" spans="1:6" x14ac:dyDescent="0.25">
      <c r="A503" s="171" t="s">
        <v>81</v>
      </c>
      <c r="B503" s="3">
        <v>3</v>
      </c>
      <c r="C503" s="171">
        <v>19</v>
      </c>
      <c r="D503" s="171">
        <v>84.21052631578948</v>
      </c>
      <c r="E503" s="171">
        <v>2.9999999999999987</v>
      </c>
      <c r="F503" s="171">
        <v>1</v>
      </c>
    </row>
    <row r="504" spans="1:6" x14ac:dyDescent="0.25">
      <c r="A504" s="171" t="s">
        <v>81</v>
      </c>
      <c r="B504" s="3">
        <v>3</v>
      </c>
      <c r="C504" s="171">
        <v>19</v>
      </c>
      <c r="D504" s="171">
        <v>78.94736842105263</v>
      </c>
      <c r="E504" s="171">
        <v>4</v>
      </c>
      <c r="F504" s="171">
        <v>0</v>
      </c>
    </row>
    <row r="505" spans="1:6" x14ac:dyDescent="0.25">
      <c r="A505" s="171" t="s">
        <v>81</v>
      </c>
      <c r="B505" s="3">
        <v>3</v>
      </c>
      <c r="C505" s="171">
        <v>12</v>
      </c>
      <c r="D505" s="171">
        <v>41.666666666666671</v>
      </c>
      <c r="E505" s="171">
        <v>7</v>
      </c>
      <c r="F505" s="171">
        <v>0</v>
      </c>
    </row>
    <row r="506" spans="1:6" x14ac:dyDescent="0.25">
      <c r="A506" s="171" t="s">
        <v>81</v>
      </c>
      <c r="B506" s="3">
        <v>3</v>
      </c>
      <c r="C506" s="171">
        <v>13</v>
      </c>
      <c r="D506" s="171">
        <v>69.230769230769226</v>
      </c>
      <c r="E506" s="171">
        <v>4.0000000000000009</v>
      </c>
      <c r="F506" s="171">
        <v>0</v>
      </c>
    </row>
    <row r="507" spans="1:6" x14ac:dyDescent="0.25">
      <c r="A507" s="171" t="s">
        <v>81</v>
      </c>
      <c r="B507" s="3">
        <v>3</v>
      </c>
      <c r="C507" s="171">
        <v>34</v>
      </c>
      <c r="D507" s="171">
        <v>91.17647058823529</v>
      </c>
      <c r="E507" s="171">
        <v>3.0000000000000013</v>
      </c>
      <c r="F507" s="171">
        <v>0</v>
      </c>
    </row>
    <row r="508" spans="1:6" x14ac:dyDescent="0.25">
      <c r="A508" s="171" t="s">
        <v>81</v>
      </c>
      <c r="B508" s="3">
        <v>3</v>
      </c>
      <c r="C508" s="171">
        <v>42</v>
      </c>
      <c r="D508" s="171">
        <v>80.952380952380963</v>
      </c>
      <c r="E508" s="171">
        <v>7.9999999999999956</v>
      </c>
      <c r="F508" s="171">
        <v>0</v>
      </c>
    </row>
    <row r="509" spans="1:6" x14ac:dyDescent="0.25">
      <c r="A509" s="171" t="s">
        <v>81</v>
      </c>
      <c r="B509" s="3">
        <v>3</v>
      </c>
      <c r="C509" s="171">
        <v>41</v>
      </c>
      <c r="D509" s="171">
        <v>41.463414634146346</v>
      </c>
      <c r="E509" s="171">
        <v>24</v>
      </c>
      <c r="F509" s="171">
        <v>0</v>
      </c>
    </row>
    <row r="510" spans="1:6" x14ac:dyDescent="0.25">
      <c r="A510" s="171" t="s">
        <v>81</v>
      </c>
      <c r="B510" s="3">
        <v>3</v>
      </c>
      <c r="C510" s="171">
        <v>14</v>
      </c>
      <c r="D510" s="171">
        <v>100</v>
      </c>
      <c r="E510" s="171">
        <v>0</v>
      </c>
      <c r="F510" s="171">
        <v>1</v>
      </c>
    </row>
    <row r="511" spans="1:6" x14ac:dyDescent="0.25">
      <c r="A511" s="171" t="s">
        <v>81</v>
      </c>
      <c r="B511" s="3">
        <v>3</v>
      </c>
      <c r="C511" s="171">
        <v>30</v>
      </c>
      <c r="D511" s="171">
        <v>63.333333333333329</v>
      </c>
      <c r="E511" s="171">
        <v>11.000000000000002</v>
      </c>
      <c r="F511" s="171">
        <v>0</v>
      </c>
    </row>
    <row r="512" spans="1:6" x14ac:dyDescent="0.25">
      <c r="A512" s="171" t="s">
        <v>81</v>
      </c>
      <c r="B512" s="3">
        <v>3</v>
      </c>
      <c r="C512" s="171">
        <v>16</v>
      </c>
      <c r="D512" s="171">
        <v>31.25</v>
      </c>
      <c r="E512" s="171">
        <v>11</v>
      </c>
      <c r="F512" s="171">
        <v>0</v>
      </c>
    </row>
    <row r="513" spans="1:6" x14ac:dyDescent="0.25">
      <c r="A513" s="171" t="s">
        <v>81</v>
      </c>
      <c r="B513" s="3">
        <v>3</v>
      </c>
      <c r="C513" s="171">
        <v>24</v>
      </c>
      <c r="D513" s="171">
        <v>79.166666666666657</v>
      </c>
      <c r="E513" s="171">
        <v>5.0000000000000027</v>
      </c>
      <c r="F513" s="171">
        <v>0</v>
      </c>
    </row>
    <row r="514" spans="1:6" x14ac:dyDescent="0.25">
      <c r="A514" s="171" t="s">
        <v>81</v>
      </c>
      <c r="B514" s="3" t="s">
        <v>671</v>
      </c>
      <c r="C514" s="171">
        <v>20</v>
      </c>
      <c r="D514" s="171">
        <v>100</v>
      </c>
      <c r="E514" s="171">
        <v>0</v>
      </c>
      <c r="F514" s="171">
        <v>1</v>
      </c>
    </row>
    <row r="515" spans="1:6" x14ac:dyDescent="0.25">
      <c r="A515" s="171" t="s">
        <v>81</v>
      </c>
      <c r="B515" s="3" t="s">
        <v>671</v>
      </c>
      <c r="C515" s="171">
        <v>40</v>
      </c>
      <c r="D515" s="171">
        <v>70</v>
      </c>
      <c r="E515" s="171">
        <v>12</v>
      </c>
      <c r="F515" s="171">
        <v>0</v>
      </c>
    </row>
    <row r="516" spans="1:6" x14ac:dyDescent="0.25">
      <c r="A516" s="171" t="s">
        <v>81</v>
      </c>
      <c r="B516" s="3" t="s">
        <v>671</v>
      </c>
      <c r="C516" s="171">
        <v>44</v>
      </c>
      <c r="D516" s="171">
        <v>77.272727272727266</v>
      </c>
      <c r="E516" s="171">
        <v>10.000000000000002</v>
      </c>
      <c r="F516" s="171">
        <v>0</v>
      </c>
    </row>
    <row r="517" spans="1:6" x14ac:dyDescent="0.25">
      <c r="A517" s="171" t="s">
        <v>81</v>
      </c>
      <c r="B517" s="3" t="s">
        <v>671</v>
      </c>
      <c r="C517" s="171">
        <v>48</v>
      </c>
      <c r="D517" s="171">
        <v>93.75</v>
      </c>
      <c r="E517" s="171">
        <v>3</v>
      </c>
      <c r="F517" s="171">
        <v>1</v>
      </c>
    </row>
    <row r="518" spans="1:6" x14ac:dyDescent="0.25">
      <c r="A518" s="171" t="s">
        <v>81</v>
      </c>
      <c r="B518" s="3" t="s">
        <v>671</v>
      </c>
      <c r="C518" s="171">
        <v>42</v>
      </c>
      <c r="D518" s="171">
        <v>42.857142857142861</v>
      </c>
      <c r="E518" s="171">
        <v>24</v>
      </c>
      <c r="F518" s="171">
        <v>0</v>
      </c>
    </row>
    <row r="519" spans="1:6" x14ac:dyDescent="0.25">
      <c r="A519" s="171" t="s">
        <v>81</v>
      </c>
      <c r="B519" s="3" t="s">
        <v>671</v>
      </c>
      <c r="C519" s="171">
        <v>33</v>
      </c>
      <c r="D519" s="171">
        <v>96.969696969696969</v>
      </c>
      <c r="E519" s="171">
        <v>1.0000000000000002</v>
      </c>
      <c r="F519" s="171">
        <v>1</v>
      </c>
    </row>
    <row r="520" spans="1:6" x14ac:dyDescent="0.25">
      <c r="A520" s="171" t="s">
        <v>81</v>
      </c>
      <c r="B520" s="3" t="s">
        <v>671</v>
      </c>
      <c r="C520" s="171">
        <v>42</v>
      </c>
      <c r="D520" s="171">
        <v>83.333333333333343</v>
      </c>
      <c r="E520" s="171">
        <v>6.9999999999999956</v>
      </c>
      <c r="F520" s="171">
        <v>0</v>
      </c>
    </row>
    <row r="521" spans="1:6" x14ac:dyDescent="0.25">
      <c r="A521" s="171" t="s">
        <v>81</v>
      </c>
      <c r="B521" s="3" t="s">
        <v>671</v>
      </c>
      <c r="C521" s="171">
        <v>14</v>
      </c>
      <c r="D521" s="171">
        <v>92.857142857142861</v>
      </c>
      <c r="E521" s="171">
        <v>0.99999999999999944</v>
      </c>
      <c r="F521" s="171">
        <v>1</v>
      </c>
    </row>
    <row r="522" spans="1:6" x14ac:dyDescent="0.25">
      <c r="A522" s="171" t="s">
        <v>81</v>
      </c>
      <c r="B522" s="3" t="s">
        <v>671</v>
      </c>
      <c r="C522" s="171">
        <v>26</v>
      </c>
      <c r="D522" s="171">
        <v>100</v>
      </c>
      <c r="E522" s="171">
        <v>0</v>
      </c>
      <c r="F522" s="171">
        <v>1</v>
      </c>
    </row>
    <row r="523" spans="1:6" x14ac:dyDescent="0.25">
      <c r="A523" s="171" t="s">
        <v>81</v>
      </c>
      <c r="B523" s="3" t="s">
        <v>671</v>
      </c>
      <c r="C523" s="171">
        <v>16</v>
      </c>
      <c r="D523" s="171">
        <v>81.25</v>
      </c>
      <c r="E523" s="171">
        <v>3</v>
      </c>
      <c r="F523" s="171">
        <v>0</v>
      </c>
    </row>
    <row r="524" spans="1:6" x14ac:dyDescent="0.25">
      <c r="A524" s="171" t="s">
        <v>81</v>
      </c>
      <c r="B524" s="3" t="s">
        <v>672</v>
      </c>
      <c r="C524" s="171">
        <v>38</v>
      </c>
      <c r="D524" s="171">
        <v>86.84210526315789</v>
      </c>
      <c r="E524" s="171">
        <v>5.0000000000000018</v>
      </c>
      <c r="F524" s="171">
        <v>0</v>
      </c>
    </row>
    <row r="525" spans="1:6" x14ac:dyDescent="0.25">
      <c r="A525" s="171" t="s">
        <v>81</v>
      </c>
      <c r="B525" s="3" t="s">
        <v>672</v>
      </c>
      <c r="C525" s="171">
        <v>31</v>
      </c>
      <c r="D525" s="171">
        <v>93.548387096774192</v>
      </c>
      <c r="E525" s="171">
        <v>2.0000000000000004</v>
      </c>
      <c r="F525" s="171">
        <v>1</v>
      </c>
    </row>
    <row r="526" spans="1:6" x14ac:dyDescent="0.25">
      <c r="A526" s="171" t="s">
        <v>81</v>
      </c>
      <c r="B526" s="3" t="s">
        <v>672</v>
      </c>
      <c r="C526" s="171">
        <v>43</v>
      </c>
      <c r="D526" s="171">
        <v>88.372093023255815</v>
      </c>
      <c r="E526" s="171">
        <v>5</v>
      </c>
      <c r="F526" s="171">
        <v>0</v>
      </c>
    </row>
    <row r="527" spans="1:6" x14ac:dyDescent="0.25">
      <c r="A527" s="171" t="s">
        <v>81</v>
      </c>
      <c r="B527" s="3" t="s">
        <v>672</v>
      </c>
      <c r="C527" s="171">
        <v>38</v>
      </c>
      <c r="D527" s="171">
        <v>81.578947368421055</v>
      </c>
      <c r="E527" s="171">
        <v>6.9999999999999991</v>
      </c>
      <c r="F527" s="171">
        <v>0</v>
      </c>
    </row>
    <row r="528" spans="1:6" x14ac:dyDescent="0.25">
      <c r="A528" s="171" t="s">
        <v>81</v>
      </c>
      <c r="B528" s="3" t="s">
        <v>672</v>
      </c>
      <c r="C528" s="171">
        <v>35</v>
      </c>
      <c r="D528" s="171">
        <v>77.142857142857139</v>
      </c>
      <c r="E528" s="171">
        <v>8.0000000000000018</v>
      </c>
      <c r="F528" s="171">
        <v>0</v>
      </c>
    </row>
    <row r="529" spans="1:6" x14ac:dyDescent="0.25">
      <c r="A529" s="171" t="s">
        <v>81</v>
      </c>
      <c r="B529" s="3" t="s">
        <v>672</v>
      </c>
      <c r="C529" s="171">
        <v>26</v>
      </c>
      <c r="D529" s="171">
        <v>88.461538461538467</v>
      </c>
      <c r="E529" s="171">
        <v>2.9999999999999987</v>
      </c>
      <c r="F529" s="171">
        <v>1</v>
      </c>
    </row>
    <row r="530" spans="1:6" x14ac:dyDescent="0.25">
      <c r="A530" s="171" t="s">
        <v>81</v>
      </c>
      <c r="B530" s="3" t="s">
        <v>672</v>
      </c>
      <c r="C530" s="171">
        <v>41</v>
      </c>
      <c r="D530" s="171">
        <v>97.560975609756099</v>
      </c>
      <c r="E530" s="171">
        <v>0.99999999999999944</v>
      </c>
      <c r="F530" s="171">
        <v>1</v>
      </c>
    </row>
    <row r="531" spans="1:6" x14ac:dyDescent="0.25">
      <c r="A531" s="171" t="s">
        <v>81</v>
      </c>
      <c r="B531" s="3" t="s">
        <v>672</v>
      </c>
      <c r="C531" s="171">
        <v>44</v>
      </c>
      <c r="D531" s="171">
        <v>81.818181818181813</v>
      </c>
      <c r="E531" s="171">
        <v>8.0000000000000018</v>
      </c>
      <c r="F531" s="171">
        <v>0</v>
      </c>
    </row>
    <row r="532" spans="1:6" x14ac:dyDescent="0.25">
      <c r="A532" s="171" t="s">
        <v>81</v>
      </c>
      <c r="B532" s="3" t="s">
        <v>672</v>
      </c>
      <c r="C532" s="171">
        <v>52</v>
      </c>
      <c r="D532" s="171">
        <v>96.15384615384616</v>
      </c>
      <c r="E532" s="171">
        <v>1.9999999999999967</v>
      </c>
      <c r="F532" s="171">
        <v>1</v>
      </c>
    </row>
    <row r="533" spans="1:6" x14ac:dyDescent="0.25">
      <c r="A533" s="171" t="s">
        <v>81</v>
      </c>
      <c r="B533" s="3" t="s">
        <v>672</v>
      </c>
      <c r="C533" s="171">
        <v>22</v>
      </c>
      <c r="D533" s="171">
        <v>86.36363636363636</v>
      </c>
      <c r="E533" s="171">
        <v>3.0000000000000013</v>
      </c>
      <c r="F533" s="171">
        <v>0</v>
      </c>
    </row>
    <row r="534" spans="1:6" x14ac:dyDescent="0.25">
      <c r="A534" s="171" t="s">
        <v>81</v>
      </c>
      <c r="B534" s="3" t="s">
        <v>672</v>
      </c>
      <c r="C534" s="171">
        <v>45</v>
      </c>
      <c r="D534" s="171">
        <v>95.555555555555557</v>
      </c>
      <c r="E534" s="171">
        <v>1.9999999999999993</v>
      </c>
      <c r="F534" s="171">
        <v>1</v>
      </c>
    </row>
    <row r="535" spans="1:6" x14ac:dyDescent="0.25">
      <c r="A535" s="171" t="s">
        <v>81</v>
      </c>
      <c r="B535" s="3" t="s">
        <v>672</v>
      </c>
      <c r="C535" s="171">
        <v>23</v>
      </c>
      <c r="D535" s="171">
        <v>34.782608695652172</v>
      </c>
      <c r="E535" s="171">
        <v>15</v>
      </c>
      <c r="F535" s="171">
        <v>0</v>
      </c>
    </row>
    <row r="536" spans="1:6" x14ac:dyDescent="0.25">
      <c r="A536" s="171" t="s">
        <v>81</v>
      </c>
      <c r="B536" s="3" t="s">
        <v>673</v>
      </c>
      <c r="C536" s="171">
        <v>39</v>
      </c>
      <c r="D536" s="171">
        <v>100</v>
      </c>
      <c r="E536" s="171">
        <v>0</v>
      </c>
      <c r="F536" s="171">
        <v>1</v>
      </c>
    </row>
    <row r="537" spans="1:6" x14ac:dyDescent="0.25">
      <c r="A537" s="171" t="s">
        <v>81</v>
      </c>
      <c r="B537" s="3" t="s">
        <v>673</v>
      </c>
      <c r="C537" s="171">
        <v>42</v>
      </c>
      <c r="D537" s="171">
        <v>85.714285714285722</v>
      </c>
      <c r="E537" s="171">
        <v>5.9999999999999964</v>
      </c>
      <c r="F537" s="171">
        <v>0</v>
      </c>
    </row>
    <row r="538" spans="1:6" x14ac:dyDescent="0.25">
      <c r="A538" s="171" t="s">
        <v>81</v>
      </c>
      <c r="B538" s="3" t="s">
        <v>673</v>
      </c>
      <c r="C538" s="171">
        <v>46</v>
      </c>
      <c r="D538" s="171">
        <v>91.304347826086953</v>
      </c>
      <c r="E538" s="171">
        <v>4.0000000000000009</v>
      </c>
      <c r="F538" s="171">
        <v>0</v>
      </c>
    </row>
    <row r="539" spans="1:6" x14ac:dyDescent="0.25">
      <c r="A539" s="171" t="s">
        <v>81</v>
      </c>
      <c r="B539" s="3" t="s">
        <v>673</v>
      </c>
      <c r="C539" s="171">
        <v>11</v>
      </c>
      <c r="D539" s="171">
        <v>90.909090909090907</v>
      </c>
      <c r="E539" s="171">
        <v>1.0000000000000002</v>
      </c>
      <c r="F539" s="171">
        <v>1</v>
      </c>
    </row>
    <row r="540" spans="1:6" x14ac:dyDescent="0.25">
      <c r="A540" s="171" t="s">
        <v>81</v>
      </c>
      <c r="B540" s="3" t="s">
        <v>673</v>
      </c>
      <c r="C540" s="171">
        <v>19</v>
      </c>
      <c r="D540" s="171">
        <v>84.21052631578948</v>
      </c>
      <c r="E540" s="171">
        <v>2.9999999999999987</v>
      </c>
      <c r="F540" s="171">
        <v>0</v>
      </c>
    </row>
    <row r="541" spans="1:6" x14ac:dyDescent="0.25">
      <c r="A541" s="171" t="s">
        <v>81</v>
      </c>
      <c r="B541" s="3" t="s">
        <v>673</v>
      </c>
      <c r="C541" s="171">
        <v>39</v>
      </c>
      <c r="D541" s="171">
        <v>94.871794871794876</v>
      </c>
      <c r="E541" s="171">
        <v>1.9999999999999982</v>
      </c>
      <c r="F541" s="171">
        <v>1</v>
      </c>
    </row>
    <row r="542" spans="1:6" x14ac:dyDescent="0.25">
      <c r="A542" s="171" t="s">
        <v>81</v>
      </c>
      <c r="B542" s="3" t="s">
        <v>673</v>
      </c>
      <c r="C542" s="171">
        <v>57</v>
      </c>
      <c r="D542" s="171">
        <v>57.894736842105267</v>
      </c>
      <c r="E542" s="171">
        <v>23.999999999999996</v>
      </c>
      <c r="F542" s="171">
        <v>0</v>
      </c>
    </row>
    <row r="543" spans="1:6" x14ac:dyDescent="0.25">
      <c r="A543" s="171" t="s">
        <v>81</v>
      </c>
      <c r="B543" s="3" t="s">
        <v>673</v>
      </c>
      <c r="C543" s="171">
        <v>40</v>
      </c>
      <c r="D543" s="171">
        <v>62.5</v>
      </c>
      <c r="E543" s="171">
        <v>15</v>
      </c>
      <c r="F543" s="171">
        <v>0</v>
      </c>
    </row>
    <row r="544" spans="1:6" x14ac:dyDescent="0.25">
      <c r="A544" s="171" t="s">
        <v>81</v>
      </c>
      <c r="B544" s="3" t="s">
        <v>673</v>
      </c>
      <c r="C544" s="171">
        <v>45</v>
      </c>
      <c r="D544" s="171">
        <v>80</v>
      </c>
      <c r="E544" s="171">
        <v>9</v>
      </c>
      <c r="F544" s="171">
        <v>0</v>
      </c>
    </row>
    <row r="545" spans="1:6" x14ac:dyDescent="0.25">
      <c r="A545" s="171" t="s">
        <v>81</v>
      </c>
      <c r="B545" s="3" t="s">
        <v>673</v>
      </c>
      <c r="C545" s="171">
        <v>23</v>
      </c>
      <c r="D545" s="171">
        <v>43.478260869565219</v>
      </c>
      <c r="E545" s="171">
        <v>13</v>
      </c>
      <c r="F545" s="171">
        <v>0</v>
      </c>
    </row>
    <row r="546" spans="1:6" x14ac:dyDescent="0.25">
      <c r="A546" s="171" t="s">
        <v>81</v>
      </c>
      <c r="B546" s="3" t="s">
        <v>673</v>
      </c>
      <c r="C546" s="171">
        <v>39</v>
      </c>
      <c r="D546" s="171">
        <v>56.410256410256409</v>
      </c>
      <c r="E546" s="171">
        <v>17</v>
      </c>
      <c r="F546" s="171">
        <v>0</v>
      </c>
    </row>
    <row r="547" spans="1:6" x14ac:dyDescent="0.25">
      <c r="A547" s="171" t="s">
        <v>81</v>
      </c>
      <c r="B547" s="3" t="s">
        <v>673</v>
      </c>
      <c r="C547" s="171">
        <v>46</v>
      </c>
      <c r="D547" s="171">
        <v>93.478260869565219</v>
      </c>
      <c r="E547" s="171">
        <v>2.9999999999999996</v>
      </c>
      <c r="F547" s="171">
        <v>0</v>
      </c>
    </row>
    <row r="548" spans="1:6" x14ac:dyDescent="0.25">
      <c r="A548" s="171" t="s">
        <v>81</v>
      </c>
      <c r="B548" s="3" t="s">
        <v>673</v>
      </c>
      <c r="C548" s="171">
        <v>35</v>
      </c>
      <c r="D548" s="171">
        <v>88.571428571428569</v>
      </c>
      <c r="E548" s="171">
        <v>4.0000000000000009</v>
      </c>
      <c r="F548" s="171">
        <v>0</v>
      </c>
    </row>
  </sheetData>
  <autoFilter ref="A2:F548" xr:uid="{D2846A14-2485-473F-8B21-CDAAA588C698}"/>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30965-77FD-453F-8FA7-B819E58D3527}">
  <dimension ref="A1:U694"/>
  <sheetViews>
    <sheetView workbookViewId="0">
      <selection activeCell="L32" sqref="L32"/>
    </sheetView>
  </sheetViews>
  <sheetFormatPr defaultColWidth="9.140625" defaultRowHeight="15" x14ac:dyDescent="0.25"/>
  <cols>
    <col min="1" max="2" width="9.140625" style="171"/>
    <col min="3" max="3" width="10.28515625" style="171" customWidth="1"/>
    <col min="4" max="4" width="9.140625" style="171"/>
    <col min="5" max="5" width="12.5703125" style="171" customWidth="1"/>
    <col min="6" max="6" width="13.42578125" style="171" customWidth="1"/>
    <col min="7" max="8" width="9.140625" style="171"/>
    <col min="9" max="9" width="16.140625" style="171" customWidth="1"/>
    <col min="10" max="12" width="9.140625" style="171"/>
    <col min="13" max="13" width="11.5703125" style="171" customWidth="1"/>
    <col min="14" max="15" width="9.140625" style="171"/>
    <col min="16" max="16" width="11" style="171" customWidth="1"/>
    <col min="17" max="18" width="9.7109375" style="171" customWidth="1"/>
    <col min="19" max="19" width="10.7109375" style="171" customWidth="1"/>
    <col min="20" max="20" width="9.28515625" style="171" customWidth="1"/>
    <col min="21" max="21" width="11" style="171" customWidth="1"/>
    <col min="22" max="16384" width="9.140625" style="171"/>
  </cols>
  <sheetData>
    <row r="1" spans="1:21" x14ac:dyDescent="0.25">
      <c r="B1" s="136" t="s">
        <v>658</v>
      </c>
      <c r="H1" s="4"/>
      <c r="I1" s="136" t="s">
        <v>665</v>
      </c>
      <c r="P1" s="136" t="s">
        <v>457</v>
      </c>
    </row>
    <row r="2" spans="1:21" x14ac:dyDescent="0.25">
      <c r="A2" s="193" t="s">
        <v>661</v>
      </c>
      <c r="B2" s="173" t="s">
        <v>83</v>
      </c>
      <c r="C2" s="173" t="s">
        <v>100</v>
      </c>
      <c r="D2" s="173" t="s">
        <v>229</v>
      </c>
      <c r="E2" s="173" t="s">
        <v>196</v>
      </c>
      <c r="F2" s="173" t="s">
        <v>638</v>
      </c>
      <c r="G2" s="173" t="s">
        <v>112</v>
      </c>
      <c r="I2" s="117" t="s">
        <v>83</v>
      </c>
      <c r="J2" s="126" t="str">
        <f>C2</f>
        <v>AChE</v>
      </c>
      <c r="K2" s="141" t="str">
        <f>D2</f>
        <v>CAT</v>
      </c>
      <c r="L2" s="141" t="str">
        <f>E2</f>
        <v>GST</v>
      </c>
      <c r="M2" s="141" t="str">
        <f>F2</f>
        <v>GR</v>
      </c>
      <c r="N2" s="141" t="str">
        <f>G2</f>
        <v>TBARS</v>
      </c>
      <c r="P2" s="138" t="s">
        <v>83</v>
      </c>
      <c r="Q2" s="138" t="str">
        <f>J2</f>
        <v>AChE</v>
      </c>
      <c r="R2" s="138" t="str">
        <f t="shared" ref="R2:U2" si="0">K2</f>
        <v>CAT</v>
      </c>
      <c r="S2" s="138" t="str">
        <f t="shared" si="0"/>
        <v>GST</v>
      </c>
      <c r="T2" s="138" t="str">
        <f t="shared" si="0"/>
        <v>GR</v>
      </c>
      <c r="U2" s="138" t="str">
        <f t="shared" si="0"/>
        <v>TBARS</v>
      </c>
    </row>
    <row r="3" spans="1:21" x14ac:dyDescent="0.25">
      <c r="A3" s="194">
        <v>2020</v>
      </c>
      <c r="B3" s="174" t="s">
        <v>477</v>
      </c>
      <c r="C3" s="175">
        <v>75</v>
      </c>
      <c r="D3" s="175">
        <v>174.88</v>
      </c>
      <c r="E3" s="175">
        <v>137.1</v>
      </c>
      <c r="F3" s="175">
        <v>4.8099999999999996</v>
      </c>
      <c r="G3" s="174"/>
      <c r="I3" s="174" t="s">
        <v>477</v>
      </c>
      <c r="J3" s="171" cm="1">
        <f t="array" ref="J3">_xlfn.PERCENTILE.INC(_xlfn._xlws.FILTER(C:C, (B:B=I3)*(C:C&lt;&gt;"")), 0.1)</f>
        <v>21</v>
      </c>
      <c r="K3" s="171" cm="1">
        <f t="array" ref="K3">_xlfn.PERCENTILE.INC(_xlfn._xlws.FILTER(D:D, (B:B=I3)*(D:D&lt;&gt;"")), 0.9)</f>
        <v>190.66400000000002</v>
      </c>
      <c r="L3" s="171" cm="1">
        <f t="array" ref="L3">_xlfn.PERCENTILE.INC(_xlfn._xlws.FILTER(E:E, (B:B=I3)*(E:E&lt;&gt;"")), 0.9)</f>
        <v>162.88</v>
      </c>
      <c r="M3" s="171" cm="1">
        <f t="array" ref="M3">_xlfn.PERCENTILE.INC(_xlfn._xlws.FILTER(F:F, (B:B=I3)*(F:F&lt;&gt;"")), 0.9)</f>
        <v>5.3029999999999999</v>
      </c>
      <c r="N3" s="171" cm="1">
        <f t="array" ref="N3">_xlfn.PERCENTILE.INC(_xlfn._xlws.FILTER(G:G, (B:B=I3)*(G:G&lt;&gt;"")), 0.9)</f>
        <v>4.0440000000000023</v>
      </c>
      <c r="P3" s="139" t="str">
        <f>I3</f>
        <v>101A</v>
      </c>
      <c r="Q3" s="140">
        <f>COUNTIFS(B:B, P3, C:C, "&lt;&gt;")</f>
        <v>50</v>
      </c>
      <c r="R3" s="140">
        <f>COUNTIFS(B:B, P3, D:D, "&lt;&gt;")</f>
        <v>32</v>
      </c>
      <c r="S3" s="140">
        <f>COUNTIFS(B:B, P3, E:E, "&lt;&gt;")</f>
        <v>31</v>
      </c>
      <c r="T3" s="140">
        <f>COUNTIFS(B:B, P3, F:F, "&lt;&gt;")</f>
        <v>32</v>
      </c>
      <c r="U3" s="140">
        <f>COUNTIFS(B:B, P3, G:G, "&lt;&gt;")</f>
        <v>22</v>
      </c>
    </row>
    <row r="4" spans="1:21" x14ac:dyDescent="0.25">
      <c r="A4" s="194">
        <v>2020</v>
      </c>
      <c r="B4" s="174" t="s">
        <v>477</v>
      </c>
      <c r="C4" s="175">
        <v>83</v>
      </c>
      <c r="D4" s="175">
        <v>184.62</v>
      </c>
      <c r="E4" s="175">
        <v>106.99</v>
      </c>
      <c r="F4" s="175">
        <v>5.35</v>
      </c>
      <c r="G4" s="174"/>
      <c r="I4" s="174" t="s">
        <v>495</v>
      </c>
      <c r="J4" s="171" cm="1">
        <f t="array" ref="J4">_xlfn.PERCENTILE.INC(_xlfn._xlws.FILTER(C:C, (B:B=I4)*(C:C&lt;&gt;"")), 0.1)</f>
        <v>19</v>
      </c>
      <c r="K4" s="171" cm="1">
        <f t="array" ref="K4">_xlfn.PERCENTILE.INC(_xlfn._xlws.FILTER(D:D, (B:B=I4)*(D:D&lt;&gt;"")), 0.9)</f>
        <v>226.17600000000002</v>
      </c>
      <c r="L4" s="171" cm="1">
        <f t="array" ref="L4">_xlfn.PERCENTILE.INC(_xlfn._xlws.FILTER(E:E, (B:B=I4)*(E:E&lt;&gt;"")), 0.9)</f>
        <v>164.822</v>
      </c>
      <c r="M4" s="171" cm="1">
        <f t="array" ref="M4">_xlfn.PERCENTILE.INC(_xlfn._xlws.FILTER(F:F, (B:B=I4)*(F:F&lt;&gt;"")), 0.9)</f>
        <v>6.4349999999999996</v>
      </c>
      <c r="N4" s="171" cm="1">
        <f t="array" ref="N4">_xlfn.PERCENTILE.INC(_xlfn._xlws.FILTER(G:G, (B:B=I4)*(G:G&lt;&gt;"")), 0.9)</f>
        <v>7.7660000000000018</v>
      </c>
      <c r="P4" s="139" t="str">
        <f t="shared" ref="P4:P21" si="1">I4</f>
        <v>167B</v>
      </c>
      <c r="Q4" s="140">
        <f t="shared" ref="Q4:Q21" si="2">COUNTIFS(B:B, P4, C:C, "&lt;&gt;")</f>
        <v>52</v>
      </c>
      <c r="R4" s="140">
        <f t="shared" ref="R4:R21" si="3">COUNTIFS(B:B, P4, D:D, "&lt;&gt;")</f>
        <v>35</v>
      </c>
      <c r="S4" s="140">
        <f t="shared" ref="S4:S21" si="4">COUNTIFS(B:B, P4, E:E, "&lt;&gt;")</f>
        <v>35</v>
      </c>
      <c r="T4" s="140">
        <f t="shared" ref="T4:T21" si="5">COUNTIFS(B:B, P4, F:F, "&lt;&gt;")</f>
        <v>36</v>
      </c>
      <c r="U4" s="140">
        <f t="shared" ref="U4:U21" si="6">COUNTIFS(B:B, P4, G:G, "&lt;&gt;")</f>
        <v>25</v>
      </c>
    </row>
    <row r="5" spans="1:21" x14ac:dyDescent="0.25">
      <c r="A5" s="194">
        <v>2020</v>
      </c>
      <c r="B5" s="174" t="s">
        <v>477</v>
      </c>
      <c r="C5" s="175">
        <v>87</v>
      </c>
      <c r="D5" s="175">
        <v>184</v>
      </c>
      <c r="E5" s="175">
        <v>120.61</v>
      </c>
      <c r="F5" s="175">
        <v>3.5</v>
      </c>
      <c r="G5" s="174"/>
      <c r="I5" s="174" t="s">
        <v>492</v>
      </c>
      <c r="J5" s="171" cm="1">
        <f t="array" ref="J5">_xlfn.PERCENTILE.INC(_xlfn._xlws.FILTER(C:C, (B:B=I5)*(C:C&lt;&gt;"")), 0.1)</f>
        <v>30.9</v>
      </c>
      <c r="K5" s="171" cm="1">
        <f t="array" ref="K5">_xlfn.PERCENTILE.INC(_xlfn._xlws.FILTER(D:D, (B:B=I5)*(D:D&lt;&gt;"")), 0.9)</f>
        <v>206.999</v>
      </c>
      <c r="L5" s="171" cm="1">
        <f t="array" ref="L5">_xlfn.PERCENTILE.INC(_xlfn._xlws.FILTER(E:E, (B:B=I5)*(E:E&lt;&gt;"")), 0.9)</f>
        <v>164.64</v>
      </c>
      <c r="M5" s="171" cm="1">
        <f t="array" ref="M5">_xlfn.PERCENTILE.INC(_xlfn._xlws.FILTER(F:F, (B:B=I5)*(F:F&lt;&gt;"")), 0.9)</f>
        <v>6.88</v>
      </c>
      <c r="N5" s="171" cm="1">
        <f t="array" ref="N5">_xlfn.PERCENTILE.INC(_xlfn._xlws.FILTER(G:G, (B:B=I5)*(G:G&lt;&gt;"")), 0.9)</f>
        <v>6.5620000000000003</v>
      </c>
      <c r="P5" s="139" t="str">
        <f t="shared" si="1"/>
        <v>160B</v>
      </c>
      <c r="Q5" s="140">
        <f t="shared" si="2"/>
        <v>40</v>
      </c>
      <c r="R5" s="140">
        <f t="shared" si="3"/>
        <v>20</v>
      </c>
      <c r="S5" s="140">
        <f t="shared" si="4"/>
        <v>21</v>
      </c>
      <c r="T5" s="140">
        <f t="shared" si="5"/>
        <v>21</v>
      </c>
      <c r="U5" s="140">
        <f t="shared" si="6"/>
        <v>17</v>
      </c>
    </row>
    <row r="6" spans="1:21" x14ac:dyDescent="0.25">
      <c r="A6" s="194">
        <v>2020</v>
      </c>
      <c r="B6" s="174" t="s">
        <v>477</v>
      </c>
      <c r="C6" s="175">
        <v>66</v>
      </c>
      <c r="D6" s="175">
        <v>203.77</v>
      </c>
      <c r="E6" s="175">
        <v>123.6</v>
      </c>
      <c r="F6" s="175">
        <v>4.18</v>
      </c>
      <c r="G6" s="174"/>
      <c r="I6" s="174" t="s">
        <v>512</v>
      </c>
      <c r="J6" s="171" cm="1">
        <f t="array" ref="J6">_xlfn.PERCENTILE.INC(_xlfn._xlws.FILTER(C:C, (B:B=I6)*(C:C&lt;&gt;"")), 0.1)</f>
        <v>19</v>
      </c>
      <c r="K6" s="171" cm="1">
        <f t="array" ref="K6">_xlfn.PERCENTILE.INC(_xlfn._xlws.FILTER(D:D, (B:B=I6)*(D:D&lt;&gt;"")), 0.9)</f>
        <v>180.68799999999999</v>
      </c>
      <c r="L6" s="171" cm="1">
        <f t="array" ref="L6">_xlfn.PERCENTILE.INC(_xlfn._xlws.FILTER(E:E, (B:B=I6)*(E:E&lt;&gt;"")), 0.9)</f>
        <v>165.56399999999999</v>
      </c>
      <c r="M6" s="171" cm="1">
        <f t="array" ref="M6">_xlfn.PERCENTILE.INC(_xlfn._xlws.FILTER(F:F, (B:B=I6)*(F:F&lt;&gt;"")), 0.9)</f>
        <v>4.9039999999999999</v>
      </c>
      <c r="N6" s="171" cm="1">
        <f t="array" ref="N6">_xlfn.PERCENTILE.INC(_xlfn._xlws.FILTER(G:G, (B:B=I6)*(G:G&lt;&gt;"")), 0.9)</f>
        <v>3.24</v>
      </c>
      <c r="P6" s="139" t="str">
        <f t="shared" si="1"/>
        <v>VAD2</v>
      </c>
      <c r="Q6" s="140">
        <f t="shared" si="2"/>
        <v>42</v>
      </c>
      <c r="R6" s="140">
        <f t="shared" si="3"/>
        <v>27</v>
      </c>
      <c r="S6" s="140">
        <f t="shared" si="4"/>
        <v>27</v>
      </c>
      <c r="T6" s="140">
        <f t="shared" si="5"/>
        <v>27</v>
      </c>
      <c r="U6" s="140">
        <f t="shared" si="6"/>
        <v>16</v>
      </c>
    </row>
    <row r="7" spans="1:21" ht="14.45" customHeight="1" x14ac:dyDescent="0.25">
      <c r="A7" s="194">
        <v>2020</v>
      </c>
      <c r="B7" s="174" t="s">
        <v>477</v>
      </c>
      <c r="C7" s="175">
        <v>69</v>
      </c>
      <c r="D7" s="175">
        <v>200.01</v>
      </c>
      <c r="E7" s="175">
        <v>109.79</v>
      </c>
      <c r="F7" s="175">
        <v>4.21</v>
      </c>
      <c r="G7" s="174"/>
      <c r="I7" s="174" t="s">
        <v>494</v>
      </c>
      <c r="J7" s="171" cm="1">
        <f t="array" ref="J7">_xlfn.PERCENTILE.INC(_xlfn._xlws.FILTER(C:C, (B:B=I7)*(C:C&lt;&gt;"")), 0.1)</f>
        <v>35.5</v>
      </c>
      <c r="K7" s="171" cm="1">
        <f t="array" ref="K7">_xlfn.PERCENTILE.INC(_xlfn._xlws.FILTER(D:D, (B:B=I7)*(D:D&lt;&gt;"")), 0.9)</f>
        <v>182.28200000000001</v>
      </c>
      <c r="L7" s="171" cm="1">
        <f t="array" ref="L7">_xlfn.PERCENTILE.INC(_xlfn._xlws.FILTER(E:E, (B:B=I7)*(E:E&lt;&gt;"")), 0.9)</f>
        <v>169.03799999999995</v>
      </c>
      <c r="M7" s="171" cm="1">
        <f t="array" ref="M7">_xlfn.PERCENTILE.INC(_xlfn._xlws.FILTER(F:F, (B:B=I7)*(F:F&lt;&gt;"")), 0.9)</f>
        <v>4.7919999999999998</v>
      </c>
      <c r="N7" s="171" cm="1">
        <f t="array" ref="N7">_xlfn.PERCENTILE.INC(_xlfn._xlws.FILTER(G:G, (B:B=I7)*(G:G&lt;&gt;"")), 0.9)</f>
        <v>7.1000000000000014</v>
      </c>
      <c r="P7" s="139" t="str">
        <f t="shared" si="1"/>
        <v>163B</v>
      </c>
      <c r="Q7" s="140">
        <f t="shared" si="2"/>
        <v>56</v>
      </c>
      <c r="R7" s="140">
        <f t="shared" si="3"/>
        <v>37</v>
      </c>
      <c r="S7" s="140">
        <f t="shared" si="4"/>
        <v>37</v>
      </c>
      <c r="T7" s="140">
        <f t="shared" si="5"/>
        <v>37</v>
      </c>
      <c r="U7" s="140">
        <f t="shared" si="6"/>
        <v>25</v>
      </c>
    </row>
    <row r="8" spans="1:21" x14ac:dyDescent="0.25">
      <c r="A8" s="194">
        <v>2020</v>
      </c>
      <c r="B8" s="174" t="s">
        <v>495</v>
      </c>
      <c r="C8" s="175">
        <v>99</v>
      </c>
      <c r="D8" s="175">
        <v>284.82</v>
      </c>
      <c r="E8" s="175">
        <v>153.06</v>
      </c>
      <c r="F8" s="175">
        <v>4.3099999999999996</v>
      </c>
      <c r="G8" s="174"/>
      <c r="I8" s="174" t="s">
        <v>493</v>
      </c>
      <c r="J8" s="171" cm="1">
        <f t="array" ref="J8">_xlfn.PERCENTILE.INC(_xlfn._xlws.FILTER(C:C, (B:B=I8)*(C:C&lt;&gt;"")), 0.1)</f>
        <v>28.8</v>
      </c>
      <c r="K8" s="171" cm="1">
        <f t="array" ref="K8">_xlfn.PERCENTILE.INC(_xlfn._xlws.FILTER(D:D, (B:B=I8)*(D:D&lt;&gt;"")), 0.9)</f>
        <v>164.62</v>
      </c>
      <c r="L8" s="171" cm="1">
        <f t="array" ref="L8">_xlfn.PERCENTILE.INC(_xlfn._xlws.FILTER(E:E, (B:B=I8)*(E:E&lt;&gt;"")), 0.9)</f>
        <v>143.03</v>
      </c>
      <c r="M8" s="171" cm="1">
        <f t="array" ref="M8">_xlfn.PERCENTILE.INC(_xlfn._xlws.FILTER(F:F, (B:B=I8)*(F:F&lt;&gt;"")), 0.9)</f>
        <v>4.49</v>
      </c>
      <c r="N8" s="171" cm="1">
        <f t="array" ref="N8">_xlfn.PERCENTILE.INC(_xlfn._xlws.FILTER(G:G, (B:B=I8)*(G:G&lt;&gt;"")), 0.9)</f>
        <v>5.6940000000000008</v>
      </c>
      <c r="P8" s="139" t="str">
        <f t="shared" si="1"/>
        <v>162B</v>
      </c>
      <c r="Q8" s="140">
        <f t="shared" si="2"/>
        <v>50</v>
      </c>
      <c r="R8" s="140">
        <f t="shared" si="3"/>
        <v>31</v>
      </c>
      <c r="S8" s="140">
        <f t="shared" si="4"/>
        <v>31</v>
      </c>
      <c r="T8" s="140">
        <f t="shared" si="5"/>
        <v>31</v>
      </c>
      <c r="U8" s="140">
        <f t="shared" si="6"/>
        <v>23</v>
      </c>
    </row>
    <row r="9" spans="1:21" x14ac:dyDescent="0.25">
      <c r="A9" s="194">
        <v>2020</v>
      </c>
      <c r="B9" s="174" t="s">
        <v>495</v>
      </c>
      <c r="C9" s="175">
        <v>71</v>
      </c>
      <c r="D9" s="175">
        <v>224.01</v>
      </c>
      <c r="E9" s="175">
        <v>157.09</v>
      </c>
      <c r="F9" s="175">
        <v>5.0599999999999996</v>
      </c>
      <c r="G9" s="174"/>
      <c r="I9" s="211" t="s">
        <v>481</v>
      </c>
      <c r="J9" s="171" cm="1">
        <f t="array" ref="J9">_xlfn.PERCENTILE.INC(_xlfn._xlws.FILTER(C:C, (B:B=I9)*(C:C&lt;&gt;"")), 0.1)</f>
        <v>30</v>
      </c>
      <c r="K9" s="171" cm="1">
        <f t="array" ref="K9">_xlfn.PERCENTILE.INC(_xlfn._xlws.FILTER(D:D, (B:B=I9)*(D:D&lt;&gt;"")), 0.9)</f>
        <v>164.45699999999999</v>
      </c>
      <c r="L9" s="171" cm="1">
        <f t="array" ref="L9">_xlfn.PERCENTILE.INC(_xlfn._xlws.FILTER(E:E, (B:B=I9)*(E:E&lt;&gt;"")), 0.9)</f>
        <v>149.79500000000002</v>
      </c>
      <c r="M9" s="171" cm="1">
        <f t="array" ref="M9">_xlfn.PERCENTILE.INC(_xlfn._xlws.FILTER(F:F, (B:B=I9)*(F:F&lt;&gt;"")), 0.9)</f>
        <v>6.6170000000000044</v>
      </c>
      <c r="N9" s="171" cm="1">
        <f t="array" ref="N9">_xlfn.PERCENTILE.INC(_xlfn._xlws.FILTER(G:G, (B:B=I9)*(G:G&lt;&gt;"")), 0.9)</f>
        <v>4.62</v>
      </c>
      <c r="P9" s="139" t="str">
        <f t="shared" si="1"/>
        <v>111</v>
      </c>
      <c r="Q9" s="140">
        <f t="shared" si="2"/>
        <v>90</v>
      </c>
      <c r="R9" s="140">
        <f t="shared" si="3"/>
        <v>52</v>
      </c>
      <c r="S9" s="140">
        <f t="shared" si="4"/>
        <v>54</v>
      </c>
      <c r="T9" s="140">
        <f t="shared" si="5"/>
        <v>54</v>
      </c>
      <c r="U9" s="140">
        <f t="shared" si="6"/>
        <v>48</v>
      </c>
    </row>
    <row r="10" spans="1:21" x14ac:dyDescent="0.25">
      <c r="A10" s="194">
        <v>2020</v>
      </c>
      <c r="B10" s="174" t="s">
        <v>495</v>
      </c>
      <c r="C10" s="175">
        <v>96</v>
      </c>
      <c r="D10" s="175">
        <v>204.56</v>
      </c>
      <c r="E10" s="175">
        <v>119.68</v>
      </c>
      <c r="F10" s="175">
        <v>5.38</v>
      </c>
      <c r="G10" s="174"/>
      <c r="I10" s="174" t="s">
        <v>482</v>
      </c>
      <c r="J10" s="171" cm="1">
        <f t="array" ref="J10">_xlfn.PERCENTILE.INC(_xlfn._xlws.FILTER(C:C, (B:B=I10)*(C:C&lt;&gt;"")), 0.1)</f>
        <v>24.4</v>
      </c>
      <c r="K10" s="171" cm="1">
        <f t="array" ref="K10">_xlfn.PERCENTILE.INC(_xlfn._xlws.FILTER(D:D, (B:B=I10)*(D:D&lt;&gt;"")), 0.9)</f>
        <v>160.352</v>
      </c>
      <c r="L10" s="171" cm="1">
        <f t="array" ref="L10">_xlfn.PERCENTILE.INC(_xlfn._xlws.FILTER(E:E, (B:B=I10)*(E:E&lt;&gt;"")), 0.9)</f>
        <v>131.30000000000001</v>
      </c>
      <c r="M10" s="171" cm="1">
        <f t="array" ref="M10">_xlfn.PERCENTILE.INC(_xlfn._xlws.FILTER(F:F, (B:B=I10)*(F:F&lt;&gt;"")), 0.9)</f>
        <v>6.54</v>
      </c>
      <c r="N10" s="171" cm="1">
        <f t="array" ref="N10">_xlfn.PERCENTILE.INC(_xlfn._xlws.FILTER(G:G, (B:B=I10)*(G:G&lt;&gt;"")), 0.9)</f>
        <v>6.2620000000000013</v>
      </c>
      <c r="P10" s="139" t="str">
        <f t="shared" si="1"/>
        <v>114A</v>
      </c>
      <c r="Q10" s="140">
        <f t="shared" si="2"/>
        <v>45</v>
      </c>
      <c r="R10" s="140">
        <f t="shared" si="3"/>
        <v>19</v>
      </c>
      <c r="S10" s="140">
        <f t="shared" si="4"/>
        <v>19</v>
      </c>
      <c r="T10" s="140">
        <f t="shared" si="5"/>
        <v>19</v>
      </c>
      <c r="U10" s="140">
        <f t="shared" si="6"/>
        <v>13</v>
      </c>
    </row>
    <row r="11" spans="1:21" x14ac:dyDescent="0.25">
      <c r="A11" s="194">
        <v>2020</v>
      </c>
      <c r="B11" s="174" t="s">
        <v>495</v>
      </c>
      <c r="C11" s="175">
        <v>78</v>
      </c>
      <c r="D11" s="175">
        <v>227.62</v>
      </c>
      <c r="E11" s="175">
        <v>119.06</v>
      </c>
      <c r="F11" s="175">
        <v>4.2</v>
      </c>
      <c r="G11" s="174"/>
      <c r="I11" s="174" t="s">
        <v>500</v>
      </c>
      <c r="J11" s="171" cm="1">
        <f t="array" ref="J11">_xlfn.PERCENTILE.INC(_xlfn._xlws.FILTER(C:C, (B:B=I11)*(C:C&lt;&gt;"")), 0.1)</f>
        <v>22.9</v>
      </c>
      <c r="P11" s="139" t="str">
        <f t="shared" si="1"/>
        <v>G3</v>
      </c>
      <c r="Q11" s="140">
        <f t="shared" si="2"/>
        <v>30</v>
      </c>
      <c r="R11" s="140">
        <f t="shared" si="3"/>
        <v>0</v>
      </c>
      <c r="S11" s="140">
        <f t="shared" si="4"/>
        <v>0</v>
      </c>
      <c r="T11" s="140">
        <f t="shared" si="5"/>
        <v>0</v>
      </c>
      <c r="U11" s="140">
        <f t="shared" si="6"/>
        <v>0</v>
      </c>
    </row>
    <row r="12" spans="1:21" x14ac:dyDescent="0.25">
      <c r="A12" s="194">
        <v>2020</v>
      </c>
      <c r="B12" s="174" t="s">
        <v>492</v>
      </c>
      <c r="C12" s="175">
        <v>60</v>
      </c>
      <c r="D12" s="175">
        <v>144.36000000000001</v>
      </c>
      <c r="E12" s="175">
        <v>206.26</v>
      </c>
      <c r="F12" s="175">
        <v>4.13</v>
      </c>
      <c r="G12" s="174"/>
      <c r="I12" s="174" t="s">
        <v>480</v>
      </c>
      <c r="J12" s="171" cm="1">
        <f t="array" ref="J12">_xlfn.PERCENTILE.INC(_xlfn._xlws.FILTER(C:C, (B:B=I12)*(C:C&lt;&gt;"")), 0.1)</f>
        <v>25.6</v>
      </c>
      <c r="K12" s="171" cm="1">
        <f t="array" ref="K12">_xlfn.PERCENTILE.INC(_xlfn._xlws.FILTER(D:D, (B:B=I12)*(D:D&lt;&gt;"")), 0.9)</f>
        <v>218.82</v>
      </c>
      <c r="L12" s="171" cm="1">
        <f t="array" ref="L12">_xlfn.PERCENTILE.INC(_xlfn._xlws.FILTER(E:E, (B:B=I12)*(E:E&lt;&gt;"")), 0.9)</f>
        <v>161.09</v>
      </c>
      <c r="M12" s="171" cm="1">
        <f t="array" ref="M12">_xlfn.PERCENTILE.INC(_xlfn._xlws.FILTER(F:F, (B:B=I12)*(F:F&lt;&gt;"")), 0.9)</f>
        <v>6.26</v>
      </c>
      <c r="N12" s="171" cm="1">
        <f t="array" ref="N12">_xlfn.PERCENTILE.INC(_xlfn._xlws.FILTER(G:G, (B:B=I12)*(G:G&lt;&gt;"")), 0.9)</f>
        <v>7.1920000000000011</v>
      </c>
      <c r="P12" s="139" t="str">
        <f t="shared" si="1"/>
        <v>107</v>
      </c>
      <c r="Q12" s="140">
        <f t="shared" si="2"/>
        <v>27</v>
      </c>
      <c r="R12" s="140">
        <f t="shared" si="3"/>
        <v>11</v>
      </c>
      <c r="S12" s="140">
        <f t="shared" si="4"/>
        <v>11</v>
      </c>
      <c r="T12" s="140">
        <f t="shared" si="5"/>
        <v>11</v>
      </c>
      <c r="U12" s="140">
        <f t="shared" si="6"/>
        <v>17</v>
      </c>
    </row>
    <row r="13" spans="1:21" x14ac:dyDescent="0.25">
      <c r="A13" s="194">
        <v>2020</v>
      </c>
      <c r="B13" s="174" t="s">
        <v>492</v>
      </c>
      <c r="C13" s="175">
        <v>61</v>
      </c>
      <c r="D13" s="175">
        <v>126.24</v>
      </c>
      <c r="E13" s="175">
        <v>164.64</v>
      </c>
      <c r="F13" s="175">
        <v>5.31</v>
      </c>
      <c r="G13" s="174"/>
      <c r="I13" s="174" t="s">
        <v>488</v>
      </c>
      <c r="J13" s="171" cm="1">
        <f t="array" ref="J13">_xlfn.PERCENTILE.INC(_xlfn._xlws.FILTER(C:C, (B:B=I13)*(C:C&lt;&gt;"")), 0.1)</f>
        <v>22.3</v>
      </c>
      <c r="K13" s="171" cm="1">
        <f t="array" ref="K13">_xlfn.PERCENTILE.INC(_xlfn._xlws.FILTER(D:D, (B:B=I13)*(D:D&lt;&gt;"")), 0.9)</f>
        <v>220.08600000000007</v>
      </c>
      <c r="L13" s="171" cm="1">
        <f t="array" ref="L13">_xlfn.PERCENTILE.INC(_xlfn._xlws.FILTER(E:E, (B:B=I13)*(E:E&lt;&gt;"")), 0.9)</f>
        <v>174.62</v>
      </c>
      <c r="M13" s="171" cm="1">
        <f t="array" ref="M13">_xlfn.PERCENTILE.INC(_xlfn._xlws.FILTER(F:F, (B:B=I13)*(F:F&lt;&gt;"")), 0.9)</f>
        <v>7.3560000000000008</v>
      </c>
      <c r="N13" s="171" cm="1">
        <f t="array" ref="N13">_xlfn.PERCENTILE.INC(_xlfn._xlws.FILTER(G:G, (B:B=I13)*(G:G&lt;&gt;"")), 0.9)</f>
        <v>5.8650000000000002</v>
      </c>
      <c r="P13" s="139" t="str">
        <f t="shared" si="1"/>
        <v>135</v>
      </c>
      <c r="Q13" s="140">
        <f t="shared" si="2"/>
        <v>34</v>
      </c>
      <c r="R13" s="140">
        <f t="shared" si="3"/>
        <v>22</v>
      </c>
      <c r="S13" s="140">
        <f t="shared" si="4"/>
        <v>21</v>
      </c>
      <c r="T13" s="140">
        <f t="shared" si="5"/>
        <v>22</v>
      </c>
      <c r="U13" s="140">
        <f t="shared" si="6"/>
        <v>26</v>
      </c>
    </row>
    <row r="14" spans="1:21" x14ac:dyDescent="0.25">
      <c r="A14" s="194">
        <v>2020</v>
      </c>
      <c r="B14" s="174" t="s">
        <v>492</v>
      </c>
      <c r="C14" s="175">
        <v>71</v>
      </c>
      <c r="D14" s="175">
        <v>115.3</v>
      </c>
      <c r="E14" s="175">
        <v>211.27</v>
      </c>
      <c r="F14" s="175">
        <v>3.36</v>
      </c>
      <c r="G14" s="174"/>
      <c r="I14" s="174" t="s">
        <v>478</v>
      </c>
      <c r="J14" s="171" cm="1">
        <f t="array" ref="J14">_xlfn.PERCENTILE.INC(_xlfn._xlws.FILTER(C:C, (B:B=I14)*(C:C&lt;&gt;"")), 0.1)</f>
        <v>34.700000000000003</v>
      </c>
      <c r="K14" s="171" cm="1">
        <f t="array" ref="K14">_xlfn.PERCENTILE.INC(_xlfn._xlws.FILTER(D:D, (B:B=I14)*(D:D&lt;&gt;"")), 0.9)</f>
        <v>150.23099999999999</v>
      </c>
      <c r="L14" s="171" cm="1">
        <f t="array" ref="L14">_xlfn.PERCENTILE.INC(_xlfn._xlws.FILTER(E:E, (B:B=I14)*(E:E&lt;&gt;"")), 0.9)</f>
        <v>113.57300000000001</v>
      </c>
      <c r="M14" s="171" cm="1">
        <f t="array" ref="M14">_xlfn.PERCENTILE.INC(_xlfn._xlws.FILTER(F:F, (B:B=I14)*(F:F&lt;&gt;"")), 0.9)</f>
        <v>7.508</v>
      </c>
      <c r="N14" s="171" cm="1">
        <f t="array" ref="N14">_xlfn.PERCENTILE.INC(_xlfn._xlws.FILTER(G:G, (B:B=I14)*(G:G&lt;&gt;"")), 0.9)</f>
        <v>2.4239999999999999</v>
      </c>
      <c r="P14" s="139" t="str">
        <f t="shared" si="1"/>
        <v>102A</v>
      </c>
      <c r="Q14" s="140">
        <f t="shared" si="2"/>
        <v>18</v>
      </c>
      <c r="R14" s="140">
        <f t="shared" si="3"/>
        <v>14</v>
      </c>
      <c r="S14" s="140">
        <f t="shared" si="4"/>
        <v>14</v>
      </c>
      <c r="T14" s="140">
        <f t="shared" si="5"/>
        <v>14</v>
      </c>
      <c r="U14" s="140">
        <f t="shared" si="6"/>
        <v>8</v>
      </c>
    </row>
    <row r="15" spans="1:21" x14ac:dyDescent="0.25">
      <c r="A15" s="194">
        <v>2020</v>
      </c>
      <c r="B15" s="174" t="s">
        <v>492</v>
      </c>
      <c r="C15" s="175">
        <v>68</v>
      </c>
      <c r="D15" s="175">
        <v>115.1</v>
      </c>
      <c r="E15" s="175">
        <v>153.97999999999999</v>
      </c>
      <c r="F15" s="175">
        <v>4.18</v>
      </c>
      <c r="G15" s="174"/>
      <c r="I15" s="174" t="s">
        <v>489</v>
      </c>
      <c r="J15" s="171" cm="1">
        <f t="array" ref="J15">_xlfn.PERCENTILE.INC(_xlfn._xlws.FILTER(C:C, (B:B=I15)*(C:C&lt;&gt;"")), 0.1)</f>
        <v>22.8</v>
      </c>
      <c r="K15" s="171" cm="1">
        <f t="array" ref="K15">_xlfn.PERCENTILE.INC(_xlfn._xlws.FILTER(D:D, (B:B=I15)*(D:D&lt;&gt;"")), 0.9)</f>
        <v>170.13</v>
      </c>
      <c r="L15" s="171" cm="1">
        <f t="array" ref="L15">_xlfn.PERCENTILE.INC(_xlfn._xlws.FILTER(E:E, (B:B=I15)*(E:E&lt;&gt;"")), 0.9)</f>
        <v>145.345</v>
      </c>
      <c r="M15" s="171" cm="1">
        <f t="array" ref="M15">_xlfn.PERCENTILE.INC(_xlfn._xlws.FILTER(F:F, (B:B=I15)*(F:F&lt;&gt;"")), 0.9)</f>
        <v>7.8949999999999996</v>
      </c>
      <c r="N15" s="171" cm="1">
        <f t="array" ref="N15">_xlfn.PERCENTILE.INC(_xlfn._xlws.FILTER(G:G, (B:B=I15)*(G:G&lt;&gt;"")), 0.9)</f>
        <v>6.008</v>
      </c>
      <c r="P15" s="139" t="str">
        <f t="shared" si="1"/>
        <v>137A</v>
      </c>
      <c r="Q15" s="140">
        <f t="shared" si="2"/>
        <v>29</v>
      </c>
      <c r="R15" s="140">
        <f t="shared" si="3"/>
        <v>15</v>
      </c>
      <c r="S15" s="140">
        <f t="shared" si="4"/>
        <v>16</v>
      </c>
      <c r="T15" s="140">
        <f t="shared" si="5"/>
        <v>16</v>
      </c>
      <c r="U15" s="140">
        <f t="shared" si="6"/>
        <v>18</v>
      </c>
    </row>
    <row r="16" spans="1:21" x14ac:dyDescent="0.25">
      <c r="A16" s="194">
        <v>2020</v>
      </c>
      <c r="B16" s="174" t="s">
        <v>512</v>
      </c>
      <c r="C16" s="175">
        <v>67</v>
      </c>
      <c r="D16" s="175">
        <v>176.69</v>
      </c>
      <c r="E16" s="175">
        <v>112.19</v>
      </c>
      <c r="F16" s="175">
        <v>3.43</v>
      </c>
      <c r="G16" s="174"/>
      <c r="I16" s="174" t="s">
        <v>490</v>
      </c>
      <c r="J16" s="171" cm="1">
        <f t="array" ref="J16">_xlfn.PERCENTILE.INC(_xlfn._xlws.FILTER(C:C, (B:B=I16)*(C:C&lt;&gt;"")), 0.1)</f>
        <v>26.8</v>
      </c>
      <c r="K16" s="171" cm="1">
        <f t="array" ref="K16">_xlfn.PERCENTILE.INC(_xlfn._xlws.FILTER(D:D, (B:B=I16)*(D:D&lt;&gt;"")), 0.9)</f>
        <v>206.26</v>
      </c>
      <c r="L16" s="171" cm="1">
        <f t="array" ref="L16">_xlfn.PERCENTILE.INC(_xlfn._xlws.FILTER(E:E, (B:B=I16)*(E:E&lt;&gt;"")), 0.9)</f>
        <v>143.61000000000001</v>
      </c>
      <c r="M16" s="171" cm="1">
        <f t="array" ref="M16">_xlfn.PERCENTILE.INC(_xlfn._xlws.FILTER(F:F, (B:B=I16)*(F:F&lt;&gt;"")), 0.9)</f>
        <v>6.97</v>
      </c>
      <c r="N16" s="171" cm="1">
        <f t="array" ref="N16">_xlfn.PERCENTILE.INC(_xlfn._xlws.FILTER(G:G, (B:B=I16)*(G:G&lt;&gt;"")), 0.9)</f>
        <v>1.6</v>
      </c>
      <c r="P16" s="139" t="str">
        <f t="shared" si="1"/>
        <v>142</v>
      </c>
      <c r="Q16" s="140">
        <f t="shared" si="2"/>
        <v>80</v>
      </c>
      <c r="R16" s="140">
        <f t="shared" si="3"/>
        <v>44</v>
      </c>
      <c r="S16" s="140">
        <f t="shared" si="4"/>
        <v>44</v>
      </c>
      <c r="T16" s="140">
        <f t="shared" si="5"/>
        <v>44</v>
      </c>
      <c r="U16" s="140">
        <f t="shared" si="6"/>
        <v>36</v>
      </c>
    </row>
    <row r="17" spans="1:21" x14ac:dyDescent="0.25">
      <c r="A17" s="194">
        <v>2020</v>
      </c>
      <c r="B17" s="174" t="s">
        <v>512</v>
      </c>
      <c r="C17" s="175">
        <v>78</v>
      </c>
      <c r="D17" s="175">
        <v>114.55</v>
      </c>
      <c r="E17" s="175">
        <v>99.04</v>
      </c>
      <c r="F17" s="175">
        <v>3.83</v>
      </c>
      <c r="G17" s="174"/>
      <c r="I17" s="174" t="s">
        <v>513</v>
      </c>
      <c r="J17" s="171" cm="1">
        <f t="array" ref="J17">_xlfn.PERCENTILE.INC(_xlfn._xlws.FILTER(C:C, (B:B=I17)*(C:C&lt;&gt;"")), 0.1)</f>
        <v>24</v>
      </c>
      <c r="K17" s="171" cm="1">
        <f t="array" ref="K17">_xlfn.PERCENTILE.INC(_xlfn._xlws.FILTER(D:D, (B:B=I17)*(D:D&lt;&gt;"")), 0.9)</f>
        <v>142.97</v>
      </c>
      <c r="L17" s="171" cm="1">
        <f t="array" ref="L17">_xlfn.PERCENTILE.INC(_xlfn._xlws.FILTER(E:E, (B:B=I17)*(E:E&lt;&gt;"")), 0.9)</f>
        <v>146.51999999999998</v>
      </c>
      <c r="M17" s="171" cm="1">
        <f t="array" ref="M17">_xlfn.PERCENTILE.INC(_xlfn._xlws.FILTER(F:F, (B:B=I17)*(F:F&lt;&gt;"")), 0.9)</f>
        <v>7.27</v>
      </c>
      <c r="N17" s="171" cm="1">
        <f t="array" ref="N17">_xlfn.PERCENTILE.INC(_xlfn._xlws.FILTER(G:G, (B:B=I17)*(G:G&lt;&gt;"")), 0.9)</f>
        <v>2.2020000000000004</v>
      </c>
      <c r="P17" s="139" t="str">
        <f t="shared" si="1"/>
        <v>VAD5</v>
      </c>
      <c r="Q17" s="140">
        <f t="shared" si="2"/>
        <v>24</v>
      </c>
      <c r="R17" s="140">
        <f t="shared" si="3"/>
        <v>11</v>
      </c>
      <c r="S17" s="140">
        <f t="shared" si="4"/>
        <v>10</v>
      </c>
      <c r="T17" s="140">
        <f t="shared" si="5"/>
        <v>11</v>
      </c>
      <c r="U17" s="140">
        <f t="shared" si="6"/>
        <v>23</v>
      </c>
    </row>
    <row r="18" spans="1:21" x14ac:dyDescent="0.25">
      <c r="A18" s="194">
        <v>2020</v>
      </c>
      <c r="B18" s="174" t="s">
        <v>512</v>
      </c>
      <c r="C18" s="175">
        <v>72</v>
      </c>
      <c r="D18" s="175">
        <v>94.2</v>
      </c>
      <c r="E18" s="175">
        <v>195.37</v>
      </c>
      <c r="F18" s="175">
        <v>2.5</v>
      </c>
      <c r="G18" s="174"/>
      <c r="I18" s="174" t="s">
        <v>626</v>
      </c>
      <c r="J18" s="171" cm="1">
        <f t="array" ref="J18">_xlfn.PERCENTILE.INC(_xlfn._xlws.FILTER(C:C, (B:B=I18)*(C:C&lt;&gt;"")), 0.1)</f>
        <v>20.934938861687833</v>
      </c>
      <c r="K18" s="171" cm="1">
        <f t="array" ref="K18">_xlfn.PERCENTILE.INC(_xlfn._xlws.FILTER(D:D, (B:B=I18)*(D:D&lt;&gt;"")), 0.9)</f>
        <v>40.497893062566916</v>
      </c>
      <c r="L18" s="171" cm="1">
        <f t="array" ref="L18">_xlfn.PERCENTILE.INC(_xlfn._xlws.FILTER(E:E, (B:B=I18)*(E:E&lt;&gt;"")), 0.9)</f>
        <v>35.593116445202135</v>
      </c>
      <c r="P18" s="139" t="str">
        <f t="shared" si="1"/>
        <v>L1</v>
      </c>
      <c r="Q18" s="140">
        <f t="shared" si="2"/>
        <v>3</v>
      </c>
      <c r="R18" s="140">
        <f t="shared" si="3"/>
        <v>3</v>
      </c>
      <c r="S18" s="140">
        <f t="shared" si="4"/>
        <v>3</v>
      </c>
      <c r="T18" s="140">
        <f t="shared" si="5"/>
        <v>0</v>
      </c>
      <c r="U18" s="140">
        <f t="shared" si="6"/>
        <v>0</v>
      </c>
    </row>
    <row r="19" spans="1:21" x14ac:dyDescent="0.25">
      <c r="A19" s="194">
        <v>2020</v>
      </c>
      <c r="B19" s="174" t="s">
        <v>512</v>
      </c>
      <c r="C19" s="175">
        <v>73</v>
      </c>
      <c r="D19" s="175">
        <v>163.24</v>
      </c>
      <c r="E19" s="175">
        <v>164.6</v>
      </c>
      <c r="F19" s="175">
        <v>3.49</v>
      </c>
      <c r="G19" s="174"/>
      <c r="I19" s="174" t="s">
        <v>629</v>
      </c>
      <c r="K19" s="171" cm="1">
        <f t="array" ref="K19">_xlfn.PERCENTILE.INC(_xlfn._xlws.FILTER(D:D, (B:B=I19)*(D:D&lt;&gt;"")), 0.9)</f>
        <v>54.302103236513972</v>
      </c>
      <c r="L19" s="171" cm="1">
        <f t="array" ref="L19">_xlfn.PERCENTILE.INC(_xlfn._xlws.FILTER(E:E, (B:B=I19)*(E:E&lt;&gt;"")), 0.9)</f>
        <v>62.409391680760876</v>
      </c>
      <c r="P19" s="139" t="str">
        <f t="shared" si="1"/>
        <v>L6</v>
      </c>
      <c r="Q19" s="140">
        <f t="shared" si="2"/>
        <v>0</v>
      </c>
      <c r="R19" s="140">
        <f t="shared" si="3"/>
        <v>6</v>
      </c>
      <c r="S19" s="140">
        <f t="shared" si="4"/>
        <v>6</v>
      </c>
      <c r="T19" s="140">
        <f t="shared" si="5"/>
        <v>0</v>
      </c>
      <c r="U19" s="140">
        <f t="shared" si="6"/>
        <v>0</v>
      </c>
    </row>
    <row r="20" spans="1:21" x14ac:dyDescent="0.25">
      <c r="A20" s="194">
        <v>2020</v>
      </c>
      <c r="B20" s="174" t="s">
        <v>512</v>
      </c>
      <c r="C20" s="175">
        <v>84</v>
      </c>
      <c r="D20" s="175">
        <v>151.88999999999999</v>
      </c>
      <c r="E20" s="175">
        <v>172.23</v>
      </c>
      <c r="F20" s="175">
        <v>2.5</v>
      </c>
      <c r="G20" s="174"/>
      <c r="I20" s="174" t="s">
        <v>630</v>
      </c>
      <c r="K20" s="171" cm="1">
        <f t="array" ref="K20">_xlfn.PERCENTILE.INC(_xlfn._xlws.FILTER(D:D, (B:B=I20)*(D:D&lt;&gt;"")), 0.9)</f>
        <v>28.53006131213273</v>
      </c>
      <c r="L20" s="171" cm="1">
        <f t="array" ref="L20">_xlfn.PERCENTILE.INC(_xlfn._xlws.FILTER(E:E, (B:B=I20)*(E:E&lt;&gt;"")), 0.9)</f>
        <v>44.259700684352495</v>
      </c>
      <c r="P20" s="139" t="str">
        <f t="shared" si="1"/>
        <v>L9</v>
      </c>
      <c r="Q20" s="140">
        <f t="shared" si="2"/>
        <v>0</v>
      </c>
      <c r="R20" s="140">
        <f t="shared" si="3"/>
        <v>6</v>
      </c>
      <c r="S20" s="140">
        <f t="shared" si="4"/>
        <v>6</v>
      </c>
      <c r="T20" s="140">
        <f t="shared" si="5"/>
        <v>0</v>
      </c>
      <c r="U20" s="140">
        <f t="shared" si="6"/>
        <v>0</v>
      </c>
    </row>
    <row r="21" spans="1:21" x14ac:dyDescent="0.25">
      <c r="A21" s="194">
        <v>2020</v>
      </c>
      <c r="B21" s="174" t="s">
        <v>494</v>
      </c>
      <c r="C21" s="175">
        <v>59</v>
      </c>
      <c r="D21" s="175">
        <v>115.94</v>
      </c>
      <c r="E21" s="175">
        <v>145.97</v>
      </c>
      <c r="F21" s="175">
        <v>3.18</v>
      </c>
      <c r="G21" s="174"/>
      <c r="I21" s="174" t="s">
        <v>79</v>
      </c>
      <c r="J21" s="171" cm="1">
        <f t="array" ref="J21">_xlfn.PERCENTILE.INC(_xlfn._xlws.FILTER(C:C, (B:B=I21)*(C:C&lt;&gt;"")), 0.1)</f>
        <v>33.616189936735793</v>
      </c>
      <c r="K21" s="171" cm="1">
        <f t="array" ref="K21">_xlfn.PERCENTILE.INC(_xlfn._xlws.FILTER(D:D, (B:B=I21)*(D:D&lt;&gt;"")), 0.9)</f>
        <v>32.203065930800044</v>
      </c>
      <c r="L21" s="171" cm="1">
        <f t="array" ref="L21">_xlfn.PERCENTILE.INC(_xlfn._xlws.FILTER(E:E, (B:B=I21)*(E:E&lt;&gt;"")), 0.9)</f>
        <v>63.491659967872558</v>
      </c>
      <c r="M21" s="171" cm="1">
        <f t="array" ref="M21">_xlfn.PERCENTILE.INC(_xlfn._xlws.FILTER(F:F, (B:B=I21)*(F:F&lt;&gt;"")), 0.9)</f>
        <v>26.579641532573273</v>
      </c>
      <c r="P21" s="139" t="str">
        <f t="shared" si="1"/>
        <v>N</v>
      </c>
      <c r="Q21" s="140">
        <f t="shared" si="2"/>
        <v>5</v>
      </c>
      <c r="R21" s="140">
        <f t="shared" si="3"/>
        <v>5</v>
      </c>
      <c r="S21" s="140">
        <f t="shared" si="4"/>
        <v>5</v>
      </c>
      <c r="T21" s="140">
        <f t="shared" si="5"/>
        <v>5</v>
      </c>
      <c r="U21" s="140">
        <f t="shared" si="6"/>
        <v>0</v>
      </c>
    </row>
    <row r="22" spans="1:21" x14ac:dyDescent="0.25">
      <c r="A22" s="194">
        <v>2020</v>
      </c>
      <c r="B22" s="174" t="s">
        <v>494</v>
      </c>
      <c r="C22" s="175">
        <v>59</v>
      </c>
      <c r="D22" s="175">
        <v>95.64</v>
      </c>
      <c r="E22" s="175">
        <v>131.69999999999999</v>
      </c>
      <c r="F22" s="175">
        <v>4.3099999999999996</v>
      </c>
      <c r="G22" s="174"/>
    </row>
    <row r="23" spans="1:21" x14ac:dyDescent="0.25">
      <c r="A23" s="194">
        <v>2020</v>
      </c>
      <c r="B23" s="174" t="s">
        <v>494</v>
      </c>
      <c r="C23" s="175">
        <v>54</v>
      </c>
      <c r="D23" s="175">
        <v>131.27000000000001</v>
      </c>
      <c r="E23" s="175">
        <v>120.56</v>
      </c>
      <c r="F23" s="175">
        <v>3.22</v>
      </c>
      <c r="G23" s="174"/>
    </row>
    <row r="24" spans="1:21" x14ac:dyDescent="0.25">
      <c r="A24" s="194">
        <v>2020</v>
      </c>
      <c r="B24" s="174" t="s">
        <v>494</v>
      </c>
      <c r="C24" s="175">
        <v>68</v>
      </c>
      <c r="D24" s="175">
        <v>138.47</v>
      </c>
      <c r="E24" s="175">
        <v>127.89</v>
      </c>
      <c r="F24" s="175">
        <v>3.77</v>
      </c>
      <c r="G24" s="174"/>
    </row>
    <row r="25" spans="1:21" x14ac:dyDescent="0.25">
      <c r="A25" s="194">
        <v>2020</v>
      </c>
      <c r="B25" s="174" t="s">
        <v>493</v>
      </c>
      <c r="C25" s="175">
        <v>82</v>
      </c>
      <c r="D25" s="175">
        <v>70.72</v>
      </c>
      <c r="E25" s="175">
        <v>116.8</v>
      </c>
      <c r="F25" s="175">
        <v>1.21</v>
      </c>
      <c r="G25" s="174"/>
    </row>
    <row r="26" spans="1:21" x14ac:dyDescent="0.25">
      <c r="A26" s="194">
        <v>2020</v>
      </c>
      <c r="B26" s="174" t="s">
        <v>493</v>
      </c>
      <c r="C26" s="175">
        <v>79</v>
      </c>
      <c r="D26" s="175">
        <v>114.63</v>
      </c>
      <c r="E26" s="175">
        <v>139.13999999999999</v>
      </c>
      <c r="F26" s="175">
        <v>1.81</v>
      </c>
      <c r="G26" s="174"/>
    </row>
    <row r="27" spans="1:21" x14ac:dyDescent="0.25">
      <c r="A27" s="194">
        <v>2020</v>
      </c>
      <c r="B27" s="174" t="s">
        <v>493</v>
      </c>
      <c r="C27" s="175">
        <v>66</v>
      </c>
      <c r="D27" s="175">
        <v>81.17</v>
      </c>
      <c r="E27" s="175">
        <v>148.62</v>
      </c>
      <c r="F27" s="175">
        <v>2.68</v>
      </c>
      <c r="G27" s="174"/>
    </row>
    <row r="28" spans="1:21" x14ac:dyDescent="0.25">
      <c r="A28" s="194">
        <v>2020</v>
      </c>
      <c r="B28" s="174" t="s">
        <v>493</v>
      </c>
      <c r="C28" s="175">
        <v>61</v>
      </c>
      <c r="D28" s="175">
        <v>81.59</v>
      </c>
      <c r="E28" s="175">
        <v>124.7</v>
      </c>
      <c r="F28" s="175">
        <v>2.7</v>
      </c>
      <c r="G28" s="174"/>
    </row>
    <row r="29" spans="1:21" x14ac:dyDescent="0.25">
      <c r="A29" s="194">
        <v>2020</v>
      </c>
      <c r="B29" s="174" t="s">
        <v>492</v>
      </c>
      <c r="C29" s="175">
        <v>76</v>
      </c>
      <c r="D29" s="175">
        <v>148.33000000000001</v>
      </c>
      <c r="E29" s="175">
        <v>96.29</v>
      </c>
      <c r="F29" s="175">
        <v>4.4800000000000004</v>
      </c>
      <c r="G29" s="174"/>
    </row>
    <row r="30" spans="1:21" x14ac:dyDescent="0.25">
      <c r="A30" s="194">
        <v>2020</v>
      </c>
      <c r="B30" s="174" t="s">
        <v>492</v>
      </c>
      <c r="C30" s="175">
        <v>88</v>
      </c>
      <c r="D30" s="175">
        <v>139.12</v>
      </c>
      <c r="E30" s="175">
        <v>88.9</v>
      </c>
      <c r="F30" s="175">
        <v>4.16</v>
      </c>
      <c r="G30" s="174"/>
    </row>
    <row r="31" spans="1:21" x14ac:dyDescent="0.25">
      <c r="A31" s="194">
        <v>2020</v>
      </c>
      <c r="B31" s="174" t="s">
        <v>492</v>
      </c>
      <c r="C31" s="175">
        <v>85</v>
      </c>
      <c r="D31" s="175">
        <v>153.04</v>
      </c>
      <c r="E31" s="175">
        <v>104.65</v>
      </c>
      <c r="F31" s="175">
        <v>4.1500000000000004</v>
      </c>
      <c r="G31" s="174"/>
    </row>
    <row r="32" spans="1:21" x14ac:dyDescent="0.25">
      <c r="A32" s="194">
        <v>2020</v>
      </c>
      <c r="B32" s="174" t="s">
        <v>492</v>
      </c>
      <c r="C32" s="175">
        <v>96</v>
      </c>
      <c r="D32" s="175">
        <v>149.26</v>
      </c>
      <c r="E32" s="175">
        <v>92.97</v>
      </c>
      <c r="F32" s="175">
        <v>3.53</v>
      </c>
      <c r="G32" s="174"/>
    </row>
    <row r="33" spans="1:7" x14ac:dyDescent="0.25">
      <c r="A33" s="194">
        <v>2020</v>
      </c>
      <c r="B33" s="174" t="s">
        <v>493</v>
      </c>
      <c r="C33" s="175">
        <v>59</v>
      </c>
      <c r="D33" s="175">
        <v>98.94</v>
      </c>
      <c r="E33" s="175">
        <v>79.739999999999995</v>
      </c>
      <c r="F33" s="175">
        <v>2.21</v>
      </c>
      <c r="G33" s="174"/>
    </row>
    <row r="34" spans="1:7" x14ac:dyDescent="0.25">
      <c r="A34" s="194">
        <v>2020</v>
      </c>
      <c r="B34" s="174" t="s">
        <v>493</v>
      </c>
      <c r="C34" s="175">
        <v>59</v>
      </c>
      <c r="D34" s="175">
        <v>108.99</v>
      </c>
      <c r="E34" s="175">
        <v>83.44</v>
      </c>
      <c r="F34" s="175">
        <v>2.3199999999999998</v>
      </c>
      <c r="G34" s="174"/>
    </row>
    <row r="35" spans="1:7" x14ac:dyDescent="0.25">
      <c r="A35" s="194">
        <v>2020</v>
      </c>
      <c r="B35" s="174" t="s">
        <v>493</v>
      </c>
      <c r="C35" s="175">
        <v>78</v>
      </c>
      <c r="D35" s="175">
        <v>94.36</v>
      </c>
      <c r="E35" s="175">
        <v>81.73</v>
      </c>
      <c r="F35" s="175">
        <v>3.22</v>
      </c>
      <c r="G35" s="174"/>
    </row>
    <row r="36" spans="1:7" x14ac:dyDescent="0.25">
      <c r="A36" s="194">
        <v>2020</v>
      </c>
      <c r="B36" s="174" t="s">
        <v>493</v>
      </c>
      <c r="C36" s="175">
        <v>78</v>
      </c>
      <c r="D36" s="175">
        <v>107.12</v>
      </c>
      <c r="E36" s="175">
        <v>89.23</v>
      </c>
      <c r="F36" s="175">
        <v>2.4700000000000002</v>
      </c>
      <c r="G36" s="174"/>
    </row>
    <row r="37" spans="1:7" x14ac:dyDescent="0.25">
      <c r="A37" s="194">
        <v>2020</v>
      </c>
      <c r="B37" s="174" t="s">
        <v>493</v>
      </c>
      <c r="C37" s="175">
        <v>79</v>
      </c>
      <c r="D37" s="175">
        <v>99.72</v>
      </c>
      <c r="E37" s="175">
        <v>86.94</v>
      </c>
      <c r="F37" s="175">
        <v>3.2</v>
      </c>
      <c r="G37" s="174"/>
    </row>
    <row r="38" spans="1:7" x14ac:dyDescent="0.25">
      <c r="A38" s="194">
        <v>2020</v>
      </c>
      <c r="B38" s="174" t="s">
        <v>477</v>
      </c>
      <c r="C38" s="175">
        <v>98</v>
      </c>
      <c r="D38" s="175">
        <v>142.46</v>
      </c>
      <c r="E38" s="175">
        <v>101.77</v>
      </c>
      <c r="F38" s="175">
        <v>2.7</v>
      </c>
      <c r="G38" s="174"/>
    </row>
    <row r="39" spans="1:7" x14ac:dyDescent="0.25">
      <c r="A39" s="194">
        <v>2020</v>
      </c>
      <c r="B39" s="174" t="s">
        <v>477</v>
      </c>
      <c r="C39" s="175">
        <v>90</v>
      </c>
      <c r="D39" s="175">
        <v>153.04</v>
      </c>
      <c r="E39" s="175">
        <v>111.02</v>
      </c>
      <c r="F39" s="175">
        <v>2.77</v>
      </c>
      <c r="G39" s="174"/>
    </row>
    <row r="40" spans="1:7" x14ac:dyDescent="0.25">
      <c r="A40" s="194">
        <v>2020</v>
      </c>
      <c r="B40" s="174" t="s">
        <v>477</v>
      </c>
      <c r="C40" s="175">
        <v>70</v>
      </c>
      <c r="D40" s="175">
        <v>139.75</v>
      </c>
      <c r="E40" s="175">
        <v>121.07</v>
      </c>
      <c r="F40" s="175">
        <v>3.54</v>
      </c>
      <c r="G40" s="174"/>
    </row>
    <row r="41" spans="1:7" x14ac:dyDescent="0.25">
      <c r="A41" s="194">
        <v>2020</v>
      </c>
      <c r="B41" s="174" t="s">
        <v>477</v>
      </c>
      <c r="C41" s="175">
        <v>78</v>
      </c>
      <c r="D41" s="175">
        <v>132.26</v>
      </c>
      <c r="E41" s="175">
        <v>104.78</v>
      </c>
      <c r="F41" s="175">
        <v>3.63</v>
      </c>
      <c r="G41" s="174"/>
    </row>
    <row r="42" spans="1:7" x14ac:dyDescent="0.25">
      <c r="A42" s="194">
        <v>2020</v>
      </c>
      <c r="B42" s="174" t="s">
        <v>477</v>
      </c>
      <c r="C42" s="175">
        <v>58</v>
      </c>
      <c r="D42" s="175">
        <v>129.9</v>
      </c>
      <c r="E42" s="175">
        <v>89.97</v>
      </c>
      <c r="F42" s="175">
        <v>3.16</v>
      </c>
      <c r="G42" s="174"/>
    </row>
    <row r="43" spans="1:7" x14ac:dyDescent="0.25">
      <c r="A43" s="194">
        <v>2020</v>
      </c>
      <c r="B43" s="174" t="s">
        <v>494</v>
      </c>
      <c r="C43" s="175">
        <v>80</v>
      </c>
      <c r="D43" s="175">
        <v>128.32</v>
      </c>
      <c r="E43" s="175">
        <v>95.04</v>
      </c>
      <c r="F43" s="175">
        <v>2.7</v>
      </c>
      <c r="G43" s="174"/>
    </row>
    <row r="44" spans="1:7" x14ac:dyDescent="0.25">
      <c r="A44" s="194">
        <v>2020</v>
      </c>
      <c r="B44" s="174" t="s">
        <v>494</v>
      </c>
      <c r="C44" s="175">
        <v>58</v>
      </c>
      <c r="D44" s="175">
        <v>132.51</v>
      </c>
      <c r="E44" s="175">
        <v>120.92</v>
      </c>
      <c r="F44" s="175">
        <v>3.11</v>
      </c>
      <c r="G44" s="174"/>
    </row>
    <row r="45" spans="1:7" x14ac:dyDescent="0.25">
      <c r="A45" s="194">
        <v>2020</v>
      </c>
      <c r="B45" s="174" t="s">
        <v>494</v>
      </c>
      <c r="C45" s="175">
        <v>74</v>
      </c>
      <c r="D45" s="175">
        <v>120.44</v>
      </c>
      <c r="E45" s="175">
        <v>91.64</v>
      </c>
      <c r="F45" s="175">
        <v>3.24</v>
      </c>
      <c r="G45" s="174"/>
    </row>
    <row r="46" spans="1:7" x14ac:dyDescent="0.25">
      <c r="A46" s="194">
        <v>2020</v>
      </c>
      <c r="B46" s="174" t="s">
        <v>494</v>
      </c>
      <c r="C46" s="175">
        <v>104</v>
      </c>
      <c r="D46" s="175">
        <v>139.96</v>
      </c>
      <c r="E46" s="175">
        <v>114.16</v>
      </c>
      <c r="F46" s="175">
        <v>2.4300000000000002</v>
      </c>
      <c r="G46" s="174"/>
    </row>
    <row r="47" spans="1:7" x14ac:dyDescent="0.25">
      <c r="A47" s="194">
        <v>2020</v>
      </c>
      <c r="B47" s="174" t="s">
        <v>494</v>
      </c>
      <c r="C47" s="175">
        <v>105</v>
      </c>
      <c r="D47" s="175">
        <v>124.7</v>
      </c>
      <c r="E47" s="175">
        <v>95.46</v>
      </c>
      <c r="F47" s="175">
        <v>2.82</v>
      </c>
      <c r="G47" s="174"/>
    </row>
    <row r="48" spans="1:7" x14ac:dyDescent="0.25">
      <c r="A48" s="194">
        <v>2020</v>
      </c>
      <c r="B48" s="174" t="s">
        <v>495</v>
      </c>
      <c r="C48" s="175">
        <v>96</v>
      </c>
      <c r="D48" s="175">
        <v>107.03</v>
      </c>
      <c r="E48" s="175">
        <v>107.31</v>
      </c>
      <c r="F48" s="175">
        <v>2.57</v>
      </c>
      <c r="G48" s="174"/>
    </row>
    <row r="49" spans="1:7" x14ac:dyDescent="0.25">
      <c r="A49" s="194">
        <v>2020</v>
      </c>
      <c r="B49" s="174" t="s">
        <v>495</v>
      </c>
      <c r="C49" s="175">
        <v>122</v>
      </c>
      <c r="D49" s="175">
        <v>115.27</v>
      </c>
      <c r="E49" s="175">
        <v>107.35</v>
      </c>
      <c r="F49" s="175">
        <v>4.24</v>
      </c>
      <c r="G49" s="174"/>
    </row>
    <row r="50" spans="1:7" x14ac:dyDescent="0.25">
      <c r="A50" s="194">
        <v>2020</v>
      </c>
      <c r="B50" s="174" t="s">
        <v>495</v>
      </c>
      <c r="C50" s="175">
        <v>70</v>
      </c>
      <c r="D50" s="175">
        <v>123.14</v>
      </c>
      <c r="E50" s="175">
        <v>135.55000000000001</v>
      </c>
      <c r="F50" s="175">
        <v>3.03</v>
      </c>
      <c r="G50" s="174"/>
    </row>
    <row r="51" spans="1:7" x14ac:dyDescent="0.25">
      <c r="A51" s="194">
        <v>2020</v>
      </c>
      <c r="B51" s="174" t="s">
        <v>495</v>
      </c>
      <c r="C51" s="175">
        <v>101</v>
      </c>
      <c r="D51" s="175">
        <v>149.75</v>
      </c>
      <c r="E51" s="175">
        <v>124.09</v>
      </c>
      <c r="F51" s="175">
        <v>3.18</v>
      </c>
      <c r="G51" s="174"/>
    </row>
    <row r="52" spans="1:7" x14ac:dyDescent="0.25">
      <c r="A52" s="194">
        <v>2020</v>
      </c>
      <c r="B52" s="174" t="s">
        <v>495</v>
      </c>
      <c r="C52" s="175">
        <v>80</v>
      </c>
      <c r="D52" s="175">
        <v>156.47</v>
      </c>
      <c r="E52" s="175">
        <v>145.80000000000001</v>
      </c>
      <c r="F52" s="175">
        <v>4.57</v>
      </c>
      <c r="G52" s="174"/>
    </row>
    <row r="53" spans="1:7" x14ac:dyDescent="0.25">
      <c r="A53" s="194">
        <v>2020</v>
      </c>
      <c r="B53" s="174" t="s">
        <v>495</v>
      </c>
      <c r="C53" s="175">
        <v>62</v>
      </c>
      <c r="D53" s="175">
        <v>167.58</v>
      </c>
      <c r="E53" s="175">
        <v>89.3</v>
      </c>
      <c r="F53" s="175">
        <v>3.5</v>
      </c>
      <c r="G53" s="174"/>
    </row>
    <row r="54" spans="1:7" x14ac:dyDescent="0.25">
      <c r="A54" s="194">
        <v>2020</v>
      </c>
      <c r="B54" s="174" t="s">
        <v>512</v>
      </c>
      <c r="C54" s="175">
        <v>75</v>
      </c>
      <c r="D54" s="175">
        <v>120.32</v>
      </c>
      <c r="E54" s="175">
        <v>100.92</v>
      </c>
      <c r="F54" s="175">
        <v>2.88</v>
      </c>
      <c r="G54" s="174"/>
    </row>
    <row r="55" spans="1:7" x14ac:dyDescent="0.25">
      <c r="A55" s="194">
        <v>2020</v>
      </c>
      <c r="B55" s="174" t="s">
        <v>512</v>
      </c>
      <c r="C55" s="175">
        <v>56</v>
      </c>
      <c r="D55" s="175">
        <v>114.73</v>
      </c>
      <c r="E55" s="175">
        <v>121.66</v>
      </c>
      <c r="F55" s="175">
        <v>3.03</v>
      </c>
      <c r="G55" s="174"/>
    </row>
    <row r="56" spans="1:7" x14ac:dyDescent="0.25">
      <c r="A56" s="194">
        <v>2020</v>
      </c>
      <c r="B56" s="174" t="s">
        <v>512</v>
      </c>
      <c r="C56" s="175">
        <v>102</v>
      </c>
      <c r="D56" s="175">
        <v>158.88999999999999</v>
      </c>
      <c r="E56" s="175">
        <v>113.11</v>
      </c>
      <c r="F56" s="175">
        <v>2.76</v>
      </c>
      <c r="G56" s="174"/>
    </row>
    <row r="57" spans="1:7" x14ac:dyDescent="0.25">
      <c r="A57" s="194">
        <v>2020</v>
      </c>
      <c r="B57" s="174" t="s">
        <v>512</v>
      </c>
      <c r="C57" s="175">
        <v>61</v>
      </c>
      <c r="D57" s="175">
        <v>147.44999999999999</v>
      </c>
      <c r="E57" s="175">
        <v>116.79</v>
      </c>
      <c r="F57" s="175">
        <v>2.79</v>
      </c>
      <c r="G57" s="174"/>
    </row>
    <row r="58" spans="1:7" x14ac:dyDescent="0.25">
      <c r="A58" s="194">
        <v>2020</v>
      </c>
      <c r="B58" s="174" t="s">
        <v>512</v>
      </c>
      <c r="C58" s="175">
        <v>85</v>
      </c>
      <c r="D58" s="175">
        <v>101.49</v>
      </c>
      <c r="E58" s="175">
        <v>108.36</v>
      </c>
      <c r="F58" s="175">
        <v>2.97</v>
      </c>
      <c r="G58" s="174"/>
    </row>
    <row r="59" spans="1:7" x14ac:dyDescent="0.25">
      <c r="A59" s="194">
        <v>2020</v>
      </c>
      <c r="B59" s="174" t="s">
        <v>512</v>
      </c>
      <c r="C59" s="175">
        <v>45</v>
      </c>
      <c r="D59" s="175">
        <v>111.57</v>
      </c>
      <c r="E59" s="175">
        <v>100.3</v>
      </c>
      <c r="F59" s="175">
        <v>2.92</v>
      </c>
      <c r="G59" s="174"/>
    </row>
    <row r="60" spans="1:7" x14ac:dyDescent="0.25">
      <c r="A60" s="194">
        <v>2020</v>
      </c>
      <c r="B60" s="174" t="s">
        <v>481</v>
      </c>
      <c r="C60" s="175">
        <v>60</v>
      </c>
      <c r="D60" s="175">
        <v>174.69</v>
      </c>
      <c r="E60" s="175">
        <v>100.14</v>
      </c>
      <c r="F60" s="175">
        <v>3.89</v>
      </c>
      <c r="G60" s="174"/>
    </row>
    <row r="61" spans="1:7" x14ac:dyDescent="0.25">
      <c r="A61" s="194">
        <v>2020</v>
      </c>
      <c r="B61" s="174" t="s">
        <v>481</v>
      </c>
      <c r="C61" s="175">
        <v>60</v>
      </c>
      <c r="D61" s="175">
        <v>174.69</v>
      </c>
      <c r="E61" s="175">
        <v>100.14</v>
      </c>
      <c r="F61" s="175">
        <v>3.89</v>
      </c>
      <c r="G61" s="174"/>
    </row>
    <row r="62" spans="1:7" x14ac:dyDescent="0.25">
      <c r="A62" s="194">
        <v>2020</v>
      </c>
      <c r="B62" s="174" t="s">
        <v>481</v>
      </c>
      <c r="C62" s="175">
        <v>53</v>
      </c>
      <c r="D62" s="175">
        <v>146.51</v>
      </c>
      <c r="E62" s="175">
        <v>101.09</v>
      </c>
      <c r="F62" s="175">
        <v>2.4</v>
      </c>
      <c r="G62" s="174"/>
    </row>
    <row r="63" spans="1:7" x14ac:dyDescent="0.25">
      <c r="A63" s="194">
        <v>2020</v>
      </c>
      <c r="B63" s="174" t="s">
        <v>481</v>
      </c>
      <c r="C63" s="175">
        <v>53</v>
      </c>
      <c r="D63" s="175">
        <v>146.51</v>
      </c>
      <c r="E63" s="175">
        <v>101.09</v>
      </c>
      <c r="F63" s="175">
        <v>2.4</v>
      </c>
      <c r="G63" s="174"/>
    </row>
    <row r="64" spans="1:7" x14ac:dyDescent="0.25">
      <c r="A64" s="194">
        <v>2020</v>
      </c>
      <c r="B64" s="174" t="s">
        <v>481</v>
      </c>
      <c r="C64" s="175">
        <v>83</v>
      </c>
      <c r="D64" s="175">
        <v>139.65</v>
      </c>
      <c r="E64" s="175">
        <v>104.01</v>
      </c>
      <c r="F64" s="175">
        <v>2.5099999999999998</v>
      </c>
      <c r="G64" s="174"/>
    </row>
    <row r="65" spans="1:7" x14ac:dyDescent="0.25">
      <c r="A65" s="194">
        <v>2020</v>
      </c>
      <c r="B65" s="174" t="s">
        <v>481</v>
      </c>
      <c r="C65" s="175">
        <v>83</v>
      </c>
      <c r="D65" s="175">
        <v>139.65</v>
      </c>
      <c r="E65" s="175">
        <v>104.01</v>
      </c>
      <c r="F65" s="175">
        <v>2.5099999999999998</v>
      </c>
      <c r="G65" s="174"/>
    </row>
    <row r="66" spans="1:7" x14ac:dyDescent="0.25">
      <c r="A66" s="194">
        <v>2020</v>
      </c>
      <c r="B66" s="174" t="s">
        <v>481</v>
      </c>
      <c r="C66" s="175">
        <v>84</v>
      </c>
      <c r="D66" s="175">
        <v>119.42</v>
      </c>
      <c r="E66" s="175">
        <v>65.900000000000006</v>
      </c>
      <c r="F66" s="175">
        <v>3.62</v>
      </c>
      <c r="G66" s="174"/>
    </row>
    <row r="67" spans="1:7" x14ac:dyDescent="0.25">
      <c r="A67" s="194">
        <v>2020</v>
      </c>
      <c r="B67" s="174" t="s">
        <v>481</v>
      </c>
      <c r="C67" s="175">
        <v>84</v>
      </c>
      <c r="D67" s="175">
        <v>119.42</v>
      </c>
      <c r="E67" s="175">
        <v>65.900000000000006</v>
      </c>
      <c r="F67" s="175">
        <v>3.62</v>
      </c>
      <c r="G67" s="174"/>
    </row>
    <row r="68" spans="1:7" x14ac:dyDescent="0.25">
      <c r="A68" s="194">
        <v>2020</v>
      </c>
      <c r="B68" s="174" t="s">
        <v>481</v>
      </c>
      <c r="C68" s="175">
        <v>68</v>
      </c>
      <c r="D68" s="175">
        <v>92.16</v>
      </c>
      <c r="E68" s="175">
        <v>78.52</v>
      </c>
      <c r="F68" s="175">
        <v>3.29</v>
      </c>
      <c r="G68" s="174"/>
    </row>
    <row r="69" spans="1:7" x14ac:dyDescent="0.25">
      <c r="A69" s="194">
        <v>2020</v>
      </c>
      <c r="B69" s="174" t="s">
        <v>481</v>
      </c>
      <c r="C69" s="175">
        <v>68</v>
      </c>
      <c r="D69" s="175">
        <v>92.16</v>
      </c>
      <c r="E69" s="175">
        <v>78.52</v>
      </c>
      <c r="F69" s="175">
        <v>3.29</v>
      </c>
      <c r="G69" s="174"/>
    </row>
    <row r="70" spans="1:7" x14ac:dyDescent="0.25">
      <c r="A70" s="194">
        <v>2020</v>
      </c>
      <c r="B70" s="174" t="s">
        <v>482</v>
      </c>
      <c r="C70" s="175">
        <v>33</v>
      </c>
      <c r="D70" s="175">
        <v>119.4</v>
      </c>
      <c r="E70" s="175">
        <v>101.16</v>
      </c>
      <c r="F70" s="175">
        <v>4.9400000000000004</v>
      </c>
      <c r="G70" s="174"/>
    </row>
    <row r="71" spans="1:7" x14ac:dyDescent="0.25">
      <c r="A71" s="194">
        <v>2020</v>
      </c>
      <c r="B71" s="174" t="s">
        <v>482</v>
      </c>
      <c r="C71" s="175">
        <v>34</v>
      </c>
      <c r="D71" s="175">
        <v>83.1</v>
      </c>
      <c r="E71" s="175">
        <v>76.14</v>
      </c>
      <c r="F71" s="175">
        <v>6.47</v>
      </c>
      <c r="G71" s="174"/>
    </row>
    <row r="72" spans="1:7" x14ac:dyDescent="0.25">
      <c r="A72" s="194">
        <v>2020</v>
      </c>
      <c r="B72" s="174" t="s">
        <v>482</v>
      </c>
      <c r="C72" s="175">
        <v>45</v>
      </c>
      <c r="D72" s="175">
        <v>162.80000000000001</v>
      </c>
      <c r="E72" s="175">
        <v>97.9</v>
      </c>
      <c r="F72" s="175">
        <v>6.82</v>
      </c>
      <c r="G72" s="174"/>
    </row>
    <row r="73" spans="1:7" x14ac:dyDescent="0.25">
      <c r="A73" s="194">
        <v>2020</v>
      </c>
      <c r="B73" s="174" t="s">
        <v>482</v>
      </c>
      <c r="C73" s="175">
        <v>33</v>
      </c>
      <c r="D73" s="175">
        <v>87.3</v>
      </c>
      <c r="E73" s="175">
        <v>98.53</v>
      </c>
      <c r="F73" s="175">
        <v>6.99</v>
      </c>
      <c r="G73" s="174"/>
    </row>
    <row r="74" spans="1:7" x14ac:dyDescent="0.25">
      <c r="A74" s="194">
        <v>2020</v>
      </c>
      <c r="B74" s="174" t="s">
        <v>482</v>
      </c>
      <c r="C74" s="175">
        <v>44</v>
      </c>
      <c r="D74" s="175">
        <v>122.2</v>
      </c>
      <c r="E74" s="175">
        <v>86.2</v>
      </c>
      <c r="F74" s="175">
        <v>4.2</v>
      </c>
      <c r="G74" s="174"/>
    </row>
    <row r="75" spans="1:7" x14ac:dyDescent="0.25">
      <c r="A75" s="194">
        <v>2020</v>
      </c>
      <c r="B75" s="174" t="s">
        <v>482</v>
      </c>
      <c r="C75" s="175">
        <v>40</v>
      </c>
      <c r="D75" s="175">
        <v>163.9</v>
      </c>
      <c r="E75" s="175">
        <v>75.489999999999995</v>
      </c>
      <c r="F75" s="175">
        <v>4.32</v>
      </c>
      <c r="G75" s="174"/>
    </row>
    <row r="76" spans="1:7" x14ac:dyDescent="0.25">
      <c r="A76" s="194">
        <v>2020</v>
      </c>
      <c r="B76" s="174" t="s">
        <v>482</v>
      </c>
      <c r="C76" s="175">
        <v>36</v>
      </c>
      <c r="D76" s="175">
        <v>114.3</v>
      </c>
      <c r="E76" s="175">
        <v>104.11</v>
      </c>
      <c r="F76" s="175">
        <v>5.63</v>
      </c>
      <c r="G76" s="174"/>
    </row>
    <row r="77" spans="1:7" x14ac:dyDescent="0.25">
      <c r="A77" s="194">
        <v>2020</v>
      </c>
      <c r="B77" s="174" t="s">
        <v>482</v>
      </c>
      <c r="C77" s="175">
        <v>41</v>
      </c>
      <c r="D77" s="175">
        <v>146.4</v>
      </c>
      <c r="E77" s="175">
        <v>106.63</v>
      </c>
      <c r="F77" s="175">
        <v>3.56</v>
      </c>
      <c r="G77" s="174"/>
    </row>
    <row r="78" spans="1:7" x14ac:dyDescent="0.25">
      <c r="A78" s="194">
        <v>2021</v>
      </c>
      <c r="B78" s="174" t="s">
        <v>500</v>
      </c>
      <c r="C78" s="175">
        <v>36</v>
      </c>
      <c r="D78" s="176"/>
      <c r="E78" s="176"/>
      <c r="F78" s="176"/>
      <c r="G78" s="174"/>
    </row>
    <row r="79" spans="1:7" x14ac:dyDescent="0.25">
      <c r="A79" s="194">
        <v>2021</v>
      </c>
      <c r="B79" s="174" t="s">
        <v>500</v>
      </c>
      <c r="C79" s="175">
        <v>29</v>
      </c>
      <c r="D79" s="176"/>
      <c r="E79" s="176"/>
      <c r="F79" s="176"/>
      <c r="G79" s="174"/>
    </row>
    <row r="80" spans="1:7" x14ac:dyDescent="0.25">
      <c r="A80" s="194">
        <v>2021</v>
      </c>
      <c r="B80" s="174" t="s">
        <v>500</v>
      </c>
      <c r="C80" s="175">
        <v>32</v>
      </c>
      <c r="D80" s="176"/>
      <c r="E80" s="176"/>
      <c r="F80" s="176"/>
      <c r="G80" s="174"/>
    </row>
    <row r="81" spans="1:7" x14ac:dyDescent="0.25">
      <c r="A81" s="194">
        <v>2021</v>
      </c>
      <c r="B81" s="174" t="s">
        <v>500</v>
      </c>
      <c r="C81" s="175">
        <v>36</v>
      </c>
      <c r="D81" s="176"/>
      <c r="E81" s="176"/>
      <c r="F81" s="176"/>
      <c r="G81" s="174"/>
    </row>
    <row r="82" spans="1:7" x14ac:dyDescent="0.25">
      <c r="A82" s="194">
        <v>2021</v>
      </c>
      <c r="B82" s="174" t="s">
        <v>500</v>
      </c>
      <c r="C82" s="175">
        <v>43</v>
      </c>
      <c r="D82" s="176"/>
      <c r="E82" s="176"/>
      <c r="F82" s="176"/>
      <c r="G82" s="174"/>
    </row>
    <row r="83" spans="1:7" x14ac:dyDescent="0.25">
      <c r="A83" s="194">
        <v>2021</v>
      </c>
      <c r="B83" s="174" t="s">
        <v>500</v>
      </c>
      <c r="C83" s="175">
        <v>36</v>
      </c>
      <c r="D83" s="176"/>
      <c r="E83" s="176"/>
      <c r="F83" s="176"/>
      <c r="G83" s="174"/>
    </row>
    <row r="84" spans="1:7" x14ac:dyDescent="0.25">
      <c r="A84" s="194">
        <v>2021</v>
      </c>
      <c r="B84" s="174" t="s">
        <v>500</v>
      </c>
      <c r="C84" s="175">
        <v>22</v>
      </c>
      <c r="D84" s="176"/>
      <c r="E84" s="176"/>
      <c r="F84" s="176"/>
      <c r="G84" s="174"/>
    </row>
    <row r="85" spans="1:7" x14ac:dyDescent="0.25">
      <c r="A85" s="194">
        <v>2021</v>
      </c>
      <c r="B85" s="174" t="s">
        <v>500</v>
      </c>
      <c r="C85" s="175">
        <v>24</v>
      </c>
      <c r="D85" s="176"/>
      <c r="E85" s="176"/>
      <c r="F85" s="176"/>
      <c r="G85" s="174"/>
    </row>
    <row r="86" spans="1:7" x14ac:dyDescent="0.25">
      <c r="A86" s="194">
        <v>2021</v>
      </c>
      <c r="B86" s="174" t="s">
        <v>500</v>
      </c>
      <c r="C86" s="175">
        <v>24</v>
      </c>
      <c r="D86" s="176"/>
      <c r="E86" s="176"/>
      <c r="F86" s="176"/>
      <c r="G86" s="174"/>
    </row>
    <row r="87" spans="1:7" x14ac:dyDescent="0.25">
      <c r="A87" s="194">
        <v>2021</v>
      </c>
      <c r="B87" s="174" t="s">
        <v>500</v>
      </c>
      <c r="C87" s="175">
        <v>24</v>
      </c>
      <c r="D87" s="176"/>
      <c r="E87" s="176"/>
      <c r="F87" s="176"/>
      <c r="G87" s="174"/>
    </row>
    <row r="88" spans="1:7" x14ac:dyDescent="0.25">
      <c r="A88" s="194">
        <v>2021</v>
      </c>
      <c r="B88" s="174" t="s">
        <v>500</v>
      </c>
      <c r="C88" s="175">
        <v>36</v>
      </c>
      <c r="D88" s="176"/>
      <c r="E88" s="176"/>
      <c r="F88" s="176"/>
      <c r="G88" s="174"/>
    </row>
    <row r="89" spans="1:7" x14ac:dyDescent="0.25">
      <c r="A89" s="194">
        <v>2021</v>
      </c>
      <c r="B89" s="174" t="s">
        <v>500</v>
      </c>
      <c r="C89" s="175">
        <v>38</v>
      </c>
      <c r="D89" s="176"/>
      <c r="E89" s="176"/>
      <c r="F89" s="176"/>
      <c r="G89" s="174"/>
    </row>
    <row r="90" spans="1:7" x14ac:dyDescent="0.25">
      <c r="A90" s="194">
        <v>2021</v>
      </c>
      <c r="B90" s="174" t="s">
        <v>500</v>
      </c>
      <c r="C90" s="175">
        <v>33</v>
      </c>
      <c r="D90" s="176"/>
      <c r="E90" s="176"/>
      <c r="F90" s="176"/>
      <c r="G90" s="174"/>
    </row>
    <row r="91" spans="1:7" x14ac:dyDescent="0.25">
      <c r="A91" s="194">
        <v>2021</v>
      </c>
      <c r="B91" s="174" t="s">
        <v>500</v>
      </c>
      <c r="C91" s="175">
        <v>41</v>
      </c>
      <c r="D91" s="176"/>
      <c r="E91" s="176"/>
      <c r="F91" s="176"/>
      <c r="G91" s="174"/>
    </row>
    <row r="92" spans="1:7" x14ac:dyDescent="0.25">
      <c r="A92" s="194">
        <v>2021</v>
      </c>
      <c r="B92" s="174" t="s">
        <v>500</v>
      </c>
      <c r="C92" s="175">
        <v>28</v>
      </c>
      <c r="D92" s="176"/>
      <c r="E92" s="176"/>
      <c r="F92" s="176"/>
      <c r="G92" s="174"/>
    </row>
    <row r="93" spans="1:7" x14ac:dyDescent="0.25">
      <c r="A93" s="194">
        <v>2021</v>
      </c>
      <c r="B93" s="174" t="s">
        <v>500</v>
      </c>
      <c r="C93" s="175">
        <v>31</v>
      </c>
      <c r="D93" s="176"/>
      <c r="E93" s="176"/>
      <c r="F93" s="176"/>
      <c r="G93" s="174"/>
    </row>
    <row r="94" spans="1:7" x14ac:dyDescent="0.25">
      <c r="A94" s="194">
        <v>2021</v>
      </c>
      <c r="B94" s="174" t="s">
        <v>500</v>
      </c>
      <c r="C94" s="175">
        <v>20</v>
      </c>
      <c r="D94" s="176"/>
      <c r="E94" s="176"/>
      <c r="F94" s="176"/>
      <c r="G94" s="174"/>
    </row>
    <row r="95" spans="1:7" x14ac:dyDescent="0.25">
      <c r="A95" s="194">
        <v>2021</v>
      </c>
      <c r="B95" s="174" t="s">
        <v>500</v>
      </c>
      <c r="C95" s="175">
        <v>24</v>
      </c>
      <c r="D95" s="176"/>
      <c r="E95" s="176"/>
      <c r="F95" s="176"/>
      <c r="G95" s="174"/>
    </row>
    <row r="96" spans="1:7" x14ac:dyDescent="0.25">
      <c r="A96" s="194">
        <v>2021</v>
      </c>
      <c r="B96" s="174" t="s">
        <v>500</v>
      </c>
      <c r="C96" s="175">
        <v>23</v>
      </c>
      <c r="D96" s="176"/>
      <c r="E96" s="176"/>
      <c r="F96" s="176"/>
      <c r="G96" s="174"/>
    </row>
    <row r="97" spans="1:7" x14ac:dyDescent="0.25">
      <c r="A97" s="194">
        <v>2021</v>
      </c>
      <c r="B97" s="174" t="s">
        <v>500</v>
      </c>
      <c r="C97" s="175">
        <v>20</v>
      </c>
      <c r="D97" s="176"/>
      <c r="E97" s="176"/>
      <c r="F97" s="176"/>
      <c r="G97" s="174"/>
    </row>
    <row r="98" spans="1:7" x14ac:dyDescent="0.25">
      <c r="A98" s="194">
        <v>2021</v>
      </c>
      <c r="B98" s="174" t="s">
        <v>500</v>
      </c>
      <c r="C98" s="175">
        <v>37</v>
      </c>
      <c r="D98" s="176"/>
      <c r="E98" s="176"/>
      <c r="F98" s="176"/>
      <c r="G98" s="174"/>
    </row>
    <row r="99" spans="1:7" x14ac:dyDescent="0.25">
      <c r="A99" s="194">
        <v>2021</v>
      </c>
      <c r="B99" s="174" t="s">
        <v>500</v>
      </c>
      <c r="C99" s="175">
        <v>31</v>
      </c>
      <c r="D99" s="176"/>
      <c r="E99" s="176"/>
      <c r="F99" s="176"/>
      <c r="G99" s="174"/>
    </row>
    <row r="100" spans="1:7" x14ac:dyDescent="0.25">
      <c r="A100" s="194">
        <v>2021</v>
      </c>
      <c r="B100" s="174" t="s">
        <v>500</v>
      </c>
      <c r="C100" s="175">
        <v>23</v>
      </c>
      <c r="D100" s="176"/>
      <c r="E100" s="176"/>
      <c r="F100" s="176"/>
      <c r="G100" s="174"/>
    </row>
    <row r="101" spans="1:7" x14ac:dyDescent="0.25">
      <c r="A101" s="194">
        <v>2021</v>
      </c>
      <c r="B101" s="174" t="s">
        <v>500</v>
      </c>
      <c r="C101" s="175">
        <v>25</v>
      </c>
      <c r="D101" s="176"/>
      <c r="E101" s="176"/>
      <c r="F101" s="176"/>
      <c r="G101" s="174"/>
    </row>
    <row r="102" spans="1:7" x14ac:dyDescent="0.25">
      <c r="A102" s="194">
        <v>2021</v>
      </c>
      <c r="B102" s="174" t="s">
        <v>500</v>
      </c>
      <c r="C102" s="175">
        <v>32</v>
      </c>
      <c r="D102" s="176"/>
      <c r="E102" s="176"/>
      <c r="F102" s="176"/>
      <c r="G102" s="174"/>
    </row>
    <row r="103" spans="1:7" x14ac:dyDescent="0.25">
      <c r="A103" s="194">
        <v>2021</v>
      </c>
      <c r="B103" s="174" t="s">
        <v>500</v>
      </c>
      <c r="C103" s="175">
        <v>26</v>
      </c>
      <c r="D103" s="176"/>
      <c r="E103" s="176"/>
      <c r="F103" s="176"/>
      <c r="G103" s="174"/>
    </row>
    <row r="104" spans="1:7" x14ac:dyDescent="0.25">
      <c r="A104" s="194">
        <v>2021</v>
      </c>
      <c r="B104" s="174" t="s">
        <v>500</v>
      </c>
      <c r="C104" s="175">
        <v>31</v>
      </c>
      <c r="D104" s="176"/>
      <c r="E104" s="176"/>
      <c r="F104" s="176"/>
      <c r="G104" s="174"/>
    </row>
    <row r="105" spans="1:7" x14ac:dyDescent="0.25">
      <c r="A105" s="194">
        <v>2021</v>
      </c>
      <c r="B105" s="174" t="s">
        <v>500</v>
      </c>
      <c r="C105" s="175">
        <v>30</v>
      </c>
      <c r="D105" s="176"/>
      <c r="E105" s="176"/>
      <c r="F105" s="176"/>
      <c r="G105" s="174"/>
    </row>
    <row r="106" spans="1:7" x14ac:dyDescent="0.25">
      <c r="A106" s="194">
        <v>2021</v>
      </c>
      <c r="B106" s="174" t="s">
        <v>500</v>
      </c>
      <c r="C106" s="175">
        <v>25</v>
      </c>
      <c r="D106" s="176"/>
      <c r="E106" s="176"/>
      <c r="F106" s="176"/>
      <c r="G106" s="174"/>
    </row>
    <row r="107" spans="1:7" x14ac:dyDescent="0.25">
      <c r="A107" s="194">
        <v>2021</v>
      </c>
      <c r="B107" s="174" t="s">
        <v>500</v>
      </c>
      <c r="C107" s="175">
        <v>37</v>
      </c>
      <c r="D107" s="176"/>
      <c r="E107" s="176"/>
      <c r="F107" s="176"/>
      <c r="G107" s="174"/>
    </row>
    <row r="108" spans="1:7" x14ac:dyDescent="0.25">
      <c r="A108" s="194">
        <v>2021</v>
      </c>
      <c r="B108" s="174" t="s">
        <v>493</v>
      </c>
      <c r="C108" s="175">
        <v>41</v>
      </c>
      <c r="D108" s="175">
        <v>155.82</v>
      </c>
      <c r="E108" s="175">
        <v>162.09</v>
      </c>
      <c r="F108" s="175">
        <v>4.05</v>
      </c>
      <c r="G108" s="174"/>
    </row>
    <row r="109" spans="1:7" x14ac:dyDescent="0.25">
      <c r="A109" s="194">
        <v>2021</v>
      </c>
      <c r="B109" s="174" t="s">
        <v>493</v>
      </c>
      <c r="C109" s="175">
        <v>90</v>
      </c>
      <c r="D109" s="175">
        <v>164.31</v>
      </c>
      <c r="E109" s="175">
        <v>118.25</v>
      </c>
      <c r="F109" s="175">
        <v>4.05</v>
      </c>
      <c r="G109" s="174"/>
    </row>
    <row r="110" spans="1:7" x14ac:dyDescent="0.25">
      <c r="A110" s="194">
        <v>2021</v>
      </c>
      <c r="B110" s="174" t="s">
        <v>493</v>
      </c>
      <c r="C110" s="175">
        <v>50</v>
      </c>
      <c r="D110" s="175">
        <v>167.26</v>
      </c>
      <c r="E110" s="175">
        <v>143.03</v>
      </c>
      <c r="F110" s="175">
        <v>4.5599999999999996</v>
      </c>
      <c r="G110" s="174"/>
    </row>
    <row r="111" spans="1:7" x14ac:dyDescent="0.25">
      <c r="A111" s="194">
        <v>2021</v>
      </c>
      <c r="B111" s="174" t="s">
        <v>493</v>
      </c>
      <c r="C111" s="175">
        <v>74</v>
      </c>
      <c r="D111" s="175">
        <v>151.71</v>
      </c>
      <c r="E111" s="175">
        <v>139.07</v>
      </c>
      <c r="F111" s="175">
        <v>2.73</v>
      </c>
      <c r="G111" s="174"/>
    </row>
    <row r="112" spans="1:7" x14ac:dyDescent="0.25">
      <c r="A112" s="194">
        <v>2021</v>
      </c>
      <c r="B112" s="174" t="s">
        <v>493</v>
      </c>
      <c r="C112" s="175">
        <v>71</v>
      </c>
      <c r="D112" s="175">
        <v>172.25</v>
      </c>
      <c r="E112" s="175">
        <v>131.94999999999999</v>
      </c>
      <c r="F112" s="175">
        <v>2.7</v>
      </c>
      <c r="G112" s="174"/>
    </row>
    <row r="113" spans="1:7" x14ac:dyDescent="0.25">
      <c r="A113" s="194">
        <v>2021</v>
      </c>
      <c r="B113" s="174" t="s">
        <v>493</v>
      </c>
      <c r="C113" s="175">
        <v>54</v>
      </c>
      <c r="D113" s="175">
        <v>164.62</v>
      </c>
      <c r="E113" s="175">
        <v>151.47</v>
      </c>
      <c r="F113" s="175">
        <v>4.32</v>
      </c>
      <c r="G113" s="174"/>
    </row>
    <row r="114" spans="1:7" x14ac:dyDescent="0.25">
      <c r="A114" s="194">
        <v>2021</v>
      </c>
      <c r="B114" s="174" t="s">
        <v>494</v>
      </c>
      <c r="C114" s="175">
        <v>44</v>
      </c>
      <c r="D114" s="175">
        <v>217.35</v>
      </c>
      <c r="E114" s="175">
        <v>193.62</v>
      </c>
      <c r="F114" s="175">
        <v>4.72</v>
      </c>
      <c r="G114" s="174"/>
    </row>
    <row r="115" spans="1:7" x14ac:dyDescent="0.25">
      <c r="A115" s="194">
        <v>2021</v>
      </c>
      <c r="B115" s="174" t="s">
        <v>494</v>
      </c>
      <c r="C115" s="175">
        <v>47</v>
      </c>
      <c r="D115" s="175">
        <v>181.65</v>
      </c>
      <c r="E115" s="175">
        <v>152.65</v>
      </c>
      <c r="F115" s="175">
        <v>3.05</v>
      </c>
      <c r="G115" s="174"/>
    </row>
    <row r="116" spans="1:7" x14ac:dyDescent="0.25">
      <c r="A116" s="194">
        <v>2021</v>
      </c>
      <c r="B116" s="174" t="s">
        <v>494</v>
      </c>
      <c r="C116" s="175">
        <v>42</v>
      </c>
      <c r="D116" s="175">
        <v>150.63999999999999</v>
      </c>
      <c r="E116" s="175">
        <v>150.44999999999999</v>
      </c>
      <c r="F116" s="175">
        <v>3.43</v>
      </c>
      <c r="G116" s="174"/>
    </row>
    <row r="117" spans="1:7" x14ac:dyDescent="0.25">
      <c r="A117" s="194">
        <v>2021</v>
      </c>
      <c r="B117" s="174" t="s">
        <v>494</v>
      </c>
      <c r="C117" s="175">
        <v>44</v>
      </c>
      <c r="D117" s="175">
        <v>223.57</v>
      </c>
      <c r="E117" s="175">
        <v>207.02</v>
      </c>
      <c r="F117" s="175">
        <v>3.87</v>
      </c>
      <c r="G117" s="174"/>
    </row>
    <row r="118" spans="1:7" x14ac:dyDescent="0.25">
      <c r="A118" s="194">
        <v>2021</v>
      </c>
      <c r="B118" s="174" t="s">
        <v>494</v>
      </c>
      <c r="C118" s="175">
        <v>46</v>
      </c>
      <c r="D118" s="175">
        <v>164.74</v>
      </c>
      <c r="E118" s="175">
        <v>119.94</v>
      </c>
      <c r="F118" s="175">
        <v>3.46</v>
      </c>
      <c r="G118" s="174"/>
    </row>
    <row r="119" spans="1:7" x14ac:dyDescent="0.25">
      <c r="A119" s="194">
        <v>2021</v>
      </c>
      <c r="B119" s="174" t="s">
        <v>494</v>
      </c>
      <c r="C119" s="175">
        <v>44</v>
      </c>
      <c r="D119" s="175">
        <v>151.74</v>
      </c>
      <c r="E119" s="175">
        <v>115</v>
      </c>
      <c r="F119" s="175">
        <v>4.92</v>
      </c>
      <c r="G119" s="174"/>
    </row>
    <row r="120" spans="1:7" x14ac:dyDescent="0.25">
      <c r="A120" s="194">
        <v>2021</v>
      </c>
      <c r="B120" s="174" t="s">
        <v>481</v>
      </c>
      <c r="C120" s="175">
        <v>60</v>
      </c>
      <c r="D120" s="175">
        <v>165.62</v>
      </c>
      <c r="E120" s="175">
        <v>126.74</v>
      </c>
      <c r="F120" s="175">
        <v>2.0499999999999998</v>
      </c>
      <c r="G120" s="174"/>
    </row>
    <row r="121" spans="1:7" x14ac:dyDescent="0.25">
      <c r="A121" s="194">
        <v>2021</v>
      </c>
      <c r="B121" s="174" t="s">
        <v>481</v>
      </c>
      <c r="C121" s="175">
        <v>60</v>
      </c>
      <c r="D121" s="175">
        <v>165.62</v>
      </c>
      <c r="E121" s="175">
        <v>126.74</v>
      </c>
      <c r="F121" s="175">
        <v>2.0499999999999998</v>
      </c>
      <c r="G121" s="174"/>
    </row>
    <row r="122" spans="1:7" x14ac:dyDescent="0.25">
      <c r="A122" s="194">
        <v>2021</v>
      </c>
      <c r="B122" s="174" t="s">
        <v>481</v>
      </c>
      <c r="C122" s="175">
        <v>55</v>
      </c>
      <c r="D122" s="175">
        <v>163.80000000000001</v>
      </c>
      <c r="E122" s="175">
        <v>150.80000000000001</v>
      </c>
      <c r="F122" s="175">
        <v>3.02</v>
      </c>
      <c r="G122" s="174"/>
    </row>
    <row r="123" spans="1:7" x14ac:dyDescent="0.25">
      <c r="A123" s="194">
        <v>2021</v>
      </c>
      <c r="B123" s="174" t="s">
        <v>481</v>
      </c>
      <c r="C123" s="175">
        <v>55</v>
      </c>
      <c r="D123" s="175">
        <v>163.80000000000001</v>
      </c>
      <c r="E123" s="175">
        <v>150.80000000000001</v>
      </c>
      <c r="F123" s="175">
        <v>3.02</v>
      </c>
      <c r="G123" s="174"/>
    </row>
    <row r="124" spans="1:7" x14ac:dyDescent="0.25">
      <c r="A124" s="194">
        <v>2021</v>
      </c>
      <c r="B124" s="174" t="s">
        <v>481</v>
      </c>
      <c r="C124" s="175">
        <v>47</v>
      </c>
      <c r="D124" s="175">
        <v>149.52000000000001</v>
      </c>
      <c r="E124" s="175">
        <v>147.44999999999999</v>
      </c>
      <c r="F124" s="175">
        <v>5.15</v>
      </c>
      <c r="G124" s="174"/>
    </row>
    <row r="125" spans="1:7" x14ac:dyDescent="0.25">
      <c r="A125" s="194">
        <v>2021</v>
      </c>
      <c r="B125" s="174" t="s">
        <v>481</v>
      </c>
      <c r="C125" s="175">
        <v>47</v>
      </c>
      <c r="D125" s="175">
        <v>149.52000000000001</v>
      </c>
      <c r="E125" s="175">
        <v>147.44999999999999</v>
      </c>
      <c r="F125" s="175">
        <v>5.15</v>
      </c>
      <c r="G125" s="174"/>
    </row>
    <row r="126" spans="1:7" x14ac:dyDescent="0.25">
      <c r="A126" s="194">
        <v>2021</v>
      </c>
      <c r="B126" s="174" t="s">
        <v>481</v>
      </c>
      <c r="C126" s="175">
        <v>61</v>
      </c>
      <c r="D126" s="175">
        <v>164.53</v>
      </c>
      <c r="E126" s="175">
        <v>123.32</v>
      </c>
      <c r="F126" s="175">
        <v>8.6300000000000008</v>
      </c>
      <c r="G126" s="174"/>
    </row>
    <row r="127" spans="1:7" x14ac:dyDescent="0.25">
      <c r="A127" s="194">
        <v>2021</v>
      </c>
      <c r="B127" s="174" t="s">
        <v>481</v>
      </c>
      <c r="C127" s="175">
        <v>61</v>
      </c>
      <c r="D127" s="175">
        <v>164.53</v>
      </c>
      <c r="E127" s="175">
        <v>123.32</v>
      </c>
      <c r="F127" s="175">
        <v>8.6300000000000008</v>
      </c>
      <c r="G127" s="174"/>
    </row>
    <row r="128" spans="1:7" x14ac:dyDescent="0.25">
      <c r="A128" s="194">
        <v>2021</v>
      </c>
      <c r="B128" s="174" t="s">
        <v>481</v>
      </c>
      <c r="C128" s="175">
        <v>49</v>
      </c>
      <c r="D128" s="175">
        <v>151.58000000000001</v>
      </c>
      <c r="E128" s="175">
        <v>153.57</v>
      </c>
      <c r="F128" s="175">
        <v>7.1</v>
      </c>
      <c r="G128" s="174"/>
    </row>
    <row r="129" spans="1:7" x14ac:dyDescent="0.25">
      <c r="A129" s="194">
        <v>2021</v>
      </c>
      <c r="B129" s="174" t="s">
        <v>481</v>
      </c>
      <c r="C129" s="175">
        <v>49</v>
      </c>
      <c r="D129" s="175">
        <v>151.58000000000001</v>
      </c>
      <c r="E129" s="175">
        <v>153.57</v>
      </c>
      <c r="F129" s="175">
        <v>7.1</v>
      </c>
      <c r="G129" s="174"/>
    </row>
    <row r="130" spans="1:7" x14ac:dyDescent="0.25">
      <c r="A130" s="194">
        <v>2021</v>
      </c>
      <c r="B130" s="174" t="s">
        <v>481</v>
      </c>
      <c r="C130" s="175">
        <v>58</v>
      </c>
      <c r="D130" s="175">
        <v>156.07</v>
      </c>
      <c r="E130" s="175">
        <v>152.68</v>
      </c>
      <c r="F130" s="175">
        <v>8.59</v>
      </c>
      <c r="G130" s="174"/>
    </row>
    <row r="131" spans="1:7" x14ac:dyDescent="0.25">
      <c r="A131" s="194">
        <v>2021</v>
      </c>
      <c r="B131" s="174" t="s">
        <v>481</v>
      </c>
      <c r="C131" s="175">
        <v>58</v>
      </c>
      <c r="D131" s="175">
        <v>156.07</v>
      </c>
      <c r="E131" s="175">
        <v>152.68</v>
      </c>
      <c r="F131" s="175">
        <v>8.59</v>
      </c>
      <c r="G131" s="174"/>
    </row>
    <row r="132" spans="1:7" x14ac:dyDescent="0.25">
      <c r="A132" s="194">
        <v>2021</v>
      </c>
      <c r="B132" s="174" t="s">
        <v>495</v>
      </c>
      <c r="C132" s="175">
        <v>86</v>
      </c>
      <c r="D132" s="175">
        <v>188.24</v>
      </c>
      <c r="E132" s="175">
        <v>158.07</v>
      </c>
      <c r="F132" s="175">
        <v>1.93</v>
      </c>
      <c r="G132" s="174"/>
    </row>
    <row r="133" spans="1:7" x14ac:dyDescent="0.25">
      <c r="A133" s="194">
        <v>2021</v>
      </c>
      <c r="B133" s="174" t="s">
        <v>495</v>
      </c>
      <c r="C133" s="175">
        <v>53</v>
      </c>
      <c r="D133" s="175">
        <v>186.03</v>
      </c>
      <c r="E133" s="175">
        <v>165.83</v>
      </c>
      <c r="F133" s="175">
        <v>3.25</v>
      </c>
      <c r="G133" s="174"/>
    </row>
    <row r="134" spans="1:7" x14ac:dyDescent="0.25">
      <c r="A134" s="194">
        <v>2021</v>
      </c>
      <c r="B134" s="174" t="s">
        <v>495</v>
      </c>
      <c r="C134" s="175">
        <v>64</v>
      </c>
      <c r="D134" s="175">
        <v>131.94999999999999</v>
      </c>
      <c r="E134" s="175">
        <v>125.02</v>
      </c>
      <c r="F134" s="175">
        <v>5.12</v>
      </c>
      <c r="G134" s="174"/>
    </row>
    <row r="135" spans="1:7" x14ac:dyDescent="0.25">
      <c r="A135" s="194">
        <v>2021</v>
      </c>
      <c r="B135" s="174" t="s">
        <v>495</v>
      </c>
      <c r="C135" s="175">
        <v>92</v>
      </c>
      <c r="D135" s="175">
        <v>185.74</v>
      </c>
      <c r="E135" s="175">
        <v>152.74</v>
      </c>
      <c r="F135" s="175">
        <v>7.81</v>
      </c>
      <c r="G135" s="174"/>
    </row>
    <row r="136" spans="1:7" x14ac:dyDescent="0.25">
      <c r="A136" s="194">
        <v>2021</v>
      </c>
      <c r="B136" s="174" t="s">
        <v>495</v>
      </c>
      <c r="C136" s="175">
        <v>58</v>
      </c>
      <c r="D136" s="175">
        <v>179.82</v>
      </c>
      <c r="E136" s="175">
        <v>155.57</v>
      </c>
      <c r="F136" s="175">
        <v>7.72</v>
      </c>
      <c r="G136" s="174"/>
    </row>
    <row r="137" spans="1:7" x14ac:dyDescent="0.25">
      <c r="A137" s="194">
        <v>2021</v>
      </c>
      <c r="B137" s="174" t="s">
        <v>495</v>
      </c>
      <c r="C137" s="175">
        <v>68</v>
      </c>
      <c r="D137" s="175">
        <v>137.47999999999999</v>
      </c>
      <c r="E137" s="175">
        <v>119.82</v>
      </c>
      <c r="F137" s="175">
        <v>5.12</v>
      </c>
      <c r="G137" s="174"/>
    </row>
    <row r="138" spans="1:7" x14ac:dyDescent="0.25">
      <c r="A138" s="194">
        <v>2021</v>
      </c>
      <c r="B138" s="174" t="s">
        <v>512</v>
      </c>
      <c r="C138" s="175">
        <v>59</v>
      </c>
      <c r="D138" s="175">
        <v>190.49</v>
      </c>
      <c r="E138" s="175">
        <v>164.23</v>
      </c>
      <c r="F138" s="175">
        <v>3.96</v>
      </c>
      <c r="G138" s="174"/>
    </row>
    <row r="139" spans="1:7" x14ac:dyDescent="0.25">
      <c r="A139" s="194">
        <v>2021</v>
      </c>
      <c r="B139" s="174" t="s">
        <v>512</v>
      </c>
      <c r="C139" s="175">
        <v>49</v>
      </c>
      <c r="D139" s="175">
        <v>183.76</v>
      </c>
      <c r="E139" s="175">
        <v>167.01</v>
      </c>
      <c r="F139" s="175">
        <v>4.9400000000000004</v>
      </c>
      <c r="G139" s="174"/>
    </row>
    <row r="140" spans="1:7" x14ac:dyDescent="0.25">
      <c r="A140" s="194">
        <v>2021</v>
      </c>
      <c r="B140" s="174" t="s">
        <v>512</v>
      </c>
      <c r="C140" s="175">
        <v>62</v>
      </c>
      <c r="D140" s="175">
        <v>129.07</v>
      </c>
      <c r="E140" s="175">
        <v>124.86</v>
      </c>
      <c r="F140" s="175">
        <v>4.57</v>
      </c>
      <c r="G140" s="174"/>
    </row>
    <row r="141" spans="1:7" x14ac:dyDescent="0.25">
      <c r="A141" s="194">
        <v>2021</v>
      </c>
      <c r="B141" s="174" t="s">
        <v>512</v>
      </c>
      <c r="C141" s="175">
        <v>67</v>
      </c>
      <c r="D141" s="175">
        <v>147.71</v>
      </c>
      <c r="E141" s="175">
        <v>130.97</v>
      </c>
      <c r="F141" s="175">
        <v>3.74</v>
      </c>
      <c r="G141" s="174"/>
    </row>
    <row r="142" spans="1:7" x14ac:dyDescent="0.25">
      <c r="A142" s="194">
        <v>2021</v>
      </c>
      <c r="B142" s="174" t="s">
        <v>512</v>
      </c>
      <c r="C142" s="175">
        <v>82</v>
      </c>
      <c r="D142" s="175">
        <v>150.37</v>
      </c>
      <c r="E142" s="175">
        <v>113.99</v>
      </c>
      <c r="F142" s="175">
        <v>4.34</v>
      </c>
      <c r="G142" s="174"/>
    </row>
    <row r="143" spans="1:7" x14ac:dyDescent="0.25">
      <c r="A143" s="194">
        <v>2021</v>
      </c>
      <c r="B143" s="174" t="s">
        <v>512</v>
      </c>
      <c r="C143" s="175">
        <v>72</v>
      </c>
      <c r="D143" s="175">
        <v>149.5</v>
      </c>
      <c r="E143" s="175">
        <v>121.69</v>
      </c>
      <c r="F143" s="175">
        <v>4.5</v>
      </c>
      <c r="G143" s="174"/>
    </row>
    <row r="144" spans="1:7" x14ac:dyDescent="0.25">
      <c r="A144" s="194">
        <v>2021</v>
      </c>
      <c r="B144" s="174" t="s">
        <v>477</v>
      </c>
      <c r="C144" s="175">
        <v>71</v>
      </c>
      <c r="D144" s="175">
        <v>195.6</v>
      </c>
      <c r="E144" s="175">
        <v>162.88</v>
      </c>
      <c r="F144" s="175">
        <v>2</v>
      </c>
      <c r="G144" s="174"/>
    </row>
    <row r="145" spans="1:7" x14ac:dyDescent="0.25">
      <c r="A145" s="194">
        <v>2021</v>
      </c>
      <c r="B145" s="174" t="s">
        <v>477</v>
      </c>
      <c r="C145" s="175">
        <v>60</v>
      </c>
      <c r="D145" s="175">
        <v>168.61</v>
      </c>
      <c r="E145" s="175">
        <v>169.77</v>
      </c>
      <c r="F145" s="175">
        <v>1.49</v>
      </c>
      <c r="G145" s="174"/>
    </row>
    <row r="146" spans="1:7" x14ac:dyDescent="0.25">
      <c r="A146" s="194">
        <v>2021</v>
      </c>
      <c r="B146" s="174" t="s">
        <v>477</v>
      </c>
      <c r="C146" s="175">
        <v>62</v>
      </c>
      <c r="D146" s="175">
        <v>172.94</v>
      </c>
      <c r="E146" s="175">
        <v>188.36</v>
      </c>
      <c r="F146" s="175">
        <v>2.2400000000000002</v>
      </c>
      <c r="G146" s="174"/>
    </row>
    <row r="147" spans="1:7" x14ac:dyDescent="0.25">
      <c r="A147" s="194">
        <v>2021</v>
      </c>
      <c r="B147" s="174" t="s">
        <v>477</v>
      </c>
      <c r="C147" s="175">
        <v>58</v>
      </c>
      <c r="D147" s="175">
        <v>157.19999999999999</v>
      </c>
      <c r="E147" s="175">
        <v>156.80000000000001</v>
      </c>
      <c r="F147" s="175">
        <v>3.9</v>
      </c>
      <c r="G147" s="174"/>
    </row>
    <row r="148" spans="1:7" x14ac:dyDescent="0.25">
      <c r="A148" s="194">
        <v>2021</v>
      </c>
      <c r="B148" s="174" t="s">
        <v>477</v>
      </c>
      <c r="C148" s="175">
        <v>82</v>
      </c>
      <c r="D148" s="175">
        <v>187.91</v>
      </c>
      <c r="E148" s="175">
        <v>159.24</v>
      </c>
      <c r="F148" s="175">
        <v>3.49</v>
      </c>
      <c r="G148" s="174"/>
    </row>
    <row r="149" spans="1:7" x14ac:dyDescent="0.25">
      <c r="A149" s="194">
        <v>2021</v>
      </c>
      <c r="B149" s="174" t="s">
        <v>477</v>
      </c>
      <c r="C149" s="175">
        <v>75</v>
      </c>
      <c r="D149" s="175">
        <v>147.63</v>
      </c>
      <c r="E149" s="175">
        <v>181.09</v>
      </c>
      <c r="F149" s="175">
        <v>2.5</v>
      </c>
      <c r="G149" s="174"/>
    </row>
    <row r="150" spans="1:7" x14ac:dyDescent="0.25">
      <c r="A150" s="194">
        <v>2021</v>
      </c>
      <c r="B150" s="174" t="s">
        <v>512</v>
      </c>
      <c r="C150" s="175">
        <v>46</v>
      </c>
      <c r="D150" s="175">
        <v>145.96</v>
      </c>
      <c r="E150" s="175">
        <v>142.31</v>
      </c>
      <c r="F150" s="175">
        <v>4.21</v>
      </c>
      <c r="G150" s="174"/>
    </row>
    <row r="151" spans="1:7" x14ac:dyDescent="0.25">
      <c r="A151" s="194">
        <v>2021</v>
      </c>
      <c r="B151" s="174" t="s">
        <v>512</v>
      </c>
      <c r="C151" s="175">
        <v>59</v>
      </c>
      <c r="D151" s="175">
        <v>187.34</v>
      </c>
      <c r="E151" s="175">
        <v>149.75</v>
      </c>
      <c r="F151" s="175">
        <v>3.99</v>
      </c>
      <c r="G151" s="174"/>
    </row>
    <row r="152" spans="1:7" x14ac:dyDescent="0.25">
      <c r="A152" s="194">
        <v>2021</v>
      </c>
      <c r="B152" s="174" t="s">
        <v>512</v>
      </c>
      <c r="C152" s="175">
        <v>63</v>
      </c>
      <c r="D152" s="175">
        <v>178.64</v>
      </c>
      <c r="E152" s="175">
        <v>122.92</v>
      </c>
      <c r="F152" s="175">
        <v>5.01</v>
      </c>
      <c r="G152" s="174"/>
    </row>
    <row r="153" spans="1:7" x14ac:dyDescent="0.25">
      <c r="A153" s="194">
        <v>2021</v>
      </c>
      <c r="B153" s="174" t="s">
        <v>512</v>
      </c>
      <c r="C153" s="175">
        <v>52</v>
      </c>
      <c r="D153" s="175">
        <v>141.66</v>
      </c>
      <c r="E153" s="175">
        <v>102.2</v>
      </c>
      <c r="F153" s="175">
        <v>4.88</v>
      </c>
      <c r="G153" s="174"/>
    </row>
    <row r="154" spans="1:7" x14ac:dyDescent="0.25">
      <c r="A154" s="194">
        <v>2021</v>
      </c>
      <c r="B154" s="174" t="s">
        <v>512</v>
      </c>
      <c r="C154" s="175">
        <v>75</v>
      </c>
      <c r="D154" s="175">
        <v>149.99</v>
      </c>
      <c r="E154" s="175">
        <v>115.19</v>
      </c>
      <c r="F154" s="175">
        <v>4.72</v>
      </c>
      <c r="G154" s="174"/>
    </row>
    <row r="155" spans="1:7" x14ac:dyDescent="0.25">
      <c r="A155" s="194">
        <v>2021</v>
      </c>
      <c r="B155" s="174" t="s">
        <v>512</v>
      </c>
      <c r="C155" s="175">
        <v>65</v>
      </c>
      <c r="D155" s="175">
        <v>163.86</v>
      </c>
      <c r="E155" s="175">
        <v>138.68</v>
      </c>
      <c r="F155" s="175">
        <v>5.39</v>
      </c>
      <c r="G155" s="174"/>
    </row>
    <row r="156" spans="1:7" x14ac:dyDescent="0.25">
      <c r="A156" s="194">
        <v>2021</v>
      </c>
      <c r="B156" s="174" t="s">
        <v>477</v>
      </c>
      <c r="C156" s="175">
        <v>42</v>
      </c>
      <c r="D156" s="175">
        <v>144.29</v>
      </c>
      <c r="E156" s="175">
        <v>95.32</v>
      </c>
      <c r="F156" s="175">
        <v>4.3499999999999996</v>
      </c>
      <c r="G156" s="174"/>
    </row>
    <row r="157" spans="1:7" x14ac:dyDescent="0.25">
      <c r="A157" s="194">
        <v>2021</v>
      </c>
      <c r="B157" s="174" t="s">
        <v>477</v>
      </c>
      <c r="C157" s="175">
        <v>41</v>
      </c>
      <c r="D157" s="175">
        <v>169.04</v>
      </c>
      <c r="E157" s="175">
        <v>121.61</v>
      </c>
      <c r="F157" s="175">
        <v>3.27</v>
      </c>
      <c r="G157" s="174"/>
    </row>
    <row r="158" spans="1:7" x14ac:dyDescent="0.25">
      <c r="A158" s="194">
        <v>2021</v>
      </c>
      <c r="B158" s="174" t="s">
        <v>477</v>
      </c>
      <c r="C158" s="175">
        <v>56</v>
      </c>
      <c r="D158" s="175">
        <v>187.54</v>
      </c>
      <c r="E158" s="175">
        <v>129.08000000000001</v>
      </c>
      <c r="F158" s="175">
        <v>3.12</v>
      </c>
      <c r="G158" s="174"/>
    </row>
    <row r="159" spans="1:7" x14ac:dyDescent="0.25">
      <c r="A159" s="194">
        <v>2021</v>
      </c>
      <c r="B159" s="174" t="s">
        <v>477</v>
      </c>
      <c r="C159" s="175">
        <v>45</v>
      </c>
      <c r="D159" s="175">
        <v>177.51</v>
      </c>
      <c r="E159" s="175">
        <v>143.22999999999999</v>
      </c>
      <c r="F159" s="175">
        <v>5.05</v>
      </c>
      <c r="G159" s="174"/>
    </row>
    <row r="160" spans="1:7" x14ac:dyDescent="0.25">
      <c r="A160" s="194">
        <v>2021</v>
      </c>
      <c r="B160" s="174" t="s">
        <v>477</v>
      </c>
      <c r="C160" s="175">
        <v>82</v>
      </c>
      <c r="D160" s="175">
        <v>190.97</v>
      </c>
      <c r="E160" s="175">
        <v>153.09</v>
      </c>
      <c r="F160" s="175">
        <v>4.78</v>
      </c>
      <c r="G160" s="174"/>
    </row>
    <row r="161" spans="1:7" x14ac:dyDescent="0.25">
      <c r="A161" s="194">
        <v>2021</v>
      </c>
      <c r="B161" s="174" t="s">
        <v>477</v>
      </c>
      <c r="C161" s="175">
        <v>79</v>
      </c>
      <c r="D161" s="175">
        <v>156.41999999999999</v>
      </c>
      <c r="E161" s="175">
        <v>102.44</v>
      </c>
      <c r="F161" s="175">
        <v>5.31</v>
      </c>
      <c r="G161" s="174"/>
    </row>
    <row r="162" spans="1:7" x14ac:dyDescent="0.25">
      <c r="A162" s="194">
        <v>2021</v>
      </c>
      <c r="B162" s="174" t="s">
        <v>480</v>
      </c>
      <c r="C162" s="175">
        <v>66</v>
      </c>
      <c r="D162" s="175">
        <v>190.38</v>
      </c>
      <c r="E162" s="175">
        <v>133.53</v>
      </c>
      <c r="F162" s="175">
        <v>6.17</v>
      </c>
      <c r="G162" s="174"/>
    </row>
    <row r="163" spans="1:7" x14ac:dyDescent="0.25">
      <c r="A163" s="194">
        <v>2021</v>
      </c>
      <c r="B163" s="174" t="s">
        <v>480</v>
      </c>
      <c r="C163" s="175">
        <v>59</v>
      </c>
      <c r="D163" s="175">
        <v>206.87</v>
      </c>
      <c r="E163" s="175">
        <v>164.65</v>
      </c>
      <c r="F163" s="175">
        <v>4.7699999999999996</v>
      </c>
      <c r="G163" s="174"/>
    </row>
    <row r="164" spans="1:7" x14ac:dyDescent="0.25">
      <c r="A164" s="194">
        <v>2021</v>
      </c>
      <c r="B164" s="174" t="s">
        <v>480</v>
      </c>
      <c r="C164" s="175">
        <v>47</v>
      </c>
      <c r="D164" s="175">
        <v>176.13</v>
      </c>
      <c r="E164" s="175">
        <v>121.06</v>
      </c>
      <c r="F164" s="175">
        <v>7.18</v>
      </c>
      <c r="G164" s="174"/>
    </row>
    <row r="165" spans="1:7" x14ac:dyDescent="0.25">
      <c r="A165" s="194">
        <v>2021</v>
      </c>
      <c r="B165" s="174" t="s">
        <v>480</v>
      </c>
      <c r="C165" s="175">
        <v>93</v>
      </c>
      <c r="D165" s="175">
        <v>194.72</v>
      </c>
      <c r="E165" s="175">
        <v>138.62</v>
      </c>
      <c r="F165" s="175">
        <v>6.26</v>
      </c>
      <c r="G165" s="174"/>
    </row>
    <row r="166" spans="1:7" x14ac:dyDescent="0.25">
      <c r="A166" s="194">
        <v>2021</v>
      </c>
      <c r="B166" s="174" t="s">
        <v>480</v>
      </c>
      <c r="C166" s="175">
        <v>92</v>
      </c>
      <c r="D166" s="175">
        <v>220.55</v>
      </c>
      <c r="E166" s="175">
        <v>161.09</v>
      </c>
      <c r="F166" s="175">
        <v>5.67</v>
      </c>
      <c r="G166" s="174"/>
    </row>
    <row r="167" spans="1:7" x14ac:dyDescent="0.25">
      <c r="A167" s="194">
        <v>2021</v>
      </c>
      <c r="B167" s="174" t="s">
        <v>480</v>
      </c>
      <c r="C167" s="175">
        <v>77</v>
      </c>
      <c r="D167" s="175">
        <v>218.82</v>
      </c>
      <c r="E167" s="175">
        <v>137.41999999999999</v>
      </c>
      <c r="F167" s="175">
        <v>4.3899999999999997</v>
      </c>
      <c r="G167" s="174"/>
    </row>
    <row r="168" spans="1:7" x14ac:dyDescent="0.25">
      <c r="A168" s="194">
        <v>2021</v>
      </c>
      <c r="B168" s="174" t="s">
        <v>492</v>
      </c>
      <c r="C168" s="175">
        <v>58</v>
      </c>
      <c r="D168" s="175">
        <v>188.25</v>
      </c>
      <c r="E168" s="175">
        <v>115.61</v>
      </c>
      <c r="F168" s="175">
        <v>6.17</v>
      </c>
      <c r="G168" s="174"/>
    </row>
    <row r="169" spans="1:7" x14ac:dyDescent="0.25">
      <c r="A169" s="194">
        <v>2021</v>
      </c>
      <c r="B169" s="174" t="s">
        <v>492</v>
      </c>
      <c r="C169" s="175">
        <v>63</v>
      </c>
      <c r="D169" s="175">
        <v>178.26</v>
      </c>
      <c r="E169" s="175">
        <v>113.07</v>
      </c>
      <c r="F169" s="175">
        <v>4.7699999999999996</v>
      </c>
      <c r="G169" s="174"/>
    </row>
    <row r="170" spans="1:7" x14ac:dyDescent="0.25">
      <c r="A170" s="194">
        <v>2021</v>
      </c>
      <c r="B170" s="174" t="s">
        <v>492</v>
      </c>
      <c r="C170" s="175">
        <v>27</v>
      </c>
      <c r="D170" s="175">
        <v>199.98</v>
      </c>
      <c r="E170" s="175">
        <v>122.04</v>
      </c>
      <c r="F170" s="175">
        <v>7.18</v>
      </c>
      <c r="G170" s="174"/>
    </row>
    <row r="171" spans="1:7" x14ac:dyDescent="0.25">
      <c r="A171" s="194">
        <v>2021</v>
      </c>
      <c r="B171" s="174" t="s">
        <v>492</v>
      </c>
      <c r="C171" s="175">
        <v>38</v>
      </c>
      <c r="D171" s="175">
        <v>216.32</v>
      </c>
      <c r="E171" s="175">
        <v>139.52000000000001</v>
      </c>
      <c r="F171" s="175">
        <v>6.26</v>
      </c>
      <c r="G171" s="174"/>
    </row>
    <row r="172" spans="1:7" x14ac:dyDescent="0.25">
      <c r="A172" s="194">
        <v>2021</v>
      </c>
      <c r="B172" s="174" t="s">
        <v>492</v>
      </c>
      <c r="C172" s="175">
        <v>61</v>
      </c>
      <c r="D172" s="175">
        <v>213.65</v>
      </c>
      <c r="E172" s="175">
        <v>152.41</v>
      </c>
      <c r="F172" s="175">
        <v>5.67</v>
      </c>
      <c r="G172" s="174"/>
    </row>
    <row r="173" spans="1:7" x14ac:dyDescent="0.25">
      <c r="A173" s="194">
        <v>2021</v>
      </c>
      <c r="B173" s="174" t="s">
        <v>492</v>
      </c>
      <c r="C173" s="175">
        <v>86</v>
      </c>
      <c r="D173" s="175">
        <v>206.26</v>
      </c>
      <c r="E173" s="175">
        <v>139.69</v>
      </c>
      <c r="F173" s="175">
        <v>4.3899999999999997</v>
      </c>
      <c r="G173" s="174"/>
    </row>
    <row r="174" spans="1:7" x14ac:dyDescent="0.25">
      <c r="A174" s="194">
        <v>2021</v>
      </c>
      <c r="B174" s="174" t="s">
        <v>494</v>
      </c>
      <c r="C174" s="175">
        <v>54</v>
      </c>
      <c r="D174" s="175">
        <v>135.97999999999999</v>
      </c>
      <c r="E174" s="175">
        <v>115.04</v>
      </c>
      <c r="F174" s="175">
        <v>2.11</v>
      </c>
      <c r="G174" s="174"/>
    </row>
    <row r="175" spans="1:7" x14ac:dyDescent="0.25">
      <c r="A175" s="194">
        <v>2021</v>
      </c>
      <c r="B175" s="174" t="s">
        <v>494</v>
      </c>
      <c r="C175" s="175">
        <v>46</v>
      </c>
      <c r="D175" s="175">
        <v>168.78</v>
      </c>
      <c r="E175" s="175">
        <v>140.59</v>
      </c>
      <c r="F175" s="175">
        <v>3.35</v>
      </c>
      <c r="G175" s="174"/>
    </row>
    <row r="176" spans="1:7" x14ac:dyDescent="0.25">
      <c r="A176" s="194">
        <v>2021</v>
      </c>
      <c r="B176" s="174" t="s">
        <v>494</v>
      </c>
      <c r="C176" s="175">
        <v>66</v>
      </c>
      <c r="D176" s="175">
        <v>136.84</v>
      </c>
      <c r="E176" s="175">
        <v>135.25</v>
      </c>
      <c r="F176" s="175">
        <v>2.98</v>
      </c>
      <c r="G176" s="174"/>
    </row>
    <row r="177" spans="1:7" x14ac:dyDescent="0.25">
      <c r="A177" s="194">
        <v>2021</v>
      </c>
      <c r="B177" s="174" t="s">
        <v>494</v>
      </c>
      <c r="C177" s="175">
        <v>71</v>
      </c>
      <c r="D177" s="175">
        <v>116.38</v>
      </c>
      <c r="E177" s="175">
        <v>126.51</v>
      </c>
      <c r="F177" s="175">
        <v>3.13</v>
      </c>
      <c r="G177" s="174"/>
    </row>
    <row r="178" spans="1:7" x14ac:dyDescent="0.25">
      <c r="A178" s="194">
        <v>2021</v>
      </c>
      <c r="B178" s="174" t="s">
        <v>494</v>
      </c>
      <c r="C178" s="175">
        <v>71</v>
      </c>
      <c r="D178" s="175">
        <v>183.23</v>
      </c>
      <c r="E178" s="175">
        <v>114.98</v>
      </c>
      <c r="F178" s="175">
        <v>2.12</v>
      </c>
      <c r="G178" s="174"/>
    </row>
    <row r="179" spans="1:7" x14ac:dyDescent="0.25">
      <c r="A179" s="194">
        <v>2021</v>
      </c>
      <c r="B179" s="174" t="s">
        <v>494</v>
      </c>
      <c r="C179" s="175">
        <v>59</v>
      </c>
      <c r="D179" s="175">
        <v>165.16</v>
      </c>
      <c r="E179" s="175">
        <v>121.84</v>
      </c>
      <c r="F179" s="175">
        <v>3.36</v>
      </c>
      <c r="G179" s="174"/>
    </row>
    <row r="180" spans="1:7" x14ac:dyDescent="0.25">
      <c r="A180" s="194">
        <v>2021</v>
      </c>
      <c r="B180" s="174" t="s">
        <v>493</v>
      </c>
      <c r="C180" s="175">
        <v>48</v>
      </c>
      <c r="D180" s="175">
        <v>164.78</v>
      </c>
      <c r="E180" s="175">
        <v>122.21</v>
      </c>
      <c r="F180" s="175">
        <v>2.5499999999999998</v>
      </c>
      <c r="G180" s="174"/>
    </row>
    <row r="181" spans="1:7" x14ac:dyDescent="0.25">
      <c r="A181" s="194">
        <v>2021</v>
      </c>
      <c r="B181" s="174" t="s">
        <v>493</v>
      </c>
      <c r="C181" s="175">
        <v>34</v>
      </c>
      <c r="D181" s="175">
        <v>157.13</v>
      </c>
      <c r="E181" s="175">
        <v>110.64</v>
      </c>
      <c r="F181" s="175">
        <v>2.88</v>
      </c>
      <c r="G181" s="174"/>
    </row>
    <row r="182" spans="1:7" x14ac:dyDescent="0.25">
      <c r="A182" s="194">
        <v>2021</v>
      </c>
      <c r="B182" s="174" t="s">
        <v>493</v>
      </c>
      <c r="C182" s="175">
        <v>59</v>
      </c>
      <c r="D182" s="175">
        <v>150.66</v>
      </c>
      <c r="E182" s="175">
        <v>120.11</v>
      </c>
      <c r="F182" s="175">
        <v>4.03</v>
      </c>
      <c r="G182" s="174"/>
    </row>
    <row r="183" spans="1:7" x14ac:dyDescent="0.25">
      <c r="A183" s="194">
        <v>2021</v>
      </c>
      <c r="B183" s="174" t="s">
        <v>493</v>
      </c>
      <c r="C183" s="175">
        <v>45</v>
      </c>
      <c r="D183" s="175">
        <v>135</v>
      </c>
      <c r="E183" s="175">
        <v>109.97</v>
      </c>
      <c r="F183" s="175">
        <v>4.1500000000000004</v>
      </c>
      <c r="G183" s="174"/>
    </row>
    <row r="184" spans="1:7" x14ac:dyDescent="0.25">
      <c r="A184" s="194">
        <v>2021</v>
      </c>
      <c r="B184" s="174" t="s">
        <v>493</v>
      </c>
      <c r="C184" s="175">
        <v>65</v>
      </c>
      <c r="D184" s="175">
        <v>143.72999999999999</v>
      </c>
      <c r="E184" s="175">
        <v>109.35</v>
      </c>
      <c r="F184" s="175">
        <v>3.48</v>
      </c>
      <c r="G184" s="174"/>
    </row>
    <row r="185" spans="1:7" x14ac:dyDescent="0.25">
      <c r="A185" s="194">
        <v>2021</v>
      </c>
      <c r="B185" s="174" t="s">
        <v>493</v>
      </c>
      <c r="C185" s="175">
        <v>77</v>
      </c>
      <c r="D185" s="175">
        <v>146.53</v>
      </c>
      <c r="E185" s="175">
        <v>110.65</v>
      </c>
      <c r="F185" s="175">
        <v>4.22</v>
      </c>
      <c r="G185" s="174"/>
    </row>
    <row r="186" spans="1:7" x14ac:dyDescent="0.25">
      <c r="A186" s="194">
        <v>2021</v>
      </c>
      <c r="B186" s="174" t="s">
        <v>495</v>
      </c>
      <c r="C186" s="175">
        <v>46</v>
      </c>
      <c r="D186" s="175">
        <v>149.30000000000001</v>
      </c>
      <c r="E186" s="175">
        <v>98.31</v>
      </c>
      <c r="F186" s="175">
        <v>4.38</v>
      </c>
      <c r="G186" s="174"/>
    </row>
    <row r="187" spans="1:7" x14ac:dyDescent="0.25">
      <c r="A187" s="194">
        <v>2021</v>
      </c>
      <c r="B187" s="174" t="s">
        <v>495</v>
      </c>
      <c r="C187" s="175">
        <v>37</v>
      </c>
      <c r="D187" s="175">
        <v>138.9</v>
      </c>
      <c r="E187" s="175">
        <v>109.46</v>
      </c>
      <c r="F187" s="175">
        <v>4.34</v>
      </c>
      <c r="G187" s="174"/>
    </row>
    <row r="188" spans="1:7" x14ac:dyDescent="0.25">
      <c r="A188" s="194">
        <v>2021</v>
      </c>
      <c r="B188" s="174" t="s">
        <v>495</v>
      </c>
      <c r="C188" s="175">
        <v>60</v>
      </c>
      <c r="D188" s="175">
        <v>157.05000000000001</v>
      </c>
      <c r="E188" s="175">
        <v>112.75</v>
      </c>
      <c r="F188" s="175">
        <v>4.29</v>
      </c>
      <c r="G188" s="174"/>
    </row>
    <row r="189" spans="1:7" x14ac:dyDescent="0.25">
      <c r="A189" s="194">
        <v>2021</v>
      </c>
      <c r="B189" s="174" t="s">
        <v>495</v>
      </c>
      <c r="C189" s="175">
        <v>63</v>
      </c>
      <c r="D189" s="175">
        <v>129.52000000000001</v>
      </c>
      <c r="E189" s="175">
        <v>91.8</v>
      </c>
      <c r="F189" s="175">
        <v>4.34</v>
      </c>
      <c r="G189" s="174"/>
    </row>
    <row r="190" spans="1:7" x14ac:dyDescent="0.25">
      <c r="A190" s="194">
        <v>2021</v>
      </c>
      <c r="B190" s="174" t="s">
        <v>495</v>
      </c>
      <c r="C190" s="175">
        <v>78</v>
      </c>
      <c r="D190" s="175">
        <v>124.27</v>
      </c>
      <c r="E190" s="175">
        <v>105.89</v>
      </c>
      <c r="F190" s="175">
        <v>3.28</v>
      </c>
      <c r="G190" s="174"/>
    </row>
    <row r="191" spans="1:7" x14ac:dyDescent="0.25">
      <c r="A191" s="194">
        <v>2021</v>
      </c>
      <c r="B191" s="174" t="s">
        <v>495</v>
      </c>
      <c r="C191" s="175">
        <v>61</v>
      </c>
      <c r="D191" s="175">
        <v>134.63</v>
      </c>
      <c r="E191" s="175">
        <v>97.51</v>
      </c>
      <c r="F191" s="175">
        <v>3.34</v>
      </c>
      <c r="G191" s="174"/>
    </row>
    <row r="192" spans="1:7" x14ac:dyDescent="0.25">
      <c r="A192" s="194">
        <v>2021</v>
      </c>
      <c r="B192" s="174" t="s">
        <v>481</v>
      </c>
      <c r="C192" s="175">
        <v>68</v>
      </c>
      <c r="D192" s="175">
        <v>147.29</v>
      </c>
      <c r="E192" s="175">
        <v>125.04</v>
      </c>
      <c r="F192" s="175">
        <v>2.91</v>
      </c>
      <c r="G192" s="174"/>
    </row>
    <row r="193" spans="1:7" x14ac:dyDescent="0.25">
      <c r="A193" s="194">
        <v>2021</v>
      </c>
      <c r="B193" s="174" t="s">
        <v>481</v>
      </c>
      <c r="C193" s="175">
        <v>68</v>
      </c>
      <c r="D193" s="175">
        <v>147.29</v>
      </c>
      <c r="E193" s="175">
        <v>125.04</v>
      </c>
      <c r="F193" s="175">
        <v>2.91</v>
      </c>
      <c r="G193" s="174"/>
    </row>
    <row r="194" spans="1:7" x14ac:dyDescent="0.25">
      <c r="A194" s="194">
        <v>2021</v>
      </c>
      <c r="B194" s="174" t="s">
        <v>481</v>
      </c>
      <c r="C194" s="175">
        <v>59</v>
      </c>
      <c r="D194" s="175">
        <v>155.22999999999999</v>
      </c>
      <c r="E194" s="175">
        <v>110.36</v>
      </c>
      <c r="F194" s="175">
        <v>2.37</v>
      </c>
      <c r="G194" s="174"/>
    </row>
    <row r="195" spans="1:7" x14ac:dyDescent="0.25">
      <c r="A195" s="194">
        <v>2021</v>
      </c>
      <c r="B195" s="174" t="s">
        <v>481</v>
      </c>
      <c r="C195" s="175">
        <v>59</v>
      </c>
      <c r="D195" s="175">
        <v>155.22999999999999</v>
      </c>
      <c r="E195" s="175">
        <v>110.36</v>
      </c>
      <c r="F195" s="175">
        <v>2.37</v>
      </c>
      <c r="G195" s="174"/>
    </row>
    <row r="196" spans="1:7" x14ac:dyDescent="0.25">
      <c r="A196" s="194">
        <v>2021</v>
      </c>
      <c r="B196" s="174" t="s">
        <v>481</v>
      </c>
      <c r="C196" s="175">
        <v>53</v>
      </c>
      <c r="D196" s="175">
        <v>122.88</v>
      </c>
      <c r="E196" s="175">
        <v>105.4</v>
      </c>
      <c r="F196" s="175">
        <v>3.63</v>
      </c>
      <c r="G196" s="174"/>
    </row>
    <row r="197" spans="1:7" x14ac:dyDescent="0.25">
      <c r="A197" s="194">
        <v>2021</v>
      </c>
      <c r="B197" s="174" t="s">
        <v>481</v>
      </c>
      <c r="C197" s="175">
        <v>53</v>
      </c>
      <c r="D197" s="175">
        <v>122.88</v>
      </c>
      <c r="E197" s="175">
        <v>105.4</v>
      </c>
      <c r="F197" s="175">
        <v>3.63</v>
      </c>
      <c r="G197" s="174"/>
    </row>
    <row r="198" spans="1:7" x14ac:dyDescent="0.25">
      <c r="A198" s="194">
        <v>2021</v>
      </c>
      <c r="B198" s="174" t="s">
        <v>481</v>
      </c>
      <c r="C198" s="175">
        <v>42</v>
      </c>
      <c r="D198" s="175">
        <v>127.48</v>
      </c>
      <c r="E198" s="175">
        <v>112.74</v>
      </c>
      <c r="F198" s="175">
        <v>3.28</v>
      </c>
      <c r="G198" s="174"/>
    </row>
    <row r="199" spans="1:7" x14ac:dyDescent="0.25">
      <c r="A199" s="194">
        <v>2021</v>
      </c>
      <c r="B199" s="174" t="s">
        <v>481</v>
      </c>
      <c r="C199" s="175">
        <v>42</v>
      </c>
      <c r="D199" s="175">
        <v>127.48</v>
      </c>
      <c r="E199" s="175">
        <v>112.74</v>
      </c>
      <c r="F199" s="175">
        <v>3.28</v>
      </c>
      <c r="G199" s="174"/>
    </row>
    <row r="200" spans="1:7" x14ac:dyDescent="0.25">
      <c r="A200" s="194">
        <v>2021</v>
      </c>
      <c r="B200" s="174" t="s">
        <v>481</v>
      </c>
      <c r="C200" s="175">
        <v>55</v>
      </c>
      <c r="D200" s="175">
        <v>161.79</v>
      </c>
      <c r="E200" s="175">
        <v>92.37</v>
      </c>
      <c r="F200" s="175">
        <v>2.68</v>
      </c>
      <c r="G200" s="174"/>
    </row>
    <row r="201" spans="1:7" x14ac:dyDescent="0.25">
      <c r="A201" s="194">
        <v>2021</v>
      </c>
      <c r="B201" s="174" t="s">
        <v>481</v>
      </c>
      <c r="C201" s="175">
        <v>55</v>
      </c>
      <c r="D201" s="175">
        <v>161.79</v>
      </c>
      <c r="E201" s="175">
        <v>92.37</v>
      </c>
      <c r="F201" s="175">
        <v>2.68</v>
      </c>
      <c r="G201" s="174"/>
    </row>
    <row r="202" spans="1:7" x14ac:dyDescent="0.25">
      <c r="A202" s="194">
        <v>2021</v>
      </c>
      <c r="B202" s="174" t="s">
        <v>481</v>
      </c>
      <c r="C202" s="175">
        <v>42</v>
      </c>
      <c r="D202" s="175">
        <v>126.87</v>
      </c>
      <c r="E202" s="175">
        <v>85.19</v>
      </c>
      <c r="F202" s="175">
        <v>3.32</v>
      </c>
      <c r="G202" s="174"/>
    </row>
    <row r="203" spans="1:7" x14ac:dyDescent="0.25">
      <c r="A203" s="194">
        <v>2021</v>
      </c>
      <c r="B203" s="174" t="s">
        <v>481</v>
      </c>
      <c r="C203" s="175">
        <v>42</v>
      </c>
      <c r="D203" s="175">
        <v>126.87</v>
      </c>
      <c r="E203" s="175">
        <v>85.19</v>
      </c>
      <c r="F203" s="175">
        <v>3.32</v>
      </c>
      <c r="G203" s="174"/>
    </row>
    <row r="204" spans="1:7" x14ac:dyDescent="0.25">
      <c r="A204" s="194">
        <v>2021</v>
      </c>
      <c r="B204" s="174" t="s">
        <v>488</v>
      </c>
      <c r="C204" s="175">
        <v>75</v>
      </c>
      <c r="D204" s="175">
        <v>183.22</v>
      </c>
      <c r="E204" s="175">
        <v>164.68</v>
      </c>
      <c r="F204" s="175">
        <v>7.38</v>
      </c>
      <c r="G204" s="174"/>
    </row>
    <row r="205" spans="1:7" x14ac:dyDescent="0.25">
      <c r="A205" s="194">
        <v>2021</v>
      </c>
      <c r="B205" s="174" t="s">
        <v>488</v>
      </c>
      <c r="C205" s="175">
        <v>111</v>
      </c>
      <c r="D205" s="175">
        <v>249.36</v>
      </c>
      <c r="E205" s="175">
        <v>174.62</v>
      </c>
      <c r="F205" s="175">
        <v>8.0399999999999991</v>
      </c>
      <c r="G205" s="174"/>
    </row>
    <row r="206" spans="1:7" x14ac:dyDescent="0.25">
      <c r="A206" s="194">
        <v>2021</v>
      </c>
      <c r="B206" s="174" t="s">
        <v>488</v>
      </c>
      <c r="C206" s="175">
        <v>85</v>
      </c>
      <c r="D206" s="175">
        <v>274.49</v>
      </c>
      <c r="E206" s="175">
        <v>107.4</v>
      </c>
      <c r="F206" s="175">
        <v>5.35</v>
      </c>
      <c r="G206" s="174"/>
    </row>
    <row r="207" spans="1:7" x14ac:dyDescent="0.25">
      <c r="A207" s="194">
        <v>2021</v>
      </c>
      <c r="B207" s="174" t="s">
        <v>488</v>
      </c>
      <c r="C207" s="175">
        <v>71</v>
      </c>
      <c r="D207" s="175">
        <v>223.82</v>
      </c>
      <c r="E207" s="175">
        <v>111.31</v>
      </c>
      <c r="F207" s="175">
        <v>8.2200000000000006</v>
      </c>
      <c r="G207" s="174"/>
    </row>
    <row r="208" spans="1:7" x14ac:dyDescent="0.25">
      <c r="A208" s="194">
        <v>2021</v>
      </c>
      <c r="B208" s="174" t="s">
        <v>488</v>
      </c>
      <c r="C208" s="175">
        <v>63</v>
      </c>
      <c r="D208" s="175">
        <v>186.48</v>
      </c>
      <c r="E208" s="175">
        <v>176.34</v>
      </c>
      <c r="F208" s="175">
        <v>5.01</v>
      </c>
      <c r="G208" s="174"/>
    </row>
    <row r="209" spans="1:7" x14ac:dyDescent="0.25">
      <c r="A209" s="194">
        <v>2021</v>
      </c>
      <c r="B209" s="174" t="s">
        <v>488</v>
      </c>
      <c r="C209" s="175">
        <v>106</v>
      </c>
      <c r="D209" s="175">
        <v>168.67</v>
      </c>
      <c r="E209" s="175">
        <v>178.37</v>
      </c>
      <c r="F209" s="175">
        <v>6.37</v>
      </c>
      <c r="G209" s="174"/>
    </row>
    <row r="210" spans="1:7" x14ac:dyDescent="0.25">
      <c r="A210" s="194">
        <v>2021</v>
      </c>
      <c r="B210" s="174" t="s">
        <v>478</v>
      </c>
      <c r="C210" s="175">
        <v>77</v>
      </c>
      <c r="D210" s="175">
        <v>138.44999999999999</v>
      </c>
      <c r="E210" s="175">
        <v>94.93</v>
      </c>
      <c r="F210" s="175">
        <v>5.74</v>
      </c>
      <c r="G210" s="174"/>
    </row>
    <row r="211" spans="1:7" x14ac:dyDescent="0.25">
      <c r="A211" s="194">
        <v>2021</v>
      </c>
      <c r="B211" s="174" t="s">
        <v>478</v>
      </c>
      <c r="C211" s="175">
        <v>50</v>
      </c>
      <c r="D211" s="175">
        <v>156.63</v>
      </c>
      <c r="E211" s="175">
        <v>120.4</v>
      </c>
      <c r="F211" s="175">
        <v>4.62</v>
      </c>
      <c r="G211" s="174"/>
    </row>
    <row r="212" spans="1:7" x14ac:dyDescent="0.25">
      <c r="A212" s="194">
        <v>2021</v>
      </c>
      <c r="B212" s="174" t="s">
        <v>478</v>
      </c>
      <c r="C212" s="175">
        <v>54</v>
      </c>
      <c r="D212" s="175">
        <v>138.81</v>
      </c>
      <c r="E212" s="175">
        <v>100.63</v>
      </c>
      <c r="F212" s="175">
        <v>3.71</v>
      </c>
      <c r="G212" s="174"/>
    </row>
    <row r="213" spans="1:7" x14ac:dyDescent="0.25">
      <c r="A213" s="194">
        <v>2021</v>
      </c>
      <c r="B213" s="174" t="s">
        <v>478</v>
      </c>
      <c r="C213" s="175">
        <v>69</v>
      </c>
      <c r="D213" s="175">
        <v>149.58000000000001</v>
      </c>
      <c r="E213" s="175">
        <v>117.08</v>
      </c>
      <c r="F213" s="175">
        <v>4.51</v>
      </c>
      <c r="G213" s="174"/>
    </row>
    <row r="214" spans="1:7" x14ac:dyDescent="0.25">
      <c r="A214" s="194">
        <v>2021</v>
      </c>
      <c r="B214" s="174" t="s">
        <v>478</v>
      </c>
      <c r="C214" s="175">
        <v>80</v>
      </c>
      <c r="D214" s="175">
        <v>150.51</v>
      </c>
      <c r="E214" s="175">
        <v>97.94</v>
      </c>
      <c r="F214" s="175">
        <v>5.94</v>
      </c>
      <c r="G214" s="174"/>
    </row>
    <row r="215" spans="1:7" x14ac:dyDescent="0.25">
      <c r="A215" s="194">
        <v>2021</v>
      </c>
      <c r="B215" s="174" t="s">
        <v>478</v>
      </c>
      <c r="C215" s="175">
        <v>52</v>
      </c>
      <c r="D215" s="175">
        <v>140.51</v>
      </c>
      <c r="E215" s="175">
        <v>103.11</v>
      </c>
      <c r="F215" s="175">
        <v>6.66</v>
      </c>
      <c r="G215" s="174"/>
    </row>
    <row r="216" spans="1:7" x14ac:dyDescent="0.25">
      <c r="A216" s="194">
        <v>2021</v>
      </c>
      <c r="B216" s="174" t="s">
        <v>489</v>
      </c>
      <c r="C216" s="175">
        <v>56</v>
      </c>
      <c r="D216" s="175">
        <v>168.44</v>
      </c>
      <c r="E216" s="175">
        <v>118.82</v>
      </c>
      <c r="F216" s="175">
        <v>2.8</v>
      </c>
      <c r="G216" s="174"/>
    </row>
    <row r="217" spans="1:7" x14ac:dyDescent="0.25">
      <c r="A217" s="194">
        <v>2021</v>
      </c>
      <c r="B217" s="174" t="s">
        <v>489</v>
      </c>
      <c r="C217" s="175">
        <v>36</v>
      </c>
      <c r="D217" s="175">
        <v>171.13</v>
      </c>
      <c r="E217" s="175">
        <v>137.66999999999999</v>
      </c>
      <c r="F217" s="175">
        <v>5.33</v>
      </c>
      <c r="G217" s="174"/>
    </row>
    <row r="218" spans="1:7" x14ac:dyDescent="0.25">
      <c r="A218" s="194">
        <v>2021</v>
      </c>
      <c r="B218" s="174" t="s">
        <v>489</v>
      </c>
      <c r="C218" s="175">
        <v>37</v>
      </c>
      <c r="D218" s="175">
        <v>163.30000000000001</v>
      </c>
      <c r="E218" s="175">
        <v>120.61</v>
      </c>
      <c r="F218" s="175">
        <v>2.93</v>
      </c>
      <c r="G218" s="174"/>
    </row>
    <row r="219" spans="1:7" x14ac:dyDescent="0.25">
      <c r="A219" s="194">
        <v>2021</v>
      </c>
      <c r="B219" s="174" t="s">
        <v>489</v>
      </c>
      <c r="C219" s="175">
        <v>39</v>
      </c>
      <c r="D219" s="175">
        <v>172.74</v>
      </c>
      <c r="E219" s="175">
        <v>121.61</v>
      </c>
      <c r="F219" s="175">
        <v>4.0599999999999996</v>
      </c>
      <c r="G219" s="174"/>
    </row>
    <row r="220" spans="1:7" x14ac:dyDescent="0.25">
      <c r="A220" s="194">
        <v>2021</v>
      </c>
      <c r="B220" s="174" t="s">
        <v>489</v>
      </c>
      <c r="C220" s="175">
        <v>53</v>
      </c>
      <c r="D220" s="175">
        <v>167.51</v>
      </c>
      <c r="E220" s="175">
        <v>120.29</v>
      </c>
      <c r="F220" s="175">
        <v>5.29</v>
      </c>
      <c r="G220" s="174"/>
    </row>
    <row r="221" spans="1:7" x14ac:dyDescent="0.25">
      <c r="A221" s="194">
        <v>2021</v>
      </c>
      <c r="B221" s="174" t="s">
        <v>489</v>
      </c>
      <c r="C221" s="175">
        <v>53</v>
      </c>
      <c r="D221" s="175">
        <v>162.26</v>
      </c>
      <c r="E221" s="175">
        <v>134.76</v>
      </c>
      <c r="F221" s="175">
        <v>4.22</v>
      </c>
      <c r="G221" s="174"/>
    </row>
    <row r="222" spans="1:7" x14ac:dyDescent="0.25">
      <c r="A222" s="194">
        <v>2021</v>
      </c>
      <c r="B222" s="174" t="s">
        <v>482</v>
      </c>
      <c r="C222" s="175">
        <v>37</v>
      </c>
      <c r="D222" s="175">
        <v>131.79</v>
      </c>
      <c r="E222" s="175">
        <v>88.26</v>
      </c>
      <c r="F222" s="175">
        <v>3.93</v>
      </c>
      <c r="G222" s="174"/>
    </row>
    <row r="223" spans="1:7" x14ac:dyDescent="0.25">
      <c r="A223" s="194">
        <v>2021</v>
      </c>
      <c r="B223" s="174" t="s">
        <v>482</v>
      </c>
      <c r="C223" s="175">
        <v>47</v>
      </c>
      <c r="D223" s="175">
        <v>159.74</v>
      </c>
      <c r="E223" s="175">
        <v>105.4</v>
      </c>
      <c r="F223" s="175">
        <v>5.24</v>
      </c>
      <c r="G223" s="174"/>
    </row>
    <row r="224" spans="1:7" x14ac:dyDescent="0.25">
      <c r="A224" s="194">
        <v>2021</v>
      </c>
      <c r="B224" s="174" t="s">
        <v>482</v>
      </c>
      <c r="C224" s="175">
        <v>33</v>
      </c>
      <c r="D224" s="175">
        <v>148.16999999999999</v>
      </c>
      <c r="E224" s="175">
        <v>99.97</v>
      </c>
      <c r="F224" s="175">
        <v>5.28</v>
      </c>
      <c r="G224" s="174"/>
    </row>
    <row r="225" spans="1:7" x14ac:dyDescent="0.25">
      <c r="A225" s="194">
        <v>2021</v>
      </c>
      <c r="B225" s="174" t="s">
        <v>482</v>
      </c>
      <c r="C225" s="175">
        <v>41</v>
      </c>
      <c r="D225" s="175">
        <v>154.19999999999999</v>
      </c>
      <c r="E225" s="175">
        <v>138.54</v>
      </c>
      <c r="F225" s="175">
        <v>5.63</v>
      </c>
      <c r="G225" s="174"/>
    </row>
    <row r="226" spans="1:7" x14ac:dyDescent="0.25">
      <c r="A226" s="194">
        <v>2021</v>
      </c>
      <c r="B226" s="174" t="s">
        <v>482</v>
      </c>
      <c r="C226" s="175">
        <v>29</v>
      </c>
      <c r="D226" s="175">
        <v>143.68</v>
      </c>
      <c r="E226" s="175">
        <v>129.49</v>
      </c>
      <c r="F226" s="175">
        <v>3.56</v>
      </c>
      <c r="G226" s="174"/>
    </row>
    <row r="227" spans="1:7" x14ac:dyDescent="0.25">
      <c r="A227" s="194">
        <v>2021</v>
      </c>
      <c r="B227" s="174" t="s">
        <v>482</v>
      </c>
      <c r="C227" s="175">
        <v>38</v>
      </c>
      <c r="D227" s="175">
        <v>139.16999999999999</v>
      </c>
      <c r="E227" s="175">
        <v>146.31</v>
      </c>
      <c r="F227" s="175">
        <v>3.62</v>
      </c>
      <c r="G227" s="174"/>
    </row>
    <row r="228" spans="1:7" x14ac:dyDescent="0.25">
      <c r="A228" s="194">
        <v>2021</v>
      </c>
      <c r="B228" s="174" t="s">
        <v>490</v>
      </c>
      <c r="C228" s="175">
        <v>72</v>
      </c>
      <c r="D228" s="175">
        <v>206.26</v>
      </c>
      <c r="E228" s="175">
        <v>111.04</v>
      </c>
      <c r="F228" s="175">
        <v>3.92</v>
      </c>
      <c r="G228" s="174"/>
    </row>
    <row r="229" spans="1:7" x14ac:dyDescent="0.25">
      <c r="A229" s="194">
        <v>2021</v>
      </c>
      <c r="B229" s="174" t="s">
        <v>490</v>
      </c>
      <c r="C229" s="175">
        <v>72</v>
      </c>
      <c r="D229" s="175">
        <v>206.26</v>
      </c>
      <c r="E229" s="175">
        <v>111.04</v>
      </c>
      <c r="F229" s="175">
        <v>3.92</v>
      </c>
      <c r="G229" s="174"/>
    </row>
    <row r="230" spans="1:7" x14ac:dyDescent="0.25">
      <c r="A230" s="194">
        <v>2021</v>
      </c>
      <c r="B230" s="174" t="s">
        <v>490</v>
      </c>
      <c r="C230" s="175">
        <v>72</v>
      </c>
      <c r="D230" s="175">
        <v>196.79</v>
      </c>
      <c r="E230" s="175">
        <v>150.94</v>
      </c>
      <c r="F230" s="175">
        <v>4.62</v>
      </c>
      <c r="G230" s="174"/>
    </row>
    <row r="231" spans="1:7" x14ac:dyDescent="0.25">
      <c r="A231" s="194">
        <v>2021</v>
      </c>
      <c r="B231" s="174" t="s">
        <v>490</v>
      </c>
      <c r="C231" s="175">
        <v>72</v>
      </c>
      <c r="D231" s="175">
        <v>196.79</v>
      </c>
      <c r="E231" s="175">
        <v>150.94</v>
      </c>
      <c r="F231" s="175">
        <v>4.62</v>
      </c>
      <c r="G231" s="174"/>
    </row>
    <row r="232" spans="1:7" x14ac:dyDescent="0.25">
      <c r="A232" s="194">
        <v>2021</v>
      </c>
      <c r="B232" s="174" t="s">
        <v>490</v>
      </c>
      <c r="C232" s="175">
        <v>42</v>
      </c>
      <c r="D232" s="175">
        <v>262.43</v>
      </c>
      <c r="E232" s="175">
        <v>145.83000000000001</v>
      </c>
      <c r="F232" s="175">
        <v>5.45</v>
      </c>
      <c r="G232" s="174"/>
    </row>
    <row r="233" spans="1:7" x14ac:dyDescent="0.25">
      <c r="A233" s="194">
        <v>2021</v>
      </c>
      <c r="B233" s="174" t="s">
        <v>490</v>
      </c>
      <c r="C233" s="175">
        <v>42</v>
      </c>
      <c r="D233" s="175">
        <v>262.43</v>
      </c>
      <c r="E233" s="175">
        <v>145.83000000000001</v>
      </c>
      <c r="F233" s="175">
        <v>5.45</v>
      </c>
      <c r="G233" s="174"/>
    </row>
    <row r="234" spans="1:7" x14ac:dyDescent="0.25">
      <c r="A234" s="194">
        <v>2021</v>
      </c>
      <c r="B234" s="174" t="s">
        <v>490</v>
      </c>
      <c r="C234" s="175">
        <v>41</v>
      </c>
      <c r="D234" s="175">
        <v>269.41000000000003</v>
      </c>
      <c r="E234" s="175">
        <v>143.61000000000001</v>
      </c>
      <c r="F234" s="175">
        <v>6.01</v>
      </c>
      <c r="G234" s="174"/>
    </row>
    <row r="235" spans="1:7" x14ac:dyDescent="0.25">
      <c r="A235" s="194">
        <v>2021</v>
      </c>
      <c r="B235" s="174" t="s">
        <v>490</v>
      </c>
      <c r="C235" s="175">
        <v>41</v>
      </c>
      <c r="D235" s="175">
        <v>269.41000000000003</v>
      </c>
      <c r="E235" s="175">
        <v>143.61000000000001</v>
      </c>
      <c r="F235" s="175">
        <v>6.01</v>
      </c>
      <c r="G235" s="174"/>
    </row>
    <row r="236" spans="1:7" x14ac:dyDescent="0.25">
      <c r="A236" s="194">
        <v>2021</v>
      </c>
      <c r="B236" s="174" t="s">
        <v>490</v>
      </c>
      <c r="C236" s="175">
        <v>105</v>
      </c>
      <c r="D236" s="175">
        <v>193.39</v>
      </c>
      <c r="E236" s="175">
        <v>124.28</v>
      </c>
      <c r="F236" s="175">
        <v>4.63</v>
      </c>
      <c r="G236" s="174"/>
    </row>
    <row r="237" spans="1:7" x14ac:dyDescent="0.25">
      <c r="A237" s="194">
        <v>2021</v>
      </c>
      <c r="B237" s="174" t="s">
        <v>490</v>
      </c>
      <c r="C237" s="175">
        <v>105</v>
      </c>
      <c r="D237" s="175">
        <v>193.39</v>
      </c>
      <c r="E237" s="175">
        <v>124.28</v>
      </c>
      <c r="F237" s="175">
        <v>4.63</v>
      </c>
      <c r="G237" s="174"/>
    </row>
    <row r="238" spans="1:7" x14ac:dyDescent="0.25">
      <c r="A238" s="194">
        <v>2021</v>
      </c>
      <c r="B238" s="174" t="s">
        <v>490</v>
      </c>
      <c r="C238" s="175">
        <v>84</v>
      </c>
      <c r="D238" s="175">
        <v>160.04</v>
      </c>
      <c r="E238" s="175">
        <v>124.98</v>
      </c>
      <c r="F238" s="175">
        <v>5.93</v>
      </c>
      <c r="G238" s="174"/>
    </row>
    <row r="239" spans="1:7" x14ac:dyDescent="0.25">
      <c r="A239" s="194">
        <v>2021</v>
      </c>
      <c r="B239" s="174" t="s">
        <v>490</v>
      </c>
      <c r="C239" s="175">
        <v>84</v>
      </c>
      <c r="D239" s="175">
        <v>160.04</v>
      </c>
      <c r="E239" s="175">
        <v>124.98</v>
      </c>
      <c r="F239" s="175">
        <v>5.93</v>
      </c>
      <c r="G239" s="174"/>
    </row>
    <row r="240" spans="1:7" x14ac:dyDescent="0.25">
      <c r="A240" s="194">
        <v>2022</v>
      </c>
      <c r="B240" s="174" t="s">
        <v>493</v>
      </c>
      <c r="C240" s="175">
        <v>31</v>
      </c>
      <c r="D240" s="176"/>
      <c r="E240" s="176"/>
      <c r="F240" s="176"/>
      <c r="G240" s="174">
        <v>2.38</v>
      </c>
    </row>
    <row r="241" spans="1:7" x14ac:dyDescent="0.25">
      <c r="A241" s="194">
        <v>2022</v>
      </c>
      <c r="B241" s="174" t="s">
        <v>493</v>
      </c>
      <c r="C241" s="175">
        <v>36</v>
      </c>
      <c r="D241" s="176"/>
      <c r="E241" s="176"/>
      <c r="F241" s="176"/>
      <c r="G241" s="174">
        <v>1.43</v>
      </c>
    </row>
    <row r="242" spans="1:7" x14ac:dyDescent="0.25">
      <c r="A242" s="194">
        <v>2022</v>
      </c>
      <c r="B242" s="174" t="s">
        <v>493</v>
      </c>
      <c r="C242" s="175">
        <v>29</v>
      </c>
      <c r="D242" s="176"/>
      <c r="E242" s="176"/>
      <c r="F242" s="176"/>
      <c r="G242" s="174">
        <v>2.06</v>
      </c>
    </row>
    <row r="243" spans="1:7" x14ac:dyDescent="0.25">
      <c r="A243" s="194">
        <v>2022</v>
      </c>
      <c r="B243" s="174" t="s">
        <v>493</v>
      </c>
      <c r="C243" s="175">
        <v>33</v>
      </c>
      <c r="D243" s="176"/>
      <c r="E243" s="176"/>
      <c r="F243" s="176"/>
      <c r="G243" s="174">
        <v>1.66</v>
      </c>
    </row>
    <row r="244" spans="1:7" x14ac:dyDescent="0.25">
      <c r="A244" s="194">
        <v>2022</v>
      </c>
      <c r="B244" s="174" t="s">
        <v>493</v>
      </c>
      <c r="C244" s="175">
        <v>32</v>
      </c>
      <c r="D244" s="176"/>
      <c r="E244" s="176"/>
      <c r="F244" s="176"/>
      <c r="G244" s="174">
        <v>6.8</v>
      </c>
    </row>
    <row r="245" spans="1:7" x14ac:dyDescent="0.25">
      <c r="A245" s="194">
        <v>2022</v>
      </c>
      <c r="B245" s="174" t="s">
        <v>493</v>
      </c>
      <c r="C245" s="175">
        <v>31</v>
      </c>
      <c r="D245" s="176"/>
      <c r="E245" s="176"/>
      <c r="F245" s="176"/>
      <c r="G245" s="174">
        <v>5.93</v>
      </c>
    </row>
    <row r="246" spans="1:7" x14ac:dyDescent="0.25">
      <c r="A246" s="194">
        <v>2022</v>
      </c>
      <c r="B246" s="174" t="s">
        <v>493</v>
      </c>
      <c r="C246" s="175">
        <v>32</v>
      </c>
      <c r="D246" s="176"/>
      <c r="E246" s="176"/>
      <c r="F246" s="176"/>
      <c r="G246" s="174">
        <v>1.36</v>
      </c>
    </row>
    <row r="247" spans="1:7" x14ac:dyDescent="0.25">
      <c r="A247" s="194">
        <v>2022</v>
      </c>
      <c r="B247" s="174" t="s">
        <v>493</v>
      </c>
      <c r="C247" s="175">
        <v>38</v>
      </c>
      <c r="D247" s="176"/>
      <c r="E247" s="176"/>
      <c r="F247" s="176"/>
      <c r="G247" s="174">
        <v>4.75</v>
      </c>
    </row>
    <row r="248" spans="1:7" x14ac:dyDescent="0.25">
      <c r="A248" s="194">
        <v>2022</v>
      </c>
      <c r="B248" s="174" t="s">
        <v>493</v>
      </c>
      <c r="C248" s="175">
        <v>27</v>
      </c>
      <c r="D248" s="176"/>
      <c r="E248" s="176"/>
      <c r="F248" s="176"/>
      <c r="G248" s="174">
        <v>7.94</v>
      </c>
    </row>
    <row r="249" spans="1:7" x14ac:dyDescent="0.25">
      <c r="A249" s="194">
        <v>2022</v>
      </c>
      <c r="B249" s="174" t="s">
        <v>493</v>
      </c>
      <c r="C249" s="175">
        <v>21</v>
      </c>
      <c r="D249" s="176"/>
      <c r="E249" s="176"/>
      <c r="F249" s="176"/>
      <c r="G249" s="174">
        <v>1.47</v>
      </c>
    </row>
    <row r="250" spans="1:7" x14ac:dyDescent="0.25">
      <c r="A250" s="194">
        <v>2022</v>
      </c>
      <c r="B250" s="174" t="s">
        <v>493</v>
      </c>
      <c r="C250" s="175">
        <v>26</v>
      </c>
      <c r="D250" s="176"/>
      <c r="E250" s="176"/>
      <c r="F250" s="176"/>
      <c r="G250" s="174">
        <v>2.93</v>
      </c>
    </row>
    <row r="251" spans="1:7" x14ac:dyDescent="0.25">
      <c r="A251" s="194">
        <v>2022</v>
      </c>
      <c r="B251" s="174" t="s">
        <v>493</v>
      </c>
      <c r="C251" s="175">
        <v>23</v>
      </c>
      <c r="D251" s="176"/>
      <c r="E251" s="176"/>
      <c r="F251" s="176"/>
      <c r="G251" s="174">
        <v>3.16</v>
      </c>
    </row>
    <row r="252" spans="1:7" x14ac:dyDescent="0.25">
      <c r="A252" s="194">
        <v>2022</v>
      </c>
      <c r="B252" s="174" t="s">
        <v>493</v>
      </c>
      <c r="C252" s="175">
        <v>18</v>
      </c>
      <c r="D252" s="176"/>
      <c r="E252" s="176"/>
      <c r="F252" s="176"/>
      <c r="G252" s="174">
        <v>3.34</v>
      </c>
    </row>
    <row r="253" spans="1:7" x14ac:dyDescent="0.25">
      <c r="A253" s="194">
        <v>2022</v>
      </c>
      <c r="B253" s="174" t="s">
        <v>493</v>
      </c>
      <c r="C253" s="175">
        <v>93</v>
      </c>
      <c r="D253" s="175">
        <v>122.07</v>
      </c>
      <c r="E253" s="175">
        <v>111.01</v>
      </c>
      <c r="F253" s="175">
        <v>3.3</v>
      </c>
      <c r="G253" s="174">
        <v>0.7</v>
      </c>
    </row>
    <row r="254" spans="1:7" x14ac:dyDescent="0.25">
      <c r="A254" s="194">
        <v>2022</v>
      </c>
      <c r="B254" s="174" t="s">
        <v>493</v>
      </c>
      <c r="C254" s="175">
        <v>62</v>
      </c>
      <c r="D254" s="175">
        <v>128.15</v>
      </c>
      <c r="E254" s="175">
        <v>117.47</v>
      </c>
      <c r="F254" s="175">
        <v>3.36</v>
      </c>
      <c r="G254" s="174">
        <v>0.57999999999999996</v>
      </c>
    </row>
    <row r="255" spans="1:7" x14ac:dyDescent="0.25">
      <c r="A255" s="194">
        <v>2022</v>
      </c>
      <c r="B255" s="174" t="s">
        <v>493</v>
      </c>
      <c r="C255" s="175">
        <v>61</v>
      </c>
      <c r="D255" s="175">
        <v>121.22</v>
      </c>
      <c r="E255" s="175">
        <v>102.32</v>
      </c>
      <c r="F255" s="175">
        <v>3.07</v>
      </c>
      <c r="G255" s="174">
        <v>0.56999999999999995</v>
      </c>
    </row>
    <row r="256" spans="1:7" x14ac:dyDescent="0.25">
      <c r="A256" s="194">
        <v>2022</v>
      </c>
      <c r="B256" s="174" t="s">
        <v>493</v>
      </c>
      <c r="C256" s="175">
        <v>80</v>
      </c>
      <c r="D256" s="175">
        <v>110.27</v>
      </c>
      <c r="E256" s="175">
        <v>111.18</v>
      </c>
      <c r="F256" s="175">
        <v>3.01</v>
      </c>
      <c r="G256" s="174">
        <v>0.55000000000000004</v>
      </c>
    </row>
    <row r="257" spans="1:7" x14ac:dyDescent="0.25">
      <c r="A257" s="194">
        <v>2022</v>
      </c>
      <c r="B257" s="174" t="s">
        <v>493</v>
      </c>
      <c r="C257" s="175">
        <v>127</v>
      </c>
      <c r="D257" s="175">
        <v>136.88</v>
      </c>
      <c r="E257" s="175">
        <v>123.11</v>
      </c>
      <c r="F257" s="175">
        <v>3.21</v>
      </c>
      <c r="G257" s="174">
        <v>0.57999999999999996</v>
      </c>
    </row>
    <row r="258" spans="1:7" x14ac:dyDescent="0.25">
      <c r="A258" s="194">
        <v>2022</v>
      </c>
      <c r="B258" s="174" t="s">
        <v>493</v>
      </c>
      <c r="C258" s="175">
        <v>129</v>
      </c>
      <c r="D258" s="176"/>
      <c r="E258" s="176"/>
      <c r="F258" s="176"/>
      <c r="G258" s="174"/>
    </row>
    <row r="259" spans="1:7" x14ac:dyDescent="0.25">
      <c r="A259" s="194">
        <v>2022</v>
      </c>
      <c r="B259" s="174" t="s">
        <v>493</v>
      </c>
      <c r="C259" s="175">
        <v>136</v>
      </c>
      <c r="D259" s="176"/>
      <c r="E259" s="176"/>
      <c r="F259" s="176"/>
      <c r="G259" s="174"/>
    </row>
    <row r="260" spans="1:7" x14ac:dyDescent="0.25">
      <c r="A260" s="194">
        <v>2022</v>
      </c>
      <c r="B260" s="174" t="s">
        <v>493</v>
      </c>
      <c r="C260" s="175">
        <v>116</v>
      </c>
      <c r="D260" s="176"/>
      <c r="E260" s="176"/>
      <c r="F260" s="176"/>
      <c r="G260" s="174"/>
    </row>
    <row r="261" spans="1:7" x14ac:dyDescent="0.25">
      <c r="A261" s="194">
        <v>2022</v>
      </c>
      <c r="B261" s="174" t="s">
        <v>493</v>
      </c>
      <c r="C261" s="175">
        <v>109</v>
      </c>
      <c r="D261" s="176"/>
      <c r="E261" s="176"/>
      <c r="F261" s="176"/>
      <c r="G261" s="174"/>
    </row>
    <row r="262" spans="1:7" x14ac:dyDescent="0.25">
      <c r="A262" s="194">
        <v>2022</v>
      </c>
      <c r="B262" s="174" t="s">
        <v>493</v>
      </c>
      <c r="C262" s="175">
        <v>111</v>
      </c>
      <c r="D262" s="176"/>
      <c r="E262" s="176"/>
      <c r="F262" s="176"/>
      <c r="G262" s="174"/>
    </row>
    <row r="263" spans="1:7" x14ac:dyDescent="0.25">
      <c r="A263" s="194">
        <v>2022</v>
      </c>
      <c r="B263" s="174" t="s">
        <v>488</v>
      </c>
      <c r="C263" s="175">
        <v>24</v>
      </c>
      <c r="D263" s="176"/>
      <c r="E263" s="176"/>
      <c r="F263" s="176"/>
      <c r="G263" s="174">
        <v>1.89</v>
      </c>
    </row>
    <row r="264" spans="1:7" x14ac:dyDescent="0.25">
      <c r="A264" s="194">
        <v>2022</v>
      </c>
      <c r="B264" s="174" t="s">
        <v>488</v>
      </c>
      <c r="C264" s="175">
        <v>19</v>
      </c>
      <c r="D264" s="176"/>
      <c r="E264" s="176"/>
      <c r="F264" s="176"/>
      <c r="G264" s="174">
        <v>1.35</v>
      </c>
    </row>
    <row r="265" spans="1:7" x14ac:dyDescent="0.25">
      <c r="A265" s="194">
        <v>2022</v>
      </c>
      <c r="B265" s="174" t="s">
        <v>488</v>
      </c>
      <c r="C265" s="175">
        <v>22</v>
      </c>
      <c r="D265" s="176"/>
      <c r="E265" s="176"/>
      <c r="F265" s="176"/>
      <c r="G265" s="174">
        <v>4.41</v>
      </c>
    </row>
    <row r="266" spans="1:7" x14ac:dyDescent="0.25">
      <c r="A266" s="194">
        <v>2022</v>
      </c>
      <c r="B266" s="174" t="s">
        <v>488</v>
      </c>
      <c r="C266" s="175">
        <v>32</v>
      </c>
      <c r="D266" s="176"/>
      <c r="E266" s="176"/>
      <c r="F266" s="176"/>
      <c r="G266" s="174">
        <v>4.8600000000000003</v>
      </c>
    </row>
    <row r="267" spans="1:7" x14ac:dyDescent="0.25">
      <c r="A267" s="194">
        <v>2022</v>
      </c>
      <c r="B267" s="174" t="s">
        <v>488</v>
      </c>
      <c r="C267" s="175">
        <v>19</v>
      </c>
      <c r="D267" s="176"/>
      <c r="E267" s="176"/>
      <c r="F267" s="176"/>
      <c r="G267" s="174">
        <v>4.95</v>
      </c>
    </row>
    <row r="268" spans="1:7" x14ac:dyDescent="0.25">
      <c r="A268" s="194">
        <v>2022</v>
      </c>
      <c r="B268" s="174" t="s">
        <v>488</v>
      </c>
      <c r="C268" s="175">
        <v>24</v>
      </c>
      <c r="D268" s="176"/>
      <c r="E268" s="176"/>
      <c r="F268" s="176"/>
      <c r="G268" s="174">
        <v>9.6999999999999993</v>
      </c>
    </row>
    <row r="269" spans="1:7" x14ac:dyDescent="0.25">
      <c r="A269" s="194">
        <v>2022</v>
      </c>
      <c r="B269" s="174" t="s">
        <v>488</v>
      </c>
      <c r="C269" s="175">
        <v>31</v>
      </c>
      <c r="D269" s="176"/>
      <c r="E269" s="176"/>
      <c r="F269" s="176"/>
      <c r="G269" s="174">
        <v>1.66</v>
      </c>
    </row>
    <row r="270" spans="1:7" x14ac:dyDescent="0.25">
      <c r="A270" s="194">
        <v>2022</v>
      </c>
      <c r="B270" s="174" t="s">
        <v>488</v>
      </c>
      <c r="C270" s="175">
        <v>24</v>
      </c>
      <c r="D270" s="176"/>
      <c r="E270" s="176"/>
      <c r="F270" s="176"/>
      <c r="G270" s="174">
        <v>10.82</v>
      </c>
    </row>
    <row r="271" spans="1:7" x14ac:dyDescent="0.25">
      <c r="A271" s="194">
        <v>2022</v>
      </c>
      <c r="B271" s="174" t="s">
        <v>488</v>
      </c>
      <c r="C271" s="175">
        <v>18</v>
      </c>
      <c r="D271" s="176"/>
      <c r="E271" s="176"/>
      <c r="F271" s="176"/>
      <c r="G271" s="174">
        <v>5.91</v>
      </c>
    </row>
    <row r="272" spans="1:7" x14ac:dyDescent="0.25">
      <c r="A272" s="194">
        <v>2022</v>
      </c>
      <c r="B272" s="174" t="s">
        <v>488</v>
      </c>
      <c r="C272" s="175">
        <v>23</v>
      </c>
      <c r="D272" s="176"/>
      <c r="E272" s="176"/>
      <c r="F272" s="176"/>
      <c r="G272" s="174">
        <v>2.0099999999999998</v>
      </c>
    </row>
    <row r="273" spans="1:7" x14ac:dyDescent="0.25">
      <c r="A273" s="194">
        <v>2022</v>
      </c>
      <c r="B273" s="174" t="s">
        <v>488</v>
      </c>
      <c r="C273" s="175">
        <v>24</v>
      </c>
      <c r="D273" s="176"/>
      <c r="E273" s="176"/>
      <c r="F273" s="176"/>
      <c r="G273" s="174">
        <v>5.82</v>
      </c>
    </row>
    <row r="274" spans="1:7" x14ac:dyDescent="0.25">
      <c r="A274" s="194">
        <v>2022</v>
      </c>
      <c r="B274" s="174" t="s">
        <v>488</v>
      </c>
      <c r="C274" s="175">
        <v>86</v>
      </c>
      <c r="D274" s="175">
        <v>122.68</v>
      </c>
      <c r="E274" s="175">
        <v>91.09</v>
      </c>
      <c r="F274" s="175">
        <v>4.37</v>
      </c>
      <c r="G274" s="174">
        <v>1.05</v>
      </c>
    </row>
    <row r="275" spans="1:7" x14ac:dyDescent="0.25">
      <c r="A275" s="194">
        <v>2022</v>
      </c>
      <c r="B275" s="174" t="s">
        <v>488</v>
      </c>
      <c r="C275" s="175">
        <v>81</v>
      </c>
      <c r="D275" s="175">
        <v>116.23</v>
      </c>
      <c r="E275" s="175">
        <v>98.89</v>
      </c>
      <c r="F275" s="175">
        <v>4.2300000000000004</v>
      </c>
      <c r="G275" s="174">
        <v>1.02</v>
      </c>
    </row>
    <row r="276" spans="1:7" x14ac:dyDescent="0.25">
      <c r="A276" s="194">
        <v>2022</v>
      </c>
      <c r="B276" s="174" t="s">
        <v>488</v>
      </c>
      <c r="C276" s="175">
        <v>69</v>
      </c>
      <c r="D276" s="175">
        <v>118.03</v>
      </c>
      <c r="E276" s="175">
        <v>100.2</v>
      </c>
      <c r="F276" s="175">
        <v>5.32</v>
      </c>
      <c r="G276" s="174">
        <v>1.0900000000000001</v>
      </c>
    </row>
    <row r="277" spans="1:7" x14ac:dyDescent="0.25">
      <c r="A277" s="194">
        <v>2022</v>
      </c>
      <c r="B277" s="174" t="s">
        <v>488</v>
      </c>
      <c r="C277" s="175">
        <v>76</v>
      </c>
      <c r="D277" s="175">
        <v>119.4</v>
      </c>
      <c r="E277" s="175">
        <v>84.66</v>
      </c>
      <c r="F277" s="175">
        <v>4.12</v>
      </c>
      <c r="G277" s="174">
        <v>1.28</v>
      </c>
    </row>
    <row r="278" spans="1:7" x14ac:dyDescent="0.25">
      <c r="A278" s="194">
        <v>2022</v>
      </c>
      <c r="B278" s="174" t="s">
        <v>488</v>
      </c>
      <c r="C278" s="175">
        <v>73</v>
      </c>
      <c r="D278" s="175">
        <v>113.7</v>
      </c>
      <c r="E278" s="175">
        <v>86.08</v>
      </c>
      <c r="F278" s="175">
        <v>5.73</v>
      </c>
      <c r="G278" s="174">
        <v>0.84</v>
      </c>
    </row>
    <row r="279" spans="1:7" x14ac:dyDescent="0.25">
      <c r="A279" s="194">
        <v>2022</v>
      </c>
      <c r="B279" s="174" t="s">
        <v>488</v>
      </c>
      <c r="C279" s="175">
        <v>82</v>
      </c>
      <c r="D279" s="176"/>
      <c r="E279" s="176"/>
      <c r="F279" s="176"/>
      <c r="G279" s="174"/>
    </row>
    <row r="280" spans="1:7" x14ac:dyDescent="0.25">
      <c r="A280" s="194">
        <v>2022</v>
      </c>
      <c r="B280" s="174" t="s">
        <v>490</v>
      </c>
      <c r="C280" s="175">
        <v>24</v>
      </c>
      <c r="D280" s="176"/>
      <c r="E280" s="176"/>
      <c r="F280" s="176"/>
      <c r="G280" s="174">
        <v>1.66</v>
      </c>
    </row>
    <row r="281" spans="1:7" x14ac:dyDescent="0.25">
      <c r="A281" s="194">
        <v>2022</v>
      </c>
      <c r="B281" s="174" t="s">
        <v>490</v>
      </c>
      <c r="C281" s="175">
        <v>24</v>
      </c>
      <c r="D281" s="176"/>
      <c r="E281" s="176"/>
      <c r="F281" s="176"/>
      <c r="G281" s="174">
        <v>1.66</v>
      </c>
    </row>
    <row r="282" spans="1:7" x14ac:dyDescent="0.25">
      <c r="A282" s="194">
        <v>2022</v>
      </c>
      <c r="B282" s="174" t="s">
        <v>490</v>
      </c>
      <c r="C282" s="175">
        <v>47</v>
      </c>
      <c r="D282" s="176"/>
      <c r="E282" s="176"/>
      <c r="F282" s="176"/>
      <c r="G282" s="174">
        <v>1.77</v>
      </c>
    </row>
    <row r="283" spans="1:7" x14ac:dyDescent="0.25">
      <c r="A283" s="194">
        <v>2022</v>
      </c>
      <c r="B283" s="174" t="s">
        <v>490</v>
      </c>
      <c r="C283" s="175">
        <v>47</v>
      </c>
      <c r="D283" s="176"/>
      <c r="E283" s="176"/>
      <c r="F283" s="176"/>
      <c r="G283" s="174">
        <v>1.77</v>
      </c>
    </row>
    <row r="284" spans="1:7" x14ac:dyDescent="0.25">
      <c r="A284" s="194">
        <v>2022</v>
      </c>
      <c r="B284" s="174" t="s">
        <v>490</v>
      </c>
      <c r="C284" s="175">
        <v>22</v>
      </c>
      <c r="D284" s="176"/>
      <c r="E284" s="176"/>
      <c r="F284" s="176"/>
      <c r="G284" s="174">
        <v>1.54</v>
      </c>
    </row>
    <row r="285" spans="1:7" x14ac:dyDescent="0.25">
      <c r="A285" s="194">
        <v>2022</v>
      </c>
      <c r="B285" s="174" t="s">
        <v>490</v>
      </c>
      <c r="C285" s="175">
        <v>22</v>
      </c>
      <c r="D285" s="176"/>
      <c r="E285" s="176"/>
      <c r="F285" s="176"/>
      <c r="G285" s="174">
        <v>1.54</v>
      </c>
    </row>
    <row r="286" spans="1:7" x14ac:dyDescent="0.25">
      <c r="A286" s="194">
        <v>2022</v>
      </c>
      <c r="B286" s="174" t="s">
        <v>490</v>
      </c>
      <c r="C286" s="175">
        <v>25</v>
      </c>
      <c r="D286" s="176"/>
      <c r="E286" s="176"/>
      <c r="F286" s="176"/>
      <c r="G286" s="174"/>
    </row>
    <row r="287" spans="1:7" x14ac:dyDescent="0.25">
      <c r="A287" s="194">
        <v>2022</v>
      </c>
      <c r="B287" s="174" t="s">
        <v>490</v>
      </c>
      <c r="C287" s="175">
        <v>25</v>
      </c>
      <c r="D287" s="176"/>
      <c r="E287" s="176"/>
      <c r="F287" s="176"/>
      <c r="G287" s="174"/>
    </row>
    <row r="288" spans="1:7" x14ac:dyDescent="0.25">
      <c r="A288" s="194">
        <v>2022</v>
      </c>
      <c r="B288" s="174" t="s">
        <v>490</v>
      </c>
      <c r="C288" s="175">
        <v>27</v>
      </c>
      <c r="D288" s="176"/>
      <c r="E288" s="176"/>
      <c r="F288" s="176"/>
      <c r="G288" s="174"/>
    </row>
    <row r="289" spans="1:7" x14ac:dyDescent="0.25">
      <c r="A289" s="194">
        <v>2022</v>
      </c>
      <c r="B289" s="174" t="s">
        <v>490</v>
      </c>
      <c r="C289" s="175">
        <v>27</v>
      </c>
      <c r="D289" s="176"/>
      <c r="E289" s="176"/>
      <c r="F289" s="176"/>
      <c r="G289" s="174"/>
    </row>
    <row r="290" spans="1:7" x14ac:dyDescent="0.25">
      <c r="A290" s="194">
        <v>2022</v>
      </c>
      <c r="B290" s="174" t="s">
        <v>490</v>
      </c>
      <c r="C290" s="175">
        <v>27</v>
      </c>
      <c r="D290" s="176"/>
      <c r="E290" s="176"/>
      <c r="F290" s="176"/>
      <c r="G290" s="174"/>
    </row>
    <row r="291" spans="1:7" x14ac:dyDescent="0.25">
      <c r="A291" s="194">
        <v>2022</v>
      </c>
      <c r="B291" s="174" t="s">
        <v>490</v>
      </c>
      <c r="C291" s="175">
        <v>27</v>
      </c>
      <c r="D291" s="176"/>
      <c r="E291" s="176"/>
      <c r="F291" s="176"/>
      <c r="G291" s="174"/>
    </row>
    <row r="292" spans="1:7" x14ac:dyDescent="0.25">
      <c r="A292" s="194">
        <v>2022</v>
      </c>
      <c r="B292" s="174" t="s">
        <v>490</v>
      </c>
      <c r="C292" s="175">
        <v>30</v>
      </c>
      <c r="D292" s="176"/>
      <c r="E292" s="176"/>
      <c r="F292" s="176"/>
      <c r="G292" s="174"/>
    </row>
    <row r="293" spans="1:7" x14ac:dyDescent="0.25">
      <c r="A293" s="194">
        <v>2022</v>
      </c>
      <c r="B293" s="174" t="s">
        <v>490</v>
      </c>
      <c r="C293" s="175">
        <v>30</v>
      </c>
      <c r="D293" s="176"/>
      <c r="E293" s="176"/>
      <c r="F293" s="176"/>
      <c r="G293" s="174"/>
    </row>
    <row r="294" spans="1:7" x14ac:dyDescent="0.25">
      <c r="A294" s="194">
        <v>2022</v>
      </c>
      <c r="B294" s="174" t="s">
        <v>490</v>
      </c>
      <c r="C294" s="175">
        <v>36</v>
      </c>
      <c r="D294" s="176"/>
      <c r="E294" s="176"/>
      <c r="F294" s="176"/>
      <c r="G294" s="174"/>
    </row>
    <row r="295" spans="1:7" x14ac:dyDescent="0.25">
      <c r="A295" s="194">
        <v>2022</v>
      </c>
      <c r="B295" s="174" t="s">
        <v>490</v>
      </c>
      <c r="C295" s="175">
        <v>36</v>
      </c>
      <c r="D295" s="176"/>
      <c r="E295" s="176"/>
      <c r="F295" s="176"/>
      <c r="G295" s="174"/>
    </row>
    <row r="296" spans="1:7" x14ac:dyDescent="0.25">
      <c r="A296" s="194">
        <v>2022</v>
      </c>
      <c r="B296" s="174" t="s">
        <v>490</v>
      </c>
      <c r="C296" s="175">
        <v>28</v>
      </c>
      <c r="D296" s="176"/>
      <c r="E296" s="176"/>
      <c r="F296" s="176"/>
      <c r="G296" s="174"/>
    </row>
    <row r="297" spans="1:7" x14ac:dyDescent="0.25">
      <c r="A297" s="194">
        <v>2022</v>
      </c>
      <c r="B297" s="174" t="s">
        <v>490</v>
      </c>
      <c r="C297" s="175">
        <v>28</v>
      </c>
      <c r="D297" s="176"/>
      <c r="E297" s="176"/>
      <c r="F297" s="176"/>
      <c r="G297" s="174"/>
    </row>
    <row r="298" spans="1:7" x14ac:dyDescent="0.25">
      <c r="A298" s="194">
        <v>2022</v>
      </c>
      <c r="B298" s="174" t="s">
        <v>490</v>
      </c>
      <c r="C298" s="175">
        <v>39</v>
      </c>
      <c r="D298" s="176"/>
      <c r="E298" s="176"/>
      <c r="F298" s="176"/>
      <c r="G298" s="174"/>
    </row>
    <row r="299" spans="1:7" x14ac:dyDescent="0.25">
      <c r="A299" s="194">
        <v>2022</v>
      </c>
      <c r="B299" s="174" t="s">
        <v>490</v>
      </c>
      <c r="C299" s="175">
        <v>39</v>
      </c>
      <c r="D299" s="176"/>
      <c r="E299" s="176"/>
      <c r="F299" s="176"/>
      <c r="G299" s="174"/>
    </row>
    <row r="300" spans="1:7" x14ac:dyDescent="0.25">
      <c r="A300" s="194">
        <v>2022</v>
      </c>
      <c r="B300" s="174" t="s">
        <v>490</v>
      </c>
      <c r="C300" s="175">
        <v>30</v>
      </c>
      <c r="D300" s="176"/>
      <c r="E300" s="176"/>
      <c r="F300" s="176"/>
      <c r="G300" s="174"/>
    </row>
    <row r="301" spans="1:7" x14ac:dyDescent="0.25">
      <c r="A301" s="194">
        <v>2022</v>
      </c>
      <c r="B301" s="174" t="s">
        <v>490</v>
      </c>
      <c r="C301" s="175">
        <v>30</v>
      </c>
      <c r="D301" s="176"/>
      <c r="E301" s="176"/>
      <c r="F301" s="176"/>
      <c r="G301" s="174"/>
    </row>
    <row r="302" spans="1:7" x14ac:dyDescent="0.25">
      <c r="A302" s="194">
        <v>2022</v>
      </c>
      <c r="B302" s="174" t="s">
        <v>490</v>
      </c>
      <c r="C302" s="175">
        <v>24</v>
      </c>
      <c r="D302" s="176"/>
      <c r="E302" s="176"/>
      <c r="F302" s="176"/>
      <c r="G302" s="174"/>
    </row>
    <row r="303" spans="1:7" x14ac:dyDescent="0.25">
      <c r="A303" s="194">
        <v>2022</v>
      </c>
      <c r="B303" s="174" t="s">
        <v>490</v>
      </c>
      <c r="C303" s="175">
        <v>24</v>
      </c>
      <c r="D303" s="176"/>
      <c r="E303" s="176"/>
      <c r="F303" s="176"/>
      <c r="G303" s="174"/>
    </row>
    <row r="304" spans="1:7" x14ac:dyDescent="0.25">
      <c r="A304" s="194">
        <v>2022</v>
      </c>
      <c r="B304" s="174" t="s">
        <v>490</v>
      </c>
      <c r="C304" s="175">
        <v>37</v>
      </c>
      <c r="D304" s="176"/>
      <c r="E304" s="176"/>
      <c r="F304" s="176"/>
      <c r="G304" s="174"/>
    </row>
    <row r="305" spans="1:7" x14ac:dyDescent="0.25">
      <c r="A305" s="194">
        <v>2022</v>
      </c>
      <c r="B305" s="174" t="s">
        <v>490</v>
      </c>
      <c r="C305" s="175">
        <v>37</v>
      </c>
      <c r="D305" s="176"/>
      <c r="E305" s="176"/>
      <c r="F305" s="176"/>
      <c r="G305" s="174"/>
    </row>
    <row r="306" spans="1:7" x14ac:dyDescent="0.25">
      <c r="A306" s="194">
        <v>2022</v>
      </c>
      <c r="B306" s="174" t="s">
        <v>490</v>
      </c>
      <c r="C306" s="175">
        <v>40</v>
      </c>
      <c r="D306" s="176"/>
      <c r="E306" s="176"/>
      <c r="F306" s="176"/>
      <c r="G306" s="174"/>
    </row>
    <row r="307" spans="1:7" x14ac:dyDescent="0.25">
      <c r="A307" s="194">
        <v>2022</v>
      </c>
      <c r="B307" s="174" t="s">
        <v>490</v>
      </c>
      <c r="C307" s="175">
        <v>40</v>
      </c>
      <c r="D307" s="176"/>
      <c r="E307" s="176"/>
      <c r="F307" s="176"/>
      <c r="G307" s="174"/>
    </row>
    <row r="308" spans="1:7" x14ac:dyDescent="0.25">
      <c r="A308" s="194">
        <v>2022</v>
      </c>
      <c r="B308" s="174" t="s">
        <v>490</v>
      </c>
      <c r="C308" s="175">
        <v>125</v>
      </c>
      <c r="D308" s="175">
        <v>118.83</v>
      </c>
      <c r="E308" s="175">
        <v>104.18</v>
      </c>
      <c r="F308" s="175">
        <v>5.34</v>
      </c>
      <c r="G308" s="174">
        <v>0.86</v>
      </c>
    </row>
    <row r="309" spans="1:7" x14ac:dyDescent="0.25">
      <c r="A309" s="194">
        <v>2022</v>
      </c>
      <c r="B309" s="174" t="s">
        <v>490</v>
      </c>
      <c r="C309" s="175">
        <v>125</v>
      </c>
      <c r="D309" s="175">
        <v>118.83</v>
      </c>
      <c r="E309" s="175">
        <v>104.18</v>
      </c>
      <c r="F309" s="175">
        <v>5.34</v>
      </c>
      <c r="G309" s="174">
        <v>0.86</v>
      </c>
    </row>
    <row r="310" spans="1:7" x14ac:dyDescent="0.25">
      <c r="A310" s="194">
        <v>2022</v>
      </c>
      <c r="B310" s="174" t="s">
        <v>490</v>
      </c>
      <c r="C310" s="175">
        <v>112</v>
      </c>
      <c r="D310" s="175">
        <v>120.05</v>
      </c>
      <c r="E310" s="175">
        <v>99.13</v>
      </c>
      <c r="F310" s="175">
        <v>3.38</v>
      </c>
      <c r="G310" s="174">
        <v>0.79</v>
      </c>
    </row>
    <row r="311" spans="1:7" x14ac:dyDescent="0.25">
      <c r="A311" s="194">
        <v>2022</v>
      </c>
      <c r="B311" s="174" t="s">
        <v>490</v>
      </c>
      <c r="C311" s="175">
        <v>112</v>
      </c>
      <c r="D311" s="175">
        <v>120.05</v>
      </c>
      <c r="E311" s="175">
        <v>99.13</v>
      </c>
      <c r="F311" s="175">
        <v>3.38</v>
      </c>
      <c r="G311" s="174">
        <v>0.79</v>
      </c>
    </row>
    <row r="312" spans="1:7" x14ac:dyDescent="0.25">
      <c r="A312" s="194">
        <v>2022</v>
      </c>
      <c r="B312" s="174" t="s">
        <v>490</v>
      </c>
      <c r="C312" s="175">
        <v>79</v>
      </c>
      <c r="D312" s="175">
        <v>105.74</v>
      </c>
      <c r="E312" s="175">
        <v>83.87</v>
      </c>
      <c r="F312" s="175">
        <v>4.51</v>
      </c>
      <c r="G312" s="174">
        <v>0.82</v>
      </c>
    </row>
    <row r="313" spans="1:7" x14ac:dyDescent="0.25">
      <c r="A313" s="194">
        <v>2022</v>
      </c>
      <c r="B313" s="174" t="s">
        <v>490</v>
      </c>
      <c r="C313" s="175">
        <v>79</v>
      </c>
      <c r="D313" s="175">
        <v>105.74</v>
      </c>
      <c r="E313" s="175">
        <v>83.87</v>
      </c>
      <c r="F313" s="175">
        <v>4.51</v>
      </c>
      <c r="G313" s="174">
        <v>0.82</v>
      </c>
    </row>
    <row r="314" spans="1:7" x14ac:dyDescent="0.25">
      <c r="A314" s="194">
        <v>2022</v>
      </c>
      <c r="B314" s="174" t="s">
        <v>490</v>
      </c>
      <c r="C314" s="175">
        <v>82</v>
      </c>
      <c r="D314" s="175">
        <v>103.46</v>
      </c>
      <c r="E314" s="175">
        <v>84.2</v>
      </c>
      <c r="F314" s="175">
        <v>4.09</v>
      </c>
      <c r="G314" s="174">
        <v>0.87</v>
      </c>
    </row>
    <row r="315" spans="1:7" x14ac:dyDescent="0.25">
      <c r="A315" s="194">
        <v>2022</v>
      </c>
      <c r="B315" s="174" t="s">
        <v>490</v>
      </c>
      <c r="C315" s="175">
        <v>82</v>
      </c>
      <c r="D315" s="175">
        <v>103.46</v>
      </c>
      <c r="E315" s="175">
        <v>84.2</v>
      </c>
      <c r="F315" s="175">
        <v>4.09</v>
      </c>
      <c r="G315" s="174">
        <v>0.87</v>
      </c>
    </row>
    <row r="316" spans="1:7" x14ac:dyDescent="0.25">
      <c r="A316" s="194">
        <v>2022</v>
      </c>
      <c r="B316" s="174" t="s">
        <v>490</v>
      </c>
      <c r="C316" s="175">
        <v>104</v>
      </c>
      <c r="D316" s="175">
        <v>110.25</v>
      </c>
      <c r="E316" s="175">
        <v>104.68</v>
      </c>
      <c r="F316" s="175">
        <v>4.3600000000000003</v>
      </c>
      <c r="G316" s="174">
        <v>0.81</v>
      </c>
    </row>
    <row r="317" spans="1:7" x14ac:dyDescent="0.25">
      <c r="A317" s="194">
        <v>2022</v>
      </c>
      <c r="B317" s="174" t="s">
        <v>490</v>
      </c>
      <c r="C317" s="175">
        <v>104</v>
      </c>
      <c r="D317" s="175">
        <v>110.25</v>
      </c>
      <c r="E317" s="175">
        <v>104.68</v>
      </c>
      <c r="F317" s="175">
        <v>4.3600000000000003</v>
      </c>
      <c r="G317" s="174">
        <v>0.81</v>
      </c>
    </row>
    <row r="318" spans="1:7" x14ac:dyDescent="0.25">
      <c r="A318" s="194">
        <v>2022</v>
      </c>
      <c r="B318" s="174" t="s">
        <v>490</v>
      </c>
      <c r="C318" s="175">
        <v>98</v>
      </c>
      <c r="D318" s="176"/>
      <c r="E318" s="176"/>
      <c r="F318" s="176"/>
      <c r="G318" s="174"/>
    </row>
    <row r="319" spans="1:7" x14ac:dyDescent="0.25">
      <c r="A319" s="194">
        <v>2022</v>
      </c>
      <c r="B319" s="174" t="s">
        <v>490</v>
      </c>
      <c r="C319" s="175">
        <v>98</v>
      </c>
      <c r="D319" s="176"/>
      <c r="E319" s="176"/>
      <c r="F319" s="176"/>
      <c r="G319" s="174"/>
    </row>
    <row r="320" spans="1:7" x14ac:dyDescent="0.25">
      <c r="A320" s="194">
        <v>2022</v>
      </c>
      <c r="B320" s="174" t="s">
        <v>490</v>
      </c>
      <c r="C320" s="175">
        <v>58</v>
      </c>
      <c r="D320" s="176"/>
      <c r="E320" s="176"/>
      <c r="F320" s="176"/>
      <c r="G320" s="174"/>
    </row>
    <row r="321" spans="1:7" x14ac:dyDescent="0.25">
      <c r="A321" s="194">
        <v>2022</v>
      </c>
      <c r="B321" s="174" t="s">
        <v>490</v>
      </c>
      <c r="C321" s="175">
        <v>58</v>
      </c>
      <c r="D321" s="176"/>
      <c r="E321" s="176"/>
      <c r="F321" s="176"/>
      <c r="G321" s="174"/>
    </row>
    <row r="322" spans="1:7" x14ac:dyDescent="0.25">
      <c r="A322" s="194">
        <v>2022</v>
      </c>
      <c r="B322" s="174" t="s">
        <v>490</v>
      </c>
      <c r="C322" s="175">
        <v>52</v>
      </c>
      <c r="D322" s="176"/>
      <c r="E322" s="176"/>
      <c r="F322" s="176"/>
      <c r="G322" s="174"/>
    </row>
    <row r="323" spans="1:7" x14ac:dyDescent="0.25">
      <c r="A323" s="194">
        <v>2022</v>
      </c>
      <c r="B323" s="174" t="s">
        <v>490</v>
      </c>
      <c r="C323" s="175">
        <v>52</v>
      </c>
      <c r="D323" s="176"/>
      <c r="E323" s="176"/>
      <c r="F323" s="176"/>
      <c r="G323" s="174"/>
    </row>
    <row r="324" spans="1:7" x14ac:dyDescent="0.25">
      <c r="A324" s="194">
        <v>2022</v>
      </c>
      <c r="B324" s="174" t="s">
        <v>492</v>
      </c>
      <c r="C324" s="175">
        <v>48</v>
      </c>
      <c r="D324" s="176"/>
      <c r="E324" s="176"/>
      <c r="F324" s="176"/>
      <c r="G324" s="174">
        <v>5.88</v>
      </c>
    </row>
    <row r="325" spans="1:7" x14ac:dyDescent="0.25">
      <c r="A325" s="194">
        <v>2022</v>
      </c>
      <c r="B325" s="174" t="s">
        <v>492</v>
      </c>
      <c r="C325" s="175">
        <v>29</v>
      </c>
      <c r="D325" s="176"/>
      <c r="E325" s="176"/>
      <c r="F325" s="176"/>
      <c r="G325" s="174">
        <v>5.57</v>
      </c>
    </row>
    <row r="326" spans="1:7" x14ac:dyDescent="0.25">
      <c r="A326" s="194">
        <v>2022</v>
      </c>
      <c r="B326" s="174" t="s">
        <v>492</v>
      </c>
      <c r="C326" s="175">
        <v>36</v>
      </c>
      <c r="D326" s="176"/>
      <c r="E326" s="176"/>
      <c r="F326" s="176"/>
      <c r="G326" s="174">
        <v>4.78</v>
      </c>
    </row>
    <row r="327" spans="1:7" x14ac:dyDescent="0.25">
      <c r="A327" s="194">
        <v>2022</v>
      </c>
      <c r="B327" s="174" t="s">
        <v>492</v>
      </c>
      <c r="C327" s="175">
        <v>44</v>
      </c>
      <c r="D327" s="176"/>
      <c r="E327" s="176"/>
      <c r="F327" s="176"/>
      <c r="G327" s="174">
        <v>4.62</v>
      </c>
    </row>
    <row r="328" spans="1:7" x14ac:dyDescent="0.25">
      <c r="A328" s="194">
        <v>2022</v>
      </c>
      <c r="B328" s="174" t="s">
        <v>492</v>
      </c>
      <c r="C328" s="175">
        <v>43</v>
      </c>
      <c r="D328" s="176"/>
      <c r="E328" s="176"/>
      <c r="F328" s="176"/>
      <c r="G328" s="174">
        <v>4.6500000000000004</v>
      </c>
    </row>
    <row r="329" spans="1:7" x14ac:dyDescent="0.25">
      <c r="A329" s="194">
        <v>2022</v>
      </c>
      <c r="B329" s="174" t="s">
        <v>492</v>
      </c>
      <c r="C329" s="175">
        <v>28</v>
      </c>
      <c r="D329" s="176"/>
      <c r="E329" s="176"/>
      <c r="F329" s="176"/>
      <c r="G329" s="174">
        <v>3.17</v>
      </c>
    </row>
    <row r="330" spans="1:7" x14ac:dyDescent="0.25">
      <c r="A330" s="194">
        <v>2022</v>
      </c>
      <c r="B330" s="174" t="s">
        <v>492</v>
      </c>
      <c r="C330" s="175">
        <v>30</v>
      </c>
      <c r="D330" s="176"/>
      <c r="E330" s="176"/>
      <c r="F330" s="176"/>
      <c r="G330" s="174">
        <v>7</v>
      </c>
    </row>
    <row r="331" spans="1:7" x14ac:dyDescent="0.25">
      <c r="A331" s="194">
        <v>2022</v>
      </c>
      <c r="B331" s="174" t="s">
        <v>492</v>
      </c>
      <c r="C331" s="175">
        <v>31</v>
      </c>
      <c r="D331" s="176"/>
      <c r="E331" s="176"/>
      <c r="F331" s="176"/>
      <c r="G331" s="174"/>
    </row>
    <row r="332" spans="1:7" x14ac:dyDescent="0.25">
      <c r="A332" s="194">
        <v>2022</v>
      </c>
      <c r="B332" s="174" t="s">
        <v>492</v>
      </c>
      <c r="C332" s="175">
        <v>39</v>
      </c>
      <c r="D332" s="176"/>
      <c r="E332" s="176"/>
      <c r="F332" s="176"/>
      <c r="G332" s="174">
        <v>6.27</v>
      </c>
    </row>
    <row r="333" spans="1:7" x14ac:dyDescent="0.25">
      <c r="A333" s="194">
        <v>2022</v>
      </c>
      <c r="B333" s="174" t="s">
        <v>492</v>
      </c>
      <c r="C333" s="175">
        <v>31</v>
      </c>
      <c r="D333" s="176"/>
      <c r="E333" s="176"/>
      <c r="F333" s="176"/>
      <c r="G333" s="174">
        <v>4.71</v>
      </c>
    </row>
    <row r="334" spans="1:7" x14ac:dyDescent="0.25">
      <c r="A334" s="194">
        <v>2022</v>
      </c>
      <c r="B334" s="174" t="s">
        <v>492</v>
      </c>
      <c r="C334" s="175">
        <v>39</v>
      </c>
      <c r="D334" s="176"/>
      <c r="E334" s="176"/>
      <c r="F334" s="176"/>
      <c r="G334" s="174">
        <v>11.26</v>
      </c>
    </row>
    <row r="335" spans="1:7" x14ac:dyDescent="0.25">
      <c r="A335" s="194">
        <v>2022</v>
      </c>
      <c r="B335" s="174" t="s">
        <v>492</v>
      </c>
      <c r="C335" s="175">
        <v>38</v>
      </c>
      <c r="D335" s="176"/>
      <c r="E335" s="176"/>
      <c r="F335" s="176"/>
      <c r="G335" s="174">
        <v>3.36</v>
      </c>
    </row>
    <row r="336" spans="1:7" x14ac:dyDescent="0.25">
      <c r="A336" s="194">
        <v>2022</v>
      </c>
      <c r="B336" s="174" t="s">
        <v>492</v>
      </c>
      <c r="C336" s="175">
        <v>166</v>
      </c>
      <c r="D336" s="176"/>
      <c r="E336" s="176"/>
      <c r="F336" s="176"/>
      <c r="G336" s="174"/>
    </row>
    <row r="337" spans="1:7" x14ac:dyDescent="0.25">
      <c r="A337" s="194">
        <v>2022</v>
      </c>
      <c r="B337" s="174" t="s">
        <v>492</v>
      </c>
      <c r="C337" s="175">
        <v>161</v>
      </c>
      <c r="D337" s="176"/>
      <c r="E337" s="176"/>
      <c r="F337" s="176"/>
      <c r="G337" s="174"/>
    </row>
    <row r="338" spans="1:7" x14ac:dyDescent="0.25">
      <c r="A338" s="194">
        <v>2022</v>
      </c>
      <c r="B338" s="174" t="s">
        <v>492</v>
      </c>
      <c r="C338" s="175">
        <v>113</v>
      </c>
      <c r="D338" s="176"/>
      <c r="E338" s="176"/>
      <c r="F338" s="176"/>
      <c r="G338" s="174"/>
    </row>
    <row r="339" spans="1:7" x14ac:dyDescent="0.25">
      <c r="A339" s="194">
        <v>2022</v>
      </c>
      <c r="B339" s="174" t="s">
        <v>492</v>
      </c>
      <c r="C339" s="175">
        <v>114</v>
      </c>
      <c r="D339" s="176"/>
      <c r="E339" s="176"/>
      <c r="F339" s="176"/>
      <c r="G339" s="174"/>
    </row>
    <row r="340" spans="1:7" x14ac:dyDescent="0.25">
      <c r="A340" s="194">
        <v>2022</v>
      </c>
      <c r="B340" s="174" t="s">
        <v>492</v>
      </c>
      <c r="C340" s="175">
        <v>87</v>
      </c>
      <c r="D340" s="176"/>
      <c r="E340" s="176"/>
      <c r="F340" s="176"/>
      <c r="G340" s="174"/>
    </row>
    <row r="341" spans="1:7" x14ac:dyDescent="0.25">
      <c r="A341" s="194">
        <v>2022</v>
      </c>
      <c r="B341" s="174" t="s">
        <v>492</v>
      </c>
      <c r="C341" s="175">
        <v>81</v>
      </c>
      <c r="D341" s="176"/>
      <c r="E341" s="176"/>
      <c r="F341" s="176"/>
      <c r="G341" s="174"/>
    </row>
    <row r="342" spans="1:7" x14ac:dyDescent="0.25">
      <c r="A342" s="194">
        <v>2022</v>
      </c>
      <c r="B342" s="174" t="s">
        <v>492</v>
      </c>
      <c r="C342" s="175">
        <v>57</v>
      </c>
      <c r="D342" s="176"/>
      <c r="E342" s="176"/>
      <c r="F342" s="176"/>
      <c r="G342" s="174"/>
    </row>
    <row r="343" spans="1:7" x14ac:dyDescent="0.25">
      <c r="A343" s="194">
        <v>2022</v>
      </c>
      <c r="B343" s="174" t="s">
        <v>492</v>
      </c>
      <c r="C343" s="175">
        <v>57</v>
      </c>
      <c r="D343" s="176"/>
      <c r="E343" s="176"/>
      <c r="F343" s="176"/>
      <c r="G343" s="174"/>
    </row>
    <row r="344" spans="1:7" x14ac:dyDescent="0.25">
      <c r="A344" s="194">
        <v>2022</v>
      </c>
      <c r="B344" s="174" t="s">
        <v>482</v>
      </c>
      <c r="C344" s="175">
        <v>24</v>
      </c>
      <c r="D344" s="176"/>
      <c r="E344" s="176"/>
      <c r="F344" s="176"/>
      <c r="G344" s="174"/>
    </row>
    <row r="345" spans="1:7" x14ac:dyDescent="0.25">
      <c r="A345" s="194">
        <v>2022</v>
      </c>
      <c r="B345" s="174" t="s">
        <v>482</v>
      </c>
      <c r="C345" s="175">
        <v>25</v>
      </c>
      <c r="D345" s="176"/>
      <c r="E345" s="176"/>
      <c r="F345" s="176"/>
      <c r="G345" s="174"/>
    </row>
    <row r="346" spans="1:7" x14ac:dyDescent="0.25">
      <c r="A346" s="194">
        <v>2022</v>
      </c>
      <c r="B346" s="174" t="s">
        <v>482</v>
      </c>
      <c r="C346" s="175">
        <v>31</v>
      </c>
      <c r="D346" s="176"/>
      <c r="E346" s="176"/>
      <c r="F346" s="176"/>
      <c r="G346" s="174"/>
    </row>
    <row r="347" spans="1:7" x14ac:dyDescent="0.25">
      <c r="A347" s="194">
        <v>2022</v>
      </c>
      <c r="B347" s="174" t="s">
        <v>482</v>
      </c>
      <c r="C347" s="175">
        <v>27</v>
      </c>
      <c r="D347" s="176"/>
      <c r="E347" s="176"/>
      <c r="F347" s="176"/>
      <c r="G347" s="174"/>
    </row>
    <row r="348" spans="1:7" x14ac:dyDescent="0.25">
      <c r="A348" s="194">
        <v>2022</v>
      </c>
      <c r="B348" s="174" t="s">
        <v>482</v>
      </c>
      <c r="C348" s="175">
        <v>21</v>
      </c>
      <c r="D348" s="176"/>
      <c r="E348" s="176"/>
      <c r="F348" s="176"/>
      <c r="G348" s="174"/>
    </row>
    <row r="349" spans="1:7" x14ac:dyDescent="0.25">
      <c r="A349" s="194">
        <v>2022</v>
      </c>
      <c r="B349" s="174" t="s">
        <v>482</v>
      </c>
      <c r="C349" s="175">
        <v>29</v>
      </c>
      <c r="D349" s="176"/>
      <c r="E349" s="176"/>
      <c r="F349" s="176"/>
      <c r="G349" s="174"/>
    </row>
    <row r="350" spans="1:7" x14ac:dyDescent="0.25">
      <c r="A350" s="194">
        <v>2022</v>
      </c>
      <c r="B350" s="174" t="s">
        <v>482</v>
      </c>
      <c r="C350" s="175">
        <v>18</v>
      </c>
      <c r="D350" s="176"/>
      <c r="E350" s="176"/>
      <c r="F350" s="176"/>
      <c r="G350" s="174"/>
    </row>
    <row r="351" spans="1:7" x14ac:dyDescent="0.25">
      <c r="A351" s="194">
        <v>2022</v>
      </c>
      <c r="B351" s="174" t="s">
        <v>482</v>
      </c>
      <c r="C351" s="175">
        <v>25</v>
      </c>
      <c r="D351" s="176"/>
      <c r="E351" s="176"/>
      <c r="F351" s="176"/>
      <c r="G351" s="174">
        <v>6.53</v>
      </c>
    </row>
    <row r="352" spans="1:7" x14ac:dyDescent="0.25">
      <c r="A352" s="194">
        <v>2022</v>
      </c>
      <c r="B352" s="174" t="s">
        <v>482</v>
      </c>
      <c r="C352" s="175">
        <v>26</v>
      </c>
      <c r="D352" s="176"/>
      <c r="E352" s="176"/>
      <c r="F352" s="176"/>
      <c r="G352" s="174">
        <v>2.34</v>
      </c>
    </row>
    <row r="353" spans="1:7" x14ac:dyDescent="0.25">
      <c r="A353" s="194">
        <v>2022</v>
      </c>
      <c r="B353" s="174" t="s">
        <v>482</v>
      </c>
      <c r="C353" s="175">
        <v>32</v>
      </c>
      <c r="D353" s="176"/>
      <c r="E353" s="176"/>
      <c r="F353" s="176"/>
      <c r="G353" s="174">
        <v>1.89</v>
      </c>
    </row>
    <row r="354" spans="1:7" x14ac:dyDescent="0.25">
      <c r="A354" s="194">
        <v>2022</v>
      </c>
      <c r="B354" s="174" t="s">
        <v>482</v>
      </c>
      <c r="C354" s="175">
        <v>23</v>
      </c>
      <c r="D354" s="176"/>
      <c r="E354" s="176"/>
      <c r="F354" s="176"/>
      <c r="G354" s="174">
        <v>3.64</v>
      </c>
    </row>
    <row r="355" spans="1:7" x14ac:dyDescent="0.25">
      <c r="A355" s="194">
        <v>2022</v>
      </c>
      <c r="B355" s="174" t="s">
        <v>482</v>
      </c>
      <c r="C355" s="175">
        <v>26</v>
      </c>
      <c r="D355" s="176"/>
      <c r="E355" s="176"/>
      <c r="F355" s="176"/>
      <c r="G355" s="174">
        <v>5.19</v>
      </c>
    </row>
    <row r="356" spans="1:7" x14ac:dyDescent="0.25">
      <c r="A356" s="194">
        <v>2022</v>
      </c>
      <c r="B356" s="174" t="s">
        <v>482</v>
      </c>
      <c r="C356" s="175">
        <v>31</v>
      </c>
      <c r="D356" s="176"/>
      <c r="E356" s="176"/>
      <c r="F356" s="176"/>
      <c r="G356" s="174">
        <v>4.8499999999999996</v>
      </c>
    </row>
    <row r="357" spans="1:7" x14ac:dyDescent="0.25">
      <c r="A357" s="194">
        <v>2022</v>
      </c>
      <c r="B357" s="174" t="s">
        <v>482</v>
      </c>
      <c r="C357" s="175">
        <v>32</v>
      </c>
      <c r="D357" s="176"/>
      <c r="E357" s="176"/>
      <c r="F357" s="176"/>
      <c r="G357" s="174">
        <v>11.42</v>
      </c>
    </row>
    <row r="358" spans="1:7" x14ac:dyDescent="0.25">
      <c r="A358" s="194">
        <v>2022</v>
      </c>
      <c r="B358" s="174" t="s">
        <v>482</v>
      </c>
      <c r="C358" s="175">
        <v>23</v>
      </c>
      <c r="D358" s="176"/>
      <c r="E358" s="176"/>
      <c r="F358" s="176"/>
      <c r="G358" s="174">
        <v>4.9400000000000004</v>
      </c>
    </row>
    <row r="359" spans="1:7" x14ac:dyDescent="0.25">
      <c r="A359" s="194">
        <v>2022</v>
      </c>
      <c r="B359" s="174" t="s">
        <v>482</v>
      </c>
      <c r="C359" s="175">
        <v>128</v>
      </c>
      <c r="D359" s="176"/>
      <c r="E359" s="176"/>
      <c r="F359" s="176"/>
      <c r="G359" s="174"/>
    </row>
    <row r="360" spans="1:7" x14ac:dyDescent="0.25">
      <c r="A360" s="194">
        <v>2022</v>
      </c>
      <c r="B360" s="174" t="s">
        <v>482</v>
      </c>
      <c r="C360" s="175">
        <v>97</v>
      </c>
      <c r="D360" s="176"/>
      <c r="E360" s="176"/>
      <c r="F360" s="176"/>
      <c r="G360" s="174"/>
    </row>
    <row r="361" spans="1:7" x14ac:dyDescent="0.25">
      <c r="A361" s="194">
        <v>2022</v>
      </c>
      <c r="B361" s="174" t="s">
        <v>482</v>
      </c>
      <c r="C361" s="175">
        <v>118</v>
      </c>
      <c r="D361" s="176"/>
      <c r="E361" s="176"/>
      <c r="F361" s="176"/>
      <c r="G361" s="174"/>
    </row>
    <row r="362" spans="1:7" x14ac:dyDescent="0.25">
      <c r="A362" s="194">
        <v>2022</v>
      </c>
      <c r="B362" s="174" t="s">
        <v>482</v>
      </c>
      <c r="C362" s="175">
        <v>109</v>
      </c>
      <c r="D362" s="176"/>
      <c r="E362" s="176"/>
      <c r="F362" s="176"/>
      <c r="G362" s="174"/>
    </row>
    <row r="363" spans="1:7" x14ac:dyDescent="0.25">
      <c r="A363" s="194">
        <v>2022</v>
      </c>
      <c r="B363" s="174" t="s">
        <v>482</v>
      </c>
      <c r="C363" s="175">
        <v>75</v>
      </c>
      <c r="D363" s="176"/>
      <c r="E363" s="176"/>
      <c r="F363" s="176"/>
      <c r="G363" s="174"/>
    </row>
    <row r="364" spans="1:7" x14ac:dyDescent="0.25">
      <c r="A364" s="194">
        <v>2022</v>
      </c>
      <c r="B364" s="174" t="s">
        <v>482</v>
      </c>
      <c r="C364" s="175">
        <v>92</v>
      </c>
      <c r="D364" s="176"/>
      <c r="E364" s="176"/>
      <c r="F364" s="176"/>
      <c r="G364" s="174"/>
    </row>
    <row r="365" spans="1:7" x14ac:dyDescent="0.25">
      <c r="A365" s="194">
        <v>2022</v>
      </c>
      <c r="B365" s="174" t="s">
        <v>482</v>
      </c>
      <c r="C365" s="175">
        <v>49</v>
      </c>
      <c r="D365" s="176"/>
      <c r="E365" s="176"/>
      <c r="F365" s="176"/>
      <c r="G365" s="174"/>
    </row>
    <row r="366" spans="1:7" x14ac:dyDescent="0.25">
      <c r="A366" s="194">
        <v>2022</v>
      </c>
      <c r="B366" s="174" t="s">
        <v>482</v>
      </c>
      <c r="C366" s="175">
        <v>58</v>
      </c>
      <c r="D366" s="176"/>
      <c r="E366" s="176"/>
      <c r="F366" s="176"/>
      <c r="G366" s="174"/>
    </row>
    <row r="367" spans="1:7" x14ac:dyDescent="0.25">
      <c r="A367" s="194">
        <v>2022</v>
      </c>
      <c r="B367" s="174" t="s">
        <v>482</v>
      </c>
      <c r="C367" s="175">
        <v>41</v>
      </c>
      <c r="D367" s="176"/>
      <c r="E367" s="176"/>
      <c r="F367" s="176"/>
      <c r="G367" s="174"/>
    </row>
    <row r="368" spans="1:7" x14ac:dyDescent="0.25">
      <c r="A368" s="194">
        <v>2022</v>
      </c>
      <c r="B368" s="174" t="s">
        <v>482</v>
      </c>
      <c r="C368" s="175">
        <v>43</v>
      </c>
      <c r="D368" s="176"/>
      <c r="E368" s="176"/>
      <c r="F368" s="176"/>
      <c r="G368" s="174"/>
    </row>
    <row r="369" spans="1:7" x14ac:dyDescent="0.25">
      <c r="A369" s="194">
        <v>2022</v>
      </c>
      <c r="B369" s="174" t="s">
        <v>480</v>
      </c>
      <c r="C369" s="175">
        <v>34</v>
      </c>
      <c r="D369" s="176"/>
      <c r="E369" s="176"/>
      <c r="F369" s="176"/>
      <c r="G369" s="174">
        <v>4.17</v>
      </c>
    </row>
    <row r="370" spans="1:7" x14ac:dyDescent="0.25">
      <c r="A370" s="194">
        <v>2022</v>
      </c>
      <c r="B370" s="174" t="s">
        <v>480</v>
      </c>
      <c r="C370" s="175">
        <v>18</v>
      </c>
      <c r="D370" s="176"/>
      <c r="E370" s="176"/>
      <c r="F370" s="176"/>
      <c r="G370" s="174">
        <v>3.53</v>
      </c>
    </row>
    <row r="371" spans="1:7" x14ac:dyDescent="0.25">
      <c r="A371" s="194">
        <v>2022</v>
      </c>
      <c r="B371" s="174" t="s">
        <v>480</v>
      </c>
      <c r="C371" s="175">
        <v>27</v>
      </c>
      <c r="D371" s="176"/>
      <c r="E371" s="176"/>
      <c r="F371" s="176"/>
      <c r="G371" s="174">
        <v>5.72</v>
      </c>
    </row>
    <row r="372" spans="1:7" x14ac:dyDescent="0.25">
      <c r="A372" s="194">
        <v>2022</v>
      </c>
      <c r="B372" s="174" t="s">
        <v>480</v>
      </c>
      <c r="C372" s="175">
        <v>36</v>
      </c>
      <c r="D372" s="176"/>
      <c r="E372" s="176"/>
      <c r="F372" s="176"/>
      <c r="G372" s="174">
        <v>1.1599999999999999</v>
      </c>
    </row>
    <row r="373" spans="1:7" x14ac:dyDescent="0.25">
      <c r="A373" s="194">
        <v>2022</v>
      </c>
      <c r="B373" s="174" t="s">
        <v>480</v>
      </c>
      <c r="C373" s="175">
        <v>26</v>
      </c>
      <c r="D373" s="176"/>
      <c r="E373" s="176"/>
      <c r="F373" s="176"/>
      <c r="G373" s="174">
        <v>2.98</v>
      </c>
    </row>
    <row r="374" spans="1:7" x14ac:dyDescent="0.25">
      <c r="A374" s="194">
        <v>2022</v>
      </c>
      <c r="B374" s="174" t="s">
        <v>480</v>
      </c>
      <c r="C374" s="175">
        <v>29</v>
      </c>
      <c r="D374" s="176"/>
      <c r="E374" s="176"/>
      <c r="F374" s="176"/>
      <c r="G374" s="174">
        <v>15.65</v>
      </c>
    </row>
    <row r="375" spans="1:7" x14ac:dyDescent="0.25">
      <c r="A375" s="194">
        <v>2022</v>
      </c>
      <c r="B375" s="174" t="s">
        <v>480</v>
      </c>
      <c r="C375" s="175">
        <v>45</v>
      </c>
      <c r="D375" s="176"/>
      <c r="E375" s="176"/>
      <c r="F375" s="176"/>
      <c r="G375" s="174">
        <v>1.63</v>
      </c>
    </row>
    <row r="376" spans="1:7" x14ac:dyDescent="0.25">
      <c r="A376" s="194">
        <v>2022</v>
      </c>
      <c r="B376" s="174" t="s">
        <v>480</v>
      </c>
      <c r="C376" s="175">
        <v>27</v>
      </c>
      <c r="D376" s="176"/>
      <c r="E376" s="176"/>
      <c r="F376" s="176"/>
      <c r="G376" s="174">
        <v>9.4</v>
      </c>
    </row>
    <row r="377" spans="1:7" x14ac:dyDescent="0.25">
      <c r="A377" s="194">
        <v>2022</v>
      </c>
      <c r="B377" s="174" t="s">
        <v>480</v>
      </c>
      <c r="C377" s="175">
        <v>35</v>
      </c>
      <c r="D377" s="176"/>
      <c r="E377" s="176"/>
      <c r="F377" s="176"/>
      <c r="G377" s="174"/>
    </row>
    <row r="378" spans="1:7" x14ac:dyDescent="0.25">
      <c r="A378" s="194">
        <v>2022</v>
      </c>
      <c r="B378" s="174" t="s">
        <v>480</v>
      </c>
      <c r="C378" s="175">
        <v>22</v>
      </c>
      <c r="D378" s="176"/>
      <c r="E378" s="176"/>
      <c r="F378" s="176"/>
      <c r="G378" s="174">
        <v>2.16</v>
      </c>
    </row>
    <row r="379" spans="1:7" x14ac:dyDescent="0.25">
      <c r="A379" s="194">
        <v>2022</v>
      </c>
      <c r="B379" s="174" t="s">
        <v>480</v>
      </c>
      <c r="C379" s="175">
        <v>25</v>
      </c>
      <c r="D379" s="176"/>
      <c r="E379" s="176"/>
      <c r="F379" s="176"/>
      <c r="G379" s="174">
        <v>4.0599999999999996</v>
      </c>
    </row>
    <row r="380" spans="1:7" x14ac:dyDescent="0.25">
      <c r="A380" s="194">
        <v>2022</v>
      </c>
      <c r="B380" s="174" t="s">
        <v>480</v>
      </c>
      <c r="C380" s="175">
        <v>27</v>
      </c>
      <c r="D380" s="176"/>
      <c r="E380" s="176"/>
      <c r="F380" s="176"/>
      <c r="G380" s="174">
        <v>2.33</v>
      </c>
    </row>
    <row r="381" spans="1:7" x14ac:dyDescent="0.25">
      <c r="A381" s="194">
        <v>2022</v>
      </c>
      <c r="B381" s="174" t="s">
        <v>480</v>
      </c>
      <c r="C381" s="175">
        <v>27</v>
      </c>
      <c r="D381" s="176"/>
      <c r="E381" s="176"/>
      <c r="F381" s="176"/>
      <c r="G381" s="174">
        <v>5.09</v>
      </c>
    </row>
    <row r="382" spans="1:7" x14ac:dyDescent="0.25">
      <c r="A382" s="194">
        <v>2022</v>
      </c>
      <c r="B382" s="174" t="s">
        <v>480</v>
      </c>
      <c r="C382" s="175">
        <v>111</v>
      </c>
      <c r="D382" s="175">
        <v>148.35</v>
      </c>
      <c r="E382" s="175">
        <v>139.07</v>
      </c>
      <c r="F382" s="175">
        <v>3.75</v>
      </c>
      <c r="G382" s="174">
        <v>0.71</v>
      </c>
    </row>
    <row r="383" spans="1:7" x14ac:dyDescent="0.25">
      <c r="A383" s="194">
        <v>2022</v>
      </c>
      <c r="B383" s="174" t="s">
        <v>480</v>
      </c>
      <c r="C383" s="175">
        <v>100</v>
      </c>
      <c r="D383" s="175">
        <v>142.13999999999999</v>
      </c>
      <c r="E383" s="175">
        <v>138.30000000000001</v>
      </c>
      <c r="F383" s="175">
        <v>3.64</v>
      </c>
      <c r="G383" s="174">
        <v>0.26</v>
      </c>
    </row>
    <row r="384" spans="1:7" x14ac:dyDescent="0.25">
      <c r="A384" s="194">
        <v>2022</v>
      </c>
      <c r="B384" s="174" t="s">
        <v>480</v>
      </c>
      <c r="C384" s="175">
        <v>87</v>
      </c>
      <c r="D384" s="175">
        <v>118.99</v>
      </c>
      <c r="E384" s="175">
        <v>129.30000000000001</v>
      </c>
      <c r="F384" s="175">
        <v>3.44</v>
      </c>
      <c r="G384" s="174">
        <v>0.63</v>
      </c>
    </row>
    <row r="385" spans="1:7" x14ac:dyDescent="0.25">
      <c r="A385" s="194">
        <v>2022</v>
      </c>
      <c r="B385" s="174" t="s">
        <v>480</v>
      </c>
      <c r="C385" s="175">
        <v>111</v>
      </c>
      <c r="D385" s="175">
        <v>128.36000000000001</v>
      </c>
      <c r="E385" s="175">
        <v>128.26</v>
      </c>
      <c r="F385" s="175">
        <v>3.69</v>
      </c>
      <c r="G385" s="174">
        <v>0.21</v>
      </c>
    </row>
    <row r="386" spans="1:7" x14ac:dyDescent="0.25">
      <c r="A386" s="194">
        <v>2022</v>
      </c>
      <c r="B386" s="174" t="s">
        <v>480</v>
      </c>
      <c r="C386" s="175">
        <v>123</v>
      </c>
      <c r="D386" s="175">
        <v>129.53</v>
      </c>
      <c r="E386" s="175">
        <v>129.22</v>
      </c>
      <c r="F386" s="175">
        <v>3.95</v>
      </c>
      <c r="G386" s="174">
        <v>0.72</v>
      </c>
    </row>
    <row r="387" spans="1:7" x14ac:dyDescent="0.25">
      <c r="A387" s="194">
        <v>2022</v>
      </c>
      <c r="B387" s="174" t="s">
        <v>480</v>
      </c>
      <c r="C387" s="175">
        <v>123</v>
      </c>
      <c r="D387" s="176"/>
      <c r="E387" s="176"/>
      <c r="F387" s="176"/>
      <c r="G387" s="174"/>
    </row>
    <row r="388" spans="1:7" x14ac:dyDescent="0.25">
      <c r="A388" s="194">
        <v>2022</v>
      </c>
      <c r="B388" s="174" t="s">
        <v>480</v>
      </c>
      <c r="C388" s="175">
        <v>78</v>
      </c>
      <c r="D388" s="176"/>
      <c r="E388" s="176"/>
      <c r="F388" s="176"/>
      <c r="G388" s="174"/>
    </row>
    <row r="389" spans="1:7" x14ac:dyDescent="0.25">
      <c r="A389" s="194">
        <v>2022</v>
      </c>
      <c r="B389" s="174" t="s">
        <v>480</v>
      </c>
      <c r="C389" s="175">
        <v>72</v>
      </c>
      <c r="D389" s="176"/>
      <c r="E389" s="176"/>
      <c r="F389" s="176"/>
      <c r="G389" s="174"/>
    </row>
    <row r="390" spans="1:7" x14ac:dyDescent="0.25">
      <c r="A390" s="194">
        <v>2022</v>
      </c>
      <c r="B390" s="174" t="s">
        <v>481</v>
      </c>
      <c r="C390" s="175">
        <v>26</v>
      </c>
      <c r="D390" s="176"/>
      <c r="E390" s="176"/>
      <c r="F390" s="176"/>
      <c r="G390" s="174">
        <v>0.86</v>
      </c>
    </row>
    <row r="391" spans="1:7" x14ac:dyDescent="0.25">
      <c r="A391" s="194">
        <v>2022</v>
      </c>
      <c r="B391" s="174" t="s">
        <v>481</v>
      </c>
      <c r="C391" s="175">
        <v>26</v>
      </c>
      <c r="D391" s="176"/>
      <c r="E391" s="176"/>
      <c r="F391" s="176"/>
      <c r="G391" s="174">
        <v>0.86</v>
      </c>
    </row>
    <row r="392" spans="1:7" x14ac:dyDescent="0.25">
      <c r="A392" s="194">
        <v>2022</v>
      </c>
      <c r="B392" s="174" t="s">
        <v>481</v>
      </c>
      <c r="C392" s="175">
        <v>32</v>
      </c>
      <c r="D392" s="176"/>
      <c r="E392" s="176"/>
      <c r="F392" s="176"/>
      <c r="G392" s="174">
        <v>1.88</v>
      </c>
    </row>
    <row r="393" spans="1:7" x14ac:dyDescent="0.25">
      <c r="A393" s="194">
        <v>2022</v>
      </c>
      <c r="B393" s="174" t="s">
        <v>481</v>
      </c>
      <c r="C393" s="175">
        <v>32</v>
      </c>
      <c r="D393" s="176"/>
      <c r="E393" s="176"/>
      <c r="F393" s="176"/>
      <c r="G393" s="174">
        <v>1.88</v>
      </c>
    </row>
    <row r="394" spans="1:7" x14ac:dyDescent="0.25">
      <c r="A394" s="194">
        <v>2022</v>
      </c>
      <c r="B394" s="174" t="s">
        <v>481</v>
      </c>
      <c r="C394" s="175">
        <v>28</v>
      </c>
      <c r="D394" s="176"/>
      <c r="E394" s="176"/>
      <c r="F394" s="176"/>
      <c r="G394" s="174">
        <v>8.69</v>
      </c>
    </row>
    <row r="395" spans="1:7" x14ac:dyDescent="0.25">
      <c r="A395" s="194">
        <v>2022</v>
      </c>
      <c r="B395" s="174" t="s">
        <v>481</v>
      </c>
      <c r="C395" s="175">
        <v>28</v>
      </c>
      <c r="D395" s="176"/>
      <c r="E395" s="176"/>
      <c r="F395" s="176"/>
      <c r="G395" s="174">
        <v>8.69</v>
      </c>
    </row>
    <row r="396" spans="1:7" x14ac:dyDescent="0.25">
      <c r="A396" s="194">
        <v>2022</v>
      </c>
      <c r="B396" s="174" t="s">
        <v>481</v>
      </c>
      <c r="C396" s="175">
        <v>45</v>
      </c>
      <c r="D396" s="176"/>
      <c r="E396" s="176"/>
      <c r="F396" s="176"/>
      <c r="G396" s="174"/>
    </row>
    <row r="397" spans="1:7" x14ac:dyDescent="0.25">
      <c r="A397" s="194">
        <v>2022</v>
      </c>
      <c r="B397" s="174" t="s">
        <v>481</v>
      </c>
      <c r="C397" s="175">
        <v>45</v>
      </c>
      <c r="D397" s="176"/>
      <c r="E397" s="176"/>
      <c r="F397" s="176"/>
      <c r="G397" s="174"/>
    </row>
    <row r="398" spans="1:7" x14ac:dyDescent="0.25">
      <c r="A398" s="194">
        <v>2022</v>
      </c>
      <c r="B398" s="174" t="s">
        <v>481</v>
      </c>
      <c r="C398" s="175">
        <v>30</v>
      </c>
      <c r="D398" s="176"/>
      <c r="E398" s="176"/>
      <c r="F398" s="176"/>
      <c r="G398" s="174">
        <v>1.56</v>
      </c>
    </row>
    <row r="399" spans="1:7" x14ac:dyDescent="0.25">
      <c r="A399" s="194">
        <v>2022</v>
      </c>
      <c r="B399" s="174" t="s">
        <v>481</v>
      </c>
      <c r="C399" s="175">
        <v>30</v>
      </c>
      <c r="D399" s="176"/>
      <c r="E399" s="176"/>
      <c r="F399" s="176"/>
      <c r="G399" s="174">
        <v>1.56</v>
      </c>
    </row>
    <row r="400" spans="1:7" x14ac:dyDescent="0.25">
      <c r="A400" s="194">
        <v>2022</v>
      </c>
      <c r="B400" s="174" t="s">
        <v>481</v>
      </c>
      <c r="C400" s="175">
        <v>30</v>
      </c>
      <c r="D400" s="176"/>
      <c r="E400" s="176"/>
      <c r="F400" s="176"/>
      <c r="G400" s="174">
        <v>3.88</v>
      </c>
    </row>
    <row r="401" spans="1:7" x14ac:dyDescent="0.25">
      <c r="A401" s="194">
        <v>2022</v>
      </c>
      <c r="B401" s="174" t="s">
        <v>481</v>
      </c>
      <c r="C401" s="175">
        <v>30</v>
      </c>
      <c r="D401" s="176"/>
      <c r="E401" s="176"/>
      <c r="F401" s="176"/>
      <c r="G401" s="174">
        <v>3.88</v>
      </c>
    </row>
    <row r="402" spans="1:7" x14ac:dyDescent="0.25">
      <c r="A402" s="194">
        <v>2022</v>
      </c>
      <c r="B402" s="174" t="s">
        <v>481</v>
      </c>
      <c r="C402" s="175">
        <v>33</v>
      </c>
      <c r="D402" s="176"/>
      <c r="E402" s="176"/>
      <c r="F402" s="176"/>
      <c r="G402" s="174">
        <v>8.49</v>
      </c>
    </row>
    <row r="403" spans="1:7" x14ac:dyDescent="0.25">
      <c r="A403" s="194">
        <v>2022</v>
      </c>
      <c r="B403" s="174" t="s">
        <v>481</v>
      </c>
      <c r="C403" s="175">
        <v>33</v>
      </c>
      <c r="D403" s="176"/>
      <c r="E403" s="176"/>
      <c r="F403" s="176"/>
      <c r="G403" s="174">
        <v>8.49</v>
      </c>
    </row>
    <row r="404" spans="1:7" x14ac:dyDescent="0.25">
      <c r="A404" s="194">
        <v>2022</v>
      </c>
      <c r="B404" s="174" t="s">
        <v>481</v>
      </c>
      <c r="C404" s="175">
        <v>50</v>
      </c>
      <c r="D404" s="176"/>
      <c r="E404" s="176"/>
      <c r="F404" s="176"/>
      <c r="G404" s="174">
        <v>2.23</v>
      </c>
    </row>
    <row r="405" spans="1:7" x14ac:dyDescent="0.25">
      <c r="A405" s="194">
        <v>2022</v>
      </c>
      <c r="B405" s="174" t="s">
        <v>481</v>
      </c>
      <c r="C405" s="175">
        <v>50</v>
      </c>
      <c r="D405" s="176"/>
      <c r="E405" s="176"/>
      <c r="F405" s="176"/>
      <c r="G405" s="174">
        <v>2.23</v>
      </c>
    </row>
    <row r="406" spans="1:7" x14ac:dyDescent="0.25">
      <c r="A406" s="194">
        <v>2022</v>
      </c>
      <c r="B406" s="174" t="s">
        <v>481</v>
      </c>
      <c r="C406" s="175">
        <v>33</v>
      </c>
      <c r="D406" s="176"/>
      <c r="E406" s="176"/>
      <c r="F406" s="176"/>
      <c r="G406" s="174">
        <v>1.68</v>
      </c>
    </row>
    <row r="407" spans="1:7" x14ac:dyDescent="0.25">
      <c r="A407" s="194">
        <v>2022</v>
      </c>
      <c r="B407" s="174" t="s">
        <v>481</v>
      </c>
      <c r="C407" s="175">
        <v>33</v>
      </c>
      <c r="D407" s="176"/>
      <c r="E407" s="176"/>
      <c r="F407" s="176"/>
      <c r="G407" s="174">
        <v>1.68</v>
      </c>
    </row>
    <row r="408" spans="1:7" x14ac:dyDescent="0.25">
      <c r="A408" s="194">
        <v>2022</v>
      </c>
      <c r="B408" s="174" t="s">
        <v>481</v>
      </c>
      <c r="C408" s="175">
        <v>35</v>
      </c>
      <c r="D408" s="176"/>
      <c r="E408" s="176"/>
      <c r="F408" s="176"/>
      <c r="G408" s="174">
        <v>4.62</v>
      </c>
    </row>
    <row r="409" spans="1:7" x14ac:dyDescent="0.25">
      <c r="A409" s="194">
        <v>2022</v>
      </c>
      <c r="B409" s="174" t="s">
        <v>481</v>
      </c>
      <c r="C409" s="175">
        <v>35</v>
      </c>
      <c r="D409" s="176"/>
      <c r="E409" s="176"/>
      <c r="F409" s="176"/>
      <c r="G409" s="174">
        <v>4.62</v>
      </c>
    </row>
    <row r="410" spans="1:7" x14ac:dyDescent="0.25">
      <c r="A410" s="194">
        <v>2022</v>
      </c>
      <c r="B410" s="174" t="s">
        <v>481</v>
      </c>
      <c r="C410" s="175">
        <v>29</v>
      </c>
      <c r="D410" s="176"/>
      <c r="E410" s="176"/>
      <c r="F410" s="176"/>
      <c r="G410" s="174">
        <v>1.94</v>
      </c>
    </row>
    <row r="411" spans="1:7" x14ac:dyDescent="0.25">
      <c r="A411" s="194">
        <v>2022</v>
      </c>
      <c r="B411" s="174" t="s">
        <v>481</v>
      </c>
      <c r="C411" s="175">
        <v>29</v>
      </c>
      <c r="D411" s="176"/>
      <c r="E411" s="176"/>
      <c r="F411" s="176"/>
      <c r="G411" s="174">
        <v>1.94</v>
      </c>
    </row>
    <row r="412" spans="1:7" x14ac:dyDescent="0.25">
      <c r="A412" s="194">
        <v>2022</v>
      </c>
      <c r="B412" s="174" t="s">
        <v>481</v>
      </c>
      <c r="C412" s="175">
        <v>33</v>
      </c>
      <c r="D412" s="176"/>
      <c r="E412" s="176"/>
      <c r="F412" s="176"/>
      <c r="G412" s="174">
        <v>2.7</v>
      </c>
    </row>
    <row r="413" spans="1:7" x14ac:dyDescent="0.25">
      <c r="A413" s="194">
        <v>2022</v>
      </c>
      <c r="B413" s="174" t="s">
        <v>481</v>
      </c>
      <c r="C413" s="175">
        <v>33</v>
      </c>
      <c r="D413" s="176"/>
      <c r="E413" s="176"/>
      <c r="F413" s="176"/>
      <c r="G413" s="174">
        <v>2.7</v>
      </c>
    </row>
    <row r="414" spans="1:7" x14ac:dyDescent="0.25">
      <c r="A414" s="194">
        <v>2022</v>
      </c>
      <c r="B414" s="174" t="s">
        <v>481</v>
      </c>
      <c r="C414" s="175">
        <v>36</v>
      </c>
      <c r="D414" s="176"/>
      <c r="E414" s="176"/>
      <c r="F414" s="176"/>
      <c r="G414" s="174">
        <v>4.07</v>
      </c>
    </row>
    <row r="415" spans="1:7" x14ac:dyDescent="0.25">
      <c r="A415" s="194">
        <v>2022</v>
      </c>
      <c r="B415" s="174" t="s">
        <v>481</v>
      </c>
      <c r="C415" s="175">
        <v>36</v>
      </c>
      <c r="D415" s="176"/>
      <c r="E415" s="176"/>
      <c r="F415" s="176"/>
      <c r="G415" s="174">
        <v>4.07</v>
      </c>
    </row>
    <row r="416" spans="1:7" x14ac:dyDescent="0.25">
      <c r="A416" s="194">
        <v>2022</v>
      </c>
      <c r="B416" s="174" t="s">
        <v>481</v>
      </c>
      <c r="C416" s="175">
        <v>30</v>
      </c>
      <c r="D416" s="176"/>
      <c r="E416" s="176"/>
      <c r="F416" s="176"/>
      <c r="G416" s="174">
        <v>2.81</v>
      </c>
    </row>
    <row r="417" spans="1:7" x14ac:dyDescent="0.25">
      <c r="A417" s="194">
        <v>2022</v>
      </c>
      <c r="B417" s="174" t="s">
        <v>481</v>
      </c>
      <c r="C417" s="175">
        <v>30</v>
      </c>
      <c r="D417" s="176"/>
      <c r="E417" s="176"/>
      <c r="F417" s="176"/>
      <c r="G417" s="174">
        <v>2.81</v>
      </c>
    </row>
    <row r="418" spans="1:7" x14ac:dyDescent="0.25">
      <c r="A418" s="194">
        <v>2022</v>
      </c>
      <c r="B418" s="174" t="s">
        <v>481</v>
      </c>
      <c r="C418" s="175">
        <v>32</v>
      </c>
      <c r="D418" s="176"/>
      <c r="E418" s="176"/>
      <c r="F418" s="176"/>
      <c r="G418" s="174">
        <v>0.96</v>
      </c>
    </row>
    <row r="419" spans="1:7" x14ac:dyDescent="0.25">
      <c r="A419" s="194">
        <v>2022</v>
      </c>
      <c r="B419" s="174" t="s">
        <v>481</v>
      </c>
      <c r="C419" s="175">
        <v>32</v>
      </c>
      <c r="D419" s="176"/>
      <c r="E419" s="176"/>
      <c r="F419" s="176"/>
      <c r="G419" s="174">
        <v>0.96</v>
      </c>
    </row>
    <row r="420" spans="1:7" x14ac:dyDescent="0.25">
      <c r="A420" s="194">
        <v>2022</v>
      </c>
      <c r="B420" s="174" t="s">
        <v>481</v>
      </c>
      <c r="C420" s="175">
        <v>86</v>
      </c>
      <c r="D420" s="175">
        <v>124.15</v>
      </c>
      <c r="E420" s="175">
        <v>119.28</v>
      </c>
      <c r="F420" s="175">
        <v>5.38</v>
      </c>
      <c r="G420" s="174">
        <v>0.69</v>
      </c>
    </row>
    <row r="421" spans="1:7" x14ac:dyDescent="0.25">
      <c r="A421" s="194">
        <v>2022</v>
      </c>
      <c r="B421" s="174" t="s">
        <v>481</v>
      </c>
      <c r="C421" s="175">
        <v>86</v>
      </c>
      <c r="D421" s="175">
        <v>124.15</v>
      </c>
      <c r="E421" s="175">
        <v>119.28</v>
      </c>
      <c r="F421" s="175">
        <v>5.38</v>
      </c>
      <c r="G421" s="174">
        <v>0.69</v>
      </c>
    </row>
    <row r="422" spans="1:7" x14ac:dyDescent="0.25">
      <c r="A422" s="194">
        <v>2022</v>
      </c>
      <c r="B422" s="174" t="s">
        <v>481</v>
      </c>
      <c r="C422" s="175">
        <v>88</v>
      </c>
      <c r="D422" s="175">
        <v>122.9</v>
      </c>
      <c r="E422" s="175">
        <v>107.88</v>
      </c>
      <c r="F422" s="175">
        <v>4.3499999999999996</v>
      </c>
      <c r="G422" s="174">
        <v>0.63</v>
      </c>
    </row>
    <row r="423" spans="1:7" x14ac:dyDescent="0.25">
      <c r="A423" s="194">
        <v>2022</v>
      </c>
      <c r="B423" s="174" t="s">
        <v>481</v>
      </c>
      <c r="C423" s="175">
        <v>88</v>
      </c>
      <c r="D423" s="175">
        <v>122.9</v>
      </c>
      <c r="E423" s="175">
        <v>107.88</v>
      </c>
      <c r="F423" s="175">
        <v>4.3499999999999996</v>
      </c>
      <c r="G423" s="174">
        <v>0.63</v>
      </c>
    </row>
    <row r="424" spans="1:7" x14ac:dyDescent="0.25">
      <c r="A424" s="194">
        <v>2022</v>
      </c>
      <c r="B424" s="174" t="s">
        <v>481</v>
      </c>
      <c r="C424" s="175">
        <v>99</v>
      </c>
      <c r="D424" s="175">
        <v>124.02</v>
      </c>
      <c r="E424" s="175">
        <v>86.13</v>
      </c>
      <c r="F424" s="175">
        <v>5.14</v>
      </c>
      <c r="G424" s="174">
        <v>0.7</v>
      </c>
    </row>
    <row r="425" spans="1:7" x14ac:dyDescent="0.25">
      <c r="A425" s="194">
        <v>2022</v>
      </c>
      <c r="B425" s="174" t="s">
        <v>481</v>
      </c>
      <c r="C425" s="175">
        <v>99</v>
      </c>
      <c r="D425" s="175">
        <v>124.02</v>
      </c>
      <c r="E425" s="175">
        <v>86.13</v>
      </c>
      <c r="F425" s="175">
        <v>5.14</v>
      </c>
      <c r="G425" s="174">
        <v>0.7</v>
      </c>
    </row>
    <row r="426" spans="1:7" x14ac:dyDescent="0.25">
      <c r="A426" s="194">
        <v>2022</v>
      </c>
      <c r="B426" s="174" t="s">
        <v>481</v>
      </c>
      <c r="C426" s="175">
        <v>55</v>
      </c>
      <c r="D426" s="175">
        <v>122.38</v>
      </c>
      <c r="E426" s="175">
        <v>99.99</v>
      </c>
      <c r="F426" s="175">
        <v>4.3600000000000003</v>
      </c>
      <c r="G426" s="174">
        <v>0.69</v>
      </c>
    </row>
    <row r="427" spans="1:7" x14ac:dyDescent="0.25">
      <c r="A427" s="194">
        <v>2022</v>
      </c>
      <c r="B427" s="174" t="s">
        <v>481</v>
      </c>
      <c r="C427" s="175">
        <v>55</v>
      </c>
      <c r="D427" s="175">
        <v>122.38</v>
      </c>
      <c r="E427" s="175">
        <v>99.99</v>
      </c>
      <c r="F427" s="175">
        <v>4.3600000000000003</v>
      </c>
      <c r="G427" s="174">
        <v>0.69</v>
      </c>
    </row>
    <row r="428" spans="1:7" x14ac:dyDescent="0.25">
      <c r="A428" s="194">
        <v>2022</v>
      </c>
      <c r="B428" s="174" t="s">
        <v>481</v>
      </c>
      <c r="C428" s="175">
        <v>82</v>
      </c>
      <c r="D428" s="176"/>
      <c r="E428" s="175">
        <v>95.5</v>
      </c>
      <c r="F428" s="175">
        <v>4.74</v>
      </c>
      <c r="G428" s="174">
        <v>0.57999999999999996</v>
      </c>
    </row>
    <row r="429" spans="1:7" x14ac:dyDescent="0.25">
      <c r="A429" s="194">
        <v>2022</v>
      </c>
      <c r="B429" s="174" t="s">
        <v>481</v>
      </c>
      <c r="C429" s="175">
        <v>82</v>
      </c>
      <c r="D429" s="176"/>
      <c r="E429" s="175">
        <v>95.5</v>
      </c>
      <c r="F429" s="175">
        <v>4.74</v>
      </c>
      <c r="G429" s="174">
        <v>0.57999999999999996</v>
      </c>
    </row>
    <row r="430" spans="1:7" x14ac:dyDescent="0.25">
      <c r="A430" s="194">
        <v>2022</v>
      </c>
      <c r="B430" s="174" t="s">
        <v>481</v>
      </c>
      <c r="C430" s="175">
        <v>60</v>
      </c>
      <c r="D430" s="176"/>
      <c r="E430" s="176"/>
      <c r="F430" s="176"/>
      <c r="G430" s="174"/>
    </row>
    <row r="431" spans="1:7" x14ac:dyDescent="0.25">
      <c r="A431" s="194">
        <v>2022</v>
      </c>
      <c r="B431" s="174" t="s">
        <v>481</v>
      </c>
      <c r="C431" s="175">
        <v>60</v>
      </c>
      <c r="D431" s="176"/>
      <c r="E431" s="176"/>
      <c r="F431" s="176"/>
      <c r="G431" s="174"/>
    </row>
    <row r="432" spans="1:7" x14ac:dyDescent="0.25">
      <c r="A432" s="194">
        <v>2022</v>
      </c>
      <c r="B432" s="174" t="s">
        <v>481</v>
      </c>
      <c r="C432" s="175">
        <v>76</v>
      </c>
      <c r="D432" s="176"/>
      <c r="E432" s="176"/>
      <c r="F432" s="176"/>
      <c r="G432" s="174"/>
    </row>
    <row r="433" spans="1:7" x14ac:dyDescent="0.25">
      <c r="A433" s="194">
        <v>2022</v>
      </c>
      <c r="B433" s="174" t="s">
        <v>481</v>
      </c>
      <c r="C433" s="175">
        <v>76</v>
      </c>
      <c r="D433" s="176"/>
      <c r="E433" s="176"/>
      <c r="F433" s="176"/>
      <c r="G433" s="174"/>
    </row>
    <row r="434" spans="1:7" x14ac:dyDescent="0.25">
      <c r="A434" s="194">
        <v>2022</v>
      </c>
      <c r="B434" s="174" t="s">
        <v>494</v>
      </c>
      <c r="C434" s="175">
        <v>11</v>
      </c>
      <c r="D434" s="176"/>
      <c r="E434" s="176"/>
      <c r="F434" s="176"/>
      <c r="G434" s="174"/>
    </row>
    <row r="435" spans="1:7" x14ac:dyDescent="0.25">
      <c r="A435" s="194">
        <v>2022</v>
      </c>
      <c r="B435" s="174" t="s">
        <v>494</v>
      </c>
      <c r="C435" s="175">
        <v>16</v>
      </c>
      <c r="D435" s="176"/>
      <c r="E435" s="176"/>
      <c r="F435" s="176"/>
      <c r="G435" s="174"/>
    </row>
    <row r="436" spans="1:7" x14ac:dyDescent="0.25">
      <c r="A436" s="194">
        <v>2022</v>
      </c>
      <c r="B436" s="174" t="s">
        <v>494</v>
      </c>
      <c r="C436" s="175">
        <v>38</v>
      </c>
      <c r="D436" s="176"/>
      <c r="E436" s="176"/>
      <c r="F436" s="176"/>
      <c r="G436" s="174">
        <v>2.21</v>
      </c>
    </row>
    <row r="437" spans="1:7" x14ac:dyDescent="0.25">
      <c r="A437" s="194">
        <v>2022</v>
      </c>
      <c r="B437" s="174" t="s">
        <v>494</v>
      </c>
      <c r="C437" s="175">
        <v>37</v>
      </c>
      <c r="D437" s="176"/>
      <c r="E437" s="176"/>
      <c r="F437" s="176"/>
      <c r="G437" s="174">
        <v>1.0900000000000001</v>
      </c>
    </row>
    <row r="438" spans="1:7" x14ac:dyDescent="0.25">
      <c r="A438" s="194">
        <v>2022</v>
      </c>
      <c r="B438" s="174" t="s">
        <v>494</v>
      </c>
      <c r="C438" s="175">
        <v>34</v>
      </c>
      <c r="D438" s="176"/>
      <c r="E438" s="176"/>
      <c r="F438" s="176"/>
      <c r="G438" s="174">
        <v>1.9</v>
      </c>
    </row>
    <row r="439" spans="1:7" x14ac:dyDescent="0.25">
      <c r="A439" s="194">
        <v>2022</v>
      </c>
      <c r="B439" s="174" t="s">
        <v>494</v>
      </c>
      <c r="C439" s="175">
        <v>32</v>
      </c>
      <c r="D439" s="176"/>
      <c r="E439" s="176"/>
      <c r="F439" s="176"/>
      <c r="G439" s="174">
        <v>1.87</v>
      </c>
    </row>
    <row r="440" spans="1:7" x14ac:dyDescent="0.25">
      <c r="A440" s="194">
        <v>2022</v>
      </c>
      <c r="B440" s="174" t="s">
        <v>494</v>
      </c>
      <c r="C440" s="175">
        <v>27</v>
      </c>
      <c r="D440" s="176"/>
      <c r="E440" s="176"/>
      <c r="F440" s="176"/>
      <c r="G440" s="174">
        <v>5.4</v>
      </c>
    </row>
    <row r="441" spans="1:7" x14ac:dyDescent="0.25">
      <c r="A441" s="194">
        <v>2022</v>
      </c>
      <c r="B441" s="174" t="s">
        <v>494</v>
      </c>
      <c r="C441" s="175">
        <v>49</v>
      </c>
      <c r="D441" s="176"/>
      <c r="E441" s="176"/>
      <c r="F441" s="176"/>
      <c r="G441" s="174"/>
    </row>
    <row r="442" spans="1:7" x14ac:dyDescent="0.25">
      <c r="A442" s="194">
        <v>2022</v>
      </c>
      <c r="B442" s="174" t="s">
        <v>494</v>
      </c>
      <c r="C442" s="175">
        <v>44</v>
      </c>
      <c r="D442" s="176"/>
      <c r="E442" s="176"/>
      <c r="F442" s="176"/>
      <c r="G442" s="174">
        <v>6.65</v>
      </c>
    </row>
    <row r="443" spans="1:7" x14ac:dyDescent="0.25">
      <c r="A443" s="194">
        <v>2022</v>
      </c>
      <c r="B443" s="174" t="s">
        <v>494</v>
      </c>
      <c r="C443" s="175">
        <v>44</v>
      </c>
      <c r="D443" s="176"/>
      <c r="E443" s="176"/>
      <c r="F443" s="176"/>
      <c r="G443" s="174">
        <v>4.38</v>
      </c>
    </row>
    <row r="444" spans="1:7" x14ac:dyDescent="0.25">
      <c r="A444" s="194">
        <v>2022</v>
      </c>
      <c r="B444" s="174" t="s">
        <v>494</v>
      </c>
      <c r="C444" s="175">
        <v>26</v>
      </c>
      <c r="D444" s="176"/>
      <c r="E444" s="176"/>
      <c r="F444" s="176"/>
      <c r="G444" s="174">
        <v>4.04</v>
      </c>
    </row>
    <row r="445" spans="1:7" x14ac:dyDescent="0.25">
      <c r="A445" s="194">
        <v>2022</v>
      </c>
      <c r="B445" s="174" t="s">
        <v>494</v>
      </c>
      <c r="C445" s="175">
        <v>68</v>
      </c>
      <c r="D445" s="176"/>
      <c r="E445" s="176"/>
      <c r="F445" s="176"/>
      <c r="G445" s="174">
        <v>13.34</v>
      </c>
    </row>
    <row r="446" spans="1:7" x14ac:dyDescent="0.25">
      <c r="A446" s="194">
        <v>2022</v>
      </c>
      <c r="B446" s="174" t="s">
        <v>494</v>
      </c>
      <c r="C446" s="175">
        <v>38</v>
      </c>
      <c r="D446" s="176"/>
      <c r="E446" s="176"/>
      <c r="F446" s="176"/>
      <c r="G446" s="174">
        <v>13.79</v>
      </c>
    </row>
    <row r="447" spans="1:7" x14ac:dyDescent="0.25">
      <c r="A447" s="194">
        <v>2022</v>
      </c>
      <c r="B447" s="174" t="s">
        <v>494</v>
      </c>
      <c r="C447" s="175">
        <v>126</v>
      </c>
      <c r="D447" s="175">
        <v>160.1</v>
      </c>
      <c r="E447" s="175">
        <v>126.2</v>
      </c>
      <c r="F447" s="175">
        <v>3.24</v>
      </c>
      <c r="G447" s="174">
        <v>0.47</v>
      </c>
    </row>
    <row r="448" spans="1:7" x14ac:dyDescent="0.25">
      <c r="A448" s="194">
        <v>2022</v>
      </c>
      <c r="B448" s="174" t="s">
        <v>494</v>
      </c>
      <c r="C448" s="175">
        <v>101</v>
      </c>
      <c r="D448" s="175">
        <v>156.72999999999999</v>
      </c>
      <c r="E448" s="175">
        <v>122.2</v>
      </c>
      <c r="F448" s="175">
        <v>3.28</v>
      </c>
      <c r="G448" s="174">
        <v>0.39</v>
      </c>
    </row>
    <row r="449" spans="1:7" x14ac:dyDescent="0.25">
      <c r="A449" s="194">
        <v>2022</v>
      </c>
      <c r="B449" s="174" t="s">
        <v>494</v>
      </c>
      <c r="C449" s="175">
        <v>140</v>
      </c>
      <c r="D449" s="175">
        <v>143.97999999999999</v>
      </c>
      <c r="E449" s="175">
        <v>132.56</v>
      </c>
      <c r="F449" s="175">
        <v>3.42</v>
      </c>
      <c r="G449" s="174">
        <v>0.54</v>
      </c>
    </row>
    <row r="450" spans="1:7" x14ac:dyDescent="0.25">
      <c r="A450" s="194">
        <v>2022</v>
      </c>
      <c r="B450" s="174" t="s">
        <v>494</v>
      </c>
      <c r="C450" s="175">
        <v>127</v>
      </c>
      <c r="D450" s="175">
        <v>172.12</v>
      </c>
      <c r="E450" s="175">
        <v>140.22999999999999</v>
      </c>
      <c r="F450" s="175">
        <v>3.79</v>
      </c>
      <c r="G450" s="174">
        <v>0.48</v>
      </c>
    </row>
    <row r="451" spans="1:7" x14ac:dyDescent="0.25">
      <c r="A451" s="194">
        <v>2022</v>
      </c>
      <c r="B451" s="174" t="s">
        <v>494</v>
      </c>
      <c r="C451" s="175">
        <v>99</v>
      </c>
      <c r="D451" s="175">
        <v>176.06</v>
      </c>
      <c r="E451" s="175">
        <v>134</v>
      </c>
      <c r="F451" s="175">
        <v>3.73</v>
      </c>
      <c r="G451" s="174">
        <v>0.57999999999999996</v>
      </c>
    </row>
    <row r="452" spans="1:7" x14ac:dyDescent="0.25">
      <c r="A452" s="194">
        <v>2022</v>
      </c>
      <c r="B452" s="174" t="s">
        <v>494</v>
      </c>
      <c r="C452" s="175">
        <v>108</v>
      </c>
      <c r="D452" s="176"/>
      <c r="E452" s="176"/>
      <c r="F452" s="176"/>
      <c r="G452" s="174"/>
    </row>
    <row r="453" spans="1:7" x14ac:dyDescent="0.25">
      <c r="A453" s="194">
        <v>2022</v>
      </c>
      <c r="B453" s="174" t="s">
        <v>494</v>
      </c>
      <c r="C453" s="175">
        <v>57</v>
      </c>
      <c r="D453" s="176"/>
      <c r="E453" s="176"/>
      <c r="F453" s="176"/>
      <c r="G453" s="174"/>
    </row>
    <row r="454" spans="1:7" x14ac:dyDescent="0.25">
      <c r="A454" s="194">
        <v>2022</v>
      </c>
      <c r="B454" s="174" t="s">
        <v>494</v>
      </c>
      <c r="C454" s="175">
        <v>57</v>
      </c>
      <c r="D454" s="176"/>
      <c r="E454" s="176"/>
      <c r="F454" s="176"/>
      <c r="G454" s="174"/>
    </row>
    <row r="455" spans="1:7" x14ac:dyDescent="0.25">
      <c r="A455" s="194">
        <v>2022</v>
      </c>
      <c r="B455" s="174" t="s">
        <v>494</v>
      </c>
      <c r="C455" s="175">
        <v>66</v>
      </c>
      <c r="D455" s="176"/>
      <c r="E455" s="176"/>
      <c r="F455" s="176"/>
      <c r="G455" s="174"/>
    </row>
    <row r="456" spans="1:7" x14ac:dyDescent="0.25">
      <c r="A456" s="194">
        <v>2022</v>
      </c>
      <c r="B456" s="174" t="s">
        <v>494</v>
      </c>
      <c r="C456" s="175">
        <v>59</v>
      </c>
      <c r="D456" s="176"/>
      <c r="E456" s="176"/>
      <c r="F456" s="176"/>
      <c r="G456" s="174"/>
    </row>
    <row r="457" spans="1:7" x14ac:dyDescent="0.25">
      <c r="A457" s="194">
        <v>2022</v>
      </c>
      <c r="B457" s="174" t="s">
        <v>512</v>
      </c>
      <c r="C457" s="175">
        <v>19</v>
      </c>
      <c r="D457" s="176"/>
      <c r="E457" s="176"/>
      <c r="F457" s="176"/>
      <c r="G457" s="174">
        <v>1.47</v>
      </c>
    </row>
    <row r="458" spans="1:7" x14ac:dyDescent="0.25">
      <c r="A458" s="194">
        <v>2022</v>
      </c>
      <c r="B458" s="174" t="s">
        <v>512</v>
      </c>
      <c r="C458" s="175">
        <v>24</v>
      </c>
      <c r="D458" s="176"/>
      <c r="E458" s="176"/>
      <c r="F458" s="176"/>
      <c r="G458" s="174">
        <v>1.45</v>
      </c>
    </row>
    <row r="459" spans="1:7" x14ac:dyDescent="0.25">
      <c r="A459" s="194">
        <v>2022</v>
      </c>
      <c r="B459" s="174" t="s">
        <v>512</v>
      </c>
      <c r="C459" s="175">
        <v>18</v>
      </c>
      <c r="D459" s="176"/>
      <c r="E459" s="176"/>
      <c r="F459" s="176"/>
      <c r="G459" s="174">
        <v>1.17</v>
      </c>
    </row>
    <row r="460" spans="1:7" x14ac:dyDescent="0.25">
      <c r="A460" s="194">
        <v>2022</v>
      </c>
      <c r="B460" s="174" t="s">
        <v>512</v>
      </c>
      <c r="C460" s="175">
        <v>19</v>
      </c>
      <c r="D460" s="176"/>
      <c r="E460" s="176"/>
      <c r="F460" s="176"/>
      <c r="G460" s="174">
        <v>1.87</v>
      </c>
    </row>
    <row r="461" spans="1:7" x14ac:dyDescent="0.25">
      <c r="A461" s="194">
        <v>2022</v>
      </c>
      <c r="B461" s="174" t="s">
        <v>512</v>
      </c>
      <c r="C461" s="175">
        <v>18</v>
      </c>
      <c r="D461" s="176"/>
      <c r="E461" s="176"/>
      <c r="F461" s="176"/>
      <c r="G461" s="174">
        <v>2.33</v>
      </c>
    </row>
    <row r="462" spans="1:7" x14ac:dyDescent="0.25">
      <c r="A462" s="194">
        <v>2022</v>
      </c>
      <c r="B462" s="174" t="s">
        <v>512</v>
      </c>
      <c r="C462" s="175">
        <v>19</v>
      </c>
      <c r="D462" s="176"/>
      <c r="E462" s="176"/>
      <c r="F462" s="176"/>
      <c r="G462" s="174"/>
    </row>
    <row r="463" spans="1:7" x14ac:dyDescent="0.25">
      <c r="A463" s="194">
        <v>2022</v>
      </c>
      <c r="B463" s="174" t="s">
        <v>512</v>
      </c>
      <c r="C463" s="175">
        <v>28</v>
      </c>
      <c r="D463" s="176"/>
      <c r="E463" s="176"/>
      <c r="F463" s="176"/>
      <c r="G463" s="174">
        <v>2.3199999999999998</v>
      </c>
    </row>
    <row r="464" spans="1:7" x14ac:dyDescent="0.25">
      <c r="A464" s="194">
        <v>2022</v>
      </c>
      <c r="B464" s="174" t="s">
        <v>512</v>
      </c>
      <c r="C464" s="175">
        <v>27</v>
      </c>
      <c r="D464" s="176"/>
      <c r="E464" s="176"/>
      <c r="F464" s="176"/>
      <c r="G464" s="174">
        <v>3.33</v>
      </c>
    </row>
    <row r="465" spans="1:7" x14ac:dyDescent="0.25">
      <c r="A465" s="194">
        <v>2022</v>
      </c>
      <c r="B465" s="174" t="s">
        <v>512</v>
      </c>
      <c r="C465" s="175">
        <v>28</v>
      </c>
      <c r="D465" s="176"/>
      <c r="E465" s="176"/>
      <c r="F465" s="176"/>
      <c r="G465" s="174">
        <v>3.15</v>
      </c>
    </row>
    <row r="466" spans="1:7" x14ac:dyDescent="0.25">
      <c r="A466" s="194">
        <v>2022</v>
      </c>
      <c r="B466" s="174" t="s">
        <v>512</v>
      </c>
      <c r="C466" s="175">
        <v>29</v>
      </c>
      <c r="D466" s="176"/>
      <c r="E466" s="176"/>
      <c r="F466" s="176"/>
      <c r="G466" s="174">
        <v>1.9</v>
      </c>
    </row>
    <row r="467" spans="1:7" x14ac:dyDescent="0.25">
      <c r="A467" s="194">
        <v>2022</v>
      </c>
      <c r="B467" s="174" t="s">
        <v>512</v>
      </c>
      <c r="C467" s="175">
        <v>19</v>
      </c>
      <c r="D467" s="176"/>
      <c r="E467" s="176"/>
      <c r="F467" s="176"/>
      <c r="G467" s="174">
        <v>1.65</v>
      </c>
    </row>
    <row r="468" spans="1:7" x14ac:dyDescent="0.25">
      <c r="A468" s="194">
        <v>2022</v>
      </c>
      <c r="B468" s="174" t="s">
        <v>512</v>
      </c>
      <c r="C468" s="175">
        <v>20</v>
      </c>
      <c r="D468" s="176"/>
      <c r="E468" s="176"/>
      <c r="F468" s="176"/>
      <c r="G468" s="174">
        <v>1.47</v>
      </c>
    </row>
    <row r="469" spans="1:7" x14ac:dyDescent="0.25">
      <c r="A469" s="194">
        <v>2022</v>
      </c>
      <c r="B469" s="174" t="s">
        <v>512</v>
      </c>
      <c r="C469" s="175">
        <v>22</v>
      </c>
      <c r="D469" s="176"/>
      <c r="E469" s="176"/>
      <c r="F469" s="176"/>
      <c r="G469" s="174">
        <v>4.3600000000000003</v>
      </c>
    </row>
    <row r="470" spans="1:7" x14ac:dyDescent="0.25">
      <c r="A470" s="194">
        <v>2022</v>
      </c>
      <c r="B470" s="174" t="s">
        <v>512</v>
      </c>
      <c r="C470" s="175">
        <v>99</v>
      </c>
      <c r="D470" s="175">
        <v>156.91</v>
      </c>
      <c r="E470" s="175">
        <v>132.72999999999999</v>
      </c>
      <c r="F470" s="175">
        <v>3.68</v>
      </c>
      <c r="G470" s="174">
        <v>0.74</v>
      </c>
    </row>
    <row r="471" spans="1:7" x14ac:dyDescent="0.25">
      <c r="A471" s="194">
        <v>2022</v>
      </c>
      <c r="B471" s="174" t="s">
        <v>512</v>
      </c>
      <c r="C471" s="175">
        <v>55</v>
      </c>
      <c r="D471" s="175">
        <v>140.09</v>
      </c>
      <c r="E471" s="175">
        <v>128.99</v>
      </c>
      <c r="F471" s="175">
        <v>4.51</v>
      </c>
      <c r="G471" s="174">
        <v>0.9</v>
      </c>
    </row>
    <row r="472" spans="1:7" x14ac:dyDescent="0.25">
      <c r="A472" s="194">
        <v>2022</v>
      </c>
      <c r="B472" s="174" t="s">
        <v>512</v>
      </c>
      <c r="C472" s="175">
        <v>93</v>
      </c>
      <c r="D472" s="175">
        <v>130.44999999999999</v>
      </c>
      <c r="E472" s="175">
        <v>126.27</v>
      </c>
      <c r="F472" s="175">
        <v>3.13</v>
      </c>
      <c r="G472" s="174">
        <v>0.64</v>
      </c>
    </row>
    <row r="473" spans="1:7" x14ac:dyDescent="0.25">
      <c r="A473" s="194">
        <v>2022</v>
      </c>
      <c r="B473" s="174" t="s">
        <v>512</v>
      </c>
      <c r="C473" s="175">
        <v>81</v>
      </c>
      <c r="D473" s="175">
        <v>166.83</v>
      </c>
      <c r="E473" s="175">
        <v>140.85</v>
      </c>
      <c r="F473" s="175">
        <v>3.85</v>
      </c>
      <c r="G473" s="174">
        <v>0.62</v>
      </c>
    </row>
    <row r="474" spans="1:7" x14ac:dyDescent="0.25">
      <c r="A474" s="194">
        <v>2022</v>
      </c>
      <c r="B474" s="174" t="s">
        <v>512</v>
      </c>
      <c r="C474" s="175">
        <v>63</v>
      </c>
      <c r="D474" s="176"/>
      <c r="E474" s="176"/>
      <c r="F474" s="176"/>
      <c r="G474" s="174"/>
    </row>
    <row r="475" spans="1:7" x14ac:dyDescent="0.25">
      <c r="A475" s="194">
        <v>2022</v>
      </c>
      <c r="B475" s="174" t="s">
        <v>512</v>
      </c>
      <c r="C475" s="175">
        <v>83</v>
      </c>
      <c r="D475" s="176"/>
      <c r="E475" s="176"/>
      <c r="F475" s="176"/>
      <c r="G475" s="174"/>
    </row>
    <row r="476" spans="1:7" x14ac:dyDescent="0.25">
      <c r="A476" s="194">
        <v>2022</v>
      </c>
      <c r="B476" s="174" t="s">
        <v>513</v>
      </c>
      <c r="C476" s="175">
        <v>28</v>
      </c>
      <c r="D476" s="176"/>
      <c r="E476" s="176"/>
      <c r="F476" s="176"/>
      <c r="G476" s="174">
        <v>1.19</v>
      </c>
    </row>
    <row r="477" spans="1:7" x14ac:dyDescent="0.25">
      <c r="A477" s="194">
        <v>2022</v>
      </c>
      <c r="B477" s="174" t="s">
        <v>513</v>
      </c>
      <c r="C477" s="175">
        <v>32</v>
      </c>
      <c r="D477" s="176"/>
      <c r="E477" s="176"/>
      <c r="F477" s="176"/>
      <c r="G477" s="174">
        <v>0.52</v>
      </c>
    </row>
    <row r="478" spans="1:7" x14ac:dyDescent="0.25">
      <c r="A478" s="194">
        <v>2022</v>
      </c>
      <c r="B478" s="174" t="s">
        <v>513</v>
      </c>
      <c r="C478" s="175">
        <v>47</v>
      </c>
      <c r="D478" s="176"/>
      <c r="E478" s="176"/>
      <c r="F478" s="176"/>
      <c r="G478" s="174">
        <v>0.71</v>
      </c>
    </row>
    <row r="479" spans="1:7" x14ac:dyDescent="0.25">
      <c r="A479" s="194">
        <v>2022</v>
      </c>
      <c r="B479" s="174" t="s">
        <v>513</v>
      </c>
      <c r="C479" s="175">
        <v>35</v>
      </c>
      <c r="D479" s="176"/>
      <c r="E479" s="176"/>
      <c r="F479" s="176"/>
      <c r="G479" s="174">
        <v>0.9</v>
      </c>
    </row>
    <row r="480" spans="1:7" x14ac:dyDescent="0.25">
      <c r="A480" s="194">
        <v>2022</v>
      </c>
      <c r="B480" s="174" t="s">
        <v>513</v>
      </c>
      <c r="C480" s="175">
        <v>29</v>
      </c>
      <c r="D480" s="176"/>
      <c r="E480" s="176"/>
      <c r="F480" s="176"/>
      <c r="G480" s="174">
        <v>0.59</v>
      </c>
    </row>
    <row r="481" spans="1:7" x14ac:dyDescent="0.25">
      <c r="A481" s="194">
        <v>2022</v>
      </c>
      <c r="B481" s="174" t="s">
        <v>513</v>
      </c>
      <c r="C481" s="175">
        <v>24</v>
      </c>
      <c r="D481" s="176"/>
      <c r="E481" s="176"/>
      <c r="F481" s="176"/>
      <c r="G481" s="174">
        <v>1.1599999999999999</v>
      </c>
    </row>
    <row r="482" spans="1:7" x14ac:dyDescent="0.25">
      <c r="A482" s="194">
        <v>2022</v>
      </c>
      <c r="B482" s="174" t="s">
        <v>513</v>
      </c>
      <c r="C482" s="175">
        <v>27</v>
      </c>
      <c r="D482" s="176"/>
      <c r="E482" s="176"/>
      <c r="F482" s="176"/>
      <c r="G482" s="174">
        <v>0.45</v>
      </c>
    </row>
    <row r="483" spans="1:7" x14ac:dyDescent="0.25">
      <c r="A483" s="194">
        <v>2022</v>
      </c>
      <c r="B483" s="174" t="s">
        <v>513</v>
      </c>
      <c r="C483" s="175">
        <v>31</v>
      </c>
      <c r="D483" s="176"/>
      <c r="E483" s="176"/>
      <c r="F483" s="176"/>
      <c r="G483" s="174">
        <v>0.42</v>
      </c>
    </row>
    <row r="484" spans="1:7" x14ac:dyDescent="0.25">
      <c r="A484" s="194">
        <v>2022</v>
      </c>
      <c r="B484" s="174" t="s">
        <v>513</v>
      </c>
      <c r="C484" s="175">
        <v>42</v>
      </c>
      <c r="D484" s="176"/>
      <c r="E484" s="176"/>
      <c r="F484" s="176"/>
      <c r="G484" s="174">
        <v>1.62</v>
      </c>
    </row>
    <row r="485" spans="1:7" x14ac:dyDescent="0.25">
      <c r="A485" s="194">
        <v>2022</v>
      </c>
      <c r="B485" s="174" t="s">
        <v>513</v>
      </c>
      <c r="C485" s="175">
        <v>24</v>
      </c>
      <c r="D485" s="176"/>
      <c r="E485" s="176"/>
      <c r="F485" s="176"/>
      <c r="G485" s="174">
        <v>0.48</v>
      </c>
    </row>
    <row r="486" spans="1:7" x14ac:dyDescent="0.25">
      <c r="A486" s="194">
        <v>2022</v>
      </c>
      <c r="B486" s="174" t="s">
        <v>513</v>
      </c>
      <c r="C486" s="175">
        <v>25</v>
      </c>
      <c r="D486" s="176"/>
      <c r="E486" s="176"/>
      <c r="F486" s="176"/>
      <c r="G486" s="174">
        <v>1.42</v>
      </c>
    </row>
    <row r="487" spans="1:7" x14ac:dyDescent="0.25">
      <c r="A487" s="194">
        <v>2022</v>
      </c>
      <c r="B487" s="174" t="s">
        <v>513</v>
      </c>
      <c r="C487" s="175">
        <v>21</v>
      </c>
      <c r="D487" s="176"/>
      <c r="E487" s="176"/>
      <c r="F487" s="176"/>
      <c r="G487" s="174">
        <v>1.1200000000000001</v>
      </c>
    </row>
    <row r="488" spans="1:7" x14ac:dyDescent="0.25">
      <c r="A488" s="194">
        <v>2022</v>
      </c>
      <c r="B488" s="174" t="s">
        <v>513</v>
      </c>
      <c r="C488" s="175">
        <v>6</v>
      </c>
      <c r="D488" s="176"/>
      <c r="E488" s="176"/>
      <c r="F488" s="176"/>
      <c r="G488" s="174">
        <v>4.26</v>
      </c>
    </row>
    <row r="489" spans="1:7" x14ac:dyDescent="0.25">
      <c r="A489" s="194">
        <v>2022</v>
      </c>
      <c r="B489" s="174" t="s">
        <v>513</v>
      </c>
      <c r="C489" s="176"/>
      <c r="D489" s="175">
        <v>132.43</v>
      </c>
      <c r="E489" s="175">
        <v>137.53</v>
      </c>
      <c r="F489" s="175">
        <v>4.8</v>
      </c>
      <c r="G489" s="174">
        <v>0.56000000000000005</v>
      </c>
    </row>
    <row r="490" spans="1:7" x14ac:dyDescent="0.25">
      <c r="A490" s="194">
        <v>2022</v>
      </c>
      <c r="B490" s="174" t="s">
        <v>513</v>
      </c>
      <c r="C490" s="175">
        <v>78</v>
      </c>
      <c r="D490" s="175">
        <v>139.97</v>
      </c>
      <c r="E490" s="175">
        <v>138.47</v>
      </c>
      <c r="F490" s="175">
        <v>4.7699999999999996</v>
      </c>
      <c r="G490" s="174">
        <v>0.56000000000000005</v>
      </c>
    </row>
    <row r="491" spans="1:7" x14ac:dyDescent="0.25">
      <c r="A491" s="194">
        <v>2022</v>
      </c>
      <c r="B491" s="174" t="s">
        <v>513</v>
      </c>
      <c r="C491" s="175">
        <v>73</v>
      </c>
      <c r="D491" s="175">
        <v>113.77</v>
      </c>
      <c r="E491" s="175">
        <v>129.04</v>
      </c>
      <c r="F491" s="175">
        <v>4.09</v>
      </c>
      <c r="G491" s="174">
        <v>0.63</v>
      </c>
    </row>
    <row r="492" spans="1:7" x14ac:dyDescent="0.25">
      <c r="A492" s="194">
        <v>2022</v>
      </c>
      <c r="B492" s="174" t="s">
        <v>513</v>
      </c>
      <c r="C492" s="175">
        <v>61</v>
      </c>
      <c r="D492" s="175">
        <v>130.88999999999999</v>
      </c>
      <c r="E492" s="175">
        <v>146.41999999999999</v>
      </c>
      <c r="F492" s="175">
        <v>4.25</v>
      </c>
      <c r="G492" s="174">
        <v>0.63</v>
      </c>
    </row>
    <row r="493" spans="1:7" x14ac:dyDescent="0.25">
      <c r="A493" s="194">
        <v>2022</v>
      </c>
      <c r="B493" s="174" t="s">
        <v>513</v>
      </c>
      <c r="C493" s="175">
        <v>77</v>
      </c>
      <c r="D493" s="175">
        <v>114.07</v>
      </c>
      <c r="E493" s="175">
        <v>147.41999999999999</v>
      </c>
      <c r="F493" s="175">
        <v>4.7699999999999996</v>
      </c>
      <c r="G493" s="174">
        <v>0.48</v>
      </c>
    </row>
    <row r="494" spans="1:7" x14ac:dyDescent="0.25">
      <c r="A494" s="194">
        <v>2022</v>
      </c>
      <c r="B494" s="174" t="s">
        <v>513</v>
      </c>
      <c r="C494" s="175">
        <v>67</v>
      </c>
      <c r="D494" s="175">
        <v>119.02</v>
      </c>
      <c r="E494" s="176"/>
      <c r="F494" s="175">
        <v>4.07</v>
      </c>
      <c r="G494" s="174"/>
    </row>
    <row r="495" spans="1:7" x14ac:dyDescent="0.25">
      <c r="A495" s="194">
        <v>2022</v>
      </c>
      <c r="B495" s="174" t="s">
        <v>489</v>
      </c>
      <c r="C495" s="175">
        <v>35</v>
      </c>
      <c r="D495" s="176"/>
      <c r="E495" s="176"/>
      <c r="F495" s="176"/>
      <c r="G495" s="174">
        <v>4.4000000000000004</v>
      </c>
    </row>
    <row r="496" spans="1:7" x14ac:dyDescent="0.25">
      <c r="A496" s="194">
        <v>2022</v>
      </c>
      <c r="B496" s="174" t="s">
        <v>489</v>
      </c>
      <c r="C496" s="175">
        <v>23</v>
      </c>
      <c r="D496" s="176"/>
      <c r="E496" s="176"/>
      <c r="F496" s="176"/>
      <c r="G496" s="174">
        <v>3.15</v>
      </c>
    </row>
    <row r="497" spans="1:7" x14ac:dyDescent="0.25">
      <c r="A497" s="194">
        <v>2022</v>
      </c>
      <c r="B497" s="174" t="s">
        <v>489</v>
      </c>
      <c r="C497" s="175">
        <v>28</v>
      </c>
      <c r="D497" s="176"/>
      <c r="E497" s="176"/>
      <c r="F497" s="176"/>
      <c r="G497" s="174">
        <v>0.91</v>
      </c>
    </row>
    <row r="498" spans="1:7" x14ac:dyDescent="0.25">
      <c r="A498" s="194">
        <v>2022</v>
      </c>
      <c r="B498" s="174" t="s">
        <v>489</v>
      </c>
      <c r="C498" s="175">
        <v>21</v>
      </c>
      <c r="D498" s="176"/>
      <c r="E498" s="176"/>
      <c r="F498" s="176"/>
      <c r="G498" s="174">
        <v>6.33</v>
      </c>
    </row>
    <row r="499" spans="1:7" x14ac:dyDescent="0.25">
      <c r="A499" s="194">
        <v>2022</v>
      </c>
      <c r="B499" s="174" t="s">
        <v>489</v>
      </c>
      <c r="C499" s="175">
        <v>47</v>
      </c>
      <c r="D499" s="176"/>
      <c r="E499" s="176"/>
      <c r="F499" s="176"/>
      <c r="G499" s="174">
        <v>3.09</v>
      </c>
    </row>
    <row r="500" spans="1:7" x14ac:dyDescent="0.25">
      <c r="A500" s="194">
        <v>2022</v>
      </c>
      <c r="B500" s="174" t="s">
        <v>489</v>
      </c>
      <c r="C500" s="175">
        <v>30</v>
      </c>
      <c r="D500" s="176"/>
      <c r="E500" s="176"/>
      <c r="F500" s="176"/>
      <c r="G500" s="174">
        <v>3.67</v>
      </c>
    </row>
    <row r="501" spans="1:7" x14ac:dyDescent="0.25">
      <c r="A501" s="194">
        <v>2022</v>
      </c>
      <c r="B501" s="174" t="s">
        <v>489</v>
      </c>
      <c r="C501" s="175">
        <v>25</v>
      </c>
      <c r="D501" s="176"/>
      <c r="E501" s="176"/>
      <c r="F501" s="176"/>
      <c r="G501" s="174"/>
    </row>
    <row r="502" spans="1:7" x14ac:dyDescent="0.25">
      <c r="A502" s="194">
        <v>2022</v>
      </c>
      <c r="B502" s="174" t="s">
        <v>489</v>
      </c>
      <c r="C502" s="175">
        <v>27</v>
      </c>
      <c r="D502" s="176"/>
      <c r="E502" s="176"/>
      <c r="F502" s="176"/>
      <c r="G502" s="174">
        <v>2.94</v>
      </c>
    </row>
    <row r="503" spans="1:7" x14ac:dyDescent="0.25">
      <c r="A503" s="194">
        <v>2022</v>
      </c>
      <c r="B503" s="174" t="s">
        <v>489</v>
      </c>
      <c r="C503" s="175">
        <v>29</v>
      </c>
      <c r="D503" s="176"/>
      <c r="E503" s="176"/>
      <c r="F503" s="176"/>
      <c r="G503" s="174">
        <v>5.87</v>
      </c>
    </row>
    <row r="504" spans="1:7" x14ac:dyDescent="0.25">
      <c r="A504" s="194">
        <v>2022</v>
      </c>
      <c r="B504" s="174" t="s">
        <v>489</v>
      </c>
      <c r="C504" s="175">
        <v>21</v>
      </c>
      <c r="D504" s="176"/>
      <c r="E504" s="176"/>
      <c r="F504" s="176"/>
      <c r="G504" s="174">
        <v>2.37</v>
      </c>
    </row>
    <row r="505" spans="1:7" x14ac:dyDescent="0.25">
      <c r="A505" s="194">
        <v>2022</v>
      </c>
      <c r="B505" s="174" t="s">
        <v>489</v>
      </c>
      <c r="C505" s="175">
        <v>44</v>
      </c>
      <c r="D505" s="176"/>
      <c r="E505" s="176"/>
      <c r="F505" s="176"/>
      <c r="G505" s="174">
        <v>6.67</v>
      </c>
    </row>
    <row r="506" spans="1:7" x14ac:dyDescent="0.25">
      <c r="A506" s="194">
        <v>2022</v>
      </c>
      <c r="B506" s="174" t="s">
        <v>489</v>
      </c>
      <c r="C506" s="175">
        <v>77</v>
      </c>
      <c r="D506" s="175">
        <v>155.12</v>
      </c>
      <c r="E506" s="175">
        <v>152.26</v>
      </c>
      <c r="F506" s="175">
        <v>4.9400000000000004</v>
      </c>
      <c r="G506" s="174">
        <v>0.7</v>
      </c>
    </row>
    <row r="507" spans="1:7" x14ac:dyDescent="0.25">
      <c r="A507" s="194">
        <v>2022</v>
      </c>
      <c r="B507" s="174" t="s">
        <v>489</v>
      </c>
      <c r="C507" s="175">
        <v>84</v>
      </c>
      <c r="D507" s="175">
        <v>168.63</v>
      </c>
      <c r="E507" s="175">
        <v>149.29</v>
      </c>
      <c r="F507" s="175">
        <v>4.08</v>
      </c>
      <c r="G507" s="174">
        <v>0.77</v>
      </c>
    </row>
    <row r="508" spans="1:7" x14ac:dyDescent="0.25">
      <c r="A508" s="194">
        <v>2022</v>
      </c>
      <c r="B508" s="174" t="s">
        <v>489</v>
      </c>
      <c r="C508" s="175">
        <v>51</v>
      </c>
      <c r="D508" s="175">
        <v>146.41999999999999</v>
      </c>
      <c r="E508" s="175">
        <v>134.82</v>
      </c>
      <c r="F508" s="175">
        <v>5.56</v>
      </c>
      <c r="G508" s="174">
        <v>0.65</v>
      </c>
    </row>
    <row r="509" spans="1:7" x14ac:dyDescent="0.25">
      <c r="A509" s="194">
        <v>2022</v>
      </c>
      <c r="B509" s="174" t="s">
        <v>489</v>
      </c>
      <c r="C509" s="175">
        <v>30</v>
      </c>
      <c r="D509" s="175">
        <v>149.66999999999999</v>
      </c>
      <c r="E509" s="175">
        <v>127.98</v>
      </c>
      <c r="F509" s="175">
        <v>4.9400000000000004</v>
      </c>
      <c r="G509" s="174">
        <v>0.78</v>
      </c>
    </row>
    <row r="510" spans="1:7" x14ac:dyDescent="0.25">
      <c r="A510" s="194">
        <v>2022</v>
      </c>
      <c r="B510" s="174" t="s">
        <v>489</v>
      </c>
      <c r="C510" s="175">
        <v>58</v>
      </c>
      <c r="D510" s="175">
        <v>162.22999999999999</v>
      </c>
      <c r="E510" s="175">
        <v>141.4</v>
      </c>
      <c r="F510" s="175">
        <v>4.0599999999999996</v>
      </c>
      <c r="G510" s="174"/>
    </row>
    <row r="511" spans="1:7" x14ac:dyDescent="0.25">
      <c r="A511" s="194">
        <v>2022</v>
      </c>
      <c r="B511" s="174" t="s">
        <v>489</v>
      </c>
      <c r="C511" s="175">
        <v>34</v>
      </c>
      <c r="D511" s="176"/>
      <c r="E511" s="176"/>
      <c r="F511" s="176"/>
      <c r="G511" s="174"/>
    </row>
    <row r="512" spans="1:7" x14ac:dyDescent="0.25">
      <c r="A512" s="194">
        <v>2022</v>
      </c>
      <c r="B512" s="174" t="s">
        <v>489</v>
      </c>
      <c r="C512" s="175">
        <v>68</v>
      </c>
      <c r="D512" s="176"/>
      <c r="E512" s="176"/>
      <c r="F512" s="176"/>
      <c r="G512" s="174"/>
    </row>
    <row r="513" spans="1:7" x14ac:dyDescent="0.25">
      <c r="A513" s="194">
        <v>2022</v>
      </c>
      <c r="B513" s="174" t="s">
        <v>495</v>
      </c>
      <c r="C513" s="175">
        <v>21</v>
      </c>
      <c r="D513" s="176"/>
      <c r="E513" s="176"/>
      <c r="F513" s="176"/>
      <c r="G513" s="174">
        <v>8.15</v>
      </c>
    </row>
    <row r="514" spans="1:7" x14ac:dyDescent="0.25">
      <c r="A514" s="194">
        <v>2022</v>
      </c>
      <c r="B514" s="174" t="s">
        <v>495</v>
      </c>
      <c r="C514" s="175">
        <v>27</v>
      </c>
      <c r="D514" s="176"/>
      <c r="E514" s="176"/>
      <c r="F514" s="176"/>
      <c r="G514" s="174">
        <v>1.6</v>
      </c>
    </row>
    <row r="515" spans="1:7" x14ac:dyDescent="0.25">
      <c r="A515" s="194">
        <v>2022</v>
      </c>
      <c r="B515" s="174" t="s">
        <v>495</v>
      </c>
      <c r="C515" s="175">
        <v>25</v>
      </c>
      <c r="D515" s="176"/>
      <c r="E515" s="176"/>
      <c r="F515" s="176"/>
      <c r="G515" s="174">
        <v>2.4300000000000002</v>
      </c>
    </row>
    <row r="516" spans="1:7" x14ac:dyDescent="0.25">
      <c r="A516" s="194">
        <v>2022</v>
      </c>
      <c r="B516" s="174" t="s">
        <v>495</v>
      </c>
      <c r="C516" s="175">
        <v>17</v>
      </c>
      <c r="D516" s="176"/>
      <c r="E516" s="176"/>
      <c r="F516" s="176"/>
      <c r="G516" s="174">
        <v>6.09</v>
      </c>
    </row>
    <row r="517" spans="1:7" x14ac:dyDescent="0.25">
      <c r="A517" s="194">
        <v>2022</v>
      </c>
      <c r="B517" s="174" t="s">
        <v>495</v>
      </c>
      <c r="C517" s="175">
        <v>22</v>
      </c>
      <c r="D517" s="176"/>
      <c r="E517" s="176"/>
      <c r="F517" s="176"/>
      <c r="G517" s="174">
        <v>1.69</v>
      </c>
    </row>
    <row r="518" spans="1:7" x14ac:dyDescent="0.25">
      <c r="A518" s="194">
        <v>2022</v>
      </c>
      <c r="B518" s="174" t="s">
        <v>495</v>
      </c>
      <c r="C518" s="175">
        <v>23</v>
      </c>
      <c r="D518" s="176"/>
      <c r="E518" s="176"/>
      <c r="F518" s="176"/>
      <c r="G518" s="174">
        <v>13.98</v>
      </c>
    </row>
    <row r="519" spans="1:7" x14ac:dyDescent="0.25">
      <c r="A519" s="194">
        <v>2022</v>
      </c>
      <c r="B519" s="174" t="s">
        <v>495</v>
      </c>
      <c r="C519" s="175">
        <v>15</v>
      </c>
      <c r="D519" s="176"/>
      <c r="E519" s="176"/>
      <c r="F519" s="176"/>
      <c r="G519" s="174">
        <v>4.37</v>
      </c>
    </row>
    <row r="520" spans="1:7" x14ac:dyDescent="0.25">
      <c r="A520" s="194">
        <v>2022</v>
      </c>
      <c r="B520" s="174" t="s">
        <v>495</v>
      </c>
      <c r="C520" s="175">
        <v>19</v>
      </c>
      <c r="D520" s="176"/>
      <c r="E520" s="176"/>
      <c r="F520" s="176"/>
      <c r="G520" s="174">
        <v>2.63</v>
      </c>
    </row>
    <row r="521" spans="1:7" x14ac:dyDescent="0.25">
      <c r="A521" s="194">
        <v>2022</v>
      </c>
      <c r="B521" s="174" t="s">
        <v>495</v>
      </c>
      <c r="C521" s="175">
        <v>26</v>
      </c>
      <c r="D521" s="176"/>
      <c r="E521" s="176"/>
      <c r="F521" s="176"/>
      <c r="G521" s="174">
        <v>3.86</v>
      </c>
    </row>
    <row r="522" spans="1:7" x14ac:dyDescent="0.25">
      <c r="A522" s="194">
        <v>2022</v>
      </c>
      <c r="B522" s="174" t="s">
        <v>495</v>
      </c>
      <c r="C522" s="175">
        <v>19</v>
      </c>
      <c r="D522" s="176"/>
      <c r="E522" s="176"/>
      <c r="F522" s="176"/>
      <c r="G522" s="174">
        <v>2.4</v>
      </c>
    </row>
    <row r="523" spans="1:7" x14ac:dyDescent="0.25">
      <c r="A523" s="194">
        <v>2022</v>
      </c>
      <c r="B523" s="174" t="s">
        <v>495</v>
      </c>
      <c r="C523" s="175">
        <v>19</v>
      </c>
      <c r="D523" s="176"/>
      <c r="E523" s="176"/>
      <c r="F523" s="176"/>
      <c r="G523" s="174">
        <v>1.86</v>
      </c>
    </row>
    <row r="524" spans="1:7" x14ac:dyDescent="0.25">
      <c r="A524" s="194">
        <v>2022</v>
      </c>
      <c r="B524" s="174" t="s">
        <v>495</v>
      </c>
      <c r="C524" s="175">
        <v>12</v>
      </c>
      <c r="D524" s="176"/>
      <c r="E524" s="176"/>
      <c r="F524" s="176"/>
      <c r="G524" s="174">
        <v>7.19</v>
      </c>
    </row>
    <row r="525" spans="1:7" x14ac:dyDescent="0.25">
      <c r="A525" s="194">
        <v>2022</v>
      </c>
      <c r="B525" s="174" t="s">
        <v>495</v>
      </c>
      <c r="C525" s="175">
        <v>25</v>
      </c>
      <c r="D525" s="176"/>
      <c r="E525" s="176"/>
      <c r="F525" s="176"/>
      <c r="G525" s="174"/>
    </row>
    <row r="526" spans="1:7" x14ac:dyDescent="0.25">
      <c r="A526" s="194">
        <v>2022</v>
      </c>
      <c r="B526" s="174" t="s">
        <v>495</v>
      </c>
      <c r="C526" s="175">
        <v>18</v>
      </c>
      <c r="D526" s="176"/>
      <c r="E526" s="176"/>
      <c r="F526" s="176"/>
      <c r="G526" s="174">
        <v>4.24</v>
      </c>
    </row>
    <row r="527" spans="1:7" x14ac:dyDescent="0.25">
      <c r="A527" s="194">
        <v>2022</v>
      </c>
      <c r="B527" s="174" t="s">
        <v>495</v>
      </c>
      <c r="C527" s="175">
        <v>64</v>
      </c>
      <c r="D527" s="175">
        <v>179.64</v>
      </c>
      <c r="E527" s="175">
        <v>162.9</v>
      </c>
      <c r="F527" s="175">
        <v>5.07</v>
      </c>
      <c r="G527" s="174">
        <v>0.47</v>
      </c>
    </row>
    <row r="528" spans="1:7" x14ac:dyDescent="0.25">
      <c r="A528" s="194">
        <v>2022</v>
      </c>
      <c r="B528" s="174" t="s">
        <v>495</v>
      </c>
      <c r="C528" s="175">
        <v>46</v>
      </c>
      <c r="D528" s="175">
        <v>142.26</v>
      </c>
      <c r="E528" s="175">
        <v>148.93</v>
      </c>
      <c r="F528" s="175">
        <v>3.78</v>
      </c>
      <c r="G528" s="174">
        <v>0.48</v>
      </c>
    </row>
    <row r="529" spans="1:7" x14ac:dyDescent="0.25">
      <c r="A529" s="194">
        <v>2022</v>
      </c>
      <c r="B529" s="174" t="s">
        <v>495</v>
      </c>
      <c r="C529" s="175">
        <v>86</v>
      </c>
      <c r="D529" s="175">
        <v>172.43</v>
      </c>
      <c r="E529" s="175">
        <v>163.31</v>
      </c>
      <c r="F529" s="175">
        <v>4.84</v>
      </c>
      <c r="G529" s="174">
        <v>0.59</v>
      </c>
    </row>
    <row r="530" spans="1:7" x14ac:dyDescent="0.25">
      <c r="A530" s="194">
        <v>2022</v>
      </c>
      <c r="B530" s="174" t="s">
        <v>495</v>
      </c>
      <c r="C530" s="175">
        <v>81</v>
      </c>
      <c r="D530" s="175">
        <v>193.76</v>
      </c>
      <c r="E530" s="175">
        <v>180.16</v>
      </c>
      <c r="F530" s="175">
        <v>4.43</v>
      </c>
      <c r="G530" s="174">
        <v>0.46</v>
      </c>
    </row>
    <row r="531" spans="1:7" x14ac:dyDescent="0.25">
      <c r="A531" s="194">
        <v>2022</v>
      </c>
      <c r="B531" s="174" t="s">
        <v>495</v>
      </c>
      <c r="C531" s="175">
        <v>76</v>
      </c>
      <c r="D531" s="176"/>
      <c r="E531" s="176"/>
      <c r="F531" s="176"/>
      <c r="G531" s="174"/>
    </row>
    <row r="532" spans="1:7" x14ac:dyDescent="0.25">
      <c r="A532" s="194">
        <v>2022</v>
      </c>
      <c r="B532" s="174" t="s">
        <v>495</v>
      </c>
      <c r="C532" s="175">
        <v>55</v>
      </c>
      <c r="D532" s="176"/>
      <c r="E532" s="176"/>
      <c r="F532" s="176"/>
      <c r="G532" s="174"/>
    </row>
    <row r="533" spans="1:7" x14ac:dyDescent="0.25">
      <c r="A533" s="194">
        <v>2022</v>
      </c>
      <c r="B533" s="174" t="s">
        <v>495</v>
      </c>
      <c r="C533" s="175">
        <v>94</v>
      </c>
      <c r="D533" s="176"/>
      <c r="E533" s="176"/>
      <c r="F533" s="176"/>
      <c r="G533" s="174"/>
    </row>
    <row r="534" spans="1:7" x14ac:dyDescent="0.25">
      <c r="A534" s="194">
        <v>2022</v>
      </c>
      <c r="B534" s="174" t="s">
        <v>495</v>
      </c>
      <c r="C534" s="175">
        <v>56</v>
      </c>
      <c r="D534" s="176"/>
      <c r="E534" s="176"/>
      <c r="F534" s="176"/>
      <c r="G534" s="174"/>
    </row>
    <row r="535" spans="1:7" x14ac:dyDescent="0.25">
      <c r="A535" s="194">
        <v>2022</v>
      </c>
      <c r="B535" s="174" t="s">
        <v>477</v>
      </c>
      <c r="C535" s="175">
        <v>25</v>
      </c>
      <c r="D535" s="176"/>
      <c r="E535" s="176"/>
      <c r="F535" s="176"/>
      <c r="G535" s="174">
        <v>2.13</v>
      </c>
    </row>
    <row r="536" spans="1:7" x14ac:dyDescent="0.25">
      <c r="A536" s="194">
        <v>2022</v>
      </c>
      <c r="B536" s="174" t="s">
        <v>477</v>
      </c>
      <c r="C536" s="175">
        <v>30</v>
      </c>
      <c r="D536" s="176"/>
      <c r="E536" s="176"/>
      <c r="F536" s="176"/>
      <c r="G536" s="174">
        <v>2.46</v>
      </c>
    </row>
    <row r="537" spans="1:7" x14ac:dyDescent="0.25">
      <c r="A537" s="194">
        <v>2022</v>
      </c>
      <c r="B537" s="174" t="s">
        <v>477</v>
      </c>
      <c r="C537" s="175">
        <v>13</v>
      </c>
      <c r="D537" s="176"/>
      <c r="E537" s="176"/>
      <c r="F537" s="176"/>
      <c r="G537" s="174">
        <v>2.81</v>
      </c>
    </row>
    <row r="538" spans="1:7" x14ac:dyDescent="0.25">
      <c r="A538" s="194">
        <v>2022</v>
      </c>
      <c r="B538" s="174" t="s">
        <v>477</v>
      </c>
      <c r="C538" s="175">
        <v>15</v>
      </c>
      <c r="D538" s="176"/>
      <c r="E538" s="176"/>
      <c r="F538" s="176"/>
      <c r="G538" s="174">
        <v>4.18</v>
      </c>
    </row>
    <row r="539" spans="1:7" x14ac:dyDescent="0.25">
      <c r="A539" s="194">
        <v>2022</v>
      </c>
      <c r="B539" s="174" t="s">
        <v>477</v>
      </c>
      <c r="C539" s="175">
        <v>22</v>
      </c>
      <c r="D539" s="176"/>
      <c r="E539" s="176"/>
      <c r="F539" s="176"/>
      <c r="G539" s="174">
        <v>1.55</v>
      </c>
    </row>
    <row r="540" spans="1:7" x14ac:dyDescent="0.25">
      <c r="A540" s="194">
        <v>2022</v>
      </c>
      <c r="B540" s="174" t="s">
        <v>477</v>
      </c>
      <c r="C540" s="175">
        <v>29</v>
      </c>
      <c r="D540" s="176"/>
      <c r="E540" s="176"/>
      <c r="F540" s="176"/>
      <c r="G540" s="174">
        <v>1.86</v>
      </c>
    </row>
    <row r="541" spans="1:7" x14ac:dyDescent="0.25">
      <c r="A541" s="194">
        <v>2022</v>
      </c>
      <c r="B541" s="174" t="s">
        <v>477</v>
      </c>
      <c r="C541" s="175">
        <v>8</v>
      </c>
      <c r="D541" s="176"/>
      <c r="E541" s="176"/>
      <c r="F541" s="176"/>
      <c r="G541" s="174">
        <v>4.43</v>
      </c>
    </row>
    <row r="542" spans="1:7" x14ac:dyDescent="0.25">
      <c r="A542" s="194">
        <v>2022</v>
      </c>
      <c r="B542" s="174" t="s">
        <v>477</v>
      </c>
      <c r="C542" s="175">
        <v>21</v>
      </c>
      <c r="D542" s="176"/>
      <c r="E542" s="176"/>
      <c r="F542" s="176"/>
      <c r="G542" s="174">
        <v>2.75</v>
      </c>
    </row>
    <row r="543" spans="1:7" x14ac:dyDescent="0.25">
      <c r="A543" s="194">
        <v>2022</v>
      </c>
      <c r="B543" s="174" t="s">
        <v>477</v>
      </c>
      <c r="C543" s="175">
        <v>21</v>
      </c>
      <c r="D543" s="176"/>
      <c r="E543" s="176"/>
      <c r="F543" s="176"/>
      <c r="G543" s="174">
        <v>2.1800000000000002</v>
      </c>
    </row>
    <row r="544" spans="1:7" x14ac:dyDescent="0.25">
      <c r="A544" s="194">
        <v>2022</v>
      </c>
      <c r="B544" s="174" t="s">
        <v>477</v>
      </c>
      <c r="C544" s="175">
        <v>21</v>
      </c>
      <c r="D544" s="176"/>
      <c r="E544" s="176"/>
      <c r="F544" s="176"/>
      <c r="G544" s="174">
        <v>2.82</v>
      </c>
    </row>
    <row r="545" spans="1:7" x14ac:dyDescent="0.25">
      <c r="A545" s="194">
        <v>2022</v>
      </c>
      <c r="B545" s="174" t="s">
        <v>477</v>
      </c>
      <c r="C545" s="175">
        <v>28</v>
      </c>
      <c r="D545" s="176"/>
      <c r="E545" s="176"/>
      <c r="F545" s="176"/>
      <c r="G545" s="174">
        <v>2.19</v>
      </c>
    </row>
    <row r="546" spans="1:7" x14ac:dyDescent="0.25">
      <c r="A546" s="194">
        <v>2022</v>
      </c>
      <c r="B546" s="174" t="s">
        <v>477</v>
      </c>
      <c r="C546" s="175">
        <v>9</v>
      </c>
      <c r="D546" s="176"/>
      <c r="E546" s="176"/>
      <c r="F546" s="176"/>
      <c r="G546" s="174">
        <v>5.13</v>
      </c>
    </row>
    <row r="547" spans="1:7" x14ac:dyDescent="0.25">
      <c r="A547" s="194">
        <v>2022</v>
      </c>
      <c r="B547" s="174" t="s">
        <v>477</v>
      </c>
      <c r="C547" s="175">
        <v>88</v>
      </c>
      <c r="D547" s="175">
        <v>118.9</v>
      </c>
      <c r="E547" s="175">
        <v>129.30000000000001</v>
      </c>
      <c r="F547" s="175">
        <v>4.91</v>
      </c>
      <c r="G547" s="174">
        <v>0.47</v>
      </c>
    </row>
    <row r="548" spans="1:7" x14ac:dyDescent="0.25">
      <c r="A548" s="194">
        <v>2022</v>
      </c>
      <c r="B548" s="174" t="s">
        <v>477</v>
      </c>
      <c r="C548" s="175">
        <v>107</v>
      </c>
      <c r="D548" s="175">
        <v>131.69999999999999</v>
      </c>
      <c r="E548" s="175">
        <v>137.06</v>
      </c>
      <c r="F548" s="175">
        <v>5.24</v>
      </c>
      <c r="G548" s="174">
        <v>0.53</v>
      </c>
    </row>
    <row r="549" spans="1:7" x14ac:dyDescent="0.25">
      <c r="A549" s="194">
        <v>2022</v>
      </c>
      <c r="B549" s="174" t="s">
        <v>477</v>
      </c>
      <c r="C549" s="175">
        <v>116</v>
      </c>
      <c r="D549" s="175">
        <v>126.09</v>
      </c>
      <c r="E549" s="175">
        <v>133.41</v>
      </c>
      <c r="F549" s="175">
        <v>5.2</v>
      </c>
      <c r="G549" s="174">
        <v>0.55000000000000004</v>
      </c>
    </row>
    <row r="550" spans="1:7" x14ac:dyDescent="0.25">
      <c r="A550" s="194">
        <v>2022</v>
      </c>
      <c r="B550" s="174" t="s">
        <v>477</v>
      </c>
      <c r="C550" s="175">
        <v>107</v>
      </c>
      <c r="D550" s="175">
        <v>139.29</v>
      </c>
      <c r="E550" s="175">
        <v>130.32</v>
      </c>
      <c r="F550" s="175">
        <v>5.77</v>
      </c>
      <c r="G550" s="174">
        <v>0.52</v>
      </c>
    </row>
    <row r="551" spans="1:7" x14ac:dyDescent="0.25">
      <c r="A551" s="194">
        <v>2022</v>
      </c>
      <c r="B551" s="174" t="s">
        <v>477</v>
      </c>
      <c r="C551" s="175">
        <v>83</v>
      </c>
      <c r="D551" s="175">
        <v>128.06</v>
      </c>
      <c r="E551" s="176"/>
      <c r="F551" s="175">
        <v>5.53</v>
      </c>
      <c r="G551" s="174">
        <v>0.48</v>
      </c>
    </row>
    <row r="552" spans="1:7" x14ac:dyDescent="0.25">
      <c r="A552" s="194">
        <v>2022</v>
      </c>
      <c r="B552" s="174" t="s">
        <v>477</v>
      </c>
      <c r="C552" s="175">
        <v>93</v>
      </c>
      <c r="D552" s="176"/>
      <c r="E552" s="176"/>
      <c r="F552" s="176"/>
      <c r="G552" s="174"/>
    </row>
    <row r="553" spans="1:7" x14ac:dyDescent="0.25">
      <c r="A553" s="194">
        <v>2022</v>
      </c>
      <c r="B553" s="174" t="s">
        <v>478</v>
      </c>
      <c r="C553" s="175">
        <v>67</v>
      </c>
      <c r="D553" s="175">
        <v>146.28</v>
      </c>
      <c r="E553" s="175">
        <v>105.39</v>
      </c>
      <c r="F553" s="175">
        <v>6.71</v>
      </c>
      <c r="G553" s="174">
        <v>2.69</v>
      </c>
    </row>
    <row r="554" spans="1:7" x14ac:dyDescent="0.25">
      <c r="A554" s="194">
        <v>2022</v>
      </c>
      <c r="B554" s="174" t="s">
        <v>478</v>
      </c>
      <c r="C554" s="175">
        <v>74</v>
      </c>
      <c r="D554" s="175">
        <v>119.57</v>
      </c>
      <c r="E554" s="175">
        <v>90.27</v>
      </c>
      <c r="F554" s="175">
        <v>6.74</v>
      </c>
      <c r="G554" s="174">
        <v>1.91</v>
      </c>
    </row>
    <row r="555" spans="1:7" x14ac:dyDescent="0.25">
      <c r="A555" s="194">
        <v>2022</v>
      </c>
      <c r="B555" s="174" t="s">
        <v>478</v>
      </c>
      <c r="C555" s="175">
        <v>75</v>
      </c>
      <c r="D555" s="175">
        <v>128.16999999999999</v>
      </c>
      <c r="E555" s="175">
        <v>104.2</v>
      </c>
      <c r="F555" s="175">
        <v>7.22</v>
      </c>
      <c r="G555" s="174">
        <v>2.23</v>
      </c>
    </row>
    <row r="556" spans="1:7" x14ac:dyDescent="0.25">
      <c r="A556" s="194">
        <v>2022</v>
      </c>
      <c r="B556" s="174" t="s">
        <v>478</v>
      </c>
      <c r="C556" s="175">
        <v>47</v>
      </c>
      <c r="D556" s="176"/>
      <c r="E556" s="176"/>
      <c r="F556" s="176"/>
      <c r="G556" s="174"/>
    </row>
    <row r="557" spans="1:7" x14ac:dyDescent="0.25">
      <c r="A557" s="194">
        <v>2022</v>
      </c>
      <c r="B557" s="174" t="s">
        <v>478</v>
      </c>
      <c r="C557" s="175">
        <v>73</v>
      </c>
      <c r="D557" s="176"/>
      <c r="E557" s="176"/>
      <c r="F557" s="176"/>
      <c r="G557" s="174"/>
    </row>
    <row r="558" spans="1:7" x14ac:dyDescent="0.25">
      <c r="A558" s="194">
        <v>2022</v>
      </c>
      <c r="B558" s="174" t="s">
        <v>478</v>
      </c>
      <c r="C558" s="175">
        <v>60</v>
      </c>
      <c r="D558" s="176"/>
      <c r="E558" s="176"/>
      <c r="F558" s="176"/>
      <c r="G558" s="174"/>
    </row>
    <row r="559" spans="1:7" x14ac:dyDescent="0.25">
      <c r="A559" s="194">
        <v>2022</v>
      </c>
      <c r="B559" s="174" t="s">
        <v>478</v>
      </c>
      <c r="C559" s="175">
        <v>46</v>
      </c>
      <c r="D559" s="176"/>
      <c r="E559" s="176"/>
      <c r="F559" s="176"/>
      <c r="G559" s="174"/>
    </row>
    <row r="560" spans="1:7" x14ac:dyDescent="0.25">
      <c r="A560" s="194">
        <v>2022</v>
      </c>
      <c r="B560" s="174" t="s">
        <v>477</v>
      </c>
      <c r="C560" s="175">
        <v>132</v>
      </c>
      <c r="D560" s="176"/>
      <c r="E560" s="176"/>
      <c r="F560" s="176"/>
      <c r="G560" s="174"/>
    </row>
    <row r="561" spans="1:7" x14ac:dyDescent="0.25">
      <c r="A561" s="194">
        <v>2022</v>
      </c>
      <c r="B561" s="174" t="s">
        <v>477</v>
      </c>
      <c r="C561" s="175">
        <v>128</v>
      </c>
      <c r="D561" s="176"/>
      <c r="E561" s="176"/>
      <c r="F561" s="176"/>
      <c r="G561" s="174"/>
    </row>
    <row r="562" spans="1:7" x14ac:dyDescent="0.25">
      <c r="A562" s="194">
        <v>2022</v>
      </c>
      <c r="B562" s="174" t="s">
        <v>477</v>
      </c>
      <c r="C562" s="175">
        <v>107</v>
      </c>
      <c r="D562" s="176"/>
      <c r="E562" s="176"/>
      <c r="F562" s="176"/>
      <c r="G562" s="174"/>
    </row>
    <row r="563" spans="1:7" x14ac:dyDescent="0.25">
      <c r="A563" s="194">
        <v>2022</v>
      </c>
      <c r="B563" s="174" t="s">
        <v>477</v>
      </c>
      <c r="C563" s="175">
        <v>103</v>
      </c>
      <c r="D563" s="176"/>
      <c r="E563" s="176"/>
      <c r="F563" s="176"/>
      <c r="G563" s="174"/>
    </row>
    <row r="564" spans="1:7" x14ac:dyDescent="0.25">
      <c r="A564" s="194">
        <v>2022</v>
      </c>
      <c r="B564" s="174" t="s">
        <v>477</v>
      </c>
      <c r="C564" s="175">
        <v>101</v>
      </c>
      <c r="D564" s="176"/>
      <c r="E564" s="176"/>
      <c r="F564" s="176"/>
      <c r="G564" s="174"/>
    </row>
    <row r="565" spans="1:7" x14ac:dyDescent="0.25">
      <c r="A565" s="194">
        <v>2022</v>
      </c>
      <c r="B565" s="174" t="s">
        <v>495</v>
      </c>
      <c r="C565" s="175">
        <v>160</v>
      </c>
      <c r="D565" s="175">
        <v>192.84</v>
      </c>
      <c r="E565" s="175">
        <v>144.9</v>
      </c>
      <c r="F565" s="175">
        <v>4.4800000000000004</v>
      </c>
      <c r="G565" s="174">
        <v>1.02</v>
      </c>
    </row>
    <row r="566" spans="1:7" x14ac:dyDescent="0.25">
      <c r="A566" s="194">
        <v>2022</v>
      </c>
      <c r="B566" s="174" t="s">
        <v>495</v>
      </c>
      <c r="C566" s="175">
        <v>72</v>
      </c>
      <c r="D566" s="175">
        <v>278.01</v>
      </c>
      <c r="E566" s="175">
        <v>201.45</v>
      </c>
      <c r="F566" s="175">
        <v>4.05</v>
      </c>
      <c r="G566" s="174">
        <v>11.97</v>
      </c>
    </row>
    <row r="567" spans="1:7" x14ac:dyDescent="0.25">
      <c r="A567" s="194">
        <v>2022</v>
      </c>
      <c r="B567" s="174" t="s">
        <v>495</v>
      </c>
      <c r="C567" s="175">
        <v>129</v>
      </c>
      <c r="D567" s="175">
        <v>282.22000000000003</v>
      </c>
      <c r="E567" s="175">
        <v>142.46</v>
      </c>
      <c r="F567" s="175">
        <v>6.24</v>
      </c>
      <c r="G567" s="174"/>
    </row>
    <row r="568" spans="1:7" x14ac:dyDescent="0.25">
      <c r="A568" s="194">
        <v>2022</v>
      </c>
      <c r="B568" s="174" t="s">
        <v>495</v>
      </c>
      <c r="C568" s="175">
        <v>105</v>
      </c>
      <c r="D568" s="175">
        <v>191.11</v>
      </c>
      <c r="E568" s="175">
        <v>203.49</v>
      </c>
      <c r="F568" s="175">
        <v>6.35</v>
      </c>
      <c r="G568" s="174"/>
    </row>
    <row r="569" spans="1:7" x14ac:dyDescent="0.25">
      <c r="A569" s="194">
        <v>2022</v>
      </c>
      <c r="B569" s="174" t="s">
        <v>494</v>
      </c>
      <c r="C569" s="175">
        <v>80</v>
      </c>
      <c r="D569" s="175">
        <v>167.83</v>
      </c>
      <c r="E569" s="175">
        <v>136.63</v>
      </c>
      <c r="F569" s="175">
        <v>5.36</v>
      </c>
      <c r="G569" s="174">
        <v>2.4300000000000002</v>
      </c>
    </row>
    <row r="570" spans="1:7" x14ac:dyDescent="0.25">
      <c r="A570" s="194">
        <v>2022</v>
      </c>
      <c r="B570" s="174" t="s">
        <v>494</v>
      </c>
      <c r="C570" s="175">
        <v>85</v>
      </c>
      <c r="D570" s="175">
        <v>146.46</v>
      </c>
      <c r="E570" s="175">
        <v>143.94</v>
      </c>
      <c r="F570" s="175">
        <v>5.71</v>
      </c>
      <c r="G570" s="174">
        <v>2.2000000000000002</v>
      </c>
    </row>
    <row r="571" spans="1:7" x14ac:dyDescent="0.25">
      <c r="A571" s="194">
        <v>2022</v>
      </c>
      <c r="B571" s="174" t="s">
        <v>494</v>
      </c>
      <c r="C571" s="175">
        <v>78</v>
      </c>
      <c r="D571" s="175">
        <v>175.51</v>
      </c>
      <c r="E571" s="175">
        <v>200.06</v>
      </c>
      <c r="F571" s="175">
        <v>3.71</v>
      </c>
      <c r="G571" s="174">
        <v>1.44</v>
      </c>
    </row>
    <row r="572" spans="1:7" x14ac:dyDescent="0.25">
      <c r="A572" s="194">
        <v>2022</v>
      </c>
      <c r="B572" s="174" t="s">
        <v>494</v>
      </c>
      <c r="C572" s="175">
        <v>81</v>
      </c>
      <c r="D572" s="175">
        <v>144.21</v>
      </c>
      <c r="E572" s="175">
        <v>140.68</v>
      </c>
      <c r="F572" s="175">
        <v>4.0599999999999996</v>
      </c>
      <c r="G572" s="174">
        <v>3.71</v>
      </c>
    </row>
    <row r="573" spans="1:7" x14ac:dyDescent="0.25">
      <c r="A573" s="194">
        <v>2022</v>
      </c>
      <c r="B573" s="174" t="s">
        <v>494</v>
      </c>
      <c r="C573" s="175">
        <v>71</v>
      </c>
      <c r="D573" s="175">
        <v>196.35</v>
      </c>
      <c r="E573" s="175">
        <v>226.31</v>
      </c>
      <c r="F573" s="175">
        <v>3.57</v>
      </c>
      <c r="G573" s="174">
        <v>7.4</v>
      </c>
    </row>
    <row r="574" spans="1:7" x14ac:dyDescent="0.25">
      <c r="A574" s="194">
        <v>2022</v>
      </c>
      <c r="B574" s="174" t="s">
        <v>494</v>
      </c>
      <c r="C574" s="175">
        <v>68</v>
      </c>
      <c r="D574" s="176"/>
      <c r="E574" s="176"/>
      <c r="F574" s="176"/>
      <c r="G574" s="174"/>
    </row>
    <row r="575" spans="1:7" x14ac:dyDescent="0.25">
      <c r="A575" s="194">
        <v>2022</v>
      </c>
      <c r="B575" s="174" t="s">
        <v>488</v>
      </c>
      <c r="C575" s="175">
        <v>62</v>
      </c>
      <c r="D575" s="175">
        <v>118.48</v>
      </c>
      <c r="E575" s="175">
        <v>105.09</v>
      </c>
      <c r="F575" s="175">
        <v>2.93</v>
      </c>
      <c r="G575" s="174">
        <v>0.97</v>
      </c>
    </row>
    <row r="576" spans="1:7" x14ac:dyDescent="0.25">
      <c r="A576" s="194">
        <v>2022</v>
      </c>
      <c r="B576" s="174" t="s">
        <v>488</v>
      </c>
      <c r="C576" s="175">
        <v>64</v>
      </c>
      <c r="D576" s="175">
        <v>128.28</v>
      </c>
      <c r="E576" s="175">
        <v>121.49</v>
      </c>
      <c r="F576" s="175">
        <v>3.17</v>
      </c>
      <c r="G576" s="174">
        <v>1</v>
      </c>
    </row>
    <row r="577" spans="1:7" x14ac:dyDescent="0.25">
      <c r="A577" s="194">
        <v>2022</v>
      </c>
      <c r="B577" s="174" t="s">
        <v>488</v>
      </c>
      <c r="C577" s="175">
        <v>57</v>
      </c>
      <c r="D577" s="175">
        <v>145.19</v>
      </c>
      <c r="E577" s="175">
        <v>120.95</v>
      </c>
      <c r="F577" s="175">
        <v>5.43</v>
      </c>
      <c r="G577" s="174">
        <v>1.1499999999999999</v>
      </c>
    </row>
    <row r="578" spans="1:7" x14ac:dyDescent="0.25">
      <c r="A578" s="194">
        <v>2022</v>
      </c>
      <c r="B578" s="174" t="s">
        <v>488</v>
      </c>
      <c r="C578" s="175">
        <v>60</v>
      </c>
      <c r="D578" s="175">
        <v>112.02</v>
      </c>
      <c r="E578" s="175">
        <v>108.77</v>
      </c>
      <c r="F578" s="175">
        <v>5.13</v>
      </c>
      <c r="G578" s="174">
        <v>1.41</v>
      </c>
    </row>
    <row r="579" spans="1:7" x14ac:dyDescent="0.25">
      <c r="A579" s="194">
        <v>2022</v>
      </c>
      <c r="B579" s="174" t="s">
        <v>488</v>
      </c>
      <c r="C579" s="175">
        <v>61</v>
      </c>
      <c r="D579" s="175">
        <v>147.13</v>
      </c>
      <c r="E579" s="175">
        <v>134.80000000000001</v>
      </c>
      <c r="F579" s="175">
        <v>4.57</v>
      </c>
      <c r="G579" s="174">
        <v>1.1200000000000001</v>
      </c>
    </row>
    <row r="580" spans="1:7" x14ac:dyDescent="0.25">
      <c r="A580" s="194">
        <v>2022</v>
      </c>
      <c r="B580" s="174" t="s">
        <v>488</v>
      </c>
      <c r="C580" s="176"/>
      <c r="D580" s="175">
        <v>136.96</v>
      </c>
      <c r="E580" s="176"/>
      <c r="F580" s="175">
        <v>4.3099999999999996</v>
      </c>
      <c r="G580" s="174"/>
    </row>
    <row r="581" spans="1:7" x14ac:dyDescent="0.25">
      <c r="A581" s="194">
        <v>2022</v>
      </c>
      <c r="B581" s="174" t="s">
        <v>490</v>
      </c>
      <c r="C581" s="175">
        <v>59</v>
      </c>
      <c r="D581" s="175">
        <v>132.6</v>
      </c>
      <c r="E581" s="175">
        <v>134.31</v>
      </c>
      <c r="F581" s="175">
        <v>5.24</v>
      </c>
      <c r="G581" s="174">
        <v>1.01</v>
      </c>
    </row>
    <row r="582" spans="1:7" x14ac:dyDescent="0.25">
      <c r="A582" s="194">
        <v>2022</v>
      </c>
      <c r="B582" s="174" t="s">
        <v>490</v>
      </c>
      <c r="C582" s="175">
        <v>59</v>
      </c>
      <c r="D582" s="175">
        <v>132.6</v>
      </c>
      <c r="E582" s="175">
        <v>134.31</v>
      </c>
      <c r="F582" s="175">
        <v>5.24</v>
      </c>
      <c r="G582" s="174">
        <v>1.01</v>
      </c>
    </row>
    <row r="583" spans="1:7" x14ac:dyDescent="0.25">
      <c r="A583" s="194">
        <v>2022</v>
      </c>
      <c r="B583" s="174" t="s">
        <v>490</v>
      </c>
      <c r="C583" s="175">
        <v>62</v>
      </c>
      <c r="D583" s="175">
        <v>138.85</v>
      </c>
      <c r="E583" s="175">
        <v>112.62</v>
      </c>
      <c r="F583" s="175">
        <v>4.66</v>
      </c>
      <c r="G583" s="174">
        <v>0.97</v>
      </c>
    </row>
    <row r="584" spans="1:7" x14ac:dyDescent="0.25">
      <c r="A584" s="194">
        <v>2022</v>
      </c>
      <c r="B584" s="174" t="s">
        <v>490</v>
      </c>
      <c r="C584" s="175">
        <v>62</v>
      </c>
      <c r="D584" s="175">
        <v>138.85</v>
      </c>
      <c r="E584" s="175">
        <v>112.62</v>
      </c>
      <c r="F584" s="175">
        <v>4.66</v>
      </c>
      <c r="G584" s="174">
        <v>0.97</v>
      </c>
    </row>
    <row r="585" spans="1:7" x14ac:dyDescent="0.25">
      <c r="A585" s="194">
        <v>2022</v>
      </c>
      <c r="B585" s="174" t="s">
        <v>490</v>
      </c>
      <c r="C585" s="175">
        <v>77</v>
      </c>
      <c r="D585" s="175">
        <v>140.16</v>
      </c>
      <c r="E585" s="175">
        <v>122.36</v>
      </c>
      <c r="F585" s="175">
        <v>5.47</v>
      </c>
      <c r="G585" s="174">
        <v>0.93</v>
      </c>
    </row>
    <row r="586" spans="1:7" x14ac:dyDescent="0.25">
      <c r="A586" s="194">
        <v>2022</v>
      </c>
      <c r="B586" s="174" t="s">
        <v>490</v>
      </c>
      <c r="C586" s="175">
        <v>77</v>
      </c>
      <c r="D586" s="175">
        <v>140.16</v>
      </c>
      <c r="E586" s="175">
        <v>122.36</v>
      </c>
      <c r="F586" s="175">
        <v>5.47</v>
      </c>
      <c r="G586" s="174">
        <v>0.93</v>
      </c>
    </row>
    <row r="587" spans="1:7" x14ac:dyDescent="0.25">
      <c r="A587" s="194">
        <v>2022</v>
      </c>
      <c r="B587" s="174" t="s">
        <v>490</v>
      </c>
      <c r="C587" s="175">
        <v>83</v>
      </c>
      <c r="D587" s="175">
        <v>131.87</v>
      </c>
      <c r="E587" s="175">
        <v>124.72</v>
      </c>
      <c r="F587" s="175">
        <v>4.26</v>
      </c>
      <c r="G587" s="174">
        <v>1.02</v>
      </c>
    </row>
    <row r="588" spans="1:7" x14ac:dyDescent="0.25">
      <c r="A588" s="194">
        <v>2022</v>
      </c>
      <c r="B588" s="174" t="s">
        <v>490</v>
      </c>
      <c r="C588" s="175">
        <v>83</v>
      </c>
      <c r="D588" s="175">
        <v>131.87</v>
      </c>
      <c r="E588" s="175">
        <v>124.72</v>
      </c>
      <c r="F588" s="175">
        <v>4.26</v>
      </c>
      <c r="G588" s="174">
        <v>1.02</v>
      </c>
    </row>
    <row r="589" spans="1:7" x14ac:dyDescent="0.25">
      <c r="A589" s="194">
        <v>2022</v>
      </c>
      <c r="B589" s="174" t="s">
        <v>490</v>
      </c>
      <c r="C589" s="175">
        <v>72</v>
      </c>
      <c r="D589" s="175">
        <v>152.04</v>
      </c>
      <c r="E589" s="175">
        <v>105.17</v>
      </c>
      <c r="F589" s="175">
        <v>5.44</v>
      </c>
      <c r="G589" s="174">
        <v>1.1399999999999999</v>
      </c>
    </row>
    <row r="590" spans="1:7" x14ac:dyDescent="0.25">
      <c r="A590" s="194">
        <v>2022</v>
      </c>
      <c r="B590" s="174" t="s">
        <v>490</v>
      </c>
      <c r="C590" s="175">
        <v>72</v>
      </c>
      <c r="D590" s="175">
        <v>152.04</v>
      </c>
      <c r="E590" s="175">
        <v>105.17</v>
      </c>
      <c r="F590" s="175">
        <v>5.44</v>
      </c>
      <c r="G590" s="174">
        <v>1.1399999999999999</v>
      </c>
    </row>
    <row r="591" spans="1:7" x14ac:dyDescent="0.25">
      <c r="A591" s="194">
        <v>2022</v>
      </c>
      <c r="B591" s="174" t="s">
        <v>490</v>
      </c>
      <c r="C591" s="175">
        <v>71</v>
      </c>
      <c r="D591" s="176"/>
      <c r="E591" s="176"/>
      <c r="F591" s="176"/>
      <c r="G591" s="174"/>
    </row>
    <row r="592" spans="1:7" x14ac:dyDescent="0.25">
      <c r="A592" s="194">
        <v>2022</v>
      </c>
      <c r="B592" s="174" t="s">
        <v>490</v>
      </c>
      <c r="C592" s="175">
        <v>71</v>
      </c>
      <c r="D592" s="176"/>
      <c r="E592" s="176"/>
      <c r="F592" s="176"/>
      <c r="G592" s="174"/>
    </row>
    <row r="593" spans="1:7" x14ac:dyDescent="0.25">
      <c r="A593" s="194">
        <v>2022</v>
      </c>
      <c r="B593" s="174" t="s">
        <v>478</v>
      </c>
      <c r="C593" s="175">
        <v>55</v>
      </c>
      <c r="D593" s="175">
        <v>97.22</v>
      </c>
      <c r="E593" s="175">
        <v>79.16</v>
      </c>
      <c r="F593" s="175">
        <v>6.59</v>
      </c>
      <c r="G593" s="174">
        <v>1.77</v>
      </c>
    </row>
    <row r="594" spans="1:7" x14ac:dyDescent="0.25">
      <c r="A594" s="194">
        <v>2022</v>
      </c>
      <c r="B594" s="174" t="s">
        <v>478</v>
      </c>
      <c r="C594" s="175">
        <v>35</v>
      </c>
      <c r="D594" s="175">
        <v>133.61000000000001</v>
      </c>
      <c r="E594" s="175">
        <v>95.39</v>
      </c>
      <c r="F594" s="175">
        <v>7.48</v>
      </c>
      <c r="G594" s="174">
        <v>2.06</v>
      </c>
    </row>
    <row r="595" spans="1:7" x14ac:dyDescent="0.25">
      <c r="A595" s="194">
        <v>2022</v>
      </c>
      <c r="B595" s="174" t="s">
        <v>478</v>
      </c>
      <c r="C595" s="175">
        <v>34</v>
      </c>
      <c r="D595" s="175">
        <v>107.38</v>
      </c>
      <c r="E595" s="175">
        <v>75.930000000000007</v>
      </c>
      <c r="F595" s="175">
        <v>7.6</v>
      </c>
      <c r="G595" s="174">
        <v>1.82</v>
      </c>
    </row>
    <row r="596" spans="1:7" x14ac:dyDescent="0.25">
      <c r="A596" s="194">
        <v>2022</v>
      </c>
      <c r="B596" s="174" t="s">
        <v>478</v>
      </c>
      <c r="C596" s="175">
        <v>49</v>
      </c>
      <c r="D596" s="175">
        <v>119.07</v>
      </c>
      <c r="E596" s="175">
        <v>88.57</v>
      </c>
      <c r="F596" s="175">
        <v>7.52</v>
      </c>
      <c r="G596" s="174">
        <v>2.31</v>
      </c>
    </row>
    <row r="597" spans="1:7" x14ac:dyDescent="0.25">
      <c r="A597" s="194">
        <v>2022</v>
      </c>
      <c r="B597" s="174" t="s">
        <v>478</v>
      </c>
      <c r="C597" s="175">
        <v>25</v>
      </c>
      <c r="D597" s="175">
        <v>115.34</v>
      </c>
      <c r="E597" s="175">
        <v>90.8</v>
      </c>
      <c r="F597" s="175">
        <v>6.27</v>
      </c>
      <c r="G597" s="174">
        <v>1.99</v>
      </c>
    </row>
    <row r="598" spans="1:7" x14ac:dyDescent="0.25">
      <c r="A598" s="194">
        <v>2022</v>
      </c>
      <c r="B598" s="174" t="s">
        <v>489</v>
      </c>
      <c r="C598" s="175">
        <v>37</v>
      </c>
      <c r="D598" s="175">
        <v>127.06</v>
      </c>
      <c r="E598" s="175">
        <v>88.35</v>
      </c>
      <c r="F598" s="175">
        <v>8.42</v>
      </c>
      <c r="G598" s="174">
        <v>2.09</v>
      </c>
    </row>
    <row r="599" spans="1:7" x14ac:dyDescent="0.25">
      <c r="A599" s="194">
        <v>2022</v>
      </c>
      <c r="B599" s="174" t="s">
        <v>489</v>
      </c>
      <c r="C599" s="175">
        <v>81</v>
      </c>
      <c r="D599" s="175">
        <v>113.87</v>
      </c>
      <c r="E599" s="175">
        <v>87.32</v>
      </c>
      <c r="F599" s="175">
        <v>5.27</v>
      </c>
      <c r="G599" s="174">
        <v>0.69</v>
      </c>
    </row>
    <row r="600" spans="1:7" x14ac:dyDescent="0.25">
      <c r="A600" s="194">
        <v>2022</v>
      </c>
      <c r="B600" s="174" t="s">
        <v>489</v>
      </c>
      <c r="C600" s="175">
        <v>22</v>
      </c>
      <c r="D600" s="175">
        <v>119.86</v>
      </c>
      <c r="E600" s="175">
        <v>74.69</v>
      </c>
      <c r="F600" s="175">
        <v>5.42</v>
      </c>
      <c r="G600" s="174">
        <v>1.52</v>
      </c>
    </row>
    <row r="601" spans="1:7" x14ac:dyDescent="0.25">
      <c r="A601" s="194">
        <v>2022</v>
      </c>
      <c r="B601" s="174" t="s">
        <v>489</v>
      </c>
      <c r="C601" s="175">
        <v>54</v>
      </c>
      <c r="D601" s="175">
        <v>137.82</v>
      </c>
      <c r="E601" s="175">
        <v>79.790000000000006</v>
      </c>
      <c r="F601" s="175">
        <v>7.37</v>
      </c>
      <c r="G601" s="174">
        <v>3.56</v>
      </c>
    </row>
    <row r="602" spans="1:7" x14ac:dyDescent="0.25">
      <c r="A602" s="194">
        <v>2022</v>
      </c>
      <c r="B602" s="174" t="s">
        <v>489</v>
      </c>
      <c r="C602" s="175">
        <v>79</v>
      </c>
      <c r="D602" s="176"/>
      <c r="E602" s="175">
        <v>79.040000000000006</v>
      </c>
      <c r="F602" s="175">
        <v>8.67</v>
      </c>
      <c r="G602" s="174"/>
    </row>
    <row r="603" spans="1:7" x14ac:dyDescent="0.25">
      <c r="A603" s="194">
        <v>2022</v>
      </c>
      <c r="B603" s="174" t="s">
        <v>490</v>
      </c>
      <c r="C603" s="175">
        <v>82</v>
      </c>
      <c r="D603" s="175">
        <v>118.81</v>
      </c>
      <c r="E603" s="175">
        <v>93.75</v>
      </c>
      <c r="F603" s="175">
        <v>6.16</v>
      </c>
      <c r="G603" s="174">
        <v>0.92</v>
      </c>
    </row>
    <row r="604" spans="1:7" x14ac:dyDescent="0.25">
      <c r="A604" s="194">
        <v>2022</v>
      </c>
      <c r="B604" s="174" t="s">
        <v>490</v>
      </c>
      <c r="C604" s="175">
        <v>82</v>
      </c>
      <c r="D604" s="175">
        <v>118.81</v>
      </c>
      <c r="E604" s="175">
        <v>93.75</v>
      </c>
      <c r="F604" s="175">
        <v>6.16</v>
      </c>
      <c r="G604" s="174">
        <v>0.92</v>
      </c>
    </row>
    <row r="605" spans="1:7" x14ac:dyDescent="0.25">
      <c r="A605" s="194">
        <v>2022</v>
      </c>
      <c r="B605" s="174" t="s">
        <v>490</v>
      </c>
      <c r="C605" s="175">
        <v>80</v>
      </c>
      <c r="D605" s="175">
        <v>129.03</v>
      </c>
      <c r="E605" s="175">
        <v>96.57</v>
      </c>
      <c r="F605" s="175">
        <v>6.19</v>
      </c>
      <c r="G605" s="174">
        <v>1.2</v>
      </c>
    </row>
    <row r="606" spans="1:7" x14ac:dyDescent="0.25">
      <c r="A606" s="194">
        <v>2022</v>
      </c>
      <c r="B606" s="174" t="s">
        <v>490</v>
      </c>
      <c r="C606" s="175">
        <v>80</v>
      </c>
      <c r="D606" s="175">
        <v>129.03</v>
      </c>
      <c r="E606" s="175">
        <v>96.57</v>
      </c>
      <c r="F606" s="175">
        <v>6.19</v>
      </c>
      <c r="G606" s="174">
        <v>1.2</v>
      </c>
    </row>
    <row r="607" spans="1:7" x14ac:dyDescent="0.25">
      <c r="A607" s="194">
        <v>2022</v>
      </c>
      <c r="B607" s="174" t="s">
        <v>490</v>
      </c>
      <c r="C607" s="175">
        <v>85</v>
      </c>
      <c r="D607" s="175">
        <v>130.85</v>
      </c>
      <c r="E607" s="175">
        <v>105.82</v>
      </c>
      <c r="F607" s="175">
        <v>7.96</v>
      </c>
      <c r="G607" s="174">
        <v>1.1399999999999999</v>
      </c>
    </row>
    <row r="608" spans="1:7" x14ac:dyDescent="0.25">
      <c r="A608" s="194">
        <v>2022</v>
      </c>
      <c r="B608" s="174" t="s">
        <v>490</v>
      </c>
      <c r="C608" s="175">
        <v>85</v>
      </c>
      <c r="D608" s="175">
        <v>130.85</v>
      </c>
      <c r="E608" s="175">
        <v>105.82</v>
      </c>
      <c r="F608" s="175">
        <v>7.96</v>
      </c>
      <c r="G608" s="174">
        <v>1.1399999999999999</v>
      </c>
    </row>
    <row r="609" spans="1:7" x14ac:dyDescent="0.25">
      <c r="A609" s="194">
        <v>2022</v>
      </c>
      <c r="B609" s="174" t="s">
        <v>490</v>
      </c>
      <c r="C609" s="175">
        <v>89</v>
      </c>
      <c r="D609" s="175">
        <v>143.22999999999999</v>
      </c>
      <c r="E609" s="175">
        <v>113.29</v>
      </c>
      <c r="F609" s="175">
        <v>6.97</v>
      </c>
      <c r="G609" s="174">
        <v>1.1599999999999999</v>
      </c>
    </row>
    <row r="610" spans="1:7" x14ac:dyDescent="0.25">
      <c r="A610" s="194">
        <v>2022</v>
      </c>
      <c r="B610" s="174" t="s">
        <v>490</v>
      </c>
      <c r="C610" s="175">
        <v>89</v>
      </c>
      <c r="D610" s="175">
        <v>143.22999999999999</v>
      </c>
      <c r="E610" s="175">
        <v>113.29</v>
      </c>
      <c r="F610" s="175">
        <v>6.97</v>
      </c>
      <c r="G610" s="174">
        <v>1.1599999999999999</v>
      </c>
    </row>
    <row r="611" spans="1:7" x14ac:dyDescent="0.25">
      <c r="A611" s="194">
        <v>2022</v>
      </c>
      <c r="B611" s="174" t="s">
        <v>490</v>
      </c>
      <c r="C611" s="175">
        <v>73</v>
      </c>
      <c r="D611" s="175">
        <v>153.87</v>
      </c>
      <c r="E611" s="175">
        <v>120.8</v>
      </c>
      <c r="F611" s="175">
        <v>8.48</v>
      </c>
      <c r="G611" s="174">
        <v>0.55000000000000004</v>
      </c>
    </row>
    <row r="612" spans="1:7" x14ac:dyDescent="0.25">
      <c r="A612" s="194">
        <v>2022</v>
      </c>
      <c r="B612" s="174" t="s">
        <v>490</v>
      </c>
      <c r="C612" s="175">
        <v>73</v>
      </c>
      <c r="D612" s="175">
        <v>153.87</v>
      </c>
      <c r="E612" s="175">
        <v>120.8</v>
      </c>
      <c r="F612" s="175">
        <v>8.48</v>
      </c>
      <c r="G612" s="174">
        <v>0.55000000000000004</v>
      </c>
    </row>
    <row r="613" spans="1:7" x14ac:dyDescent="0.25">
      <c r="A613" s="194">
        <v>2022</v>
      </c>
      <c r="B613" s="174" t="s">
        <v>490</v>
      </c>
      <c r="C613" s="175">
        <v>76</v>
      </c>
      <c r="D613" s="175">
        <v>146.74</v>
      </c>
      <c r="E613" s="175">
        <v>86.57</v>
      </c>
      <c r="F613" s="175">
        <v>5.8</v>
      </c>
      <c r="G613" s="174"/>
    </row>
    <row r="614" spans="1:7" x14ac:dyDescent="0.25">
      <c r="A614" s="194">
        <v>2022</v>
      </c>
      <c r="B614" s="174" t="s">
        <v>490</v>
      </c>
      <c r="C614" s="175">
        <v>76</v>
      </c>
      <c r="D614" s="175">
        <v>146.74</v>
      </c>
      <c r="E614" s="175">
        <v>86.57</v>
      </c>
      <c r="F614" s="175">
        <v>5.8</v>
      </c>
      <c r="G614" s="174"/>
    </row>
    <row r="615" spans="1:7" x14ac:dyDescent="0.25">
      <c r="A615" s="194">
        <v>2022</v>
      </c>
      <c r="B615" s="174" t="s">
        <v>488</v>
      </c>
      <c r="C615" s="175">
        <v>46</v>
      </c>
      <c r="D615" s="175">
        <v>112.46</v>
      </c>
      <c r="E615" s="175">
        <v>107.74</v>
      </c>
      <c r="F615" s="175">
        <v>6.46</v>
      </c>
      <c r="G615" s="174">
        <v>0.45</v>
      </c>
    </row>
    <row r="616" spans="1:7" x14ac:dyDescent="0.25">
      <c r="A616" s="194">
        <v>2022</v>
      </c>
      <c r="B616" s="174" t="s">
        <v>488</v>
      </c>
      <c r="C616" s="175">
        <v>47</v>
      </c>
      <c r="D616" s="175">
        <v>116.79</v>
      </c>
      <c r="E616" s="175">
        <v>99.12</v>
      </c>
      <c r="F616" s="175">
        <v>6.37</v>
      </c>
      <c r="G616" s="174">
        <v>0.47</v>
      </c>
    </row>
    <row r="617" spans="1:7" x14ac:dyDescent="0.25">
      <c r="A617" s="194">
        <v>2022</v>
      </c>
      <c r="B617" s="174" t="s">
        <v>488</v>
      </c>
      <c r="C617" s="175">
        <v>50</v>
      </c>
      <c r="D617" s="175">
        <v>110.47</v>
      </c>
      <c r="E617" s="175">
        <v>106.53</v>
      </c>
      <c r="F617" s="175">
        <v>5.36</v>
      </c>
      <c r="G617" s="174">
        <v>0.54</v>
      </c>
    </row>
    <row r="618" spans="1:7" x14ac:dyDescent="0.25">
      <c r="A618" s="194">
        <v>2022</v>
      </c>
      <c r="B618" s="174" t="s">
        <v>488</v>
      </c>
      <c r="C618" s="175">
        <v>62</v>
      </c>
      <c r="D618" s="175">
        <v>121.45</v>
      </c>
      <c r="E618" s="175">
        <v>108.6</v>
      </c>
      <c r="F618" s="175">
        <v>5.5</v>
      </c>
      <c r="G618" s="174">
        <v>0.57999999999999996</v>
      </c>
    </row>
    <row r="619" spans="1:7" x14ac:dyDescent="0.25">
      <c r="A619" s="194">
        <v>2022</v>
      </c>
      <c r="B619" s="174" t="s">
        <v>488</v>
      </c>
      <c r="C619" s="175">
        <v>69</v>
      </c>
      <c r="D619" s="175">
        <v>119.42</v>
      </c>
      <c r="E619" s="175">
        <v>97.7</v>
      </c>
      <c r="F619" s="175">
        <v>7.14</v>
      </c>
      <c r="G619" s="174">
        <v>0.68</v>
      </c>
    </row>
    <row r="620" spans="1:7" x14ac:dyDescent="0.25">
      <c r="A620" s="194">
        <v>2022</v>
      </c>
      <c r="B620" s="174" t="s">
        <v>488</v>
      </c>
      <c r="C620" s="175">
        <v>71</v>
      </c>
      <c r="D620" s="176"/>
      <c r="E620" s="176"/>
      <c r="F620" s="176"/>
      <c r="G620" s="174"/>
    </row>
    <row r="621" spans="1:7" x14ac:dyDescent="0.25">
      <c r="A621" s="194">
        <v>2022</v>
      </c>
      <c r="B621" s="174" t="s">
        <v>492</v>
      </c>
      <c r="C621" s="175">
        <v>79</v>
      </c>
      <c r="D621" s="175">
        <v>126.5</v>
      </c>
      <c r="E621" s="175">
        <v>97.21</v>
      </c>
      <c r="F621" s="175">
        <v>6.75</v>
      </c>
      <c r="G621" s="174">
        <v>1.24</v>
      </c>
    </row>
    <row r="622" spans="1:7" x14ac:dyDescent="0.25">
      <c r="A622" s="194">
        <v>2022</v>
      </c>
      <c r="B622" s="174" t="s">
        <v>492</v>
      </c>
      <c r="C622" s="175">
        <v>61</v>
      </c>
      <c r="D622" s="175">
        <v>142.63</v>
      </c>
      <c r="E622" s="175">
        <v>103.88</v>
      </c>
      <c r="F622" s="175">
        <v>6.88</v>
      </c>
      <c r="G622" s="174">
        <v>1.26</v>
      </c>
    </row>
    <row r="623" spans="1:7" x14ac:dyDescent="0.25">
      <c r="A623" s="194">
        <v>2022</v>
      </c>
      <c r="B623" s="174" t="s">
        <v>492</v>
      </c>
      <c r="C623" s="175">
        <v>91</v>
      </c>
      <c r="D623" s="175">
        <v>138.11000000000001</v>
      </c>
      <c r="E623" s="175">
        <v>95.5</v>
      </c>
      <c r="F623" s="175">
        <v>7.14</v>
      </c>
      <c r="G623" s="174">
        <v>1.59</v>
      </c>
    </row>
    <row r="624" spans="1:7" x14ac:dyDescent="0.25">
      <c r="A624" s="194">
        <v>2022</v>
      </c>
      <c r="B624" s="174" t="s">
        <v>492</v>
      </c>
      <c r="C624" s="175">
        <v>69</v>
      </c>
      <c r="D624" s="175">
        <v>123.69</v>
      </c>
      <c r="E624" s="175">
        <v>114.81</v>
      </c>
      <c r="F624" s="175">
        <v>5.93</v>
      </c>
      <c r="G624" s="174">
        <v>0.61</v>
      </c>
    </row>
    <row r="625" spans="1:7" x14ac:dyDescent="0.25">
      <c r="A625" s="194">
        <v>2022</v>
      </c>
      <c r="B625" s="174" t="s">
        <v>492</v>
      </c>
      <c r="C625" s="175">
        <v>74</v>
      </c>
      <c r="D625" s="175">
        <v>145.13</v>
      </c>
      <c r="E625" s="175">
        <v>117.79</v>
      </c>
      <c r="F625" s="175">
        <v>6.24</v>
      </c>
      <c r="G625" s="174">
        <v>0.49</v>
      </c>
    </row>
    <row r="626" spans="1:7" x14ac:dyDescent="0.25">
      <c r="A626" s="194">
        <v>2022</v>
      </c>
      <c r="B626" s="174" t="s">
        <v>492</v>
      </c>
      <c r="C626" s="175">
        <v>87</v>
      </c>
      <c r="D626" s="175">
        <v>137.96</v>
      </c>
      <c r="E626" s="175">
        <v>120.05</v>
      </c>
      <c r="F626" s="175">
        <v>6.3</v>
      </c>
      <c r="G626" s="174">
        <v>0.54</v>
      </c>
    </row>
    <row r="627" spans="1:7" x14ac:dyDescent="0.25">
      <c r="A627" s="194">
        <v>2022</v>
      </c>
      <c r="B627" s="174" t="s">
        <v>492</v>
      </c>
      <c r="C627" s="176"/>
      <c r="D627" s="176"/>
      <c r="E627" s="175">
        <v>110.54</v>
      </c>
      <c r="F627" s="175">
        <v>5.94</v>
      </c>
      <c r="G627" s="174"/>
    </row>
    <row r="628" spans="1:7" x14ac:dyDescent="0.25">
      <c r="A628" s="194">
        <v>2022</v>
      </c>
      <c r="B628" s="174" t="s">
        <v>493</v>
      </c>
      <c r="C628" s="175">
        <v>68</v>
      </c>
      <c r="D628" s="175">
        <v>149.13</v>
      </c>
      <c r="E628" s="175">
        <v>84.48</v>
      </c>
      <c r="F628" s="175">
        <v>4.04</v>
      </c>
      <c r="G628" s="174">
        <v>0.73</v>
      </c>
    </row>
    <row r="629" spans="1:7" x14ac:dyDescent="0.25">
      <c r="A629" s="194">
        <v>2022</v>
      </c>
      <c r="B629" s="174" t="s">
        <v>493</v>
      </c>
      <c r="C629" s="175">
        <v>92</v>
      </c>
      <c r="D629" s="175">
        <v>158.57</v>
      </c>
      <c r="E629" s="175">
        <v>89.4</v>
      </c>
      <c r="F629" s="175">
        <v>4.93</v>
      </c>
      <c r="G629" s="174">
        <v>0.69</v>
      </c>
    </row>
    <row r="630" spans="1:7" x14ac:dyDescent="0.25">
      <c r="A630" s="194">
        <v>2022</v>
      </c>
      <c r="B630" s="174" t="s">
        <v>493</v>
      </c>
      <c r="C630" s="175">
        <v>73</v>
      </c>
      <c r="D630" s="175">
        <v>122.05</v>
      </c>
      <c r="E630" s="175">
        <v>91.29</v>
      </c>
      <c r="F630" s="175">
        <v>4.46</v>
      </c>
      <c r="G630" s="174">
        <v>0.55000000000000004</v>
      </c>
    </row>
    <row r="631" spans="1:7" x14ac:dyDescent="0.25">
      <c r="A631" s="194">
        <v>2022</v>
      </c>
      <c r="B631" s="174" t="s">
        <v>493</v>
      </c>
      <c r="C631" s="175">
        <v>71</v>
      </c>
      <c r="D631" s="175">
        <v>124.47</v>
      </c>
      <c r="E631" s="175">
        <v>99.24</v>
      </c>
      <c r="F631" s="175">
        <v>4.54</v>
      </c>
      <c r="G631" s="174">
        <v>0.68</v>
      </c>
    </row>
    <row r="632" spans="1:7" x14ac:dyDescent="0.25">
      <c r="A632" s="194">
        <v>2022</v>
      </c>
      <c r="B632" s="174" t="s">
        <v>493</v>
      </c>
      <c r="C632" s="175">
        <v>89</v>
      </c>
      <c r="D632" s="175">
        <v>123.51</v>
      </c>
      <c r="E632" s="175">
        <v>102.39</v>
      </c>
      <c r="F632" s="175">
        <v>4.49</v>
      </c>
      <c r="G632" s="174">
        <v>0.92</v>
      </c>
    </row>
    <row r="633" spans="1:7" x14ac:dyDescent="0.25">
      <c r="A633" s="194">
        <v>2022</v>
      </c>
      <c r="B633" s="174" t="s">
        <v>493</v>
      </c>
      <c r="C633" s="175">
        <v>91</v>
      </c>
      <c r="D633" s="176"/>
      <c r="E633" s="176"/>
      <c r="F633" s="176"/>
      <c r="G633" s="174"/>
    </row>
    <row r="634" spans="1:7" x14ac:dyDescent="0.25">
      <c r="A634" s="194">
        <v>2022</v>
      </c>
      <c r="B634" s="174" t="s">
        <v>482</v>
      </c>
      <c r="C634" s="175">
        <v>65</v>
      </c>
      <c r="D634" s="175">
        <v>93.81</v>
      </c>
      <c r="E634" s="175">
        <v>96.63</v>
      </c>
      <c r="F634" s="175">
        <v>4.8099999999999996</v>
      </c>
      <c r="G634" s="174">
        <v>0.33</v>
      </c>
    </row>
    <row r="635" spans="1:7" x14ac:dyDescent="0.25">
      <c r="A635" s="194">
        <v>2022</v>
      </c>
      <c r="B635" s="174" t="s">
        <v>482</v>
      </c>
      <c r="C635" s="175">
        <v>67</v>
      </c>
      <c r="D635" s="175">
        <v>110.55</v>
      </c>
      <c r="E635" s="175">
        <v>87.74</v>
      </c>
      <c r="F635" s="175">
        <v>5.73</v>
      </c>
      <c r="G635" s="174">
        <v>0.76</v>
      </c>
    </row>
    <row r="636" spans="1:7" x14ac:dyDescent="0.25">
      <c r="A636" s="194">
        <v>2022</v>
      </c>
      <c r="B636" s="174" t="s">
        <v>482</v>
      </c>
      <c r="C636" s="175">
        <v>50</v>
      </c>
      <c r="D636" s="175">
        <v>86.66</v>
      </c>
      <c r="E636" s="175">
        <v>98.56</v>
      </c>
      <c r="F636" s="175">
        <v>5.73</v>
      </c>
      <c r="G636" s="174">
        <v>0.47</v>
      </c>
    </row>
    <row r="637" spans="1:7" x14ac:dyDescent="0.25">
      <c r="A637" s="194">
        <v>2022</v>
      </c>
      <c r="B637" s="174" t="s">
        <v>482</v>
      </c>
      <c r="C637" s="175">
        <v>44</v>
      </c>
      <c r="D637" s="175">
        <v>104.19</v>
      </c>
      <c r="E637" s="175">
        <v>87.66</v>
      </c>
      <c r="F637" s="175">
        <v>4.01</v>
      </c>
      <c r="G637" s="174">
        <v>0.6</v>
      </c>
    </row>
    <row r="638" spans="1:7" x14ac:dyDescent="0.25">
      <c r="A638" s="194">
        <v>2022</v>
      </c>
      <c r="B638" s="174" t="s">
        <v>482</v>
      </c>
      <c r="C638" s="175">
        <v>58</v>
      </c>
      <c r="D638" s="175">
        <v>86.83</v>
      </c>
      <c r="E638" s="175">
        <v>78.209999999999994</v>
      </c>
      <c r="F638" s="175">
        <v>4.8600000000000003</v>
      </c>
      <c r="G638" s="174">
        <v>0.41</v>
      </c>
    </row>
    <row r="639" spans="1:7" x14ac:dyDescent="0.25">
      <c r="A639" s="194">
        <v>2022</v>
      </c>
      <c r="B639" s="174" t="s">
        <v>482</v>
      </c>
      <c r="C639" s="175">
        <v>54</v>
      </c>
      <c r="D639" s="176"/>
      <c r="E639" s="176"/>
      <c r="F639" s="176"/>
      <c r="G639" s="174"/>
    </row>
    <row r="640" spans="1:7" x14ac:dyDescent="0.25">
      <c r="A640" s="194">
        <v>2022</v>
      </c>
      <c r="B640" s="174" t="s">
        <v>495</v>
      </c>
      <c r="C640" s="175">
        <v>102</v>
      </c>
      <c r="D640" s="175">
        <v>105.56</v>
      </c>
      <c r="E640" s="175">
        <v>101.26</v>
      </c>
      <c r="F640" s="175">
        <v>4.63</v>
      </c>
      <c r="G640" s="174">
        <v>0.47</v>
      </c>
    </row>
    <row r="641" spans="1:7" x14ac:dyDescent="0.25">
      <c r="A641" s="194">
        <v>2022</v>
      </c>
      <c r="B641" s="174" t="s">
        <v>495</v>
      </c>
      <c r="C641" s="175">
        <v>100</v>
      </c>
      <c r="D641" s="175">
        <v>110.42</v>
      </c>
      <c r="E641" s="175">
        <v>102.25</v>
      </c>
      <c r="F641" s="175">
        <v>5.48</v>
      </c>
      <c r="G641" s="174">
        <v>0.49</v>
      </c>
    </row>
    <row r="642" spans="1:7" x14ac:dyDescent="0.25">
      <c r="A642" s="194">
        <v>2022</v>
      </c>
      <c r="B642" s="174" t="s">
        <v>495</v>
      </c>
      <c r="C642" s="175">
        <v>91</v>
      </c>
      <c r="D642" s="175">
        <v>114.99</v>
      </c>
      <c r="E642" s="175">
        <v>99.85</v>
      </c>
      <c r="F642" s="175">
        <v>6.9</v>
      </c>
      <c r="G642" s="174">
        <v>0.56000000000000005</v>
      </c>
    </row>
    <row r="643" spans="1:7" x14ac:dyDescent="0.25">
      <c r="A643" s="194">
        <v>2022</v>
      </c>
      <c r="B643" s="174" t="s">
        <v>495</v>
      </c>
      <c r="C643" s="175">
        <v>117</v>
      </c>
      <c r="D643" s="175">
        <v>105.28</v>
      </c>
      <c r="E643" s="175">
        <v>99.37</v>
      </c>
      <c r="F643" s="175">
        <v>5.63</v>
      </c>
      <c r="G643" s="174">
        <v>0.39</v>
      </c>
    </row>
    <row r="644" spans="1:7" x14ac:dyDescent="0.25">
      <c r="A644" s="194">
        <v>2022</v>
      </c>
      <c r="B644" s="174" t="s">
        <v>495</v>
      </c>
      <c r="C644" s="176"/>
      <c r="D644" s="175">
        <v>114.12</v>
      </c>
      <c r="E644" s="175">
        <v>99.08</v>
      </c>
      <c r="F644" s="175">
        <v>6.52</v>
      </c>
      <c r="G644" s="174">
        <v>0.5</v>
      </c>
    </row>
    <row r="645" spans="1:7" x14ac:dyDescent="0.25">
      <c r="A645" s="194">
        <v>2022</v>
      </c>
      <c r="B645" s="174" t="s">
        <v>495</v>
      </c>
      <c r="C645" s="176"/>
      <c r="D645" s="176"/>
      <c r="E645" s="176"/>
      <c r="F645" s="175">
        <v>4.72</v>
      </c>
      <c r="G645" s="174">
        <v>0.41</v>
      </c>
    </row>
    <row r="646" spans="1:7" x14ac:dyDescent="0.25">
      <c r="A646" s="194">
        <v>2022</v>
      </c>
      <c r="B646" s="174" t="s">
        <v>513</v>
      </c>
      <c r="C646" s="175">
        <v>93</v>
      </c>
      <c r="D646" s="175">
        <v>117.07</v>
      </c>
      <c r="E646" s="175">
        <v>134.37</v>
      </c>
      <c r="F646" s="175">
        <v>6.45</v>
      </c>
      <c r="G646" s="174">
        <v>2.13</v>
      </c>
    </row>
    <row r="647" spans="1:7" x14ac:dyDescent="0.25">
      <c r="A647" s="194">
        <v>2022</v>
      </c>
      <c r="B647" s="174" t="s">
        <v>513</v>
      </c>
      <c r="C647" s="175">
        <v>81</v>
      </c>
      <c r="D647" s="175">
        <v>104.31</v>
      </c>
      <c r="E647" s="175">
        <v>126.9</v>
      </c>
      <c r="F647" s="175">
        <v>7.61</v>
      </c>
      <c r="G647" s="174">
        <v>2.84</v>
      </c>
    </row>
    <row r="648" spans="1:7" x14ac:dyDescent="0.25">
      <c r="A648" s="194">
        <v>2022</v>
      </c>
      <c r="B648" s="174" t="s">
        <v>513</v>
      </c>
      <c r="C648" s="175">
        <v>79</v>
      </c>
      <c r="D648" s="175">
        <v>151.13999999999999</v>
      </c>
      <c r="E648" s="175">
        <v>124.08</v>
      </c>
      <c r="F648" s="175">
        <v>7.27</v>
      </c>
      <c r="G648" s="174">
        <v>2.2200000000000002</v>
      </c>
    </row>
    <row r="649" spans="1:7" x14ac:dyDescent="0.25">
      <c r="A649" s="194">
        <v>2022</v>
      </c>
      <c r="B649" s="174" t="s">
        <v>513</v>
      </c>
      <c r="C649" s="175">
        <v>86</v>
      </c>
      <c r="D649" s="175">
        <v>132.19999999999999</v>
      </c>
      <c r="E649" s="175">
        <v>115.51</v>
      </c>
      <c r="F649" s="175">
        <v>6.93</v>
      </c>
      <c r="G649" s="174">
        <v>1.23</v>
      </c>
    </row>
    <row r="650" spans="1:7" x14ac:dyDescent="0.25">
      <c r="A650" s="194">
        <v>2022</v>
      </c>
      <c r="B650" s="174" t="s">
        <v>513</v>
      </c>
      <c r="C650" s="175">
        <v>84</v>
      </c>
      <c r="D650" s="175">
        <v>142.97</v>
      </c>
      <c r="E650" s="175">
        <v>114.96</v>
      </c>
      <c r="F650" s="175">
        <v>6.25</v>
      </c>
      <c r="G650" s="174">
        <v>0.86</v>
      </c>
    </row>
    <row r="651" spans="1:7" x14ac:dyDescent="0.25">
      <c r="A651" s="194">
        <v>2022</v>
      </c>
      <c r="B651" s="174" t="s">
        <v>513</v>
      </c>
      <c r="C651" s="175">
        <v>90</v>
      </c>
      <c r="D651" s="176"/>
      <c r="E651" s="176"/>
      <c r="F651" s="176"/>
      <c r="G651" s="174"/>
    </row>
    <row r="652" spans="1:7" x14ac:dyDescent="0.25">
      <c r="A652" s="194">
        <v>2022</v>
      </c>
      <c r="B652" s="174" t="s">
        <v>494</v>
      </c>
      <c r="C652" s="175">
        <v>74</v>
      </c>
      <c r="D652" s="175">
        <v>140.35</v>
      </c>
      <c r="E652" s="175">
        <v>88.29</v>
      </c>
      <c r="F652" s="175">
        <v>4.28</v>
      </c>
      <c r="G652" s="174">
        <v>0.79</v>
      </c>
    </row>
    <row r="653" spans="1:7" x14ac:dyDescent="0.25">
      <c r="A653" s="194">
        <v>2022</v>
      </c>
      <c r="B653" s="174" t="s">
        <v>494</v>
      </c>
      <c r="C653" s="175">
        <v>80</v>
      </c>
      <c r="D653" s="175">
        <v>144.56</v>
      </c>
      <c r="E653" s="175">
        <v>99.62</v>
      </c>
      <c r="F653" s="175">
        <v>4.41</v>
      </c>
      <c r="G653" s="174">
        <v>0.74</v>
      </c>
    </row>
    <row r="654" spans="1:7" x14ac:dyDescent="0.25">
      <c r="A654" s="194">
        <v>2022</v>
      </c>
      <c r="B654" s="174" t="s">
        <v>494</v>
      </c>
      <c r="C654" s="175">
        <v>82</v>
      </c>
      <c r="D654" s="175">
        <v>122.65</v>
      </c>
      <c r="E654" s="175">
        <v>81.75</v>
      </c>
      <c r="F654" s="175">
        <v>4.7</v>
      </c>
      <c r="G654" s="174">
        <v>0.84</v>
      </c>
    </row>
    <row r="655" spans="1:7" x14ac:dyDescent="0.25">
      <c r="A655" s="194">
        <v>2022</v>
      </c>
      <c r="B655" s="174" t="s">
        <v>494</v>
      </c>
      <c r="C655" s="175">
        <v>86</v>
      </c>
      <c r="D655" s="175">
        <v>122.22</v>
      </c>
      <c r="E655" s="175">
        <v>102.13</v>
      </c>
      <c r="F655" s="175">
        <v>4.78</v>
      </c>
      <c r="G655" s="174">
        <v>0.73</v>
      </c>
    </row>
    <row r="656" spans="1:7" x14ac:dyDescent="0.25">
      <c r="A656" s="194">
        <v>2022</v>
      </c>
      <c r="B656" s="174" t="s">
        <v>494</v>
      </c>
      <c r="C656" s="175">
        <v>81</v>
      </c>
      <c r="D656" s="175">
        <v>141.28</v>
      </c>
      <c r="E656" s="175">
        <v>102.56</v>
      </c>
      <c r="F656" s="175">
        <v>4.8099999999999996</v>
      </c>
      <c r="G656" s="174">
        <v>0.7</v>
      </c>
    </row>
    <row r="657" spans="1:7" x14ac:dyDescent="0.25">
      <c r="A657" s="194">
        <v>2022</v>
      </c>
      <c r="B657" s="174" t="s">
        <v>494</v>
      </c>
      <c r="C657" s="175">
        <v>72</v>
      </c>
      <c r="D657" s="175">
        <v>129.03</v>
      </c>
      <c r="E657" s="175">
        <v>90.08</v>
      </c>
      <c r="F657" s="175">
        <v>4.12</v>
      </c>
      <c r="G657" s="174"/>
    </row>
    <row r="658" spans="1:7" x14ac:dyDescent="0.25">
      <c r="A658" s="194">
        <v>2022</v>
      </c>
      <c r="B658" s="174" t="s">
        <v>481</v>
      </c>
      <c r="C658" s="175">
        <v>63</v>
      </c>
      <c r="D658" s="175">
        <v>76.599999999999994</v>
      </c>
      <c r="E658" s="175">
        <v>101.12</v>
      </c>
      <c r="F658" s="175">
        <v>5.49</v>
      </c>
      <c r="G658" s="174">
        <v>0.6</v>
      </c>
    </row>
    <row r="659" spans="1:7" x14ac:dyDescent="0.25">
      <c r="A659" s="194">
        <v>2022</v>
      </c>
      <c r="B659" s="174" t="s">
        <v>481</v>
      </c>
      <c r="C659" s="175">
        <v>63</v>
      </c>
      <c r="D659" s="175">
        <v>76.599999999999994</v>
      </c>
      <c r="E659" s="175">
        <v>101.12</v>
      </c>
      <c r="F659" s="175">
        <v>5.49</v>
      </c>
      <c r="G659" s="174">
        <v>0.6</v>
      </c>
    </row>
    <row r="660" spans="1:7" x14ac:dyDescent="0.25">
      <c r="A660" s="194">
        <v>2022</v>
      </c>
      <c r="B660" s="174" t="s">
        <v>481</v>
      </c>
      <c r="C660" s="175">
        <v>56</v>
      </c>
      <c r="D660" s="175">
        <v>89.25</v>
      </c>
      <c r="E660" s="175">
        <v>87.17</v>
      </c>
      <c r="F660" s="175">
        <v>5.34</v>
      </c>
      <c r="G660" s="174">
        <v>0.56999999999999995</v>
      </c>
    </row>
    <row r="661" spans="1:7" x14ac:dyDescent="0.25">
      <c r="A661" s="194">
        <v>2022</v>
      </c>
      <c r="B661" s="174" t="s">
        <v>481</v>
      </c>
      <c r="C661" s="175">
        <v>56</v>
      </c>
      <c r="D661" s="175">
        <v>89.25</v>
      </c>
      <c r="E661" s="175">
        <v>87.17</v>
      </c>
      <c r="F661" s="175">
        <v>5.34</v>
      </c>
      <c r="G661" s="174">
        <v>0.56999999999999995</v>
      </c>
    </row>
    <row r="662" spans="1:7" x14ac:dyDescent="0.25">
      <c r="A662" s="194">
        <v>2022</v>
      </c>
      <c r="B662" s="174" t="s">
        <v>481</v>
      </c>
      <c r="C662" s="175">
        <v>53</v>
      </c>
      <c r="D662" s="175">
        <v>108.36</v>
      </c>
      <c r="E662" s="175">
        <v>97.98</v>
      </c>
      <c r="F662" s="175">
        <v>4.5999999999999996</v>
      </c>
      <c r="G662" s="174">
        <v>0.85</v>
      </c>
    </row>
    <row r="663" spans="1:7" x14ac:dyDescent="0.25">
      <c r="A663" s="194">
        <v>2022</v>
      </c>
      <c r="B663" s="174" t="s">
        <v>481</v>
      </c>
      <c r="C663" s="175">
        <v>53</v>
      </c>
      <c r="D663" s="175">
        <v>108.36</v>
      </c>
      <c r="E663" s="175">
        <v>97.98</v>
      </c>
      <c r="F663" s="175">
        <v>4.5999999999999996</v>
      </c>
      <c r="G663" s="174">
        <v>0.85</v>
      </c>
    </row>
    <row r="664" spans="1:7" x14ac:dyDescent="0.25">
      <c r="A664" s="194">
        <v>2022</v>
      </c>
      <c r="B664" s="174" t="s">
        <v>481</v>
      </c>
      <c r="C664" s="175">
        <v>59</v>
      </c>
      <c r="D664" s="175">
        <v>120.29</v>
      </c>
      <c r="E664" s="175">
        <v>94.96</v>
      </c>
      <c r="F664" s="175">
        <v>4.8600000000000003</v>
      </c>
      <c r="G664" s="174">
        <v>1.61</v>
      </c>
    </row>
    <row r="665" spans="1:7" x14ac:dyDescent="0.25">
      <c r="A665" s="194">
        <v>2022</v>
      </c>
      <c r="B665" s="174" t="s">
        <v>481</v>
      </c>
      <c r="C665" s="175">
        <v>59</v>
      </c>
      <c r="D665" s="175">
        <v>120.29</v>
      </c>
      <c r="E665" s="175">
        <v>94.96</v>
      </c>
      <c r="F665" s="175">
        <v>4.8600000000000003</v>
      </c>
      <c r="G665" s="174">
        <v>1.61</v>
      </c>
    </row>
    <row r="666" spans="1:7" x14ac:dyDescent="0.25">
      <c r="A666" s="194">
        <v>2022</v>
      </c>
      <c r="B666" s="174" t="s">
        <v>481</v>
      </c>
      <c r="C666" s="175">
        <v>57</v>
      </c>
      <c r="D666" s="175">
        <v>110.81</v>
      </c>
      <c r="E666" s="175">
        <v>90.91</v>
      </c>
      <c r="F666" s="175">
        <v>5.3</v>
      </c>
      <c r="G666" s="174">
        <v>0.72</v>
      </c>
    </row>
    <row r="667" spans="1:7" x14ac:dyDescent="0.25">
      <c r="A667" s="194">
        <v>2022</v>
      </c>
      <c r="B667" s="174" t="s">
        <v>481</v>
      </c>
      <c r="C667" s="175">
        <v>57</v>
      </c>
      <c r="D667" s="175">
        <v>110.81</v>
      </c>
      <c r="E667" s="175">
        <v>90.91</v>
      </c>
      <c r="F667" s="175">
        <v>5.3</v>
      </c>
      <c r="G667" s="174">
        <v>0.72</v>
      </c>
    </row>
    <row r="668" spans="1:7" x14ac:dyDescent="0.25">
      <c r="A668" s="194">
        <v>2022</v>
      </c>
      <c r="B668" s="174" t="s">
        <v>481</v>
      </c>
      <c r="C668" s="175">
        <v>64</v>
      </c>
      <c r="D668" s="176"/>
      <c r="E668" s="176"/>
      <c r="F668" s="176"/>
      <c r="G668" s="174"/>
    </row>
    <row r="669" spans="1:7" x14ac:dyDescent="0.25">
      <c r="A669" s="194">
        <v>2022</v>
      </c>
      <c r="B669" s="174" t="s">
        <v>481</v>
      </c>
      <c r="C669" s="175">
        <v>64</v>
      </c>
      <c r="D669" s="176"/>
      <c r="E669" s="176"/>
      <c r="F669" s="176"/>
      <c r="G669" s="174"/>
    </row>
    <row r="670" spans="1:7" x14ac:dyDescent="0.25">
      <c r="A670" s="194">
        <v>2022</v>
      </c>
      <c r="B670" s="174" t="s">
        <v>477</v>
      </c>
      <c r="C670" s="175">
        <v>69</v>
      </c>
      <c r="D670" s="175">
        <v>105.74</v>
      </c>
      <c r="E670" s="175">
        <v>103.44</v>
      </c>
      <c r="F670" s="175">
        <v>3.27</v>
      </c>
      <c r="G670" s="174">
        <v>0.52</v>
      </c>
    </row>
    <row r="671" spans="1:7" x14ac:dyDescent="0.25">
      <c r="A671" s="194">
        <v>2022</v>
      </c>
      <c r="B671" s="174" t="s">
        <v>477</v>
      </c>
      <c r="C671" s="175">
        <v>72</v>
      </c>
      <c r="D671" s="175">
        <v>110.05</v>
      </c>
      <c r="E671" s="175">
        <v>93.13</v>
      </c>
      <c r="F671" s="175">
        <v>3.56</v>
      </c>
      <c r="G671" s="174">
        <v>0.46</v>
      </c>
    </row>
    <row r="672" spans="1:7" x14ac:dyDescent="0.25">
      <c r="A672" s="194">
        <v>2022</v>
      </c>
      <c r="B672" s="174" t="s">
        <v>477</v>
      </c>
      <c r="C672" s="175">
        <v>83</v>
      </c>
      <c r="D672" s="175">
        <v>94.84</v>
      </c>
      <c r="E672" s="175">
        <v>93.15</v>
      </c>
      <c r="F672" s="175">
        <v>3.14</v>
      </c>
      <c r="G672" s="174">
        <v>0.49</v>
      </c>
    </row>
    <row r="673" spans="1:7" x14ac:dyDescent="0.25">
      <c r="A673" s="194">
        <v>2022</v>
      </c>
      <c r="B673" s="174" t="s">
        <v>477</v>
      </c>
      <c r="C673" s="175">
        <v>85</v>
      </c>
      <c r="D673" s="175">
        <v>120.45</v>
      </c>
      <c r="E673" s="175">
        <v>105.31</v>
      </c>
      <c r="F673" s="175">
        <v>3.65</v>
      </c>
      <c r="G673" s="174">
        <v>0.46</v>
      </c>
    </row>
    <row r="674" spans="1:7" x14ac:dyDescent="0.25">
      <c r="A674" s="194">
        <v>2022</v>
      </c>
      <c r="B674" s="174" t="s">
        <v>477</v>
      </c>
      <c r="C674" s="175">
        <v>74</v>
      </c>
      <c r="D674" s="175">
        <v>107.59</v>
      </c>
      <c r="E674" s="175">
        <v>113.52</v>
      </c>
      <c r="F674" s="175">
        <v>3.77</v>
      </c>
      <c r="G674" s="174">
        <v>0.51</v>
      </c>
    </row>
    <row r="675" spans="1:7" x14ac:dyDescent="0.25">
      <c r="A675" s="194">
        <v>2020</v>
      </c>
      <c r="B675" s="174" t="s">
        <v>626</v>
      </c>
      <c r="C675" s="175">
        <v>50.740857349337702</v>
      </c>
      <c r="D675" s="175">
        <v>31.284367140659516</v>
      </c>
      <c r="E675" s="175">
        <v>31.653765462721054</v>
      </c>
      <c r="F675" s="176"/>
      <c r="G675" s="174"/>
    </row>
    <row r="676" spans="1:7" x14ac:dyDescent="0.25">
      <c r="A676" s="194">
        <v>2020</v>
      </c>
      <c r="B676" s="174" t="s">
        <v>626</v>
      </c>
      <c r="C676" s="175">
        <v>16.247608036850686</v>
      </c>
      <c r="D676" s="175">
        <v>42.610386207039944</v>
      </c>
      <c r="E676" s="175">
        <v>36.577954190822403</v>
      </c>
      <c r="F676" s="176"/>
      <c r="G676" s="174"/>
    </row>
    <row r="677" spans="1:7" x14ac:dyDescent="0.25">
      <c r="A677" s="194">
        <v>2020</v>
      </c>
      <c r="B677" s="174" t="s">
        <v>626</v>
      </c>
      <c r="C677" s="175">
        <v>39.684262161036422</v>
      </c>
      <c r="D677" s="175">
        <v>32.047920484674812</v>
      </c>
      <c r="E677" s="175">
        <v>21.910289309897994</v>
      </c>
      <c r="F677" s="176"/>
      <c r="G677" s="174"/>
    </row>
    <row r="678" spans="1:7" x14ac:dyDescent="0.25">
      <c r="A678" s="194">
        <v>2020</v>
      </c>
      <c r="B678" s="174" t="s">
        <v>629</v>
      </c>
      <c r="C678" s="176"/>
      <c r="D678" s="175">
        <v>56.55853871455998</v>
      </c>
      <c r="E678" s="175">
        <v>31.904102051683413</v>
      </c>
      <c r="F678" s="176"/>
      <c r="G678" s="174"/>
    </row>
    <row r="679" spans="1:7" x14ac:dyDescent="0.25">
      <c r="A679" s="194">
        <v>2020</v>
      </c>
      <c r="B679" s="174" t="s">
        <v>629</v>
      </c>
      <c r="C679" s="176"/>
      <c r="D679" s="175">
        <v>32.325899545752222</v>
      </c>
      <c r="E679" s="175">
        <v>11.311696533740761</v>
      </c>
      <c r="F679" s="176"/>
      <c r="G679" s="174"/>
    </row>
    <row r="680" spans="1:7" x14ac:dyDescent="0.25">
      <c r="A680" s="194">
        <v>2020</v>
      </c>
      <c r="B680" s="174" t="s">
        <v>629</v>
      </c>
      <c r="C680" s="176"/>
      <c r="D680" s="175">
        <v>28.829904120464555</v>
      </c>
      <c r="E680" s="175">
        <v>12.127449184776049</v>
      </c>
      <c r="F680" s="176"/>
      <c r="G680" s="174"/>
    </row>
    <row r="681" spans="1:7" x14ac:dyDescent="0.25">
      <c r="A681" s="194">
        <v>2020</v>
      </c>
      <c r="B681" s="174" t="s">
        <v>629</v>
      </c>
      <c r="C681" s="176"/>
      <c r="D681" s="175">
        <v>14.349578726407854</v>
      </c>
      <c r="E681" s="175">
        <v>31.030715148251318</v>
      </c>
      <c r="F681" s="176"/>
      <c r="G681" s="174"/>
    </row>
    <row r="682" spans="1:7" x14ac:dyDescent="0.25">
      <c r="A682" s="194">
        <v>2020</v>
      </c>
      <c r="B682" s="174" t="s">
        <v>629</v>
      </c>
      <c r="C682" s="176"/>
      <c r="D682" s="175">
        <v>27.602499662096815</v>
      </c>
      <c r="E682" s="175">
        <v>92.914681309838343</v>
      </c>
      <c r="F682" s="176"/>
      <c r="G682" s="174"/>
    </row>
    <row r="683" spans="1:7" x14ac:dyDescent="0.25">
      <c r="A683" s="194">
        <v>2020</v>
      </c>
      <c r="B683" s="174" t="s">
        <v>629</v>
      </c>
      <c r="C683" s="176"/>
      <c r="D683" s="175">
        <v>52.045667758467971</v>
      </c>
      <c r="E683" s="175">
        <v>17.778074813201091</v>
      </c>
      <c r="F683" s="176"/>
      <c r="G683" s="174"/>
    </row>
    <row r="684" spans="1:7" x14ac:dyDescent="0.25">
      <c r="A684" s="194">
        <v>2020</v>
      </c>
      <c r="B684" s="174" t="s">
        <v>630</v>
      </c>
      <c r="C684" s="176"/>
      <c r="D684" s="175">
        <v>28.989100399941695</v>
      </c>
      <c r="E684" s="175">
        <v>20.813656992886461</v>
      </c>
      <c r="F684" s="176"/>
      <c r="G684" s="174"/>
    </row>
    <row r="685" spans="1:7" x14ac:dyDescent="0.25">
      <c r="A685" s="194">
        <v>2020</v>
      </c>
      <c r="B685" s="174" t="s">
        <v>630</v>
      </c>
      <c r="C685" s="176"/>
      <c r="D685" s="175">
        <v>16.818118645145613</v>
      </c>
      <c r="E685" s="175">
        <v>17.106549329395904</v>
      </c>
      <c r="F685" s="176"/>
      <c r="G685" s="174"/>
    </row>
    <row r="686" spans="1:7" x14ac:dyDescent="0.25">
      <c r="A686" s="194">
        <v>2020</v>
      </c>
      <c r="B686" s="174" t="s">
        <v>630</v>
      </c>
      <c r="C686" s="176"/>
      <c r="D686" s="175">
        <v>24.141559340253163</v>
      </c>
      <c r="E686" s="175">
        <v>41.721323816051928</v>
      </c>
      <c r="F686" s="176"/>
      <c r="G686" s="174"/>
    </row>
    <row r="687" spans="1:7" x14ac:dyDescent="0.25">
      <c r="A687" s="194">
        <v>2020</v>
      </c>
      <c r="B687" s="174" t="s">
        <v>630</v>
      </c>
      <c r="C687" s="176"/>
      <c r="D687" s="175">
        <v>23.078700833706996</v>
      </c>
      <c r="E687" s="175">
        <v>16.506976639234935</v>
      </c>
      <c r="F687" s="176"/>
      <c r="G687" s="174"/>
    </row>
    <row r="688" spans="1:7" x14ac:dyDescent="0.25">
      <c r="A688" s="194">
        <v>2020</v>
      </c>
      <c r="B688" s="174" t="s">
        <v>630</v>
      </c>
      <c r="C688" s="176"/>
      <c r="D688" s="175">
        <v>28.071022224323762</v>
      </c>
      <c r="E688" s="175">
        <v>27.595234514626661</v>
      </c>
      <c r="F688" s="176"/>
      <c r="G688" s="174"/>
    </row>
    <row r="689" spans="1:7" x14ac:dyDescent="0.25">
      <c r="A689" s="194">
        <v>2020</v>
      </c>
      <c r="B689" s="174" t="s">
        <v>630</v>
      </c>
      <c r="C689" s="176"/>
      <c r="D689" s="175">
        <v>19.250142513629573</v>
      </c>
      <c r="E689" s="175">
        <v>46.798077552653055</v>
      </c>
      <c r="F689" s="176"/>
      <c r="G689" s="174"/>
    </row>
    <row r="690" spans="1:7" x14ac:dyDescent="0.25">
      <c r="A690" s="194">
        <v>2020</v>
      </c>
      <c r="B690" s="174" t="s">
        <v>79</v>
      </c>
      <c r="C690" s="175">
        <v>60.859762763410394</v>
      </c>
      <c r="D690" s="175">
        <v>22.193997724902758</v>
      </c>
      <c r="E690" s="175">
        <v>36.250886994173776</v>
      </c>
      <c r="F690" s="175">
        <v>10.276444492512887</v>
      </c>
      <c r="G690" s="174"/>
    </row>
    <row r="691" spans="1:7" x14ac:dyDescent="0.25">
      <c r="A691" s="194">
        <v>2020</v>
      </c>
      <c r="B691" s="174" t="s">
        <v>79</v>
      </c>
      <c r="C691" s="175">
        <v>31.716235620551572</v>
      </c>
      <c r="D691" s="175">
        <v>13.718233573770496</v>
      </c>
      <c r="E691" s="175">
        <v>52.085538454715618</v>
      </c>
      <c r="F691" s="175">
        <v>21.650788419962865</v>
      </c>
      <c r="G691" s="174"/>
    </row>
    <row r="692" spans="1:7" x14ac:dyDescent="0.25">
      <c r="A692" s="194">
        <v>2020</v>
      </c>
      <c r="B692" s="174" t="s">
        <v>79</v>
      </c>
      <c r="C692" s="175">
        <v>53.679989913968988</v>
      </c>
      <c r="D692" s="175">
        <v>16.550493618666334</v>
      </c>
      <c r="E692" s="175">
        <v>65.723608325228938</v>
      </c>
      <c r="F692" s="175">
        <v>23.808333287540904</v>
      </c>
      <c r="G692" s="174"/>
    </row>
    <row r="693" spans="1:7" x14ac:dyDescent="0.25">
      <c r="A693" s="194">
        <v>2020</v>
      </c>
      <c r="B693" s="174" t="s">
        <v>79</v>
      </c>
      <c r="C693" s="175">
        <v>45.309076631826414</v>
      </c>
      <c r="D693" s="175">
        <v>31.8982615724216</v>
      </c>
      <c r="E693" s="175">
        <v>48.733800070024778</v>
      </c>
      <c r="F693" s="175">
        <v>11.965123983107537</v>
      </c>
      <c r="G693" s="174"/>
    </row>
    <row r="694" spans="1:7" x14ac:dyDescent="0.25">
      <c r="A694" s="194">
        <v>2020</v>
      </c>
      <c r="B694" s="174" t="s">
        <v>79</v>
      </c>
      <c r="C694" s="175">
        <v>36.466121411012125</v>
      </c>
      <c r="D694" s="175">
        <v>32.406268836385678</v>
      </c>
      <c r="E694" s="175">
        <v>60.143737431837998</v>
      </c>
      <c r="F694" s="175">
        <v>28.427180362594857</v>
      </c>
      <c r="G694" s="17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3E444-A62F-47D9-AC9C-EBEDAB44F986}">
  <dimension ref="A1:T870"/>
  <sheetViews>
    <sheetView workbookViewId="0">
      <selection activeCell="I1" sqref="I1"/>
    </sheetView>
  </sheetViews>
  <sheetFormatPr defaultRowHeight="15" x14ac:dyDescent="0.25"/>
  <cols>
    <col min="1" max="1" width="9.140625" style="171"/>
    <col min="15" max="15" width="24.140625" customWidth="1"/>
  </cols>
  <sheetData>
    <row r="1" spans="1:20" s="136" customFormat="1" x14ac:dyDescent="0.25">
      <c r="B1" s="136" t="s">
        <v>660</v>
      </c>
      <c r="I1" s="136" t="s">
        <v>665</v>
      </c>
      <c r="P1" s="136" t="s">
        <v>457</v>
      </c>
    </row>
    <row r="2" spans="1:20" s="24" customFormat="1" x14ac:dyDescent="0.25">
      <c r="A2" s="179" t="s">
        <v>661</v>
      </c>
      <c r="B2" s="179" t="s">
        <v>83</v>
      </c>
      <c r="C2" s="179" t="s">
        <v>100</v>
      </c>
      <c r="D2" s="179" t="s">
        <v>229</v>
      </c>
      <c r="E2" s="179" t="s">
        <v>196</v>
      </c>
      <c r="F2" s="179" t="s">
        <v>638</v>
      </c>
      <c r="G2" s="179"/>
      <c r="I2" s="190" t="s">
        <v>83</v>
      </c>
      <c r="J2" s="191" t="str">
        <f>C2</f>
        <v>AChE</v>
      </c>
      <c r="K2" s="191" t="str">
        <f>D2</f>
        <v>CAT</v>
      </c>
      <c r="L2" s="191" t="str">
        <f>E2</f>
        <v>GST</v>
      </c>
      <c r="M2" s="191" t="str">
        <f>F2</f>
        <v>GR</v>
      </c>
      <c r="P2" s="191" t="s">
        <v>83</v>
      </c>
      <c r="Q2" s="191" t="str">
        <f>J2</f>
        <v>AChE</v>
      </c>
      <c r="R2" s="191" t="str">
        <f t="shared" ref="R2:T2" si="0">K2</f>
        <v>CAT</v>
      </c>
      <c r="S2" s="191" t="str">
        <f t="shared" si="0"/>
        <v>GST</v>
      </c>
      <c r="T2" s="191" t="str">
        <f t="shared" si="0"/>
        <v>GR</v>
      </c>
    </row>
    <row r="3" spans="1:20" x14ac:dyDescent="0.25">
      <c r="A3" s="180">
        <v>2012</v>
      </c>
      <c r="B3" s="181" t="s">
        <v>495</v>
      </c>
      <c r="C3" s="180">
        <v>6</v>
      </c>
      <c r="D3" s="180">
        <v>58.48</v>
      </c>
      <c r="E3" s="180">
        <v>348.8</v>
      </c>
      <c r="F3" s="180">
        <v>9.27</v>
      </c>
      <c r="G3" s="181"/>
      <c r="I3" s="189" t="s">
        <v>495</v>
      </c>
      <c r="J3" cm="1">
        <f t="array" ref="J3">_xlfn.PERCENTILE.INC(_xlfn._xlws.FILTER(C:C, (B:B=I3)*(C:C&lt;&gt;"")), 0.1)</f>
        <v>6</v>
      </c>
      <c r="K3" cm="1">
        <f t="array" ref="K3">_xlfn.PERCENTILE.INC(_xlfn._xlws.FILTER(D:D, (B:B=I3)*(D:D&lt;&gt;"")), 0.9)</f>
        <v>97.484000000000009</v>
      </c>
      <c r="L3" cm="1">
        <f t="array" ref="L3">_xlfn.PERCENTILE.INC(_xlfn._xlws.FILTER(E:E, (B:B=I3)*(E:E&lt;&gt;"")), 0.9)</f>
        <v>521.31500000000005</v>
      </c>
      <c r="M3" cm="1">
        <f t="array" ref="M3">_xlfn.PERCENTILE.INC(_xlfn._xlws.FILTER(F:F, (B:B=I3)*(F:F&lt;&gt;"")), 0.9)</f>
        <v>14.548000000000002</v>
      </c>
      <c r="P3" t="str">
        <f>I3</f>
        <v>167B</v>
      </c>
      <c r="Q3">
        <f>COUNTIFS(B:B, P3, C:C, "&lt;&gt;")</f>
        <v>69</v>
      </c>
      <c r="R3">
        <f>COUNTIFS(B:B, P3, D:D, "&lt;&gt;")</f>
        <v>74</v>
      </c>
      <c r="S3">
        <f>COUNTIFS(B:B, P3, E:E, "&lt;&gt;")</f>
        <v>76</v>
      </c>
      <c r="T3">
        <f>COUNTIFS(B:B, P3, F:F, "&lt;&gt;")</f>
        <v>45</v>
      </c>
    </row>
    <row r="4" spans="1:20" x14ac:dyDescent="0.25">
      <c r="A4" s="180">
        <v>2012</v>
      </c>
      <c r="B4" s="181" t="s">
        <v>495</v>
      </c>
      <c r="C4" s="180">
        <v>7</v>
      </c>
      <c r="D4" s="180">
        <v>33.799999999999997</v>
      </c>
      <c r="E4" s="180">
        <v>523.42999999999995</v>
      </c>
      <c r="F4" s="180">
        <v>11.55</v>
      </c>
      <c r="G4" s="181"/>
      <c r="I4" s="181" t="s">
        <v>482</v>
      </c>
      <c r="J4" cm="1">
        <f t="array" ref="J4">_xlfn.PERCENTILE.INC(_xlfn._xlws.FILTER(C:C, (B:B=I4)*(C:C&lt;&gt;"")), 0.1)</f>
        <v>5</v>
      </c>
      <c r="K4" cm="1">
        <f t="array" ref="K4">_xlfn.PERCENTILE.INC(_xlfn._xlws.FILTER(D:D, (B:B=I4)*(D:D&lt;&gt;"")), 0.9)</f>
        <v>92.774000000000001</v>
      </c>
      <c r="L4" cm="1">
        <f t="array" ref="L4">_xlfn.PERCENTILE.INC(_xlfn._xlws.FILTER(E:E, (B:B=I4)*(E:E&lt;&gt;"")), 0.9)</f>
        <v>589.08500000000015</v>
      </c>
      <c r="M4" cm="1">
        <f t="array" ref="M4">_xlfn.PERCENTILE.INC(_xlfn._xlws.FILTER(F:F, (B:B=I4)*(F:F&lt;&gt;"")), 0.9)</f>
        <v>16.765000000000001</v>
      </c>
      <c r="P4" t="str">
        <f t="shared" ref="P4:P21" si="1">I4</f>
        <v>114A</v>
      </c>
      <c r="Q4">
        <f t="shared" ref="Q4:Q21" si="2">COUNTIFS(B:B, P4, C:C, "&lt;&gt;")</f>
        <v>57</v>
      </c>
      <c r="R4">
        <f t="shared" ref="R4:R21" si="3">COUNTIFS(B:B, P4, D:D, "&lt;&gt;")</f>
        <v>62</v>
      </c>
      <c r="S4">
        <f t="shared" ref="S4:S21" si="4">COUNTIFS(B:B, P4, E:E, "&lt;&gt;")</f>
        <v>64</v>
      </c>
      <c r="T4">
        <f t="shared" ref="T4:T21" si="5">COUNTIFS(B:B, P4, F:F, "&lt;&gt;")</f>
        <v>44</v>
      </c>
    </row>
    <row r="5" spans="1:20" x14ac:dyDescent="0.25">
      <c r="A5" s="180">
        <v>2012</v>
      </c>
      <c r="B5" s="181" t="s">
        <v>495</v>
      </c>
      <c r="C5" s="180">
        <v>7</v>
      </c>
      <c r="D5" s="180">
        <v>74.12</v>
      </c>
      <c r="E5" s="180">
        <v>470.56</v>
      </c>
      <c r="F5" s="180">
        <v>13.36</v>
      </c>
      <c r="G5" s="181"/>
      <c r="I5" s="181" t="s">
        <v>481</v>
      </c>
      <c r="J5" cm="1">
        <f t="array" ref="J5">_xlfn.PERCENTILE.INC(_xlfn._xlws.FILTER(C:C, (B:B=I5)*(C:C&lt;&gt;"")), 0.1)</f>
        <v>6</v>
      </c>
      <c r="K5" cm="1">
        <f t="array" ref="K5">_xlfn.PERCENTILE.INC(_xlfn._xlws.FILTER(D:D, (B:B=I5)*(D:D&lt;&gt;"")), 0.9)</f>
        <v>94.16</v>
      </c>
      <c r="L5" cm="1">
        <f t="array" ref="L5">_xlfn.PERCENTILE.INC(_xlfn._xlws.FILTER(E:E, (B:B=I5)*(E:E&lt;&gt;"")), 0.9)</f>
        <v>503.79500000000002</v>
      </c>
      <c r="M5" cm="1">
        <f t="array" ref="M5">_xlfn.PERCENTILE.INC(_xlfn._xlws.FILTER(F:F, (B:B=I5)*(F:F&lt;&gt;"")), 0.9)</f>
        <v>15.96</v>
      </c>
      <c r="P5" t="str">
        <f t="shared" si="1"/>
        <v>111</v>
      </c>
      <c r="Q5">
        <f t="shared" si="2"/>
        <v>140</v>
      </c>
      <c r="R5">
        <f t="shared" si="3"/>
        <v>148</v>
      </c>
      <c r="S5">
        <f t="shared" si="4"/>
        <v>152</v>
      </c>
      <c r="T5">
        <f t="shared" si="5"/>
        <v>70</v>
      </c>
    </row>
    <row r="6" spans="1:20" x14ac:dyDescent="0.25">
      <c r="A6" s="180">
        <v>2012</v>
      </c>
      <c r="B6" s="181" t="s">
        <v>495</v>
      </c>
      <c r="C6" s="180">
        <v>7</v>
      </c>
      <c r="D6" s="180">
        <v>34.83</v>
      </c>
      <c r="E6" s="180">
        <v>536.4</v>
      </c>
      <c r="F6" s="180">
        <v>9.26</v>
      </c>
      <c r="G6" s="181"/>
      <c r="I6" s="181" t="s">
        <v>512</v>
      </c>
      <c r="J6" cm="1">
        <f t="array" ref="J6">_xlfn.PERCENTILE.INC(_xlfn._xlws.FILTER(C:C, (B:B=I6)*(C:C&lt;&gt;"")), 0.1)</f>
        <v>6</v>
      </c>
      <c r="K6" cm="1">
        <f t="array" ref="K6">_xlfn.PERCENTILE.INC(_xlfn._xlws.FILTER(D:D, (B:B=I6)*(D:D&lt;&gt;"")), 0.9)</f>
        <v>79.474000000000018</v>
      </c>
      <c r="L6" cm="1">
        <f t="array" ref="L6">_xlfn.PERCENTILE.INC(_xlfn._xlws.FILTER(E:E, (B:B=I6)*(E:E&lt;&gt;"")), 0.9)</f>
        <v>572.85</v>
      </c>
      <c r="M6" cm="1">
        <f t="array" ref="M6">_xlfn.PERCENTILE.INC(_xlfn._xlws.FILTER(F:F, (B:B=I6)*(F:F&lt;&gt;"")), 0.9)</f>
        <v>15.52</v>
      </c>
      <c r="P6" t="str">
        <f t="shared" si="1"/>
        <v>VAD2</v>
      </c>
      <c r="Q6">
        <f t="shared" si="2"/>
        <v>48</v>
      </c>
      <c r="R6">
        <f t="shared" si="3"/>
        <v>49</v>
      </c>
      <c r="S6">
        <f t="shared" si="4"/>
        <v>50</v>
      </c>
      <c r="T6">
        <f t="shared" si="5"/>
        <v>21</v>
      </c>
    </row>
    <row r="7" spans="1:20" x14ac:dyDescent="0.25">
      <c r="A7" s="180">
        <v>2012</v>
      </c>
      <c r="B7" s="181" t="s">
        <v>495</v>
      </c>
      <c r="C7" s="180">
        <v>8</v>
      </c>
      <c r="D7" s="180">
        <v>53.61</v>
      </c>
      <c r="E7" s="180">
        <v>395.88</v>
      </c>
      <c r="F7" s="182"/>
      <c r="G7" s="181"/>
      <c r="I7" s="181" t="s">
        <v>480</v>
      </c>
      <c r="J7" cm="1">
        <f t="array" ref="J7">_xlfn.PERCENTILE.INC(_xlfn._xlws.FILTER(C:C, (B:B=I7)*(C:C&lt;&gt;"")), 0.1)</f>
        <v>6</v>
      </c>
      <c r="K7" cm="1">
        <f t="array" ref="K7">_xlfn.PERCENTILE.INC(_xlfn._xlws.FILTER(D:D, (B:B=I7)*(D:D&lt;&gt;"")), 0.9)</f>
        <v>85.266000000000005</v>
      </c>
      <c r="L7" cm="1">
        <f t="array" ref="L7">_xlfn.PERCENTILE.INC(_xlfn._xlws.FILTER(E:E, (B:B=I7)*(E:E&lt;&gt;"")), 0.9)</f>
        <v>495.31400000000002</v>
      </c>
      <c r="M7" cm="1">
        <f t="array" ref="M7">_xlfn.PERCENTILE.INC(_xlfn._xlws.FILTER(F:F, (B:B=I7)*(F:F&lt;&gt;"")), 0.9)</f>
        <v>10.824</v>
      </c>
      <c r="P7" t="str">
        <f t="shared" si="1"/>
        <v>107</v>
      </c>
      <c r="Q7">
        <f t="shared" si="2"/>
        <v>57</v>
      </c>
      <c r="R7">
        <f t="shared" si="3"/>
        <v>64</v>
      </c>
      <c r="S7">
        <f t="shared" si="4"/>
        <v>65</v>
      </c>
      <c r="T7">
        <f t="shared" si="5"/>
        <v>29</v>
      </c>
    </row>
    <row r="8" spans="1:20" x14ac:dyDescent="0.25">
      <c r="A8" s="180">
        <v>2012</v>
      </c>
      <c r="B8" s="181" t="s">
        <v>495</v>
      </c>
      <c r="C8" s="182"/>
      <c r="D8" s="182"/>
      <c r="E8" s="180">
        <v>391.05</v>
      </c>
      <c r="F8" s="180">
        <v>10.33</v>
      </c>
      <c r="G8" s="181"/>
      <c r="I8" s="181" t="s">
        <v>492</v>
      </c>
      <c r="J8" cm="1">
        <f t="array" ref="J8">_xlfn.PERCENTILE.INC(_xlfn._xlws.FILTER(C:C, (B:B=I8)*(C:C&lt;&gt;"")), 0.1)</f>
        <v>6</v>
      </c>
      <c r="K8" cm="1">
        <f t="array" ref="K8">_xlfn.PERCENTILE.INC(_xlfn._xlws.FILTER(D:D, (B:B=I8)*(D:D&lt;&gt;"")), 0.9)</f>
        <v>91.679000000000002</v>
      </c>
      <c r="L8" cm="1">
        <f t="array" ref="L8">_xlfn.PERCENTILE.INC(_xlfn._xlws.FILTER(E:E, (B:B=I8)*(E:E&lt;&gt;"")), 0.9)</f>
        <v>515.61</v>
      </c>
      <c r="M8" cm="1">
        <f t="array" ref="M8">_xlfn.PERCENTILE.INC(_xlfn._xlws.FILTER(F:F, (B:B=I8)*(F:F&lt;&gt;"")), 0.9)</f>
        <v>13.885</v>
      </c>
      <c r="P8" t="str">
        <f t="shared" si="1"/>
        <v>160B</v>
      </c>
      <c r="Q8">
        <f t="shared" si="2"/>
        <v>61</v>
      </c>
      <c r="R8">
        <f t="shared" si="3"/>
        <v>64</v>
      </c>
      <c r="S8">
        <f t="shared" si="4"/>
        <v>61</v>
      </c>
      <c r="T8">
        <f t="shared" si="5"/>
        <v>36</v>
      </c>
    </row>
    <row r="9" spans="1:20" x14ac:dyDescent="0.25">
      <c r="A9" s="180">
        <v>2012</v>
      </c>
      <c r="B9" s="181" t="s">
        <v>482</v>
      </c>
      <c r="C9" s="180">
        <v>8</v>
      </c>
      <c r="D9" s="180">
        <v>34.03</v>
      </c>
      <c r="E9" s="180">
        <v>353.54</v>
      </c>
      <c r="F9" s="180">
        <v>15.64</v>
      </c>
      <c r="G9" s="181"/>
      <c r="I9" s="181" t="s">
        <v>493</v>
      </c>
      <c r="J9" cm="1">
        <f t="array" ref="J9">_xlfn.PERCENTILE.INC(_xlfn._xlws.FILTER(C:C, (B:B=I9)*(C:C&lt;&gt;"")), 0.1)</f>
        <v>6</v>
      </c>
      <c r="K9" cm="1">
        <f t="array" ref="K9">_xlfn.PERCENTILE.INC(_xlfn._xlws.FILTER(D:D, (B:B=I9)*(D:D&lt;&gt;"")), 0.9)</f>
        <v>95.87</v>
      </c>
      <c r="L9" cm="1">
        <f t="array" ref="L9">_xlfn.PERCENTILE.INC(_xlfn._xlws.FILTER(E:E, (B:B=I9)*(E:E&lt;&gt;"")), 0.9)</f>
        <v>481.41399999999999</v>
      </c>
      <c r="M9" cm="1">
        <f t="array" ref="M9">_xlfn.PERCENTILE.INC(_xlfn._xlws.FILTER(F:F, (B:B=I9)*(F:F&lt;&gt;"")), 0.9)</f>
        <v>12.893000000000001</v>
      </c>
      <c r="P9" t="str">
        <f t="shared" si="1"/>
        <v>162B</v>
      </c>
      <c r="Q9">
        <f t="shared" si="2"/>
        <v>56</v>
      </c>
      <c r="R9">
        <f t="shared" si="3"/>
        <v>61</v>
      </c>
      <c r="S9">
        <f t="shared" si="4"/>
        <v>58</v>
      </c>
      <c r="T9">
        <f t="shared" si="5"/>
        <v>32</v>
      </c>
    </row>
    <row r="10" spans="1:20" x14ac:dyDescent="0.25">
      <c r="A10" s="180">
        <v>2012</v>
      </c>
      <c r="B10" s="181" t="s">
        <v>482</v>
      </c>
      <c r="C10" s="180">
        <v>8</v>
      </c>
      <c r="D10" s="180">
        <v>28.11</v>
      </c>
      <c r="E10" s="180">
        <v>336</v>
      </c>
      <c r="F10" s="180">
        <v>19.66</v>
      </c>
      <c r="G10" s="181"/>
      <c r="I10" s="181" t="s">
        <v>477</v>
      </c>
      <c r="J10" cm="1">
        <f t="array" ref="J10">_xlfn.PERCENTILE.INC(_xlfn._xlws.FILTER(C:C, (B:B=I10)*(C:C&lt;&gt;"")), 0.1)</f>
        <v>7</v>
      </c>
      <c r="K10" cm="1">
        <f t="array" ref="K10">_xlfn.PERCENTILE.INC(_xlfn._xlws.FILTER(D:D, (B:B=I10)*(D:D&lt;&gt;"")), 0.9)</f>
        <v>79.438000000000002</v>
      </c>
      <c r="L10" cm="1">
        <f t="array" ref="L10">_xlfn.PERCENTILE.INC(_xlfn._xlws.FILTER(E:E, (B:B=I10)*(E:E&lt;&gt;"")), 0.9)</f>
        <v>585.95000000000005</v>
      </c>
      <c r="M10" cm="1">
        <f t="array" ref="M10">_xlfn.PERCENTILE.INC(_xlfn._xlws.FILTER(F:F, (B:B=I10)*(F:F&lt;&gt;"")), 0.9)</f>
        <v>16.218000000000004</v>
      </c>
      <c r="P10" t="str">
        <f t="shared" si="1"/>
        <v>101A</v>
      </c>
      <c r="Q10">
        <f t="shared" si="2"/>
        <v>66</v>
      </c>
      <c r="R10">
        <f t="shared" si="3"/>
        <v>72</v>
      </c>
      <c r="S10">
        <f t="shared" si="4"/>
        <v>76</v>
      </c>
      <c r="T10">
        <f t="shared" si="5"/>
        <v>38</v>
      </c>
    </row>
    <row r="11" spans="1:20" x14ac:dyDescent="0.25">
      <c r="A11" s="180">
        <v>2012</v>
      </c>
      <c r="B11" s="181" t="s">
        <v>482</v>
      </c>
      <c r="C11" s="180">
        <v>9</v>
      </c>
      <c r="D11" s="180">
        <v>33.29</v>
      </c>
      <c r="E11" s="180">
        <v>259.69</v>
      </c>
      <c r="F11" s="180">
        <v>12.66</v>
      </c>
      <c r="G11" s="181"/>
      <c r="I11" s="181" t="s">
        <v>494</v>
      </c>
      <c r="J11" cm="1">
        <f t="array" ref="J11">_xlfn.PERCENTILE.INC(_xlfn._xlws.FILTER(C:C, (B:B=I11)*(C:C&lt;&gt;"")), 0.1)</f>
        <v>5</v>
      </c>
      <c r="K11" s="171" cm="1">
        <f t="array" ref="K11">_xlfn.PERCENTILE.INC(_xlfn._xlws.FILTER(D:D, (B:B=I11)*(D:D&lt;&gt;"")), 0.9)</f>
        <v>77.768000000000001</v>
      </c>
      <c r="L11" s="171" cm="1">
        <f t="array" ref="L11">_xlfn.PERCENTILE.INC(_xlfn._xlws.FILTER(E:E, (B:B=I11)*(E:E&lt;&gt;"")), 0.9)</f>
        <v>504.54750000000001</v>
      </c>
      <c r="M11" s="171" cm="1">
        <f t="array" ref="M11">_xlfn.PERCENTILE.INC(_xlfn._xlws.FILTER(F:F, (B:B=I11)*(F:F&lt;&gt;"")), 0.9)</f>
        <v>15.268000000000002</v>
      </c>
      <c r="P11" t="str">
        <f t="shared" si="1"/>
        <v>163B</v>
      </c>
      <c r="Q11">
        <f t="shared" si="2"/>
        <v>69</v>
      </c>
      <c r="R11">
        <f t="shared" si="3"/>
        <v>67</v>
      </c>
      <c r="S11">
        <f t="shared" si="4"/>
        <v>68</v>
      </c>
      <c r="T11">
        <f t="shared" si="5"/>
        <v>39</v>
      </c>
    </row>
    <row r="12" spans="1:20" x14ac:dyDescent="0.25">
      <c r="A12" s="180">
        <v>2012</v>
      </c>
      <c r="B12" s="181" t="s">
        <v>482</v>
      </c>
      <c r="C12" s="180">
        <v>8</v>
      </c>
      <c r="D12" s="180">
        <v>30.8</v>
      </c>
      <c r="E12" s="180">
        <v>149.6</v>
      </c>
      <c r="F12" s="180">
        <v>17.850000000000001</v>
      </c>
      <c r="G12" s="181"/>
      <c r="I12" s="181" t="s">
        <v>487</v>
      </c>
      <c r="J12" cm="1">
        <f t="array" ref="J12">_xlfn.PERCENTILE.INC(_xlfn._xlws.FILTER(C:C, (B:B=I12)*(C:C&lt;&gt;"")), 0.1)</f>
        <v>5.8000000000000007</v>
      </c>
      <c r="K12" cm="1">
        <f t="array" ref="K12">_xlfn.PERCENTILE.INC(_xlfn._xlws.FILTER(D:D, (B:B=I12)*(D:D&lt;&gt;"")), 0.9)</f>
        <v>66.89</v>
      </c>
      <c r="L12" cm="1">
        <f t="array" ref="L12">_xlfn.PERCENTILE.INC(_xlfn._xlws.FILTER(E:E, (B:B=I12)*(E:E&lt;&gt;"")), 0.9)</f>
        <v>512.00599999999997</v>
      </c>
      <c r="M12" cm="1">
        <f t="array" ref="M12">_xlfn.PERCENTILE.INC(_xlfn._xlws.FILTER(F:F, (B:B=I12)*(F:F&lt;&gt;"")), 0.9)</f>
        <v>11.97</v>
      </c>
      <c r="P12" t="str">
        <f t="shared" si="1"/>
        <v>125</v>
      </c>
      <c r="Q12">
        <f t="shared" si="2"/>
        <v>20</v>
      </c>
      <c r="R12">
        <f t="shared" si="3"/>
        <v>21</v>
      </c>
      <c r="S12">
        <f t="shared" si="4"/>
        <v>20</v>
      </c>
      <c r="T12">
        <f t="shared" si="5"/>
        <v>11</v>
      </c>
    </row>
    <row r="13" spans="1:20" x14ac:dyDescent="0.25">
      <c r="A13" s="180">
        <v>2012</v>
      </c>
      <c r="B13" s="181" t="s">
        <v>482</v>
      </c>
      <c r="C13" s="182"/>
      <c r="D13" s="182"/>
      <c r="E13" s="180">
        <v>339.97</v>
      </c>
      <c r="F13" s="180">
        <v>18.559999999999999</v>
      </c>
      <c r="G13" s="181"/>
      <c r="I13" s="181" t="s">
        <v>513</v>
      </c>
      <c r="J13" cm="1">
        <f t="array" ref="J13">_xlfn.PERCENTILE.INC(_xlfn._xlws.FILTER(C:C, (B:B=I13)*(C:C&lt;&gt;"")), 0.1)</f>
        <v>4.5999999999999996</v>
      </c>
      <c r="K13" cm="1">
        <f t="array" ref="K13">_xlfn.PERCENTILE.INC(_xlfn._xlws.FILTER(D:D, (B:B=I13)*(D:D&lt;&gt;"")), 0.9)</f>
        <v>76.835000000000008</v>
      </c>
      <c r="L13" cm="1">
        <f t="array" ref="L13">_xlfn.PERCENTILE.INC(_xlfn._xlws.FILTER(E:E, (B:B=I13)*(E:E&lt;&gt;"")), 0.9)</f>
        <v>480.12599999999998</v>
      </c>
      <c r="M13" cm="1">
        <f t="array" ref="M13">_xlfn.PERCENTILE.INC(_xlfn._xlws.FILTER(F:F, (B:B=I13)*(F:F&lt;&gt;"")), 0.9)</f>
        <v>13.765000000000001</v>
      </c>
      <c r="P13" t="str">
        <f t="shared" si="1"/>
        <v>VAD5</v>
      </c>
      <c r="Q13">
        <f t="shared" si="2"/>
        <v>27</v>
      </c>
      <c r="R13">
        <f t="shared" si="3"/>
        <v>26</v>
      </c>
      <c r="S13">
        <f t="shared" si="4"/>
        <v>24</v>
      </c>
      <c r="T13">
        <f t="shared" si="5"/>
        <v>16</v>
      </c>
    </row>
    <row r="14" spans="1:20" x14ac:dyDescent="0.25">
      <c r="A14" s="180">
        <v>2012</v>
      </c>
      <c r="B14" s="181" t="s">
        <v>482</v>
      </c>
      <c r="C14" s="182"/>
      <c r="D14" s="182"/>
      <c r="E14" s="180">
        <v>175.7</v>
      </c>
      <c r="F14" s="180">
        <v>14.12</v>
      </c>
      <c r="G14" s="181"/>
      <c r="I14" s="181" t="s">
        <v>501</v>
      </c>
      <c r="J14" cm="1">
        <f t="array" ref="J14">_xlfn.PERCENTILE.INC(_xlfn._xlws.FILTER(C:C, (B:B=I14)*(C:C&lt;&gt;"")), 0.1)</f>
        <v>6.4</v>
      </c>
      <c r="K14" cm="1">
        <f t="array" ref="K14">_xlfn.PERCENTILE.INC(_xlfn._xlws.FILTER(D:D, (B:B=I14)*(D:D&lt;&gt;"")), 0.9)</f>
        <v>61.649999999999991</v>
      </c>
      <c r="L14" cm="1">
        <f t="array" ref="L14">_xlfn.PERCENTILE.INC(_xlfn._xlws.FILTER(E:E, (B:B=I14)*(E:E&lt;&gt;"")), 0.9)</f>
        <v>451.05200000000002</v>
      </c>
      <c r="M14" cm="1">
        <f t="array" ref="M14">_xlfn.PERCENTILE.INC(_xlfn._xlws.FILTER(F:F, (B:B=I14)*(F:F&lt;&gt;"")), 0.9)</f>
        <v>12.52</v>
      </c>
      <c r="P14" t="str">
        <f t="shared" si="1"/>
        <v>K21</v>
      </c>
      <c r="Q14">
        <f t="shared" si="2"/>
        <v>5</v>
      </c>
      <c r="R14">
        <f t="shared" si="3"/>
        <v>5</v>
      </c>
      <c r="S14">
        <f t="shared" si="4"/>
        <v>5</v>
      </c>
      <c r="T14">
        <f t="shared" si="5"/>
        <v>6</v>
      </c>
    </row>
    <row r="15" spans="1:20" x14ac:dyDescent="0.25">
      <c r="A15" s="180">
        <v>2012</v>
      </c>
      <c r="B15" s="181" t="s">
        <v>481</v>
      </c>
      <c r="C15" s="180">
        <v>9</v>
      </c>
      <c r="D15" s="180">
        <v>55.89</v>
      </c>
      <c r="E15" s="180">
        <v>262.72000000000003</v>
      </c>
      <c r="F15" s="180">
        <v>6.77</v>
      </c>
      <c r="G15" s="181"/>
      <c r="I15" s="181" t="s">
        <v>627</v>
      </c>
      <c r="J15" cm="1">
        <f t="array" ref="J15">_xlfn.PERCENTILE.INC(_xlfn._xlws.FILTER(C:C, (B:B=I15)*(C:C&lt;&gt;"")), 0.1)</f>
        <v>4.7755236150473568</v>
      </c>
      <c r="K15" s="171"/>
      <c r="L15" cm="1">
        <f t="array" ref="L15">_xlfn.PERCENTILE.INC(_xlfn._xlws.FILTER(E:E, (B:B=I15)*(E:E&lt;&gt;"")), 0.9)</f>
        <v>400.05715485713114</v>
      </c>
      <c r="M15" cm="1">
        <f t="array" ref="M15">_xlfn.PERCENTILE.INC(_xlfn._xlws.FILTER(F:F, (B:B=I15)*(F:F&lt;&gt;"")), 0.9)</f>
        <v>36.530316239652564</v>
      </c>
      <c r="P15" t="str">
        <f t="shared" si="1"/>
        <v>L11</v>
      </c>
      <c r="Q15">
        <f t="shared" si="2"/>
        <v>9</v>
      </c>
      <c r="R15">
        <f t="shared" si="3"/>
        <v>0</v>
      </c>
      <c r="S15">
        <f t="shared" si="4"/>
        <v>9</v>
      </c>
      <c r="T15">
        <f t="shared" si="5"/>
        <v>9</v>
      </c>
    </row>
    <row r="16" spans="1:20" x14ac:dyDescent="0.25">
      <c r="A16" s="180">
        <v>2012</v>
      </c>
      <c r="B16" s="181" t="s">
        <v>481</v>
      </c>
      <c r="C16" s="180">
        <v>9</v>
      </c>
      <c r="D16" s="180">
        <v>55.89</v>
      </c>
      <c r="E16" s="180">
        <v>262.72000000000003</v>
      </c>
      <c r="F16" s="180">
        <v>6.77</v>
      </c>
      <c r="G16" s="181"/>
      <c r="I16" s="181" t="s">
        <v>626</v>
      </c>
      <c r="J16" cm="1">
        <f t="array" ref="J16">_xlfn.PERCENTILE.INC(_xlfn._xlws.FILTER(C:C, (B:B=I16)*(C:C&lt;&gt;"")), 0.1)</f>
        <v>2.7574480235060448</v>
      </c>
      <c r="K16" cm="1">
        <f t="array" ref="K16">_xlfn.PERCENTILE.INC(_xlfn._xlws.FILTER(D:D, (B:B=I16)*(D:D&lt;&gt;"")), 0.9)</f>
        <v>71.836689177427431</v>
      </c>
      <c r="L16" cm="1">
        <f t="array" ref="L16">_xlfn.PERCENTILE.INC(_xlfn._xlws.FILTER(E:E, (B:B=I16)*(E:E&lt;&gt;"")), 0.9)</f>
        <v>236.96092407024793</v>
      </c>
      <c r="M16" cm="1">
        <f t="array" ref="M16">_xlfn.PERCENTILE.INC(_xlfn._xlws.FILTER(F:F, (B:B=I16)*(F:F&lt;&gt;"")), 0.9)</f>
        <v>26.368359173338305</v>
      </c>
      <c r="P16" t="str">
        <f t="shared" si="1"/>
        <v>L1</v>
      </c>
      <c r="Q16">
        <f t="shared" si="2"/>
        <v>10</v>
      </c>
      <c r="R16">
        <f t="shared" si="3"/>
        <v>10</v>
      </c>
      <c r="S16">
        <f t="shared" si="4"/>
        <v>10</v>
      </c>
      <c r="T16">
        <f t="shared" si="5"/>
        <v>10</v>
      </c>
    </row>
    <row r="17" spans="1:20" x14ac:dyDescent="0.25">
      <c r="A17" s="180">
        <v>2012</v>
      </c>
      <c r="B17" s="181" t="s">
        <v>481</v>
      </c>
      <c r="C17" s="180">
        <v>6</v>
      </c>
      <c r="D17" s="180">
        <v>36.14</v>
      </c>
      <c r="E17" s="180">
        <v>203.77</v>
      </c>
      <c r="F17" s="180">
        <v>12.57</v>
      </c>
      <c r="G17" s="181"/>
      <c r="I17" s="181" t="s">
        <v>628</v>
      </c>
      <c r="J17" cm="1">
        <f t="array" ref="J17">_xlfn.PERCENTILE.INC(_xlfn._xlws.FILTER(C:C, (B:B=I17)*(C:C&lt;&gt;"")), 0.1)</f>
        <v>6.1419725113642727</v>
      </c>
      <c r="K17" s="171"/>
      <c r="L17" cm="1">
        <f t="array" ref="L17">_xlfn.PERCENTILE.INC(_xlfn._xlws.FILTER(E:E, (B:B=I17)*(E:E&lt;&gt;"")), 0.9)</f>
        <v>210.43520620584954</v>
      </c>
      <c r="M17" cm="1">
        <f t="array" ref="M17">_xlfn.PERCENTILE.INC(_xlfn._xlws.FILTER(F:F, (B:B=I17)*(F:F&lt;&gt;"")), 0.9)</f>
        <v>30.256250399176118</v>
      </c>
      <c r="P17" t="str">
        <f t="shared" si="1"/>
        <v>L4</v>
      </c>
      <c r="Q17">
        <f t="shared" si="2"/>
        <v>10</v>
      </c>
      <c r="R17">
        <f t="shared" si="3"/>
        <v>0</v>
      </c>
      <c r="S17">
        <f t="shared" si="4"/>
        <v>10</v>
      </c>
      <c r="T17">
        <f t="shared" si="5"/>
        <v>10</v>
      </c>
    </row>
    <row r="18" spans="1:20" x14ac:dyDescent="0.25">
      <c r="A18" s="180">
        <v>2012</v>
      </c>
      <c r="B18" s="181" t="s">
        <v>481</v>
      </c>
      <c r="C18" s="180">
        <v>6</v>
      </c>
      <c r="D18" s="180">
        <v>36.14</v>
      </c>
      <c r="E18" s="180">
        <v>203.77</v>
      </c>
      <c r="F18" s="180">
        <v>12.57</v>
      </c>
      <c r="G18" s="181"/>
      <c r="I18" s="181" t="s">
        <v>630</v>
      </c>
      <c r="J18" cm="1">
        <f t="array" ref="J18">_xlfn.PERCENTILE.INC(_xlfn._xlws.FILTER(C:C, (B:B=I18)*(C:C&lt;&gt;"")), 0.1)</f>
        <v>6.1274663182197484</v>
      </c>
      <c r="K18" s="171"/>
      <c r="L18" cm="1">
        <f t="array" ref="L18">_xlfn.PERCENTILE.INC(_xlfn._xlws.FILTER(E:E, (B:B=I18)*(E:E&lt;&gt;"")), 0.9)</f>
        <v>237.51778592713606</v>
      </c>
      <c r="M18" s="171" cm="1">
        <f t="array" ref="M18">_xlfn.PERCENTILE.INC(_xlfn._xlws.FILTER(F:F, (B:B=I18)*(F:F&lt;&gt;"")), 0.9)</f>
        <v>45.442980407364644</v>
      </c>
      <c r="P18" t="str">
        <f t="shared" si="1"/>
        <v>L9</v>
      </c>
      <c r="Q18">
        <f t="shared" si="2"/>
        <v>10</v>
      </c>
      <c r="R18">
        <f t="shared" si="3"/>
        <v>0</v>
      </c>
      <c r="S18">
        <f t="shared" si="4"/>
        <v>10</v>
      </c>
      <c r="T18">
        <f t="shared" si="5"/>
        <v>10</v>
      </c>
    </row>
    <row r="19" spans="1:20" x14ac:dyDescent="0.25">
      <c r="A19" s="180">
        <v>2012</v>
      </c>
      <c r="B19" s="181" t="s">
        <v>481</v>
      </c>
      <c r="C19" s="180">
        <v>11</v>
      </c>
      <c r="D19" s="180">
        <v>62.36</v>
      </c>
      <c r="E19" s="180">
        <v>309.08</v>
      </c>
      <c r="F19" s="180">
        <v>14.42</v>
      </c>
      <c r="G19" s="181"/>
      <c r="I19" s="181" t="s">
        <v>79</v>
      </c>
      <c r="J19" s="171" cm="1">
        <f t="array" ref="J19">_xlfn.PERCENTILE.INC(_xlfn._xlws.FILTER(C:C, (B:B=I19)*(C:C&lt;&gt;"")), 0.1)</f>
        <v>3.2088922078422941</v>
      </c>
      <c r="K19" cm="1">
        <f t="array" ref="K19">_xlfn.PERCENTILE.INC(_xlfn._xlws.FILTER(D:D, (B:B=I19)*(D:D&lt;&gt;"")), 0.9)</f>
        <v>47.029051410221079</v>
      </c>
      <c r="L19" cm="1">
        <f t="array" ref="L19">_xlfn.PERCENTILE.INC(_xlfn._xlws.FILTER(E:E, (B:B=I19)*(E:E&lt;&gt;"")), 0.9)</f>
        <v>700.77979358003142</v>
      </c>
      <c r="M19" s="171" cm="1">
        <f t="array" ref="M19">_xlfn.PERCENTILE.INC(_xlfn._xlws.FILTER(F:F, (B:B=I19)*(F:F&lt;&gt;"")), 0.9)</f>
        <v>34.86461071144037</v>
      </c>
      <c r="P19" t="str">
        <f t="shared" si="1"/>
        <v>N</v>
      </c>
      <c r="Q19">
        <f t="shared" si="2"/>
        <v>10</v>
      </c>
      <c r="R19">
        <f t="shared" si="3"/>
        <v>10</v>
      </c>
      <c r="S19">
        <f t="shared" si="4"/>
        <v>10</v>
      </c>
      <c r="T19">
        <f t="shared" si="5"/>
        <v>10</v>
      </c>
    </row>
    <row r="20" spans="1:20" x14ac:dyDescent="0.25">
      <c r="A20" s="180">
        <v>2012</v>
      </c>
      <c r="B20" s="181" t="s">
        <v>481</v>
      </c>
      <c r="C20" s="180">
        <v>11</v>
      </c>
      <c r="D20" s="180">
        <v>62.36</v>
      </c>
      <c r="E20" s="180">
        <v>309.08</v>
      </c>
      <c r="F20" s="180">
        <v>14.42</v>
      </c>
      <c r="G20" s="181"/>
      <c r="I20" s="181" t="s">
        <v>662</v>
      </c>
      <c r="J20" s="171" cm="1">
        <f t="array" ref="J20">_xlfn.PERCENTILE.INC(_xlfn._xlws.FILTER(C:C, (B:B=I20)*(C:C&lt;&gt;"")), 0.1)</f>
        <v>3.459123424419797</v>
      </c>
      <c r="K20" cm="1">
        <f t="array" ref="K20">_xlfn.PERCENTILE.INC(_xlfn._xlws.FILTER(D:D, (B:B=I20)*(D:D&lt;&gt;"")), 0.9)</f>
        <v>39.143167234734094</v>
      </c>
      <c r="L20" cm="1">
        <f t="array" ref="L20">_xlfn.PERCENTILE.INC(_xlfn._xlws.FILTER(E:E, (B:B=I20)*(E:E&lt;&gt;"")), 0.9)</f>
        <v>726.35538732262637</v>
      </c>
      <c r="M20" s="171" cm="1">
        <f t="array" ref="M20">_xlfn.PERCENTILE.INC(_xlfn._xlws.FILTER(F:F, (B:B=I20)*(F:F&lt;&gt;"")), 0.9)</f>
        <v>46.853666641234902</v>
      </c>
      <c r="P20" t="str">
        <f t="shared" si="1"/>
        <v>S4</v>
      </c>
      <c r="Q20">
        <f t="shared" si="2"/>
        <v>4</v>
      </c>
      <c r="R20">
        <f t="shared" si="3"/>
        <v>4</v>
      </c>
      <c r="S20">
        <f t="shared" si="4"/>
        <v>4</v>
      </c>
      <c r="T20">
        <f t="shared" si="5"/>
        <v>4</v>
      </c>
    </row>
    <row r="21" spans="1:20" x14ac:dyDescent="0.25">
      <c r="A21" s="180">
        <v>2012</v>
      </c>
      <c r="B21" s="181" t="s">
        <v>481</v>
      </c>
      <c r="C21" s="180">
        <v>9</v>
      </c>
      <c r="D21" s="180">
        <v>56.87</v>
      </c>
      <c r="E21" s="180">
        <v>336.58</v>
      </c>
      <c r="F21" s="180">
        <v>7.93</v>
      </c>
      <c r="G21" s="181"/>
      <c r="I21" s="181" t="s">
        <v>631</v>
      </c>
      <c r="J21" cm="1">
        <f t="array" ref="J21">_xlfn.PERCENTILE.INC(_xlfn._xlws.FILTER(C:C, (B:B=I21)*(C:C&lt;&gt;"")), 0.1)</f>
        <v>2.8717145605057888</v>
      </c>
      <c r="K21" cm="1">
        <f t="array" ref="K21">_xlfn.PERCENTILE.INC(_xlfn._xlws.FILTER(D:D, (B:B=I21)*(D:D&lt;&gt;"")), 0.9)</f>
        <v>63.115171242410185</v>
      </c>
      <c r="L21" cm="1">
        <f t="array" ref="L21">_xlfn.PERCENTILE.INC(_xlfn._xlws.FILTER(E:E, (B:B=I21)*(E:E&lt;&gt;"")), 0.9)</f>
        <v>283.11459284676783</v>
      </c>
      <c r="M21" cm="1">
        <f t="array" ref="M21">_xlfn.PERCENTILE.INC(_xlfn._xlws.FILTER(F:F, (B:B=I21)*(F:F&lt;&gt;"")), 0.9)</f>
        <v>19.694050640146585</v>
      </c>
      <c r="P21" t="str">
        <f t="shared" si="1"/>
        <v>V1</v>
      </c>
      <c r="Q21">
        <f t="shared" si="2"/>
        <v>8</v>
      </c>
      <c r="R21">
        <f t="shared" si="3"/>
        <v>8</v>
      </c>
      <c r="S21">
        <f t="shared" si="4"/>
        <v>8</v>
      </c>
      <c r="T21">
        <f t="shared" si="5"/>
        <v>8</v>
      </c>
    </row>
    <row r="22" spans="1:20" x14ac:dyDescent="0.25">
      <c r="A22" s="180">
        <v>2012</v>
      </c>
      <c r="B22" s="181" t="s">
        <v>481</v>
      </c>
      <c r="C22" s="180">
        <v>9</v>
      </c>
      <c r="D22" s="180">
        <v>56.87</v>
      </c>
      <c r="E22" s="180">
        <v>336.58</v>
      </c>
      <c r="F22" s="180">
        <v>7.93</v>
      </c>
      <c r="G22" s="181"/>
      <c r="I22" s="181" t="s">
        <v>632</v>
      </c>
      <c r="J22" s="171" cm="1">
        <f t="array" ref="J22">_xlfn.PERCENTILE.INC(_xlfn._xlws.FILTER(C:C, (B:B=I22)*(C:C&lt;&gt;"")), 0.1)</f>
        <v>4.6378856949017946</v>
      </c>
      <c r="K22" s="171" cm="1">
        <f t="array" ref="K22">_xlfn.PERCENTILE.INC(_xlfn._xlws.FILTER(D:D, (B:B=I22)*(D:D&lt;&gt;"")), 0.9)</f>
        <v>96.445473732193491</v>
      </c>
      <c r="L22" s="171" cm="1">
        <f t="array" ref="L22">_xlfn.PERCENTILE.INC(_xlfn._xlws.FILTER(E:E, (B:B=I22)*(E:E&lt;&gt;"")), 0.9)</f>
        <v>434.60848962627512</v>
      </c>
      <c r="M22" s="171" cm="1">
        <f t="array" ref="M22">_xlfn.PERCENTILE.INC(_xlfn._xlws.FILTER(F:F, (B:B=I22)*(F:F&lt;&gt;"")), 0.9)</f>
        <v>19.804890259185946</v>
      </c>
      <c r="P22" s="171" t="str">
        <f t="shared" ref="P22:P25" si="6">I22</f>
        <v>V2</v>
      </c>
      <c r="Q22" s="171">
        <f t="shared" ref="Q22:Q25" si="7">COUNTIFS(B:B, P22, C:C, "&lt;&gt;")</f>
        <v>10</v>
      </c>
      <c r="R22" s="171">
        <f t="shared" ref="R22:R25" si="8">COUNTIFS(B:B, P22, D:D, "&lt;&gt;")</f>
        <v>10</v>
      </c>
      <c r="S22" s="171">
        <f t="shared" ref="S22:S25" si="9">COUNTIFS(B:B, P22, E:E, "&lt;&gt;")</f>
        <v>10</v>
      </c>
      <c r="T22" s="171">
        <f t="shared" ref="T22:T25" si="10">COUNTIFS(B:B, P22, F:F, "&lt;&gt;")</f>
        <v>10</v>
      </c>
    </row>
    <row r="23" spans="1:20" x14ac:dyDescent="0.25">
      <c r="A23" s="180">
        <v>2012</v>
      </c>
      <c r="B23" s="181" t="s">
        <v>481</v>
      </c>
      <c r="C23" s="180">
        <v>5</v>
      </c>
      <c r="D23" s="180">
        <v>42.54</v>
      </c>
      <c r="E23" s="182"/>
      <c r="F23" s="180">
        <v>11.27</v>
      </c>
      <c r="G23" s="181"/>
      <c r="I23" s="181" t="s">
        <v>633</v>
      </c>
      <c r="J23" s="171" cm="1">
        <f t="array" ref="J23">_xlfn.PERCENTILE.INC(_xlfn._xlws.FILTER(C:C, (B:B=I23)*(C:C&lt;&gt;"")), 0.1)</f>
        <v>3.1986150121132408</v>
      </c>
      <c r="K23" s="171" cm="1">
        <f t="array" ref="K23">_xlfn.PERCENTILE.INC(_xlfn._xlws.FILTER(D:D, (B:B=I23)*(D:D&lt;&gt;"")), 0.9)</f>
        <v>77.127021782897415</v>
      </c>
      <c r="L23" s="171" cm="1">
        <f t="array" ref="L23">_xlfn.PERCENTILE.INC(_xlfn._xlws.FILTER(E:E, (B:B=I23)*(E:E&lt;&gt;"")), 0.9)</f>
        <v>471.29682929193734</v>
      </c>
      <c r="M23" s="171" cm="1">
        <f t="array" ref="M23">_xlfn.PERCENTILE.INC(_xlfn._xlws.FILTER(F:F, (B:B=I23)*(F:F&lt;&gt;"")), 0.9)</f>
        <v>26.230633800394315</v>
      </c>
      <c r="P23" s="171" t="str">
        <f t="shared" si="6"/>
        <v>V3</v>
      </c>
      <c r="Q23" s="171">
        <f t="shared" si="7"/>
        <v>10</v>
      </c>
      <c r="R23" s="171">
        <f t="shared" si="8"/>
        <v>10</v>
      </c>
      <c r="S23" s="171">
        <f t="shared" si="9"/>
        <v>10</v>
      </c>
      <c r="T23" s="171">
        <f t="shared" si="10"/>
        <v>10</v>
      </c>
    </row>
    <row r="24" spans="1:20" x14ac:dyDescent="0.25">
      <c r="A24" s="180">
        <v>2012</v>
      </c>
      <c r="B24" s="181" t="s">
        <v>481</v>
      </c>
      <c r="C24" s="180">
        <v>5</v>
      </c>
      <c r="D24" s="180">
        <v>42.54</v>
      </c>
      <c r="E24" s="182"/>
      <c r="F24" s="180">
        <v>11.27</v>
      </c>
      <c r="G24" s="181"/>
      <c r="I24" s="181" t="s">
        <v>634</v>
      </c>
      <c r="J24" s="171" cm="1">
        <f t="array" ref="J24">_xlfn.PERCENTILE.INC(_xlfn._xlws.FILTER(C:C, (B:B=I24)*(C:C&lt;&gt;"")), 0.1)</f>
        <v>4.1256179882948194</v>
      </c>
      <c r="K24" s="171" cm="1">
        <f t="array" ref="K24">_xlfn.PERCENTILE.INC(_xlfn._xlws.FILTER(D:D, (B:B=I24)*(D:D&lt;&gt;"")), 0.9)</f>
        <v>66.094567463777267</v>
      </c>
      <c r="L24" s="171" cm="1">
        <f t="array" ref="L24">_xlfn.PERCENTILE.INC(_xlfn._xlws.FILTER(E:E, (B:B=I24)*(E:E&lt;&gt;"")), 0.9)</f>
        <v>644.44917887486531</v>
      </c>
      <c r="M24" s="171" cm="1">
        <f t="array" ref="M24">_xlfn.PERCENTILE.INC(_xlfn._xlws.FILTER(F:F, (B:B=I24)*(F:F&lt;&gt;"")), 0.9)</f>
        <v>27.867139595387982</v>
      </c>
      <c r="P24" s="171" t="str">
        <f t="shared" si="6"/>
        <v>V4</v>
      </c>
      <c r="Q24" s="171">
        <f t="shared" si="7"/>
        <v>9</v>
      </c>
      <c r="R24" s="171">
        <f t="shared" si="8"/>
        <v>9</v>
      </c>
      <c r="S24" s="171">
        <f t="shared" si="9"/>
        <v>9</v>
      </c>
      <c r="T24" s="171">
        <f t="shared" si="10"/>
        <v>9</v>
      </c>
    </row>
    <row r="25" spans="1:20" x14ac:dyDescent="0.25">
      <c r="A25" s="180">
        <v>2012</v>
      </c>
      <c r="B25" s="181" t="s">
        <v>481</v>
      </c>
      <c r="C25" s="180">
        <v>13</v>
      </c>
      <c r="D25" s="180">
        <v>34.4</v>
      </c>
      <c r="E25" s="182"/>
      <c r="F25" s="182"/>
      <c r="G25" s="181"/>
      <c r="I25" s="181" t="s">
        <v>635</v>
      </c>
      <c r="J25" s="171" cm="1">
        <f t="array" ref="J25">_xlfn.PERCENTILE.INC(_xlfn._xlws.FILTER(C:C, (B:B=I25)*(C:C&lt;&gt;"")), 0.1)</f>
        <v>5.0487669883390067</v>
      </c>
      <c r="K25" s="171" cm="1">
        <f t="array" ref="K25">_xlfn.PERCENTILE.INC(_xlfn._xlws.FILTER(D:D, (B:B=I25)*(D:D&lt;&gt;"")), 0.9)</f>
        <v>100.40267420107688</v>
      </c>
      <c r="L25" s="171" cm="1">
        <f t="array" ref="L25">_xlfn.PERCENTILE.INC(_xlfn._xlws.FILTER(E:E, (B:B=I25)*(E:E&lt;&gt;"")), 0.9)</f>
        <v>253.67860601971651</v>
      </c>
      <c r="M25" s="171" cm="1">
        <f t="array" ref="M25">_xlfn.PERCENTILE.INC(_xlfn._xlws.FILTER(F:F, (B:B=I25)*(F:F&lt;&gt;"")), 0.9)</f>
        <v>26.517844483039536</v>
      </c>
      <c r="P25" s="171" t="str">
        <f t="shared" si="6"/>
        <v>V5</v>
      </c>
      <c r="Q25" s="171">
        <f t="shared" si="7"/>
        <v>7</v>
      </c>
      <c r="R25" s="171">
        <f t="shared" si="8"/>
        <v>7</v>
      </c>
      <c r="S25" s="171">
        <f t="shared" si="9"/>
        <v>7</v>
      </c>
      <c r="T25" s="171">
        <f t="shared" si="10"/>
        <v>7</v>
      </c>
    </row>
    <row r="26" spans="1:20" x14ac:dyDescent="0.25">
      <c r="A26" s="180">
        <v>2012</v>
      </c>
      <c r="B26" s="181" t="s">
        <v>481</v>
      </c>
      <c r="C26" s="180">
        <v>13</v>
      </c>
      <c r="D26" s="180">
        <v>34.4</v>
      </c>
      <c r="E26" s="182"/>
      <c r="F26" s="182"/>
      <c r="G26" s="181"/>
    </row>
    <row r="27" spans="1:20" x14ac:dyDescent="0.25">
      <c r="A27" s="180">
        <v>2012</v>
      </c>
      <c r="B27" s="181" t="s">
        <v>512</v>
      </c>
      <c r="C27" s="180">
        <v>8</v>
      </c>
      <c r="D27" s="180">
        <v>50.62</v>
      </c>
      <c r="E27" s="180">
        <v>414.27</v>
      </c>
      <c r="F27" s="180">
        <v>8.19</v>
      </c>
      <c r="G27" s="181"/>
    </row>
    <row r="28" spans="1:20" x14ac:dyDescent="0.25">
      <c r="A28" s="180">
        <v>2012</v>
      </c>
      <c r="B28" s="181" t="s">
        <v>512</v>
      </c>
      <c r="C28" s="180">
        <v>7</v>
      </c>
      <c r="D28" s="180">
        <v>35.86</v>
      </c>
      <c r="E28" s="180">
        <v>439.27</v>
      </c>
      <c r="F28" s="180">
        <v>12.88</v>
      </c>
      <c r="G28" s="181"/>
    </row>
    <row r="29" spans="1:20" x14ac:dyDescent="0.25">
      <c r="A29" s="180">
        <v>2012</v>
      </c>
      <c r="B29" s="181" t="s">
        <v>512</v>
      </c>
      <c r="C29" s="180">
        <v>8</v>
      </c>
      <c r="D29" s="180">
        <v>38.35</v>
      </c>
      <c r="E29" s="180">
        <v>308.91000000000003</v>
      </c>
      <c r="F29" s="180">
        <v>9.66</v>
      </c>
      <c r="G29" s="181"/>
    </row>
    <row r="30" spans="1:20" x14ac:dyDescent="0.25">
      <c r="A30" s="180">
        <v>2012</v>
      </c>
      <c r="B30" s="181" t="s">
        <v>512</v>
      </c>
      <c r="C30" s="180">
        <v>8</v>
      </c>
      <c r="D30" s="180">
        <v>53.03</v>
      </c>
      <c r="E30" s="180">
        <v>296.64</v>
      </c>
      <c r="F30" s="180">
        <v>9.1999999999999993</v>
      </c>
      <c r="G30" s="181"/>
    </row>
    <row r="31" spans="1:20" x14ac:dyDescent="0.25">
      <c r="A31" s="180">
        <v>2012</v>
      </c>
      <c r="B31" s="181" t="s">
        <v>512</v>
      </c>
      <c r="C31" s="180">
        <v>6</v>
      </c>
      <c r="D31" s="180">
        <v>23.98</v>
      </c>
      <c r="E31" s="180">
        <v>274.83999999999997</v>
      </c>
      <c r="F31" s="180">
        <v>14.69</v>
      </c>
      <c r="G31" s="181"/>
    </row>
    <row r="32" spans="1:20" x14ac:dyDescent="0.25">
      <c r="A32" s="180">
        <v>2012</v>
      </c>
      <c r="B32" s="181" t="s">
        <v>512</v>
      </c>
      <c r="C32" s="182"/>
      <c r="D32" s="182"/>
      <c r="E32" s="180">
        <v>327.05</v>
      </c>
      <c r="F32" s="182"/>
      <c r="G32" s="181"/>
    </row>
    <row r="33" spans="1:7" x14ac:dyDescent="0.25">
      <c r="A33" s="180">
        <v>2012</v>
      </c>
      <c r="B33" s="181" t="s">
        <v>480</v>
      </c>
      <c r="C33" s="180">
        <v>9</v>
      </c>
      <c r="D33" s="180">
        <v>89.2</v>
      </c>
      <c r="E33" s="180">
        <v>318.43</v>
      </c>
      <c r="F33" s="180">
        <v>14.44</v>
      </c>
      <c r="G33" s="181"/>
    </row>
    <row r="34" spans="1:7" x14ac:dyDescent="0.25">
      <c r="A34" s="180">
        <v>2012</v>
      </c>
      <c r="B34" s="181" t="s">
        <v>480</v>
      </c>
      <c r="C34" s="180">
        <v>7</v>
      </c>
      <c r="D34" s="180">
        <v>85.92</v>
      </c>
      <c r="E34" s="180">
        <v>386.11</v>
      </c>
      <c r="F34" s="180">
        <v>9.8699999999999992</v>
      </c>
      <c r="G34" s="181"/>
    </row>
    <row r="35" spans="1:7" x14ac:dyDescent="0.25">
      <c r="A35" s="180">
        <v>2012</v>
      </c>
      <c r="B35" s="181" t="s">
        <v>480</v>
      </c>
      <c r="C35" s="180">
        <v>9</v>
      </c>
      <c r="D35" s="180">
        <v>63.24</v>
      </c>
      <c r="E35" s="180">
        <v>294.64</v>
      </c>
      <c r="F35" s="180">
        <v>8.08</v>
      </c>
      <c r="G35" s="181"/>
    </row>
    <row r="36" spans="1:7" x14ac:dyDescent="0.25">
      <c r="A36" s="180">
        <v>2012</v>
      </c>
      <c r="B36" s="181" t="s">
        <v>480</v>
      </c>
      <c r="C36" s="180">
        <v>7</v>
      </c>
      <c r="D36" s="180">
        <v>49.28</v>
      </c>
      <c r="E36" s="180">
        <v>324.33999999999997</v>
      </c>
      <c r="F36" s="180">
        <v>8.6999999999999993</v>
      </c>
      <c r="G36" s="181"/>
    </row>
    <row r="37" spans="1:7" x14ac:dyDescent="0.25">
      <c r="A37" s="180">
        <v>2012</v>
      </c>
      <c r="B37" s="181" t="s">
        <v>480</v>
      </c>
      <c r="C37" s="180">
        <v>6</v>
      </c>
      <c r="D37" s="180">
        <v>43</v>
      </c>
      <c r="E37" s="180">
        <v>232.43</v>
      </c>
      <c r="F37" s="182"/>
      <c r="G37" s="181"/>
    </row>
    <row r="38" spans="1:7" x14ac:dyDescent="0.25">
      <c r="A38" s="180">
        <v>2012</v>
      </c>
      <c r="B38" s="181" t="s">
        <v>492</v>
      </c>
      <c r="C38" s="180">
        <v>8</v>
      </c>
      <c r="D38" s="180">
        <v>45.76</v>
      </c>
      <c r="E38" s="180">
        <v>380.2</v>
      </c>
      <c r="F38" s="180">
        <v>15.27</v>
      </c>
      <c r="G38" s="181"/>
    </row>
    <row r="39" spans="1:7" x14ac:dyDescent="0.25">
      <c r="A39" s="180">
        <v>2012</v>
      </c>
      <c r="B39" s="181" t="s">
        <v>492</v>
      </c>
      <c r="C39" s="180">
        <v>9</v>
      </c>
      <c r="D39" s="180">
        <v>35.06</v>
      </c>
      <c r="E39" s="180">
        <v>249.83</v>
      </c>
      <c r="F39" s="180">
        <v>10.220000000000001</v>
      </c>
      <c r="G39" s="181"/>
    </row>
    <row r="40" spans="1:7" x14ac:dyDescent="0.25">
      <c r="A40" s="180">
        <v>2012</v>
      </c>
      <c r="B40" s="181" t="s">
        <v>492</v>
      </c>
      <c r="C40" s="180">
        <v>9</v>
      </c>
      <c r="D40" s="180">
        <v>30.06</v>
      </c>
      <c r="E40" s="180">
        <v>424.56</v>
      </c>
      <c r="F40" s="180">
        <v>18.53</v>
      </c>
      <c r="G40" s="181"/>
    </row>
    <row r="41" spans="1:7" x14ac:dyDescent="0.25">
      <c r="A41" s="180">
        <v>2012</v>
      </c>
      <c r="B41" s="181" t="s">
        <v>492</v>
      </c>
      <c r="C41" s="180">
        <v>8</v>
      </c>
      <c r="D41" s="180">
        <v>39.619999999999997</v>
      </c>
      <c r="E41" s="180">
        <v>381.52</v>
      </c>
      <c r="F41" s="180">
        <v>16.68</v>
      </c>
      <c r="G41" s="181"/>
    </row>
    <row r="42" spans="1:7" x14ac:dyDescent="0.25">
      <c r="A42" s="180">
        <v>2012</v>
      </c>
      <c r="B42" s="181" t="s">
        <v>492</v>
      </c>
      <c r="C42" s="182"/>
      <c r="D42" s="180">
        <v>50.28</v>
      </c>
      <c r="E42" s="180">
        <v>368.66</v>
      </c>
      <c r="F42" s="180">
        <v>12.98</v>
      </c>
      <c r="G42" s="181"/>
    </row>
    <row r="43" spans="1:7" x14ac:dyDescent="0.25">
      <c r="A43" s="180">
        <v>2012</v>
      </c>
      <c r="B43" s="181" t="s">
        <v>493</v>
      </c>
      <c r="C43" s="180">
        <v>8</v>
      </c>
      <c r="D43" s="180">
        <v>28.3</v>
      </c>
      <c r="E43" s="180">
        <v>236.95699999999999</v>
      </c>
      <c r="F43" s="182"/>
      <c r="G43" s="181"/>
    </row>
    <row r="44" spans="1:7" x14ac:dyDescent="0.25">
      <c r="A44" s="180">
        <v>2012</v>
      </c>
      <c r="B44" s="181" t="s">
        <v>493</v>
      </c>
      <c r="C44" s="180">
        <v>5</v>
      </c>
      <c r="D44" s="180">
        <v>45.74</v>
      </c>
      <c r="E44" s="180">
        <v>225.74</v>
      </c>
      <c r="F44" s="182"/>
      <c r="G44" s="181"/>
    </row>
    <row r="45" spans="1:7" x14ac:dyDescent="0.25">
      <c r="A45" s="180">
        <v>2012</v>
      </c>
      <c r="B45" s="181" t="s">
        <v>493</v>
      </c>
      <c r="C45" s="180">
        <v>6</v>
      </c>
      <c r="D45" s="180">
        <v>33.94</v>
      </c>
      <c r="E45" s="180">
        <v>263.62200000000001</v>
      </c>
      <c r="F45" s="182"/>
      <c r="G45" s="181"/>
    </row>
    <row r="46" spans="1:7" x14ac:dyDescent="0.25">
      <c r="A46" s="180">
        <v>2012</v>
      </c>
      <c r="B46" s="181" t="s">
        <v>493</v>
      </c>
      <c r="C46" s="180">
        <v>5</v>
      </c>
      <c r="D46" s="180">
        <v>44.4</v>
      </c>
      <c r="E46" s="180">
        <v>279.99400000000003</v>
      </c>
      <c r="F46" s="182"/>
      <c r="G46" s="181"/>
    </row>
    <row r="47" spans="1:7" x14ac:dyDescent="0.25">
      <c r="A47" s="180">
        <v>2012</v>
      </c>
      <c r="B47" s="181" t="s">
        <v>493</v>
      </c>
      <c r="C47" s="180">
        <v>8</v>
      </c>
      <c r="D47" s="180">
        <v>51.4</v>
      </c>
      <c r="E47" s="180">
        <v>304.15600000000001</v>
      </c>
      <c r="F47" s="182"/>
      <c r="G47" s="181"/>
    </row>
    <row r="48" spans="1:7" x14ac:dyDescent="0.25">
      <c r="A48" s="180">
        <v>2012</v>
      </c>
      <c r="B48" s="181" t="s">
        <v>477</v>
      </c>
      <c r="C48" s="180">
        <v>8</v>
      </c>
      <c r="D48" s="180">
        <v>33.22</v>
      </c>
      <c r="E48" s="180">
        <v>209.625</v>
      </c>
      <c r="F48" s="180">
        <v>12.13</v>
      </c>
      <c r="G48" s="181"/>
    </row>
    <row r="49" spans="1:7" x14ac:dyDescent="0.25">
      <c r="A49" s="180">
        <v>2012</v>
      </c>
      <c r="B49" s="181" t="s">
        <v>477</v>
      </c>
      <c r="C49" s="180">
        <v>8</v>
      </c>
      <c r="D49" s="180">
        <v>31.78</v>
      </c>
      <c r="E49" s="180">
        <v>207.256</v>
      </c>
      <c r="F49" s="180">
        <v>12.08</v>
      </c>
      <c r="G49" s="181"/>
    </row>
    <row r="50" spans="1:7" x14ac:dyDescent="0.25">
      <c r="A50" s="180">
        <v>2012</v>
      </c>
      <c r="B50" s="181" t="s">
        <v>477</v>
      </c>
      <c r="C50" s="180">
        <v>7</v>
      </c>
      <c r="D50" s="180">
        <v>36.590000000000003</v>
      </c>
      <c r="E50" s="180">
        <v>364.36700000000002</v>
      </c>
      <c r="F50" s="180">
        <v>15.9</v>
      </c>
      <c r="G50" s="181"/>
    </row>
    <row r="51" spans="1:7" x14ac:dyDescent="0.25">
      <c r="A51" s="180">
        <v>2012</v>
      </c>
      <c r="B51" s="181" t="s">
        <v>477</v>
      </c>
      <c r="C51" s="180">
        <v>8</v>
      </c>
      <c r="D51" s="180">
        <v>38.22</v>
      </c>
      <c r="E51" s="180">
        <v>363.61799999999999</v>
      </c>
      <c r="F51" s="180">
        <v>12.2</v>
      </c>
      <c r="G51" s="181"/>
    </row>
    <row r="52" spans="1:7" x14ac:dyDescent="0.25">
      <c r="A52" s="180">
        <v>2012</v>
      </c>
      <c r="B52" s="181" t="s">
        <v>477</v>
      </c>
      <c r="C52" s="180">
        <v>7</v>
      </c>
      <c r="D52" s="180">
        <v>33.64</v>
      </c>
      <c r="E52" s="180">
        <v>381.71899999999999</v>
      </c>
      <c r="F52" s="180">
        <v>15.67</v>
      </c>
      <c r="G52" s="181"/>
    </row>
    <row r="53" spans="1:7" x14ac:dyDescent="0.25">
      <c r="A53" s="180">
        <v>2012</v>
      </c>
      <c r="B53" s="181" t="s">
        <v>477</v>
      </c>
      <c r="C53" s="182"/>
      <c r="D53" s="182"/>
      <c r="E53" s="180">
        <v>276.86799999999999</v>
      </c>
      <c r="F53" s="182"/>
      <c r="G53" s="181"/>
    </row>
    <row r="54" spans="1:7" x14ac:dyDescent="0.25">
      <c r="A54" s="180">
        <v>2012</v>
      </c>
      <c r="B54" s="181" t="s">
        <v>494</v>
      </c>
      <c r="C54" s="180">
        <v>7</v>
      </c>
      <c r="D54" s="180">
        <v>30.95</v>
      </c>
      <c r="E54" s="180">
        <v>439.67200000000003</v>
      </c>
      <c r="F54" s="180">
        <v>10.23</v>
      </c>
      <c r="G54" s="181"/>
    </row>
    <row r="55" spans="1:7" x14ac:dyDescent="0.25">
      <c r="A55" s="180">
        <v>2012</v>
      </c>
      <c r="B55" s="181" t="s">
        <v>494</v>
      </c>
      <c r="C55" s="180">
        <v>7</v>
      </c>
      <c r="D55" s="180">
        <v>39.979999999999997</v>
      </c>
      <c r="E55" s="180">
        <v>463.07799999999997</v>
      </c>
      <c r="F55" s="180">
        <v>10.8</v>
      </c>
      <c r="G55" s="181"/>
    </row>
    <row r="56" spans="1:7" x14ac:dyDescent="0.25">
      <c r="A56" s="180">
        <v>2012</v>
      </c>
      <c r="B56" s="181" t="s">
        <v>494</v>
      </c>
      <c r="C56" s="180">
        <v>5</v>
      </c>
      <c r="D56" s="180">
        <v>65.75</v>
      </c>
      <c r="E56" s="180">
        <v>548.20500000000004</v>
      </c>
      <c r="F56" s="180">
        <v>12.5</v>
      </c>
      <c r="G56" s="181"/>
    </row>
    <row r="57" spans="1:7" x14ac:dyDescent="0.25">
      <c r="A57" s="180">
        <v>2012</v>
      </c>
      <c r="B57" s="181" t="s">
        <v>494</v>
      </c>
      <c r="C57" s="180">
        <v>6</v>
      </c>
      <c r="D57" s="180">
        <v>56.96</v>
      </c>
      <c r="E57" s="180">
        <v>414.63499999999999</v>
      </c>
      <c r="F57" s="180">
        <v>16.38</v>
      </c>
      <c r="G57" s="181"/>
    </row>
    <row r="58" spans="1:7" x14ac:dyDescent="0.25">
      <c r="A58" s="180">
        <v>2012</v>
      </c>
      <c r="B58" s="181" t="s">
        <v>494</v>
      </c>
      <c r="C58" s="180">
        <v>5</v>
      </c>
      <c r="D58" s="180">
        <v>50.52</v>
      </c>
      <c r="E58" s="180">
        <v>503.47500000000002</v>
      </c>
      <c r="F58" s="180">
        <v>19.100000000000001</v>
      </c>
      <c r="G58" s="181"/>
    </row>
    <row r="59" spans="1:7" x14ac:dyDescent="0.25">
      <c r="A59" s="180">
        <v>2012</v>
      </c>
      <c r="B59" s="181" t="s">
        <v>487</v>
      </c>
      <c r="C59" s="180">
        <v>9</v>
      </c>
      <c r="D59" s="180">
        <v>33.22</v>
      </c>
      <c r="E59" s="180">
        <v>318.47199999999998</v>
      </c>
      <c r="F59" s="180">
        <v>11.97</v>
      </c>
      <c r="G59" s="181"/>
    </row>
    <row r="60" spans="1:7" x14ac:dyDescent="0.25">
      <c r="A60" s="180">
        <v>2012</v>
      </c>
      <c r="B60" s="181" t="s">
        <v>487</v>
      </c>
      <c r="C60" s="180">
        <v>9</v>
      </c>
      <c r="D60" s="180">
        <v>31.78</v>
      </c>
      <c r="E60" s="180">
        <v>246.71199999999999</v>
      </c>
      <c r="F60" s="180">
        <v>8.07</v>
      </c>
      <c r="G60" s="181"/>
    </row>
    <row r="61" spans="1:7" x14ac:dyDescent="0.25">
      <c r="A61" s="180">
        <v>2012</v>
      </c>
      <c r="B61" s="181" t="s">
        <v>487</v>
      </c>
      <c r="C61" s="180">
        <v>9</v>
      </c>
      <c r="D61" s="180">
        <v>36.590000000000003</v>
      </c>
      <c r="E61" s="180">
        <v>283.09100000000001</v>
      </c>
      <c r="F61" s="180">
        <v>7.96</v>
      </c>
      <c r="G61" s="181"/>
    </row>
    <row r="62" spans="1:7" x14ac:dyDescent="0.25">
      <c r="A62" s="180">
        <v>2012</v>
      </c>
      <c r="B62" s="181" t="s">
        <v>487</v>
      </c>
      <c r="C62" s="180">
        <v>6</v>
      </c>
      <c r="D62" s="180">
        <v>38.22</v>
      </c>
      <c r="E62" s="180">
        <v>221.32</v>
      </c>
      <c r="F62" s="180">
        <v>10.72</v>
      </c>
      <c r="G62" s="181"/>
    </row>
    <row r="63" spans="1:7" x14ac:dyDescent="0.25">
      <c r="A63" s="180">
        <v>2012</v>
      </c>
      <c r="B63" s="181" t="s">
        <v>487</v>
      </c>
      <c r="C63" s="180">
        <v>3</v>
      </c>
      <c r="D63" s="180">
        <v>33.64</v>
      </c>
      <c r="E63" s="180">
        <v>279.95999999999998</v>
      </c>
      <c r="F63" s="180">
        <v>12.42</v>
      </c>
      <c r="G63" s="181"/>
    </row>
    <row r="64" spans="1:7" x14ac:dyDescent="0.25">
      <c r="A64" s="180">
        <v>2012</v>
      </c>
      <c r="B64" s="181" t="s">
        <v>487</v>
      </c>
      <c r="C64" s="180">
        <v>4</v>
      </c>
      <c r="D64" s="182"/>
      <c r="E64" s="182"/>
      <c r="F64" s="180">
        <v>10.1</v>
      </c>
      <c r="G64" s="181"/>
    </row>
    <row r="65" spans="1:7" x14ac:dyDescent="0.25">
      <c r="A65" s="180">
        <v>2012</v>
      </c>
      <c r="B65" s="181" t="s">
        <v>482</v>
      </c>
      <c r="C65" s="180">
        <v>4</v>
      </c>
      <c r="D65" s="180">
        <v>42.46</v>
      </c>
      <c r="E65" s="180">
        <v>396.57</v>
      </c>
      <c r="F65" s="180">
        <v>9.7100000000000009</v>
      </c>
      <c r="G65" s="181"/>
    </row>
    <row r="66" spans="1:7" x14ac:dyDescent="0.25">
      <c r="A66" s="180">
        <v>2012</v>
      </c>
      <c r="B66" s="181" t="s">
        <v>482</v>
      </c>
      <c r="C66" s="180">
        <v>9</v>
      </c>
      <c r="D66" s="180">
        <v>34.17</v>
      </c>
      <c r="E66" s="180">
        <v>270.06</v>
      </c>
      <c r="F66" s="180">
        <v>9.0500000000000007</v>
      </c>
      <c r="G66" s="181"/>
    </row>
    <row r="67" spans="1:7" x14ac:dyDescent="0.25">
      <c r="A67" s="180">
        <v>2012</v>
      </c>
      <c r="B67" s="181" t="s">
        <v>482</v>
      </c>
      <c r="C67" s="180">
        <v>4</v>
      </c>
      <c r="D67" s="180">
        <v>33.57</v>
      </c>
      <c r="E67" s="180">
        <v>204.96</v>
      </c>
      <c r="F67" s="180">
        <v>6.17</v>
      </c>
      <c r="G67" s="181"/>
    </row>
    <row r="68" spans="1:7" x14ac:dyDescent="0.25">
      <c r="A68" s="180">
        <v>2012</v>
      </c>
      <c r="B68" s="181" t="s">
        <v>482</v>
      </c>
      <c r="C68" s="180">
        <v>5</v>
      </c>
      <c r="D68" s="180">
        <v>29.98</v>
      </c>
      <c r="E68" s="180">
        <v>249.67</v>
      </c>
      <c r="F68" s="180">
        <v>8.8699999999999992</v>
      </c>
      <c r="G68" s="181"/>
    </row>
    <row r="69" spans="1:7" x14ac:dyDescent="0.25">
      <c r="A69" s="180">
        <v>2012</v>
      </c>
      <c r="B69" s="181" t="s">
        <v>482</v>
      </c>
      <c r="C69" s="182"/>
      <c r="D69" s="182"/>
      <c r="E69" s="180">
        <v>340.12</v>
      </c>
      <c r="F69" s="180">
        <v>9.0500000000000007</v>
      </c>
      <c r="G69" s="181"/>
    </row>
    <row r="70" spans="1:7" x14ac:dyDescent="0.25">
      <c r="A70" s="180">
        <v>2012</v>
      </c>
      <c r="B70" s="181" t="s">
        <v>481</v>
      </c>
      <c r="C70" s="180">
        <v>5</v>
      </c>
      <c r="D70" s="180">
        <v>32.11</v>
      </c>
      <c r="E70" s="180">
        <v>162.86000000000001</v>
      </c>
      <c r="F70" s="180">
        <v>5.45</v>
      </c>
      <c r="G70" s="181"/>
    </row>
    <row r="71" spans="1:7" x14ac:dyDescent="0.25">
      <c r="A71" s="180">
        <v>2012</v>
      </c>
      <c r="B71" s="181" t="s">
        <v>481</v>
      </c>
      <c r="C71" s="180">
        <v>5</v>
      </c>
      <c r="D71" s="180">
        <v>32.11</v>
      </c>
      <c r="E71" s="180">
        <v>162.86000000000001</v>
      </c>
      <c r="F71" s="180">
        <v>5.45</v>
      </c>
      <c r="G71" s="181"/>
    </row>
    <row r="72" spans="1:7" x14ac:dyDescent="0.25">
      <c r="A72" s="180">
        <v>2012</v>
      </c>
      <c r="B72" s="181" t="s">
        <v>481</v>
      </c>
      <c r="C72" s="180">
        <v>3</v>
      </c>
      <c r="D72" s="180">
        <v>41.4</v>
      </c>
      <c r="E72" s="180">
        <v>246.29</v>
      </c>
      <c r="F72" s="180">
        <v>8.91</v>
      </c>
      <c r="G72" s="181"/>
    </row>
    <row r="73" spans="1:7" x14ac:dyDescent="0.25">
      <c r="A73" s="180">
        <v>2012</v>
      </c>
      <c r="B73" s="181" t="s">
        <v>481</v>
      </c>
      <c r="C73" s="180">
        <v>3</v>
      </c>
      <c r="D73" s="180">
        <v>41.4</v>
      </c>
      <c r="E73" s="180">
        <v>246.29</v>
      </c>
      <c r="F73" s="180">
        <v>8.91</v>
      </c>
      <c r="G73" s="181"/>
    </row>
    <row r="74" spans="1:7" x14ac:dyDescent="0.25">
      <c r="A74" s="180">
        <v>2012</v>
      </c>
      <c r="B74" s="181" t="s">
        <v>481</v>
      </c>
      <c r="C74" s="180">
        <v>9</v>
      </c>
      <c r="D74" s="180">
        <v>31.75</v>
      </c>
      <c r="E74" s="180">
        <v>208.42</v>
      </c>
      <c r="F74" s="180">
        <v>9.6300000000000008</v>
      </c>
      <c r="G74" s="181"/>
    </row>
    <row r="75" spans="1:7" x14ac:dyDescent="0.25">
      <c r="A75" s="180">
        <v>2012</v>
      </c>
      <c r="B75" s="181" t="s">
        <v>481</v>
      </c>
      <c r="C75" s="180">
        <v>9</v>
      </c>
      <c r="D75" s="180">
        <v>31.75</v>
      </c>
      <c r="E75" s="180">
        <v>208.42</v>
      </c>
      <c r="F75" s="180">
        <v>9.6300000000000008</v>
      </c>
      <c r="G75" s="181"/>
    </row>
    <row r="76" spans="1:7" x14ac:dyDescent="0.25">
      <c r="A76" s="180">
        <v>2012</v>
      </c>
      <c r="B76" s="181" t="s">
        <v>481</v>
      </c>
      <c r="C76" s="180">
        <v>8</v>
      </c>
      <c r="D76" s="180">
        <v>50.45</v>
      </c>
      <c r="E76" s="180">
        <v>229.48</v>
      </c>
      <c r="F76" s="180">
        <v>9.9499999999999993</v>
      </c>
      <c r="G76" s="181"/>
    </row>
    <row r="77" spans="1:7" x14ac:dyDescent="0.25">
      <c r="A77" s="180">
        <v>2012</v>
      </c>
      <c r="B77" s="181" t="s">
        <v>481</v>
      </c>
      <c r="C77" s="180">
        <v>8</v>
      </c>
      <c r="D77" s="180">
        <v>50.45</v>
      </c>
      <c r="E77" s="180">
        <v>229.48</v>
      </c>
      <c r="F77" s="180">
        <v>9.9499999999999993</v>
      </c>
      <c r="G77" s="181"/>
    </row>
    <row r="78" spans="1:7" x14ac:dyDescent="0.25">
      <c r="A78" s="180">
        <v>2012</v>
      </c>
      <c r="B78" s="181" t="s">
        <v>481</v>
      </c>
      <c r="C78" s="180">
        <v>5</v>
      </c>
      <c r="D78" s="180">
        <v>47.89</v>
      </c>
      <c r="E78" s="180">
        <v>435.32</v>
      </c>
      <c r="F78" s="182"/>
      <c r="G78" s="181"/>
    </row>
    <row r="79" spans="1:7" x14ac:dyDescent="0.25">
      <c r="A79" s="180">
        <v>2012</v>
      </c>
      <c r="B79" s="181" t="s">
        <v>481</v>
      </c>
      <c r="C79" s="180">
        <v>5</v>
      </c>
      <c r="D79" s="180">
        <v>47.89</v>
      </c>
      <c r="E79" s="180">
        <v>435.32</v>
      </c>
      <c r="F79" s="182"/>
      <c r="G79" s="181"/>
    </row>
    <row r="80" spans="1:7" x14ac:dyDescent="0.25">
      <c r="A80" s="180">
        <v>2012</v>
      </c>
      <c r="B80" s="181" t="s">
        <v>481</v>
      </c>
      <c r="C80" s="182"/>
      <c r="D80" s="180">
        <v>47.61</v>
      </c>
      <c r="E80" s="182"/>
      <c r="F80" s="182"/>
      <c r="G80" s="181"/>
    </row>
    <row r="81" spans="1:7" x14ac:dyDescent="0.25">
      <c r="A81" s="180">
        <v>2012</v>
      </c>
      <c r="B81" s="181" t="s">
        <v>481</v>
      </c>
      <c r="C81" s="182"/>
      <c r="D81" s="180">
        <v>47.61</v>
      </c>
      <c r="E81" s="182"/>
      <c r="F81" s="182"/>
      <c r="G81" s="181"/>
    </row>
    <row r="82" spans="1:7" x14ac:dyDescent="0.25">
      <c r="A82" s="180">
        <v>2012</v>
      </c>
      <c r="B82" s="181" t="s">
        <v>512</v>
      </c>
      <c r="C82" s="180">
        <v>4</v>
      </c>
      <c r="D82" s="180">
        <v>74.569999999999993</v>
      </c>
      <c r="E82" s="180">
        <v>554.22</v>
      </c>
      <c r="F82" s="180">
        <v>11.51</v>
      </c>
      <c r="G82" s="181"/>
    </row>
    <row r="83" spans="1:7" x14ac:dyDescent="0.25">
      <c r="A83" s="180">
        <v>2012</v>
      </c>
      <c r="B83" s="181" t="s">
        <v>512</v>
      </c>
      <c r="C83" s="180">
        <v>7</v>
      </c>
      <c r="D83" s="180">
        <v>69.739999999999995</v>
      </c>
      <c r="E83" s="180">
        <v>347.57</v>
      </c>
      <c r="F83" s="180">
        <v>12.96</v>
      </c>
      <c r="G83" s="181"/>
    </row>
    <row r="84" spans="1:7" x14ac:dyDescent="0.25">
      <c r="A84" s="180">
        <v>2012</v>
      </c>
      <c r="B84" s="181" t="s">
        <v>512</v>
      </c>
      <c r="C84" s="180">
        <v>8</v>
      </c>
      <c r="D84" s="180">
        <v>51.53</v>
      </c>
      <c r="E84" s="180">
        <v>563.16999999999996</v>
      </c>
      <c r="F84" s="180">
        <v>14.38</v>
      </c>
      <c r="G84" s="181"/>
    </row>
    <row r="85" spans="1:7" x14ac:dyDescent="0.25">
      <c r="A85" s="180">
        <v>2012</v>
      </c>
      <c r="B85" s="181" t="s">
        <v>512</v>
      </c>
      <c r="C85" s="180">
        <v>9</v>
      </c>
      <c r="D85" s="180">
        <v>32.47</v>
      </c>
      <c r="E85" s="180">
        <v>254.35</v>
      </c>
      <c r="F85" s="180">
        <v>13.34</v>
      </c>
      <c r="G85" s="181"/>
    </row>
    <row r="86" spans="1:7" x14ac:dyDescent="0.25">
      <c r="A86" s="180">
        <v>2012</v>
      </c>
      <c r="B86" s="181" t="s">
        <v>512</v>
      </c>
      <c r="C86" s="180">
        <v>6</v>
      </c>
      <c r="D86" s="180">
        <v>48.92</v>
      </c>
      <c r="E86" s="180">
        <v>389.85</v>
      </c>
      <c r="F86" s="180">
        <v>13.06</v>
      </c>
      <c r="G86" s="181"/>
    </row>
    <row r="87" spans="1:7" x14ac:dyDescent="0.25">
      <c r="A87" s="180">
        <v>2012</v>
      </c>
      <c r="B87" s="181" t="s">
        <v>512</v>
      </c>
      <c r="C87" s="182"/>
      <c r="D87" s="180">
        <v>30.03</v>
      </c>
      <c r="E87" s="180">
        <v>323.55</v>
      </c>
      <c r="F87" s="182"/>
      <c r="G87" s="181"/>
    </row>
    <row r="88" spans="1:7" x14ac:dyDescent="0.25">
      <c r="A88" s="180">
        <v>2012</v>
      </c>
      <c r="B88" s="181" t="s">
        <v>513</v>
      </c>
      <c r="C88" s="180">
        <v>4</v>
      </c>
      <c r="D88" s="180">
        <v>45.21</v>
      </c>
      <c r="E88" s="180">
        <v>349.81</v>
      </c>
      <c r="F88" s="180">
        <v>13.94</v>
      </c>
      <c r="G88" s="181"/>
    </row>
    <row r="89" spans="1:7" x14ac:dyDescent="0.25">
      <c r="A89" s="180">
        <v>2012</v>
      </c>
      <c r="B89" s="181" t="s">
        <v>513</v>
      </c>
      <c r="C89" s="180">
        <v>8</v>
      </c>
      <c r="D89" s="180">
        <v>37.78</v>
      </c>
      <c r="E89" s="180">
        <v>343.7</v>
      </c>
      <c r="F89" s="180">
        <v>10.130000000000001</v>
      </c>
      <c r="G89" s="181"/>
    </row>
    <row r="90" spans="1:7" x14ac:dyDescent="0.25">
      <c r="A90" s="180">
        <v>2012</v>
      </c>
      <c r="B90" s="181" t="s">
        <v>513</v>
      </c>
      <c r="C90" s="180">
        <v>4</v>
      </c>
      <c r="D90" s="180">
        <v>53.82</v>
      </c>
      <c r="E90" s="180">
        <v>331.35</v>
      </c>
      <c r="F90" s="180">
        <v>14.36</v>
      </c>
      <c r="G90" s="181"/>
    </row>
    <row r="91" spans="1:7" x14ac:dyDescent="0.25">
      <c r="A91" s="180">
        <v>2012</v>
      </c>
      <c r="B91" s="181" t="s">
        <v>513</v>
      </c>
      <c r="C91" s="180">
        <v>7</v>
      </c>
      <c r="D91" s="180">
        <v>41.21</v>
      </c>
      <c r="E91" s="180">
        <v>450.43</v>
      </c>
      <c r="F91" s="180">
        <v>12.67</v>
      </c>
      <c r="G91" s="181"/>
    </row>
    <row r="92" spans="1:7" x14ac:dyDescent="0.25">
      <c r="A92" s="180">
        <v>2012</v>
      </c>
      <c r="B92" s="181" t="s">
        <v>513</v>
      </c>
      <c r="C92" s="180">
        <v>6</v>
      </c>
      <c r="D92" s="180">
        <v>42.91</v>
      </c>
      <c r="E92" s="182"/>
      <c r="F92" s="180">
        <v>13.59</v>
      </c>
      <c r="G92" s="181"/>
    </row>
    <row r="93" spans="1:7" x14ac:dyDescent="0.25">
      <c r="A93" s="180">
        <v>2012</v>
      </c>
      <c r="B93" s="181" t="s">
        <v>513</v>
      </c>
      <c r="C93" s="180">
        <v>4</v>
      </c>
      <c r="D93" s="180">
        <v>55.1</v>
      </c>
      <c r="E93" s="182"/>
      <c r="F93" s="182"/>
      <c r="G93" s="181"/>
    </row>
    <row r="94" spans="1:7" x14ac:dyDescent="0.25">
      <c r="A94" s="180">
        <v>2012</v>
      </c>
      <c r="B94" s="181" t="s">
        <v>494</v>
      </c>
      <c r="C94" s="180">
        <v>6</v>
      </c>
      <c r="D94" s="180">
        <v>43.98</v>
      </c>
      <c r="E94" s="180">
        <v>516.53</v>
      </c>
      <c r="F94" s="180">
        <v>15.08</v>
      </c>
      <c r="G94" s="181"/>
    </row>
    <row r="95" spans="1:7" x14ac:dyDescent="0.25">
      <c r="A95" s="180">
        <v>2012</v>
      </c>
      <c r="B95" s="181" t="s">
        <v>494</v>
      </c>
      <c r="C95" s="180">
        <v>5</v>
      </c>
      <c r="D95" s="180">
        <v>39.58</v>
      </c>
      <c r="E95" s="180">
        <v>340.57</v>
      </c>
      <c r="F95" s="180">
        <v>13.75</v>
      </c>
      <c r="G95" s="181"/>
    </row>
    <row r="96" spans="1:7" x14ac:dyDescent="0.25">
      <c r="A96" s="180">
        <v>2012</v>
      </c>
      <c r="B96" s="181" t="s">
        <v>494</v>
      </c>
      <c r="C96" s="180">
        <v>7</v>
      </c>
      <c r="D96" s="180">
        <v>51.73</v>
      </c>
      <c r="E96" s="180">
        <v>351.19</v>
      </c>
      <c r="F96" s="180">
        <v>18.71</v>
      </c>
      <c r="G96" s="181"/>
    </row>
    <row r="97" spans="1:7" x14ac:dyDescent="0.25">
      <c r="A97" s="180">
        <v>2012</v>
      </c>
      <c r="B97" s="181" t="s">
        <v>494</v>
      </c>
      <c r="C97" s="180">
        <v>4</v>
      </c>
      <c r="D97" s="180">
        <v>56.86</v>
      </c>
      <c r="E97" s="180">
        <v>405.13</v>
      </c>
      <c r="F97" s="180">
        <v>16.02</v>
      </c>
      <c r="G97" s="181"/>
    </row>
    <row r="98" spans="1:7" x14ac:dyDescent="0.25">
      <c r="A98" s="180">
        <v>2012</v>
      </c>
      <c r="B98" s="181" t="s">
        <v>494</v>
      </c>
      <c r="C98" s="180">
        <v>7</v>
      </c>
      <c r="D98" s="180">
        <v>64.209999999999994</v>
      </c>
      <c r="E98" s="180">
        <v>495.88</v>
      </c>
      <c r="F98" s="182"/>
      <c r="G98" s="181"/>
    </row>
    <row r="99" spans="1:7" x14ac:dyDescent="0.25">
      <c r="A99" s="180">
        <v>2012</v>
      </c>
      <c r="B99" s="181" t="s">
        <v>494</v>
      </c>
      <c r="C99" s="180">
        <v>5</v>
      </c>
      <c r="D99" s="182"/>
      <c r="E99" s="182"/>
      <c r="F99" s="182"/>
      <c r="G99" s="181"/>
    </row>
    <row r="100" spans="1:7" x14ac:dyDescent="0.25">
      <c r="A100" s="180">
        <v>2012</v>
      </c>
      <c r="B100" s="181" t="s">
        <v>477</v>
      </c>
      <c r="C100" s="180">
        <v>8</v>
      </c>
      <c r="D100" s="180">
        <v>49.91</v>
      </c>
      <c r="E100" s="180">
        <v>385.9</v>
      </c>
      <c r="F100" s="180">
        <v>11.27</v>
      </c>
      <c r="G100" s="181"/>
    </row>
    <row r="101" spans="1:7" x14ac:dyDescent="0.25">
      <c r="A101" s="180">
        <v>2012</v>
      </c>
      <c r="B101" s="181" t="s">
        <v>477</v>
      </c>
      <c r="C101" s="180">
        <v>5</v>
      </c>
      <c r="D101" s="180">
        <v>35.630000000000003</v>
      </c>
      <c r="E101" s="180">
        <v>281.14</v>
      </c>
      <c r="F101" s="180">
        <v>9.82</v>
      </c>
      <c r="G101" s="181"/>
    </row>
    <row r="102" spans="1:7" x14ac:dyDescent="0.25">
      <c r="A102" s="180">
        <v>2012</v>
      </c>
      <c r="B102" s="181" t="s">
        <v>477</v>
      </c>
      <c r="C102" s="180">
        <v>7</v>
      </c>
      <c r="D102" s="180">
        <v>25.23</v>
      </c>
      <c r="E102" s="180">
        <v>467.74</v>
      </c>
      <c r="F102" s="180">
        <v>9.42</v>
      </c>
      <c r="G102" s="181"/>
    </row>
    <row r="103" spans="1:7" x14ac:dyDescent="0.25">
      <c r="A103" s="180">
        <v>2012</v>
      </c>
      <c r="B103" s="181" t="s">
        <v>477</v>
      </c>
      <c r="C103" s="180">
        <v>4</v>
      </c>
      <c r="D103" s="180">
        <v>27.62</v>
      </c>
      <c r="E103" s="180">
        <v>457.88</v>
      </c>
      <c r="F103" s="180">
        <v>10.1</v>
      </c>
      <c r="G103" s="181"/>
    </row>
    <row r="104" spans="1:7" x14ac:dyDescent="0.25">
      <c r="A104" s="180">
        <v>2012</v>
      </c>
      <c r="B104" s="181" t="s">
        <v>477</v>
      </c>
      <c r="C104" s="180">
        <v>6</v>
      </c>
      <c r="D104" s="180">
        <v>32.049999999999997</v>
      </c>
      <c r="E104" s="180">
        <v>203.73</v>
      </c>
      <c r="F104" s="180">
        <v>9.2799999999999994</v>
      </c>
      <c r="G104" s="181"/>
    </row>
    <row r="105" spans="1:7" x14ac:dyDescent="0.25">
      <c r="A105" s="180">
        <v>2012</v>
      </c>
      <c r="B105" s="181" t="s">
        <v>477</v>
      </c>
      <c r="C105" s="182"/>
      <c r="D105" s="182"/>
      <c r="E105" s="180">
        <v>212.13</v>
      </c>
      <c r="F105" s="182"/>
      <c r="G105" s="181"/>
    </row>
    <row r="106" spans="1:7" x14ac:dyDescent="0.25">
      <c r="A106" s="180">
        <v>2012</v>
      </c>
      <c r="B106" s="181" t="s">
        <v>495</v>
      </c>
      <c r="C106" s="180">
        <v>8</v>
      </c>
      <c r="D106" s="180">
        <v>53.94</v>
      </c>
      <c r="E106" s="180">
        <v>337.05</v>
      </c>
      <c r="F106" s="180">
        <v>11.51</v>
      </c>
      <c r="G106" s="181"/>
    </row>
    <row r="107" spans="1:7" x14ac:dyDescent="0.25">
      <c r="A107" s="180">
        <v>2012</v>
      </c>
      <c r="B107" s="181" t="s">
        <v>495</v>
      </c>
      <c r="C107" s="180">
        <v>3</v>
      </c>
      <c r="D107" s="180">
        <v>30.82</v>
      </c>
      <c r="E107" s="180">
        <v>259.64999999999998</v>
      </c>
      <c r="F107" s="180">
        <v>11.5</v>
      </c>
      <c r="G107" s="181"/>
    </row>
    <row r="108" spans="1:7" x14ac:dyDescent="0.25">
      <c r="A108" s="180">
        <v>2012</v>
      </c>
      <c r="B108" s="181" t="s">
        <v>495</v>
      </c>
      <c r="C108" s="180">
        <v>6</v>
      </c>
      <c r="D108" s="180">
        <v>53.45</v>
      </c>
      <c r="E108" s="180">
        <v>294.89</v>
      </c>
      <c r="F108" s="180">
        <v>12.42</v>
      </c>
      <c r="G108" s="181"/>
    </row>
    <row r="109" spans="1:7" x14ac:dyDescent="0.25">
      <c r="A109" s="180">
        <v>2012</v>
      </c>
      <c r="B109" s="181" t="s">
        <v>495</v>
      </c>
      <c r="C109" s="180">
        <v>9</v>
      </c>
      <c r="D109" s="180">
        <v>34.18</v>
      </c>
      <c r="E109" s="180">
        <v>231.53</v>
      </c>
      <c r="F109" s="180">
        <v>9.5299999999999994</v>
      </c>
      <c r="G109" s="181"/>
    </row>
    <row r="110" spans="1:7" x14ac:dyDescent="0.25">
      <c r="A110" s="180">
        <v>2012</v>
      </c>
      <c r="B110" s="181" t="s">
        <v>495</v>
      </c>
      <c r="C110" s="180">
        <v>5</v>
      </c>
      <c r="D110" s="180">
        <v>49.39</v>
      </c>
      <c r="E110" s="180">
        <v>371.18</v>
      </c>
      <c r="F110" s="180">
        <v>9.58</v>
      </c>
      <c r="G110" s="181"/>
    </row>
    <row r="111" spans="1:7" x14ac:dyDescent="0.25">
      <c r="A111" s="180">
        <v>2012</v>
      </c>
      <c r="B111" s="181" t="s">
        <v>495</v>
      </c>
      <c r="C111" s="182"/>
      <c r="D111" s="180">
        <v>38.35</v>
      </c>
      <c r="E111" s="182"/>
      <c r="F111" s="180">
        <v>10.79</v>
      </c>
      <c r="G111" s="181"/>
    </row>
    <row r="112" spans="1:7" x14ac:dyDescent="0.25">
      <c r="A112" s="180">
        <v>2012</v>
      </c>
      <c r="B112" s="181" t="s">
        <v>492</v>
      </c>
      <c r="C112" s="180">
        <v>4</v>
      </c>
      <c r="D112" s="180">
        <v>34.9</v>
      </c>
      <c r="E112" s="180">
        <v>220.8</v>
      </c>
      <c r="F112" s="182"/>
      <c r="G112" s="181"/>
    </row>
    <row r="113" spans="1:7" x14ac:dyDescent="0.25">
      <c r="A113" s="180">
        <v>2012</v>
      </c>
      <c r="B113" s="181" t="s">
        <v>492</v>
      </c>
      <c r="C113" s="180">
        <v>4</v>
      </c>
      <c r="D113" s="180">
        <v>48.95</v>
      </c>
      <c r="E113" s="182"/>
      <c r="F113" s="182"/>
      <c r="G113" s="181"/>
    </row>
    <row r="114" spans="1:7" x14ac:dyDescent="0.25">
      <c r="A114" s="180">
        <v>2012</v>
      </c>
      <c r="B114" s="181" t="s">
        <v>492</v>
      </c>
      <c r="C114" s="180">
        <v>6</v>
      </c>
      <c r="D114" s="180">
        <v>41.36</v>
      </c>
      <c r="E114" s="180">
        <v>162.63999999999999</v>
      </c>
      <c r="F114" s="182"/>
      <c r="G114" s="181"/>
    </row>
    <row r="115" spans="1:7" x14ac:dyDescent="0.25">
      <c r="A115" s="180">
        <v>2012</v>
      </c>
      <c r="B115" s="181" t="s">
        <v>492</v>
      </c>
      <c r="C115" s="180">
        <v>5</v>
      </c>
      <c r="D115" s="180">
        <v>37.85</v>
      </c>
      <c r="E115" s="180">
        <v>316.66000000000003</v>
      </c>
      <c r="F115" s="182"/>
      <c r="G115" s="181"/>
    </row>
    <row r="116" spans="1:7" x14ac:dyDescent="0.25">
      <c r="A116" s="180">
        <v>2012</v>
      </c>
      <c r="B116" s="181" t="s">
        <v>492</v>
      </c>
      <c r="C116" s="180">
        <v>5</v>
      </c>
      <c r="D116" s="180">
        <v>47.84</v>
      </c>
      <c r="E116" s="180">
        <v>283.24</v>
      </c>
      <c r="F116" s="182"/>
      <c r="G116" s="181"/>
    </row>
    <row r="117" spans="1:7" x14ac:dyDescent="0.25">
      <c r="A117" s="180">
        <v>2012</v>
      </c>
      <c r="B117" s="181" t="s">
        <v>480</v>
      </c>
      <c r="C117" s="180">
        <v>4</v>
      </c>
      <c r="D117" s="180">
        <v>38.1</v>
      </c>
      <c r="E117" s="180">
        <v>428.02</v>
      </c>
      <c r="F117" s="180">
        <v>11.6</v>
      </c>
      <c r="G117" s="181"/>
    </row>
    <row r="118" spans="1:7" x14ac:dyDescent="0.25">
      <c r="A118" s="180">
        <v>2012</v>
      </c>
      <c r="B118" s="181" t="s">
        <v>480</v>
      </c>
      <c r="C118" s="180">
        <v>5</v>
      </c>
      <c r="D118" s="180">
        <v>50.29</v>
      </c>
      <c r="E118" s="180">
        <v>346.23</v>
      </c>
      <c r="F118" s="180">
        <v>14.82</v>
      </c>
      <c r="G118" s="181"/>
    </row>
    <row r="119" spans="1:7" x14ac:dyDescent="0.25">
      <c r="A119" s="180">
        <v>2012</v>
      </c>
      <c r="B119" s="181" t="s">
        <v>480</v>
      </c>
      <c r="C119" s="180">
        <v>5</v>
      </c>
      <c r="D119" s="180">
        <v>60.96</v>
      </c>
      <c r="E119" s="180">
        <v>362.02</v>
      </c>
      <c r="F119" s="180">
        <v>10.54</v>
      </c>
      <c r="G119" s="181"/>
    </row>
    <row r="120" spans="1:7" x14ac:dyDescent="0.25">
      <c r="A120" s="180">
        <v>2012</v>
      </c>
      <c r="B120" s="181" t="s">
        <v>480</v>
      </c>
      <c r="C120" s="180">
        <v>5</v>
      </c>
      <c r="D120" s="180">
        <v>30.82</v>
      </c>
      <c r="E120" s="180">
        <v>430.99</v>
      </c>
      <c r="F120" s="180">
        <v>10.35</v>
      </c>
      <c r="G120" s="181"/>
    </row>
    <row r="121" spans="1:7" x14ac:dyDescent="0.25">
      <c r="A121" s="180">
        <v>2012</v>
      </c>
      <c r="B121" s="181" t="s">
        <v>480</v>
      </c>
      <c r="C121" s="180">
        <v>5</v>
      </c>
      <c r="D121" s="180">
        <v>34.22</v>
      </c>
      <c r="E121" s="180">
        <v>292.91000000000003</v>
      </c>
      <c r="F121" s="182"/>
      <c r="G121" s="181"/>
    </row>
    <row r="122" spans="1:7" x14ac:dyDescent="0.25">
      <c r="A122" s="180">
        <v>2012</v>
      </c>
      <c r="B122" s="181" t="s">
        <v>480</v>
      </c>
      <c r="C122" s="182"/>
      <c r="D122" s="182"/>
      <c r="E122" s="180">
        <v>236.61</v>
      </c>
      <c r="F122" s="182"/>
      <c r="G122" s="181"/>
    </row>
    <row r="123" spans="1:7" x14ac:dyDescent="0.25">
      <c r="A123" s="180">
        <v>2012</v>
      </c>
      <c r="B123" s="181" t="s">
        <v>501</v>
      </c>
      <c r="C123" s="180">
        <v>7</v>
      </c>
      <c r="D123" s="180">
        <v>53.34</v>
      </c>
      <c r="E123" s="180">
        <v>468.68</v>
      </c>
      <c r="F123" s="180">
        <v>10.95</v>
      </c>
      <c r="G123" s="181"/>
    </row>
    <row r="124" spans="1:7" x14ac:dyDescent="0.25">
      <c r="A124" s="180">
        <v>2012</v>
      </c>
      <c r="B124" s="181" t="s">
        <v>501</v>
      </c>
      <c r="C124" s="180">
        <v>7</v>
      </c>
      <c r="D124" s="180">
        <v>67.19</v>
      </c>
      <c r="E124" s="180">
        <v>386.27</v>
      </c>
      <c r="F124" s="180">
        <v>12.01</v>
      </c>
      <c r="G124" s="181"/>
    </row>
    <row r="125" spans="1:7" x14ac:dyDescent="0.25">
      <c r="A125" s="180">
        <v>2012</v>
      </c>
      <c r="B125" s="181" t="s">
        <v>501</v>
      </c>
      <c r="C125" s="180">
        <v>6</v>
      </c>
      <c r="D125" s="180">
        <v>53.28</v>
      </c>
      <c r="E125" s="180">
        <v>424.61</v>
      </c>
      <c r="F125" s="180">
        <v>9.0399999999999991</v>
      </c>
      <c r="G125" s="181"/>
    </row>
    <row r="126" spans="1:7" x14ac:dyDescent="0.25">
      <c r="A126" s="180">
        <v>2012</v>
      </c>
      <c r="B126" s="181" t="s">
        <v>501</v>
      </c>
      <c r="C126" s="180">
        <v>9</v>
      </c>
      <c r="D126" s="180">
        <v>38.03</v>
      </c>
      <c r="E126" s="180">
        <v>210.92</v>
      </c>
      <c r="F126" s="180">
        <v>8.5399999999999991</v>
      </c>
      <c r="G126" s="181"/>
    </row>
    <row r="127" spans="1:7" x14ac:dyDescent="0.25">
      <c r="A127" s="180">
        <v>2012</v>
      </c>
      <c r="B127" s="181" t="s">
        <v>501</v>
      </c>
      <c r="C127" s="180">
        <v>8</v>
      </c>
      <c r="D127" s="180">
        <v>36.75</v>
      </c>
      <c r="E127" s="180">
        <v>362.7</v>
      </c>
      <c r="F127" s="180">
        <v>8.09</v>
      </c>
      <c r="G127" s="181"/>
    </row>
    <row r="128" spans="1:7" x14ac:dyDescent="0.25">
      <c r="A128" s="180">
        <v>2012</v>
      </c>
      <c r="B128" s="181" t="s">
        <v>501</v>
      </c>
      <c r="C128" s="182"/>
      <c r="D128" s="182"/>
      <c r="E128" s="182"/>
      <c r="F128" s="180">
        <v>13.03</v>
      </c>
      <c r="G128" s="181"/>
    </row>
    <row r="129" spans="1:7" x14ac:dyDescent="0.25">
      <c r="A129" s="180">
        <v>2012</v>
      </c>
      <c r="B129" s="181" t="s">
        <v>487</v>
      </c>
      <c r="C129" s="180">
        <v>6</v>
      </c>
      <c r="D129" s="180">
        <v>32.81</v>
      </c>
      <c r="E129" s="180">
        <v>271.87</v>
      </c>
      <c r="F129" s="180">
        <v>8.36</v>
      </c>
      <c r="G129" s="181"/>
    </row>
    <row r="130" spans="1:7" x14ac:dyDescent="0.25">
      <c r="A130" s="180">
        <v>2012</v>
      </c>
      <c r="B130" s="181" t="s">
        <v>487</v>
      </c>
      <c r="C130" s="180">
        <v>9</v>
      </c>
      <c r="D130" s="180">
        <v>45.18</v>
      </c>
      <c r="E130" s="180">
        <v>212.21</v>
      </c>
      <c r="F130" s="180">
        <v>7.05</v>
      </c>
      <c r="G130" s="181"/>
    </row>
    <row r="131" spans="1:7" x14ac:dyDescent="0.25">
      <c r="A131" s="180">
        <v>2012</v>
      </c>
      <c r="B131" s="181" t="s">
        <v>487</v>
      </c>
      <c r="C131" s="180">
        <v>9</v>
      </c>
      <c r="D131" s="180">
        <v>35.07</v>
      </c>
      <c r="E131" s="180">
        <v>167.78</v>
      </c>
      <c r="F131" s="180">
        <v>5.69</v>
      </c>
      <c r="G131" s="181"/>
    </row>
    <row r="132" spans="1:7" x14ac:dyDescent="0.25">
      <c r="A132" s="180">
        <v>2012</v>
      </c>
      <c r="B132" s="181" t="s">
        <v>487</v>
      </c>
      <c r="C132" s="180">
        <v>8</v>
      </c>
      <c r="D132" s="180">
        <v>43.68</v>
      </c>
      <c r="E132" s="180">
        <v>236.87</v>
      </c>
      <c r="F132" s="180">
        <v>6.76</v>
      </c>
      <c r="G132" s="181"/>
    </row>
    <row r="133" spans="1:7" x14ac:dyDescent="0.25">
      <c r="A133" s="180">
        <v>2012</v>
      </c>
      <c r="B133" s="181" t="s">
        <v>487</v>
      </c>
      <c r="C133" s="182"/>
      <c r="D133" s="180">
        <v>40.94</v>
      </c>
      <c r="E133" s="180">
        <v>177.71</v>
      </c>
      <c r="F133" s="180">
        <v>6.2</v>
      </c>
      <c r="G133" s="181"/>
    </row>
    <row r="134" spans="1:7" x14ac:dyDescent="0.25">
      <c r="A134" s="180">
        <v>2012</v>
      </c>
      <c r="B134" s="181" t="s">
        <v>487</v>
      </c>
      <c r="C134" s="182"/>
      <c r="D134" s="180">
        <v>30.48</v>
      </c>
      <c r="E134" s="182"/>
      <c r="F134" s="182"/>
      <c r="G134" s="181"/>
    </row>
    <row r="135" spans="1:7" x14ac:dyDescent="0.25">
      <c r="A135" s="180">
        <v>2012</v>
      </c>
      <c r="B135" s="181" t="s">
        <v>482</v>
      </c>
      <c r="C135" s="180">
        <v>12</v>
      </c>
      <c r="D135" s="180">
        <v>31.88</v>
      </c>
      <c r="E135" s="180">
        <v>303.82</v>
      </c>
      <c r="F135" s="180">
        <v>6.31</v>
      </c>
      <c r="G135" s="181"/>
    </row>
    <row r="136" spans="1:7" x14ac:dyDescent="0.25">
      <c r="A136" s="180">
        <v>2012</v>
      </c>
      <c r="B136" s="181" t="s">
        <v>482</v>
      </c>
      <c r="C136" s="180">
        <v>8</v>
      </c>
      <c r="D136" s="180">
        <v>29.35</v>
      </c>
      <c r="E136" s="180">
        <v>225.5</v>
      </c>
      <c r="F136" s="180">
        <v>6.4</v>
      </c>
      <c r="G136" s="181"/>
    </row>
    <row r="137" spans="1:7" x14ac:dyDescent="0.25">
      <c r="A137" s="180">
        <v>2012</v>
      </c>
      <c r="B137" s="181" t="s">
        <v>482</v>
      </c>
      <c r="C137" s="180">
        <v>13</v>
      </c>
      <c r="D137" s="180">
        <v>24.85</v>
      </c>
      <c r="E137" s="180">
        <v>296.58</v>
      </c>
      <c r="F137" s="180">
        <v>7.84</v>
      </c>
      <c r="G137" s="181"/>
    </row>
    <row r="138" spans="1:7" x14ac:dyDescent="0.25">
      <c r="A138" s="180">
        <v>2012</v>
      </c>
      <c r="B138" s="181" t="s">
        <v>482</v>
      </c>
      <c r="C138" s="180">
        <v>10</v>
      </c>
      <c r="D138" s="180">
        <v>28.79</v>
      </c>
      <c r="E138" s="180">
        <v>207.97</v>
      </c>
      <c r="F138" s="180">
        <v>6.43</v>
      </c>
      <c r="G138" s="181"/>
    </row>
    <row r="139" spans="1:7" x14ac:dyDescent="0.25">
      <c r="A139" s="180">
        <v>2012</v>
      </c>
      <c r="B139" s="181" t="s">
        <v>482</v>
      </c>
      <c r="C139" s="180">
        <v>7</v>
      </c>
      <c r="D139" s="182"/>
      <c r="E139" s="180">
        <v>208.4</v>
      </c>
      <c r="F139" s="180">
        <v>7.36</v>
      </c>
      <c r="G139" s="181"/>
    </row>
    <row r="140" spans="1:7" x14ac:dyDescent="0.25">
      <c r="A140" s="180">
        <v>2012</v>
      </c>
      <c r="B140" s="181" t="s">
        <v>481</v>
      </c>
      <c r="C140" s="180">
        <v>8</v>
      </c>
      <c r="D140" s="180">
        <v>49.79</v>
      </c>
      <c r="E140" s="180">
        <v>229.26</v>
      </c>
      <c r="F140" s="182"/>
      <c r="G140" s="181"/>
    </row>
    <row r="141" spans="1:7" x14ac:dyDescent="0.25">
      <c r="A141" s="180">
        <v>2012</v>
      </c>
      <c r="B141" s="181" t="s">
        <v>481</v>
      </c>
      <c r="C141" s="180">
        <v>8</v>
      </c>
      <c r="D141" s="180">
        <v>49.79</v>
      </c>
      <c r="E141" s="180">
        <v>229.26</v>
      </c>
      <c r="F141" s="182"/>
      <c r="G141" s="181"/>
    </row>
    <row r="142" spans="1:7" x14ac:dyDescent="0.25">
      <c r="A142" s="180">
        <v>2012</v>
      </c>
      <c r="B142" s="181" t="s">
        <v>481</v>
      </c>
      <c r="C142" s="180">
        <v>10</v>
      </c>
      <c r="D142" s="180">
        <v>42.11</v>
      </c>
      <c r="E142" s="180">
        <v>240.82</v>
      </c>
      <c r="F142" s="182"/>
      <c r="G142" s="181"/>
    </row>
    <row r="143" spans="1:7" x14ac:dyDescent="0.25">
      <c r="A143" s="180">
        <v>2012</v>
      </c>
      <c r="B143" s="181" t="s">
        <v>481</v>
      </c>
      <c r="C143" s="180">
        <v>10</v>
      </c>
      <c r="D143" s="180">
        <v>42.11</v>
      </c>
      <c r="E143" s="180">
        <v>240.82</v>
      </c>
      <c r="F143" s="182"/>
      <c r="G143" s="181"/>
    </row>
    <row r="144" spans="1:7" x14ac:dyDescent="0.25">
      <c r="A144" s="180">
        <v>2012</v>
      </c>
      <c r="B144" s="181" t="s">
        <v>481</v>
      </c>
      <c r="C144" s="180">
        <v>9</v>
      </c>
      <c r="D144" s="180">
        <v>37.18</v>
      </c>
      <c r="E144" s="180">
        <v>245.09</v>
      </c>
      <c r="F144" s="182"/>
      <c r="G144" s="181"/>
    </row>
    <row r="145" spans="1:7" x14ac:dyDescent="0.25">
      <c r="A145" s="180">
        <v>2012</v>
      </c>
      <c r="B145" s="181" t="s">
        <v>481</v>
      </c>
      <c r="C145" s="180">
        <v>9</v>
      </c>
      <c r="D145" s="180">
        <v>37.18</v>
      </c>
      <c r="E145" s="180">
        <v>245.09</v>
      </c>
      <c r="F145" s="182"/>
      <c r="G145" s="181"/>
    </row>
    <row r="146" spans="1:7" x14ac:dyDescent="0.25">
      <c r="A146" s="180">
        <v>2012</v>
      </c>
      <c r="B146" s="181" t="s">
        <v>481</v>
      </c>
      <c r="C146" s="180">
        <v>7</v>
      </c>
      <c r="D146" s="180">
        <v>45.35</v>
      </c>
      <c r="E146" s="180">
        <v>272.3</v>
      </c>
      <c r="F146" s="182"/>
      <c r="G146" s="181"/>
    </row>
    <row r="147" spans="1:7" x14ac:dyDescent="0.25">
      <c r="A147" s="180">
        <v>2012</v>
      </c>
      <c r="B147" s="181" t="s">
        <v>481</v>
      </c>
      <c r="C147" s="180">
        <v>7</v>
      </c>
      <c r="D147" s="180">
        <v>45.35</v>
      </c>
      <c r="E147" s="180">
        <v>272.3</v>
      </c>
      <c r="F147" s="182"/>
      <c r="G147" s="181"/>
    </row>
    <row r="148" spans="1:7" x14ac:dyDescent="0.25">
      <c r="A148" s="180">
        <v>2012</v>
      </c>
      <c r="B148" s="181" t="s">
        <v>481</v>
      </c>
      <c r="C148" s="180">
        <v>10</v>
      </c>
      <c r="D148" s="180">
        <v>48.41</v>
      </c>
      <c r="E148" s="180">
        <v>270.39999999999998</v>
      </c>
      <c r="F148" s="182"/>
      <c r="G148" s="181"/>
    </row>
    <row r="149" spans="1:7" x14ac:dyDescent="0.25">
      <c r="A149" s="180">
        <v>2012</v>
      </c>
      <c r="B149" s="181" t="s">
        <v>481</v>
      </c>
      <c r="C149" s="180">
        <v>10</v>
      </c>
      <c r="D149" s="180">
        <v>48.41</v>
      </c>
      <c r="E149" s="180">
        <v>270.39999999999998</v>
      </c>
      <c r="F149" s="182"/>
      <c r="G149" s="181"/>
    </row>
    <row r="150" spans="1:7" x14ac:dyDescent="0.25">
      <c r="A150" s="180">
        <v>2012</v>
      </c>
      <c r="B150" s="181" t="s">
        <v>512</v>
      </c>
      <c r="C150" s="180">
        <v>10</v>
      </c>
      <c r="D150" s="180">
        <v>34.31</v>
      </c>
      <c r="E150" s="180">
        <v>350.53</v>
      </c>
      <c r="F150" s="180">
        <v>8.0500000000000007</v>
      </c>
      <c r="G150" s="181"/>
    </row>
    <row r="151" spans="1:7" x14ac:dyDescent="0.25">
      <c r="A151" s="180">
        <v>2012</v>
      </c>
      <c r="B151" s="181" t="s">
        <v>512</v>
      </c>
      <c r="C151" s="180">
        <v>6</v>
      </c>
      <c r="D151" s="180">
        <v>47.9</v>
      </c>
      <c r="E151" s="180">
        <v>363.84</v>
      </c>
      <c r="F151" s="180">
        <v>8.67</v>
      </c>
      <c r="G151" s="181"/>
    </row>
    <row r="152" spans="1:7" x14ac:dyDescent="0.25">
      <c r="A152" s="180">
        <v>2012</v>
      </c>
      <c r="B152" s="181" t="s">
        <v>512</v>
      </c>
      <c r="C152" s="180">
        <v>11</v>
      </c>
      <c r="D152" s="180">
        <v>33.409999999999997</v>
      </c>
      <c r="E152" s="180">
        <v>241.24</v>
      </c>
      <c r="F152" s="180">
        <v>10.210000000000001</v>
      </c>
      <c r="G152" s="181"/>
    </row>
    <row r="153" spans="1:7" x14ac:dyDescent="0.25">
      <c r="A153" s="180">
        <v>2012</v>
      </c>
      <c r="B153" s="181" t="s">
        <v>512</v>
      </c>
      <c r="C153" s="180">
        <v>13</v>
      </c>
      <c r="D153" s="180">
        <v>31.76</v>
      </c>
      <c r="E153" s="180">
        <v>272</v>
      </c>
      <c r="F153" s="180">
        <v>12.8</v>
      </c>
      <c r="G153" s="181"/>
    </row>
    <row r="154" spans="1:7" x14ac:dyDescent="0.25">
      <c r="A154" s="180">
        <v>2012</v>
      </c>
      <c r="B154" s="181" t="s">
        <v>512</v>
      </c>
      <c r="C154" s="180">
        <v>6</v>
      </c>
      <c r="D154" s="180">
        <v>35.36</v>
      </c>
      <c r="E154" s="180">
        <v>297.10000000000002</v>
      </c>
      <c r="F154" s="180">
        <v>11.04</v>
      </c>
      <c r="G154" s="181"/>
    </row>
    <row r="155" spans="1:7" x14ac:dyDescent="0.25">
      <c r="A155" s="180">
        <v>2012</v>
      </c>
      <c r="B155" s="181" t="s">
        <v>512</v>
      </c>
      <c r="C155" s="180">
        <v>6</v>
      </c>
      <c r="D155" s="182"/>
      <c r="E155" s="180">
        <v>314.60000000000002</v>
      </c>
      <c r="F155" s="182"/>
      <c r="G155" s="181"/>
    </row>
    <row r="156" spans="1:7" x14ac:dyDescent="0.25">
      <c r="A156" s="180">
        <v>2012</v>
      </c>
      <c r="B156" s="181" t="s">
        <v>513</v>
      </c>
      <c r="C156" s="180">
        <v>8</v>
      </c>
      <c r="D156" s="180">
        <v>51.16</v>
      </c>
      <c r="E156" s="180">
        <v>367.42</v>
      </c>
      <c r="F156" s="180">
        <v>9.92</v>
      </c>
      <c r="G156" s="181"/>
    </row>
    <row r="157" spans="1:7" x14ac:dyDescent="0.25">
      <c r="A157" s="180">
        <v>2012</v>
      </c>
      <c r="B157" s="181" t="s">
        <v>513</v>
      </c>
      <c r="C157" s="180">
        <v>7</v>
      </c>
      <c r="D157" s="180">
        <v>47.39</v>
      </c>
      <c r="E157" s="180">
        <v>312.35000000000002</v>
      </c>
      <c r="F157" s="180">
        <v>12.37</v>
      </c>
      <c r="G157" s="181"/>
    </row>
    <row r="158" spans="1:7" x14ac:dyDescent="0.25">
      <c r="A158" s="180">
        <v>2012</v>
      </c>
      <c r="B158" s="181" t="s">
        <v>513</v>
      </c>
      <c r="C158" s="180">
        <v>6</v>
      </c>
      <c r="D158" s="180">
        <v>41.85</v>
      </c>
      <c r="E158" s="180">
        <v>251.68</v>
      </c>
      <c r="F158" s="180">
        <v>8.56</v>
      </c>
      <c r="G158" s="181"/>
    </row>
    <row r="159" spans="1:7" x14ac:dyDescent="0.25">
      <c r="A159" s="180">
        <v>2012</v>
      </c>
      <c r="B159" s="181" t="s">
        <v>513</v>
      </c>
      <c r="C159" s="180">
        <v>8</v>
      </c>
      <c r="D159" s="180">
        <v>54.75</v>
      </c>
      <c r="E159" s="180">
        <v>383.89</v>
      </c>
      <c r="F159" s="180">
        <v>11.11</v>
      </c>
      <c r="G159" s="181"/>
    </row>
    <row r="160" spans="1:7" x14ac:dyDescent="0.25">
      <c r="A160" s="180">
        <v>2012</v>
      </c>
      <c r="B160" s="181" t="s">
        <v>513</v>
      </c>
      <c r="C160" s="180">
        <v>5</v>
      </c>
      <c r="D160" s="180">
        <v>37.08</v>
      </c>
      <c r="E160" s="180">
        <v>286.89</v>
      </c>
      <c r="F160" s="180">
        <v>10</v>
      </c>
      <c r="G160" s="181"/>
    </row>
    <row r="161" spans="1:7" x14ac:dyDescent="0.25">
      <c r="A161" s="180">
        <v>2012</v>
      </c>
      <c r="B161" s="181" t="s">
        <v>493</v>
      </c>
      <c r="C161" s="180">
        <v>12</v>
      </c>
      <c r="D161" s="180">
        <v>61.76</v>
      </c>
      <c r="E161" s="180">
        <v>438.37</v>
      </c>
      <c r="F161" s="180">
        <v>9.31</v>
      </c>
      <c r="G161" s="181"/>
    </row>
    <row r="162" spans="1:7" x14ac:dyDescent="0.25">
      <c r="A162" s="180">
        <v>2012</v>
      </c>
      <c r="B162" s="181" t="s">
        <v>493</v>
      </c>
      <c r="C162" s="180">
        <v>11</v>
      </c>
      <c r="D162" s="180">
        <v>49.8</v>
      </c>
      <c r="E162" s="180">
        <v>369.32</v>
      </c>
      <c r="F162" s="180">
        <v>6.52</v>
      </c>
      <c r="G162" s="181"/>
    </row>
    <row r="163" spans="1:7" x14ac:dyDescent="0.25">
      <c r="A163" s="180">
        <v>2012</v>
      </c>
      <c r="B163" s="181" t="s">
        <v>493</v>
      </c>
      <c r="C163" s="180">
        <v>9</v>
      </c>
      <c r="D163" s="180">
        <v>56.1</v>
      </c>
      <c r="E163" s="180">
        <v>438.25</v>
      </c>
      <c r="F163" s="180">
        <v>8.41</v>
      </c>
      <c r="G163" s="181"/>
    </row>
    <row r="164" spans="1:7" x14ac:dyDescent="0.25">
      <c r="A164" s="180">
        <v>2012</v>
      </c>
      <c r="B164" s="181" t="s">
        <v>493</v>
      </c>
      <c r="C164" s="180">
        <v>8</v>
      </c>
      <c r="D164" s="180">
        <v>51.71</v>
      </c>
      <c r="E164" s="180">
        <v>348.25</v>
      </c>
      <c r="F164" s="180">
        <v>6.12</v>
      </c>
      <c r="G164" s="181"/>
    </row>
    <row r="165" spans="1:7" x14ac:dyDescent="0.25">
      <c r="A165" s="180">
        <v>2012</v>
      </c>
      <c r="B165" s="181" t="s">
        <v>493</v>
      </c>
      <c r="C165" s="180">
        <v>9</v>
      </c>
      <c r="D165" s="180">
        <v>63.53</v>
      </c>
      <c r="E165" s="180">
        <v>396.34</v>
      </c>
      <c r="F165" s="180">
        <v>6.93</v>
      </c>
      <c r="G165" s="181"/>
    </row>
    <row r="166" spans="1:7" x14ac:dyDescent="0.25">
      <c r="A166" s="180">
        <v>2012</v>
      </c>
      <c r="B166" s="181" t="s">
        <v>493</v>
      </c>
      <c r="C166" s="182"/>
      <c r="D166" s="182"/>
      <c r="E166" s="180">
        <v>388.61</v>
      </c>
      <c r="F166" s="182"/>
      <c r="G166" s="181"/>
    </row>
    <row r="167" spans="1:7" x14ac:dyDescent="0.25">
      <c r="A167" s="180">
        <v>2012</v>
      </c>
      <c r="B167" s="181" t="s">
        <v>494</v>
      </c>
      <c r="C167" s="180">
        <v>11</v>
      </c>
      <c r="D167" s="180">
        <v>47.22</v>
      </c>
      <c r="E167" s="180">
        <v>326.37</v>
      </c>
      <c r="F167" s="180">
        <v>7.65</v>
      </c>
      <c r="G167" s="181"/>
    </row>
    <row r="168" spans="1:7" x14ac:dyDescent="0.25">
      <c r="A168" s="180">
        <v>2012</v>
      </c>
      <c r="B168" s="181" t="s">
        <v>494</v>
      </c>
      <c r="C168" s="180">
        <v>9</v>
      </c>
      <c r="D168" s="180">
        <v>39.17</v>
      </c>
      <c r="E168" s="180">
        <v>256.81</v>
      </c>
      <c r="F168" s="180">
        <v>8.32</v>
      </c>
      <c r="G168" s="181"/>
    </row>
    <row r="169" spans="1:7" x14ac:dyDescent="0.25">
      <c r="A169" s="180">
        <v>2012</v>
      </c>
      <c r="B169" s="181" t="s">
        <v>494</v>
      </c>
      <c r="C169" s="180">
        <v>12</v>
      </c>
      <c r="D169" s="180">
        <v>43.72</v>
      </c>
      <c r="E169" s="180">
        <v>319.64999999999998</v>
      </c>
      <c r="F169" s="180">
        <v>7.59</v>
      </c>
      <c r="G169" s="181"/>
    </row>
    <row r="170" spans="1:7" x14ac:dyDescent="0.25">
      <c r="A170" s="180">
        <v>2012</v>
      </c>
      <c r="B170" s="181" t="s">
        <v>494</v>
      </c>
      <c r="C170" s="180">
        <v>8</v>
      </c>
      <c r="D170" s="180">
        <v>39</v>
      </c>
      <c r="E170" s="180">
        <v>357.23</v>
      </c>
      <c r="F170" s="180">
        <v>5.23</v>
      </c>
      <c r="G170" s="181"/>
    </row>
    <row r="171" spans="1:7" x14ac:dyDescent="0.25">
      <c r="A171" s="180">
        <v>2012</v>
      </c>
      <c r="B171" s="181" t="s">
        <v>494</v>
      </c>
      <c r="C171" s="180">
        <v>10</v>
      </c>
      <c r="D171" s="182"/>
      <c r="E171" s="182"/>
      <c r="F171" s="182"/>
      <c r="G171" s="181"/>
    </row>
    <row r="172" spans="1:7" x14ac:dyDescent="0.25">
      <c r="A172" s="180">
        <v>2012</v>
      </c>
      <c r="B172" s="181" t="s">
        <v>495</v>
      </c>
      <c r="C172" s="180">
        <v>10</v>
      </c>
      <c r="D172" s="180">
        <v>53.81</v>
      </c>
      <c r="E172" s="180">
        <v>470.59</v>
      </c>
      <c r="F172" s="180">
        <v>7.37</v>
      </c>
      <c r="G172" s="181"/>
    </row>
    <row r="173" spans="1:7" x14ac:dyDescent="0.25">
      <c r="A173" s="180">
        <v>2012</v>
      </c>
      <c r="B173" s="181" t="s">
        <v>495</v>
      </c>
      <c r="C173" s="180">
        <v>10</v>
      </c>
      <c r="D173" s="180">
        <v>73.45</v>
      </c>
      <c r="E173" s="180">
        <v>484.94</v>
      </c>
      <c r="F173" s="180">
        <v>7.45</v>
      </c>
      <c r="G173" s="181"/>
    </row>
    <row r="174" spans="1:7" x14ac:dyDescent="0.25">
      <c r="A174" s="180">
        <v>2012</v>
      </c>
      <c r="B174" s="181" t="s">
        <v>495</v>
      </c>
      <c r="C174" s="180">
        <v>7</v>
      </c>
      <c r="D174" s="180">
        <v>52.25</v>
      </c>
      <c r="E174" s="180">
        <v>440.76</v>
      </c>
      <c r="F174" s="180">
        <v>9.1</v>
      </c>
      <c r="G174" s="181"/>
    </row>
    <row r="175" spans="1:7" x14ac:dyDescent="0.25">
      <c r="A175" s="180">
        <v>2012</v>
      </c>
      <c r="B175" s="181" t="s">
        <v>495</v>
      </c>
      <c r="C175" s="180">
        <v>9</v>
      </c>
      <c r="D175" s="180">
        <v>69.58</v>
      </c>
      <c r="E175" s="180">
        <v>383.76</v>
      </c>
      <c r="F175" s="180">
        <v>9.1999999999999993</v>
      </c>
      <c r="G175" s="181"/>
    </row>
    <row r="176" spans="1:7" x14ac:dyDescent="0.25">
      <c r="A176" s="180">
        <v>2012</v>
      </c>
      <c r="B176" s="181" t="s">
        <v>495</v>
      </c>
      <c r="C176" s="180">
        <v>9</v>
      </c>
      <c r="D176" s="180">
        <v>55.06</v>
      </c>
      <c r="E176" s="180">
        <v>464.23</v>
      </c>
      <c r="F176" s="180">
        <v>7.43</v>
      </c>
      <c r="G176" s="181"/>
    </row>
    <row r="177" spans="1:7" x14ac:dyDescent="0.25">
      <c r="A177" s="180">
        <v>2012</v>
      </c>
      <c r="B177" s="181" t="s">
        <v>492</v>
      </c>
      <c r="C177" s="180">
        <v>8</v>
      </c>
      <c r="D177" s="180">
        <v>44.16</v>
      </c>
      <c r="E177" s="180">
        <v>288.45999999999998</v>
      </c>
      <c r="F177" s="180">
        <v>6.22</v>
      </c>
      <c r="G177" s="181"/>
    </row>
    <row r="178" spans="1:7" x14ac:dyDescent="0.25">
      <c r="A178" s="180">
        <v>2012</v>
      </c>
      <c r="B178" s="181" t="s">
        <v>492</v>
      </c>
      <c r="C178" s="180">
        <v>8</v>
      </c>
      <c r="D178" s="180">
        <v>48.14</v>
      </c>
      <c r="E178" s="180">
        <v>234.77</v>
      </c>
      <c r="F178" s="180">
        <v>5.8</v>
      </c>
      <c r="G178" s="181"/>
    </row>
    <row r="179" spans="1:7" x14ac:dyDescent="0.25">
      <c r="A179" s="180">
        <v>2012</v>
      </c>
      <c r="B179" s="181" t="s">
        <v>492</v>
      </c>
      <c r="C179" s="180">
        <v>13</v>
      </c>
      <c r="D179" s="180">
        <v>35.35</v>
      </c>
      <c r="E179" s="180">
        <v>301.74</v>
      </c>
      <c r="F179" s="180">
        <v>6.28</v>
      </c>
      <c r="G179" s="181"/>
    </row>
    <row r="180" spans="1:7" x14ac:dyDescent="0.25">
      <c r="A180" s="180">
        <v>2012</v>
      </c>
      <c r="B180" s="181" t="s">
        <v>492</v>
      </c>
      <c r="C180" s="180">
        <v>9</v>
      </c>
      <c r="D180" s="180">
        <v>48.83</v>
      </c>
      <c r="E180" s="180">
        <v>293.56</v>
      </c>
      <c r="F180" s="180">
        <v>7.56</v>
      </c>
      <c r="G180" s="181"/>
    </row>
    <row r="181" spans="1:7" x14ac:dyDescent="0.25">
      <c r="A181" s="180">
        <v>2012</v>
      </c>
      <c r="B181" s="181" t="s">
        <v>492</v>
      </c>
      <c r="C181" s="182"/>
      <c r="D181" s="180">
        <v>35.479999999999997</v>
      </c>
      <c r="E181" s="182"/>
      <c r="F181" s="182"/>
      <c r="G181" s="181"/>
    </row>
    <row r="182" spans="1:7" x14ac:dyDescent="0.25">
      <c r="A182" s="180">
        <v>2012</v>
      </c>
      <c r="B182" s="181" t="s">
        <v>480</v>
      </c>
      <c r="C182" s="180">
        <v>9</v>
      </c>
      <c r="D182" s="180">
        <v>58.75</v>
      </c>
      <c r="E182" s="180">
        <v>297.02</v>
      </c>
      <c r="F182" s="180">
        <v>8.5399999999999991</v>
      </c>
      <c r="G182" s="181"/>
    </row>
    <row r="183" spans="1:7" x14ac:dyDescent="0.25">
      <c r="A183" s="180">
        <v>2012</v>
      </c>
      <c r="B183" s="181" t="s">
        <v>480</v>
      </c>
      <c r="C183" s="180">
        <v>6</v>
      </c>
      <c r="D183" s="180">
        <v>60.34</v>
      </c>
      <c r="E183" s="180">
        <v>239.52</v>
      </c>
      <c r="F183" s="180">
        <v>7.82</v>
      </c>
      <c r="G183" s="181"/>
    </row>
    <row r="184" spans="1:7" x14ac:dyDescent="0.25">
      <c r="A184" s="180">
        <v>2012</v>
      </c>
      <c r="B184" s="181" t="s">
        <v>480</v>
      </c>
      <c r="C184" s="180">
        <v>8</v>
      </c>
      <c r="D184" s="180">
        <v>49.39</v>
      </c>
      <c r="E184" s="180">
        <v>338.18</v>
      </c>
      <c r="F184" s="180">
        <v>5.93</v>
      </c>
      <c r="G184" s="181"/>
    </row>
    <row r="185" spans="1:7" x14ac:dyDescent="0.25">
      <c r="A185" s="180">
        <v>2012</v>
      </c>
      <c r="B185" s="181" t="s">
        <v>480</v>
      </c>
      <c r="C185" s="180">
        <v>7</v>
      </c>
      <c r="D185" s="180">
        <v>37.21</v>
      </c>
      <c r="E185" s="180">
        <v>331.16</v>
      </c>
      <c r="F185" s="180">
        <v>9.15</v>
      </c>
      <c r="G185" s="181"/>
    </row>
    <row r="186" spans="1:7" x14ac:dyDescent="0.25">
      <c r="A186" s="180">
        <v>2012</v>
      </c>
      <c r="B186" s="181" t="s">
        <v>480</v>
      </c>
      <c r="C186" s="180">
        <v>7</v>
      </c>
      <c r="D186" s="180">
        <v>35.24</v>
      </c>
      <c r="E186" s="180">
        <v>257.52</v>
      </c>
      <c r="F186" s="180">
        <v>7.25</v>
      </c>
      <c r="G186" s="181"/>
    </row>
    <row r="187" spans="1:7" x14ac:dyDescent="0.25">
      <c r="A187" s="180">
        <v>2012</v>
      </c>
      <c r="B187" s="181" t="s">
        <v>480</v>
      </c>
      <c r="C187" s="180">
        <v>7</v>
      </c>
      <c r="D187" s="180">
        <v>42.88</v>
      </c>
      <c r="E187" s="182"/>
      <c r="F187" s="182"/>
      <c r="G187" s="181"/>
    </row>
    <row r="188" spans="1:7" x14ac:dyDescent="0.25">
      <c r="A188" s="180">
        <v>2015</v>
      </c>
      <c r="B188" s="181" t="s">
        <v>487</v>
      </c>
      <c r="C188" s="180">
        <v>11</v>
      </c>
      <c r="D188" s="180">
        <v>34.79</v>
      </c>
      <c r="E188" s="180">
        <v>318.11</v>
      </c>
      <c r="F188" s="182"/>
      <c r="G188" s="181"/>
    </row>
    <row r="189" spans="1:7" x14ac:dyDescent="0.25">
      <c r="A189" s="180">
        <v>2015</v>
      </c>
      <c r="B189" s="181" t="s">
        <v>487</v>
      </c>
      <c r="C189" s="180">
        <v>12</v>
      </c>
      <c r="D189" s="180">
        <v>37.46</v>
      </c>
      <c r="E189" s="180">
        <v>293.52</v>
      </c>
      <c r="F189" s="182"/>
      <c r="G189" s="181"/>
    </row>
    <row r="190" spans="1:7" x14ac:dyDescent="0.25">
      <c r="A190" s="180">
        <v>2015</v>
      </c>
      <c r="B190" s="181" t="s">
        <v>487</v>
      </c>
      <c r="C190" s="180">
        <v>10</v>
      </c>
      <c r="D190" s="180">
        <v>22.96</v>
      </c>
      <c r="E190" s="180">
        <v>206.96</v>
      </c>
      <c r="F190" s="182"/>
      <c r="G190" s="181"/>
    </row>
    <row r="191" spans="1:7" x14ac:dyDescent="0.25">
      <c r="A191" s="180">
        <v>2015</v>
      </c>
      <c r="B191" s="181" t="s">
        <v>487</v>
      </c>
      <c r="C191" s="180">
        <v>9</v>
      </c>
      <c r="D191" s="180">
        <v>35.270000000000003</v>
      </c>
      <c r="E191" s="180">
        <v>252.46</v>
      </c>
      <c r="F191" s="182"/>
      <c r="G191" s="181"/>
    </row>
    <row r="192" spans="1:7" x14ac:dyDescent="0.25">
      <c r="A192" s="180">
        <v>2015</v>
      </c>
      <c r="B192" s="181" t="s">
        <v>487</v>
      </c>
      <c r="C192" s="180">
        <v>9</v>
      </c>
      <c r="D192" s="180">
        <v>27.23</v>
      </c>
      <c r="E192" s="180">
        <v>284.14999999999998</v>
      </c>
      <c r="F192" s="182"/>
      <c r="G192" s="181"/>
    </row>
    <row r="193" spans="1:7" x14ac:dyDescent="0.25">
      <c r="A193" s="180">
        <v>2015</v>
      </c>
      <c r="B193" s="181" t="s">
        <v>481</v>
      </c>
      <c r="C193" s="180">
        <v>9</v>
      </c>
      <c r="D193" s="180">
        <v>48.67</v>
      </c>
      <c r="E193" s="180">
        <v>450.03</v>
      </c>
      <c r="F193" s="182"/>
      <c r="G193" s="181"/>
    </row>
    <row r="194" spans="1:7" x14ac:dyDescent="0.25">
      <c r="A194" s="180">
        <v>2015</v>
      </c>
      <c r="B194" s="181" t="s">
        <v>481</v>
      </c>
      <c r="C194" s="180">
        <v>9</v>
      </c>
      <c r="D194" s="180">
        <v>48.67</v>
      </c>
      <c r="E194" s="180">
        <v>450.03</v>
      </c>
      <c r="F194" s="182"/>
      <c r="G194" s="181"/>
    </row>
    <row r="195" spans="1:7" x14ac:dyDescent="0.25">
      <c r="A195" s="180">
        <v>2015</v>
      </c>
      <c r="B195" s="181" t="s">
        <v>481</v>
      </c>
      <c r="C195" s="180">
        <v>14</v>
      </c>
      <c r="D195" s="180">
        <v>49.04</v>
      </c>
      <c r="E195" s="180">
        <v>443.56</v>
      </c>
      <c r="F195" s="182"/>
      <c r="G195" s="181"/>
    </row>
    <row r="196" spans="1:7" x14ac:dyDescent="0.25">
      <c r="A196" s="180">
        <v>2015</v>
      </c>
      <c r="B196" s="181" t="s">
        <v>481</v>
      </c>
      <c r="C196" s="180">
        <v>14</v>
      </c>
      <c r="D196" s="180">
        <v>49.04</v>
      </c>
      <c r="E196" s="180">
        <v>443.56</v>
      </c>
      <c r="F196" s="182"/>
      <c r="G196" s="181"/>
    </row>
    <row r="197" spans="1:7" x14ac:dyDescent="0.25">
      <c r="A197" s="180">
        <v>2015</v>
      </c>
      <c r="B197" s="181" t="s">
        <v>481</v>
      </c>
      <c r="C197" s="180">
        <v>15</v>
      </c>
      <c r="D197" s="180">
        <v>56.46</v>
      </c>
      <c r="E197" s="180">
        <v>441.33</v>
      </c>
      <c r="F197" s="182"/>
      <c r="G197" s="181"/>
    </row>
    <row r="198" spans="1:7" x14ac:dyDescent="0.25">
      <c r="A198" s="180">
        <v>2015</v>
      </c>
      <c r="B198" s="181" t="s">
        <v>481</v>
      </c>
      <c r="C198" s="180">
        <v>15</v>
      </c>
      <c r="D198" s="180">
        <v>56.46</v>
      </c>
      <c r="E198" s="180">
        <v>441.33</v>
      </c>
      <c r="F198" s="182"/>
      <c r="G198" s="181"/>
    </row>
    <row r="199" spans="1:7" x14ac:dyDescent="0.25">
      <c r="A199" s="180">
        <v>2015</v>
      </c>
      <c r="B199" s="181" t="s">
        <v>481</v>
      </c>
      <c r="C199" s="180">
        <v>9</v>
      </c>
      <c r="D199" s="180">
        <v>52.75</v>
      </c>
      <c r="E199" s="180">
        <v>454.54</v>
      </c>
      <c r="F199" s="182"/>
      <c r="G199" s="181"/>
    </row>
    <row r="200" spans="1:7" x14ac:dyDescent="0.25">
      <c r="A200" s="180">
        <v>2015</v>
      </c>
      <c r="B200" s="181" t="s">
        <v>481</v>
      </c>
      <c r="C200" s="180">
        <v>9</v>
      </c>
      <c r="D200" s="180">
        <v>52.75</v>
      </c>
      <c r="E200" s="180">
        <v>454.54</v>
      </c>
      <c r="F200" s="182"/>
      <c r="G200" s="181"/>
    </row>
    <row r="201" spans="1:7" x14ac:dyDescent="0.25">
      <c r="A201" s="180">
        <v>2015</v>
      </c>
      <c r="B201" s="181" t="s">
        <v>481</v>
      </c>
      <c r="C201" s="180">
        <v>11</v>
      </c>
      <c r="D201" s="180">
        <v>51.84</v>
      </c>
      <c r="E201" s="180">
        <v>441.55</v>
      </c>
      <c r="F201" s="182"/>
      <c r="G201" s="181"/>
    </row>
    <row r="202" spans="1:7" x14ac:dyDescent="0.25">
      <c r="A202" s="180">
        <v>2015</v>
      </c>
      <c r="B202" s="181" t="s">
        <v>481</v>
      </c>
      <c r="C202" s="180">
        <v>11</v>
      </c>
      <c r="D202" s="180">
        <v>51.84</v>
      </c>
      <c r="E202" s="180">
        <v>441.55</v>
      </c>
      <c r="F202" s="182"/>
      <c r="G202" s="181"/>
    </row>
    <row r="203" spans="1:7" x14ac:dyDescent="0.25">
      <c r="A203" s="180">
        <v>2015</v>
      </c>
      <c r="B203" s="181" t="s">
        <v>481</v>
      </c>
      <c r="C203" s="180">
        <v>12</v>
      </c>
      <c r="D203" s="182"/>
      <c r="E203" s="182"/>
      <c r="F203" s="182"/>
      <c r="G203" s="181"/>
    </row>
    <row r="204" spans="1:7" x14ac:dyDescent="0.25">
      <c r="A204" s="180">
        <v>2015</v>
      </c>
      <c r="B204" s="181" t="s">
        <v>481</v>
      </c>
      <c r="C204" s="180">
        <v>12</v>
      </c>
      <c r="D204" s="182"/>
      <c r="E204" s="182"/>
      <c r="F204" s="182"/>
      <c r="G204" s="181"/>
    </row>
    <row r="205" spans="1:7" x14ac:dyDescent="0.25">
      <c r="A205" s="180">
        <v>2015</v>
      </c>
      <c r="B205" s="181" t="s">
        <v>512</v>
      </c>
      <c r="C205" s="180">
        <v>9</v>
      </c>
      <c r="D205" s="180">
        <v>58.21</v>
      </c>
      <c r="E205" s="180">
        <v>398.17</v>
      </c>
      <c r="F205" s="182"/>
      <c r="G205" s="181"/>
    </row>
    <row r="206" spans="1:7" x14ac:dyDescent="0.25">
      <c r="A206" s="180">
        <v>2015</v>
      </c>
      <c r="B206" s="181" t="s">
        <v>512</v>
      </c>
      <c r="C206" s="180">
        <v>10</v>
      </c>
      <c r="D206" s="180">
        <v>45.18</v>
      </c>
      <c r="E206" s="180">
        <v>358.6</v>
      </c>
      <c r="F206" s="182"/>
      <c r="G206" s="181"/>
    </row>
    <row r="207" spans="1:7" x14ac:dyDescent="0.25">
      <c r="A207" s="180">
        <v>2015</v>
      </c>
      <c r="B207" s="181" t="s">
        <v>512</v>
      </c>
      <c r="C207" s="180">
        <v>9</v>
      </c>
      <c r="D207" s="180">
        <v>57.3</v>
      </c>
      <c r="E207" s="180">
        <v>261.24</v>
      </c>
      <c r="F207" s="182"/>
      <c r="G207" s="181"/>
    </row>
    <row r="208" spans="1:7" x14ac:dyDescent="0.25">
      <c r="A208" s="180">
        <v>2015</v>
      </c>
      <c r="B208" s="181" t="s">
        <v>512</v>
      </c>
      <c r="C208" s="180">
        <v>10</v>
      </c>
      <c r="D208" s="180">
        <v>38.19</v>
      </c>
      <c r="E208" s="180">
        <v>220.53</v>
      </c>
      <c r="F208" s="182"/>
      <c r="G208" s="181"/>
    </row>
    <row r="209" spans="1:7" x14ac:dyDescent="0.25">
      <c r="A209" s="180">
        <v>2015</v>
      </c>
      <c r="B209" s="181" t="s">
        <v>512</v>
      </c>
      <c r="C209" s="180">
        <v>10</v>
      </c>
      <c r="D209" s="180">
        <v>31.13</v>
      </c>
      <c r="E209" s="180">
        <v>314.37</v>
      </c>
      <c r="F209" s="182"/>
      <c r="G209" s="181"/>
    </row>
    <row r="210" spans="1:7" x14ac:dyDescent="0.25">
      <c r="A210" s="180">
        <v>2015</v>
      </c>
      <c r="B210" s="181" t="s">
        <v>512</v>
      </c>
      <c r="C210" s="182"/>
      <c r="D210" s="180">
        <v>30.09</v>
      </c>
      <c r="E210" s="182"/>
      <c r="F210" s="182"/>
      <c r="G210" s="181"/>
    </row>
    <row r="211" spans="1:7" x14ac:dyDescent="0.25">
      <c r="A211" s="180">
        <v>2015</v>
      </c>
      <c r="B211" s="181" t="s">
        <v>495</v>
      </c>
      <c r="C211" s="182"/>
      <c r="D211" s="180">
        <v>38.26</v>
      </c>
      <c r="E211" s="180">
        <v>364.31</v>
      </c>
      <c r="F211" s="182"/>
      <c r="G211" s="181"/>
    </row>
    <row r="212" spans="1:7" x14ac:dyDescent="0.25">
      <c r="A212" s="180">
        <v>2015</v>
      </c>
      <c r="B212" s="181" t="s">
        <v>495</v>
      </c>
      <c r="C212" s="182"/>
      <c r="D212" s="180">
        <v>55.51</v>
      </c>
      <c r="E212" s="180">
        <v>281.16000000000003</v>
      </c>
      <c r="F212" s="182"/>
      <c r="G212" s="181"/>
    </row>
    <row r="213" spans="1:7" x14ac:dyDescent="0.25">
      <c r="A213" s="180">
        <v>2015</v>
      </c>
      <c r="B213" s="181" t="s">
        <v>495</v>
      </c>
      <c r="C213" s="182"/>
      <c r="D213" s="180">
        <v>38.26</v>
      </c>
      <c r="E213" s="180">
        <v>272.23</v>
      </c>
      <c r="F213" s="182"/>
      <c r="G213" s="181"/>
    </row>
    <row r="214" spans="1:7" x14ac:dyDescent="0.25">
      <c r="A214" s="180">
        <v>2015</v>
      </c>
      <c r="B214" s="181" t="s">
        <v>495</v>
      </c>
      <c r="C214" s="182"/>
      <c r="D214" s="180">
        <v>45.95</v>
      </c>
      <c r="E214" s="180">
        <v>330.92</v>
      </c>
      <c r="F214" s="182"/>
      <c r="G214" s="181"/>
    </row>
    <row r="215" spans="1:7" x14ac:dyDescent="0.25">
      <c r="A215" s="180">
        <v>2015</v>
      </c>
      <c r="B215" s="181" t="s">
        <v>495</v>
      </c>
      <c r="C215" s="182"/>
      <c r="D215" s="180">
        <v>59.68</v>
      </c>
      <c r="E215" s="180">
        <v>353.04</v>
      </c>
      <c r="F215" s="182"/>
      <c r="G215" s="181"/>
    </row>
    <row r="216" spans="1:7" x14ac:dyDescent="0.25">
      <c r="A216" s="180">
        <v>2015</v>
      </c>
      <c r="B216" s="181" t="s">
        <v>495</v>
      </c>
      <c r="C216" s="182"/>
      <c r="D216" s="180">
        <v>52.14</v>
      </c>
      <c r="E216" s="180">
        <v>329.51</v>
      </c>
      <c r="F216" s="182"/>
      <c r="G216" s="181"/>
    </row>
    <row r="217" spans="1:7" x14ac:dyDescent="0.25">
      <c r="A217" s="180">
        <v>2015</v>
      </c>
      <c r="B217" s="181" t="s">
        <v>477</v>
      </c>
      <c r="C217" s="180">
        <v>8</v>
      </c>
      <c r="D217" s="180">
        <v>40.31</v>
      </c>
      <c r="E217" s="180">
        <v>275.58</v>
      </c>
      <c r="F217" s="182"/>
      <c r="G217" s="181"/>
    </row>
    <row r="218" spans="1:7" x14ac:dyDescent="0.25">
      <c r="A218" s="180">
        <v>2015</v>
      </c>
      <c r="B218" s="181" t="s">
        <v>477</v>
      </c>
      <c r="C218" s="180">
        <v>8</v>
      </c>
      <c r="D218" s="180">
        <v>55.51</v>
      </c>
      <c r="E218" s="180">
        <v>334.36</v>
      </c>
      <c r="F218" s="182"/>
      <c r="G218" s="181"/>
    </row>
    <row r="219" spans="1:7" x14ac:dyDescent="0.25">
      <c r="A219" s="180">
        <v>2015</v>
      </c>
      <c r="B219" s="181" t="s">
        <v>477</v>
      </c>
      <c r="C219" s="180">
        <v>8</v>
      </c>
      <c r="D219" s="180">
        <v>38.26</v>
      </c>
      <c r="E219" s="180">
        <v>280.70999999999998</v>
      </c>
      <c r="F219" s="182"/>
      <c r="G219" s="181"/>
    </row>
    <row r="220" spans="1:7" x14ac:dyDescent="0.25">
      <c r="A220" s="180">
        <v>2015</v>
      </c>
      <c r="B220" s="181" t="s">
        <v>477</v>
      </c>
      <c r="C220" s="180">
        <v>8</v>
      </c>
      <c r="D220" s="180">
        <v>45.95</v>
      </c>
      <c r="E220" s="180">
        <v>386.88</v>
      </c>
      <c r="F220" s="182"/>
      <c r="G220" s="181"/>
    </row>
    <row r="221" spans="1:7" x14ac:dyDescent="0.25">
      <c r="A221" s="180">
        <v>2015</v>
      </c>
      <c r="B221" s="181" t="s">
        <v>477</v>
      </c>
      <c r="C221" s="182"/>
      <c r="D221" s="180">
        <v>59.68</v>
      </c>
      <c r="E221" s="180">
        <v>390.15</v>
      </c>
      <c r="F221" s="182"/>
      <c r="G221" s="181"/>
    </row>
    <row r="222" spans="1:7" x14ac:dyDescent="0.25">
      <c r="A222" s="180">
        <v>2015</v>
      </c>
      <c r="B222" s="181" t="s">
        <v>477</v>
      </c>
      <c r="C222" s="182"/>
      <c r="D222" s="180">
        <v>52.14</v>
      </c>
      <c r="E222" s="180">
        <v>387.65</v>
      </c>
      <c r="F222" s="182"/>
      <c r="G222" s="181"/>
    </row>
    <row r="223" spans="1:7" x14ac:dyDescent="0.25">
      <c r="A223" s="180">
        <v>2015</v>
      </c>
      <c r="B223" s="181" t="s">
        <v>493</v>
      </c>
      <c r="C223" s="180">
        <v>8</v>
      </c>
      <c r="D223" s="180">
        <v>22.49</v>
      </c>
      <c r="E223" s="182"/>
      <c r="F223" s="182"/>
      <c r="G223" s="181"/>
    </row>
    <row r="224" spans="1:7" x14ac:dyDescent="0.25">
      <c r="A224" s="180">
        <v>2015</v>
      </c>
      <c r="B224" s="181" t="s">
        <v>493</v>
      </c>
      <c r="C224" s="182"/>
      <c r="D224" s="180">
        <v>27.44</v>
      </c>
      <c r="E224" s="180">
        <v>297.62</v>
      </c>
      <c r="F224" s="182"/>
      <c r="G224" s="181"/>
    </row>
    <row r="225" spans="1:7" x14ac:dyDescent="0.25">
      <c r="A225" s="180">
        <v>2015</v>
      </c>
      <c r="B225" s="181" t="s">
        <v>493</v>
      </c>
      <c r="C225" s="180">
        <v>10</v>
      </c>
      <c r="D225" s="180">
        <v>22.16</v>
      </c>
      <c r="E225" s="180">
        <v>245.9</v>
      </c>
      <c r="F225" s="182"/>
      <c r="G225" s="181"/>
    </row>
    <row r="226" spans="1:7" x14ac:dyDescent="0.25">
      <c r="A226" s="180">
        <v>2015</v>
      </c>
      <c r="B226" s="181" t="s">
        <v>493</v>
      </c>
      <c r="C226" s="180">
        <v>9</v>
      </c>
      <c r="D226" s="180">
        <v>32.71</v>
      </c>
      <c r="E226" s="180">
        <v>262.14</v>
      </c>
      <c r="F226" s="182"/>
      <c r="G226" s="181"/>
    </row>
    <row r="227" spans="1:7" x14ac:dyDescent="0.25">
      <c r="A227" s="180">
        <v>2015</v>
      </c>
      <c r="B227" s="181" t="s">
        <v>493</v>
      </c>
      <c r="C227" s="180">
        <v>14</v>
      </c>
      <c r="D227" s="180">
        <v>29.82</v>
      </c>
      <c r="E227" s="180">
        <v>314.77999999999997</v>
      </c>
      <c r="F227" s="182"/>
      <c r="G227" s="181"/>
    </row>
    <row r="228" spans="1:7" x14ac:dyDescent="0.25">
      <c r="A228" s="180">
        <v>2015</v>
      </c>
      <c r="B228" s="181" t="s">
        <v>493</v>
      </c>
      <c r="C228" s="180">
        <v>12</v>
      </c>
      <c r="D228" s="180">
        <v>27.79</v>
      </c>
      <c r="E228" s="180">
        <v>234</v>
      </c>
      <c r="F228" s="182"/>
      <c r="G228" s="181"/>
    </row>
    <row r="229" spans="1:7" x14ac:dyDescent="0.25">
      <c r="A229" s="180">
        <v>2015</v>
      </c>
      <c r="B229" s="181" t="s">
        <v>492</v>
      </c>
      <c r="C229" s="180">
        <v>13</v>
      </c>
      <c r="D229" s="180">
        <v>28.52</v>
      </c>
      <c r="E229" s="180">
        <v>269.52999999999997</v>
      </c>
      <c r="F229" s="182"/>
      <c r="G229" s="181"/>
    </row>
    <row r="230" spans="1:7" x14ac:dyDescent="0.25">
      <c r="A230" s="180">
        <v>2015</v>
      </c>
      <c r="B230" s="181" t="s">
        <v>492</v>
      </c>
      <c r="C230" s="180">
        <v>7</v>
      </c>
      <c r="D230" s="180">
        <v>29.53</v>
      </c>
      <c r="E230" s="180">
        <v>256.74</v>
      </c>
      <c r="F230" s="182"/>
      <c r="G230" s="181"/>
    </row>
    <row r="231" spans="1:7" x14ac:dyDescent="0.25">
      <c r="A231" s="180">
        <v>2015</v>
      </c>
      <c r="B231" s="181" t="s">
        <v>492</v>
      </c>
      <c r="C231" s="180">
        <v>7</v>
      </c>
      <c r="D231" s="180">
        <v>27.18</v>
      </c>
      <c r="E231" s="180">
        <v>239.06</v>
      </c>
      <c r="F231" s="182"/>
      <c r="G231" s="181"/>
    </row>
    <row r="232" spans="1:7" x14ac:dyDescent="0.25">
      <c r="A232" s="180">
        <v>2015</v>
      </c>
      <c r="B232" s="181" t="s">
        <v>492</v>
      </c>
      <c r="C232" s="180">
        <v>9</v>
      </c>
      <c r="D232" s="180">
        <v>29.51</v>
      </c>
      <c r="E232" s="180">
        <v>287.93</v>
      </c>
      <c r="F232" s="182"/>
      <c r="G232" s="181"/>
    </row>
    <row r="233" spans="1:7" x14ac:dyDescent="0.25">
      <c r="A233" s="180">
        <v>2015</v>
      </c>
      <c r="B233" s="181" t="s">
        <v>492</v>
      </c>
      <c r="C233" s="180">
        <v>7</v>
      </c>
      <c r="D233" s="180">
        <v>22.44</v>
      </c>
      <c r="E233" s="182"/>
      <c r="F233" s="182"/>
      <c r="G233" s="181"/>
    </row>
    <row r="234" spans="1:7" x14ac:dyDescent="0.25">
      <c r="A234" s="180">
        <v>2015</v>
      </c>
      <c r="B234" s="181" t="s">
        <v>492</v>
      </c>
      <c r="C234" s="182"/>
      <c r="D234" s="180">
        <v>23.68</v>
      </c>
      <c r="E234" s="180">
        <v>251.94</v>
      </c>
      <c r="F234" s="182"/>
      <c r="G234" s="181"/>
    </row>
    <row r="235" spans="1:7" x14ac:dyDescent="0.25">
      <c r="A235" s="180">
        <v>2015</v>
      </c>
      <c r="B235" s="181" t="s">
        <v>480</v>
      </c>
      <c r="C235" s="180">
        <v>8</v>
      </c>
      <c r="D235" s="180">
        <v>34.35</v>
      </c>
      <c r="E235" s="180">
        <v>391.57</v>
      </c>
      <c r="F235" s="182"/>
      <c r="G235" s="181"/>
    </row>
    <row r="236" spans="1:7" x14ac:dyDescent="0.25">
      <c r="A236" s="180">
        <v>2015</v>
      </c>
      <c r="B236" s="181" t="s">
        <v>480</v>
      </c>
      <c r="C236" s="180">
        <v>13</v>
      </c>
      <c r="D236" s="180">
        <v>25.09</v>
      </c>
      <c r="E236" s="180">
        <v>356.17</v>
      </c>
      <c r="F236" s="182"/>
      <c r="G236" s="181"/>
    </row>
    <row r="237" spans="1:7" x14ac:dyDescent="0.25">
      <c r="A237" s="180">
        <v>2015</v>
      </c>
      <c r="B237" s="181" t="s">
        <v>480</v>
      </c>
      <c r="C237" s="180">
        <v>12</v>
      </c>
      <c r="D237" s="180">
        <v>24.07</v>
      </c>
      <c r="E237" s="180">
        <v>276.52999999999997</v>
      </c>
      <c r="F237" s="182"/>
      <c r="G237" s="181"/>
    </row>
    <row r="238" spans="1:7" x14ac:dyDescent="0.25">
      <c r="A238" s="180">
        <v>2015</v>
      </c>
      <c r="B238" s="181" t="s">
        <v>480</v>
      </c>
      <c r="C238" s="180">
        <v>9</v>
      </c>
      <c r="D238" s="180">
        <v>31.11</v>
      </c>
      <c r="E238" s="180">
        <v>321.39</v>
      </c>
      <c r="F238" s="182"/>
      <c r="G238" s="181"/>
    </row>
    <row r="239" spans="1:7" x14ac:dyDescent="0.25">
      <c r="A239" s="180">
        <v>2015</v>
      </c>
      <c r="B239" s="181" t="s">
        <v>480</v>
      </c>
      <c r="C239" s="180">
        <v>13</v>
      </c>
      <c r="D239" s="180">
        <v>30.78</v>
      </c>
      <c r="E239" s="180">
        <v>410.36</v>
      </c>
      <c r="F239" s="182"/>
      <c r="G239" s="181"/>
    </row>
    <row r="240" spans="1:7" x14ac:dyDescent="0.25">
      <c r="A240" s="180">
        <v>2015</v>
      </c>
      <c r="B240" s="181" t="s">
        <v>480</v>
      </c>
      <c r="C240" s="182"/>
      <c r="D240" s="180">
        <v>21.45</v>
      </c>
      <c r="E240" s="180">
        <v>319.24</v>
      </c>
      <c r="F240" s="182"/>
      <c r="G240" s="181"/>
    </row>
    <row r="241" spans="1:7" x14ac:dyDescent="0.25">
      <c r="A241" s="180">
        <v>2016</v>
      </c>
      <c r="B241" s="181" t="s">
        <v>482</v>
      </c>
      <c r="C241" s="180">
        <v>18</v>
      </c>
      <c r="D241" s="180">
        <v>51.07</v>
      </c>
      <c r="E241" s="180">
        <v>600.20000000000005</v>
      </c>
      <c r="F241" s="182"/>
      <c r="G241" s="181"/>
    </row>
    <row r="242" spans="1:7" x14ac:dyDescent="0.25">
      <c r="A242" s="180">
        <v>2016</v>
      </c>
      <c r="B242" s="181" t="s">
        <v>482</v>
      </c>
      <c r="C242" s="180">
        <v>13</v>
      </c>
      <c r="D242" s="180">
        <v>47.19</v>
      </c>
      <c r="E242" s="180">
        <v>500.15</v>
      </c>
      <c r="F242" s="182"/>
      <c r="G242" s="181"/>
    </row>
    <row r="243" spans="1:7" x14ac:dyDescent="0.25">
      <c r="A243" s="180">
        <v>2016</v>
      </c>
      <c r="B243" s="181" t="s">
        <v>482</v>
      </c>
      <c r="C243" s="180">
        <v>14</v>
      </c>
      <c r="D243" s="180">
        <v>46.51</v>
      </c>
      <c r="E243" s="180">
        <v>455.19</v>
      </c>
      <c r="F243" s="182"/>
      <c r="G243" s="181"/>
    </row>
    <row r="244" spans="1:7" x14ac:dyDescent="0.25">
      <c r="A244" s="180">
        <v>2016</v>
      </c>
      <c r="B244" s="181" t="s">
        <v>482</v>
      </c>
      <c r="C244" s="180">
        <v>14</v>
      </c>
      <c r="D244" s="180">
        <v>53.53</v>
      </c>
      <c r="E244" s="180">
        <v>609.63</v>
      </c>
      <c r="F244" s="182"/>
      <c r="G244" s="181"/>
    </row>
    <row r="245" spans="1:7" x14ac:dyDescent="0.25">
      <c r="A245" s="180">
        <v>2016</v>
      </c>
      <c r="B245" s="181" t="s">
        <v>482</v>
      </c>
      <c r="C245" s="180">
        <v>17</v>
      </c>
      <c r="D245" s="180">
        <v>59.66</v>
      </c>
      <c r="E245" s="180">
        <v>563.15</v>
      </c>
      <c r="F245" s="182"/>
      <c r="G245" s="181"/>
    </row>
    <row r="246" spans="1:7" x14ac:dyDescent="0.25">
      <c r="A246" s="180">
        <v>2016</v>
      </c>
      <c r="B246" s="181" t="s">
        <v>481</v>
      </c>
      <c r="C246" s="180">
        <v>12</v>
      </c>
      <c r="D246" s="180">
        <v>45.11</v>
      </c>
      <c r="E246" s="180">
        <v>355.78</v>
      </c>
      <c r="F246" s="182"/>
      <c r="G246" s="181"/>
    </row>
    <row r="247" spans="1:7" x14ac:dyDescent="0.25">
      <c r="A247" s="180">
        <v>2016</v>
      </c>
      <c r="B247" s="181" t="s">
        <v>481</v>
      </c>
      <c r="C247" s="180">
        <v>12</v>
      </c>
      <c r="D247" s="180">
        <v>45.11</v>
      </c>
      <c r="E247" s="180">
        <v>355.78</v>
      </c>
      <c r="F247" s="182"/>
      <c r="G247" s="181"/>
    </row>
    <row r="248" spans="1:7" x14ac:dyDescent="0.25">
      <c r="A248" s="180">
        <v>2016</v>
      </c>
      <c r="B248" s="181" t="s">
        <v>481</v>
      </c>
      <c r="C248" s="180">
        <v>13</v>
      </c>
      <c r="D248" s="180">
        <v>58.58</v>
      </c>
      <c r="E248" s="180">
        <v>588.11</v>
      </c>
      <c r="F248" s="182"/>
      <c r="G248" s="181"/>
    </row>
    <row r="249" spans="1:7" x14ac:dyDescent="0.25">
      <c r="A249" s="180">
        <v>2016</v>
      </c>
      <c r="B249" s="181" t="s">
        <v>481</v>
      </c>
      <c r="C249" s="180">
        <v>13</v>
      </c>
      <c r="D249" s="180">
        <v>58.58</v>
      </c>
      <c r="E249" s="180">
        <v>588.11</v>
      </c>
      <c r="F249" s="182"/>
      <c r="G249" s="181"/>
    </row>
    <row r="250" spans="1:7" x14ac:dyDescent="0.25">
      <c r="A250" s="180">
        <v>2016</v>
      </c>
      <c r="B250" s="181" t="s">
        <v>481</v>
      </c>
      <c r="C250" s="180">
        <v>11</v>
      </c>
      <c r="D250" s="180">
        <v>47.12</v>
      </c>
      <c r="E250" s="180">
        <v>395.38</v>
      </c>
      <c r="F250" s="182"/>
      <c r="G250" s="181"/>
    </row>
    <row r="251" spans="1:7" x14ac:dyDescent="0.25">
      <c r="A251" s="180">
        <v>2016</v>
      </c>
      <c r="B251" s="181" t="s">
        <v>481</v>
      </c>
      <c r="C251" s="180">
        <v>11</v>
      </c>
      <c r="D251" s="180">
        <v>47.12</v>
      </c>
      <c r="E251" s="180">
        <v>395.38</v>
      </c>
      <c r="F251" s="182"/>
      <c r="G251" s="181"/>
    </row>
    <row r="252" spans="1:7" x14ac:dyDescent="0.25">
      <c r="A252" s="180">
        <v>2016</v>
      </c>
      <c r="B252" s="181" t="s">
        <v>481</v>
      </c>
      <c r="C252" s="180">
        <v>10</v>
      </c>
      <c r="D252" s="180">
        <v>57.71</v>
      </c>
      <c r="E252" s="180">
        <v>553.78</v>
      </c>
      <c r="F252" s="182"/>
      <c r="G252" s="181"/>
    </row>
    <row r="253" spans="1:7" x14ac:dyDescent="0.25">
      <c r="A253" s="180">
        <v>2016</v>
      </c>
      <c r="B253" s="181" t="s">
        <v>481</v>
      </c>
      <c r="C253" s="180">
        <v>10</v>
      </c>
      <c r="D253" s="180">
        <v>57.71</v>
      </c>
      <c r="E253" s="180">
        <v>553.78</v>
      </c>
      <c r="F253" s="182"/>
      <c r="G253" s="181"/>
    </row>
    <row r="254" spans="1:7" x14ac:dyDescent="0.25">
      <c r="A254" s="180">
        <v>2016</v>
      </c>
      <c r="B254" s="181" t="s">
        <v>481</v>
      </c>
      <c r="C254" s="180">
        <v>13</v>
      </c>
      <c r="D254" s="180">
        <v>63.66</v>
      </c>
      <c r="E254" s="180">
        <v>446.3</v>
      </c>
      <c r="F254" s="182"/>
      <c r="G254" s="181"/>
    </row>
    <row r="255" spans="1:7" x14ac:dyDescent="0.25">
      <c r="A255" s="180">
        <v>2016</v>
      </c>
      <c r="B255" s="181" t="s">
        <v>481</v>
      </c>
      <c r="C255" s="180">
        <v>13</v>
      </c>
      <c r="D255" s="180">
        <v>63.66</v>
      </c>
      <c r="E255" s="180">
        <v>446.3</v>
      </c>
      <c r="F255" s="182"/>
      <c r="G255" s="181"/>
    </row>
    <row r="256" spans="1:7" x14ac:dyDescent="0.25">
      <c r="A256" s="180">
        <v>2016</v>
      </c>
      <c r="B256" s="181" t="s">
        <v>481</v>
      </c>
      <c r="C256" s="180">
        <v>11</v>
      </c>
      <c r="D256" s="180">
        <v>39.770000000000003</v>
      </c>
      <c r="E256" s="180">
        <v>488.77</v>
      </c>
      <c r="F256" s="182"/>
      <c r="G256" s="181"/>
    </row>
    <row r="257" spans="1:7" x14ac:dyDescent="0.25">
      <c r="A257" s="180">
        <v>2016</v>
      </c>
      <c r="B257" s="181" t="s">
        <v>481</v>
      </c>
      <c r="C257" s="180">
        <v>11</v>
      </c>
      <c r="D257" s="180">
        <v>39.770000000000003</v>
      </c>
      <c r="E257" s="180">
        <v>488.77</v>
      </c>
      <c r="F257" s="182"/>
      <c r="G257" s="181"/>
    </row>
    <row r="258" spans="1:7" x14ac:dyDescent="0.25">
      <c r="A258" s="180">
        <v>2016</v>
      </c>
      <c r="B258" s="181" t="s">
        <v>512</v>
      </c>
      <c r="C258" s="180">
        <v>15</v>
      </c>
      <c r="D258" s="180">
        <v>60.12</v>
      </c>
      <c r="E258" s="180">
        <v>536.09</v>
      </c>
      <c r="F258" s="182"/>
      <c r="G258" s="181"/>
    </row>
    <row r="259" spans="1:7" x14ac:dyDescent="0.25">
      <c r="A259" s="180">
        <v>2016</v>
      </c>
      <c r="B259" s="181" t="s">
        <v>512</v>
      </c>
      <c r="C259" s="180">
        <v>14</v>
      </c>
      <c r="D259" s="180">
        <v>47.18</v>
      </c>
      <c r="E259" s="180">
        <v>561.80999999999995</v>
      </c>
      <c r="F259" s="182"/>
      <c r="G259" s="181"/>
    </row>
    <row r="260" spans="1:7" x14ac:dyDescent="0.25">
      <c r="A260" s="180">
        <v>2016</v>
      </c>
      <c r="B260" s="181" t="s">
        <v>512</v>
      </c>
      <c r="C260" s="180">
        <v>15</v>
      </c>
      <c r="D260" s="182"/>
      <c r="E260" s="180">
        <v>634.79</v>
      </c>
      <c r="F260" s="182"/>
      <c r="G260" s="181"/>
    </row>
    <row r="261" spans="1:7" x14ac:dyDescent="0.25">
      <c r="A261" s="180">
        <v>2016</v>
      </c>
      <c r="B261" s="181" t="s">
        <v>512</v>
      </c>
      <c r="C261" s="180">
        <v>16</v>
      </c>
      <c r="D261" s="180">
        <v>60.99</v>
      </c>
      <c r="E261" s="180">
        <v>599.49</v>
      </c>
      <c r="F261" s="182"/>
      <c r="G261" s="181"/>
    </row>
    <row r="262" spans="1:7" x14ac:dyDescent="0.25">
      <c r="A262" s="180">
        <v>2016</v>
      </c>
      <c r="B262" s="181" t="s">
        <v>512</v>
      </c>
      <c r="C262" s="180">
        <v>13</v>
      </c>
      <c r="D262" s="180">
        <v>59.27</v>
      </c>
      <c r="E262" s="180">
        <v>607.25</v>
      </c>
      <c r="F262" s="182"/>
      <c r="G262" s="181"/>
    </row>
    <row r="263" spans="1:7" x14ac:dyDescent="0.25">
      <c r="A263" s="180">
        <v>2016</v>
      </c>
      <c r="B263" s="181" t="s">
        <v>512</v>
      </c>
      <c r="C263" s="180">
        <v>12</v>
      </c>
      <c r="D263" s="180">
        <v>54.95</v>
      </c>
      <c r="E263" s="180">
        <v>648.98</v>
      </c>
      <c r="F263" s="182"/>
      <c r="G263" s="181"/>
    </row>
    <row r="264" spans="1:7" x14ac:dyDescent="0.25">
      <c r="A264" s="180">
        <v>2016</v>
      </c>
      <c r="B264" s="181" t="s">
        <v>495</v>
      </c>
      <c r="C264" s="180">
        <v>12</v>
      </c>
      <c r="D264" s="180">
        <v>67.739999999999995</v>
      </c>
      <c r="E264" s="180">
        <v>488.36</v>
      </c>
      <c r="F264" s="182"/>
      <c r="G264" s="181"/>
    </row>
    <row r="265" spans="1:7" x14ac:dyDescent="0.25">
      <c r="A265" s="180">
        <v>2016</v>
      </c>
      <c r="B265" s="181" t="s">
        <v>495</v>
      </c>
      <c r="C265" s="180">
        <v>9</v>
      </c>
      <c r="D265" s="180">
        <v>74.67</v>
      </c>
      <c r="E265" s="180">
        <v>472.75</v>
      </c>
      <c r="F265" s="182"/>
      <c r="G265" s="181"/>
    </row>
    <row r="266" spans="1:7" x14ac:dyDescent="0.25">
      <c r="A266" s="180">
        <v>2016</v>
      </c>
      <c r="B266" s="181" t="s">
        <v>495</v>
      </c>
      <c r="C266" s="180">
        <v>15</v>
      </c>
      <c r="D266" s="180">
        <v>72.98</v>
      </c>
      <c r="E266" s="180">
        <v>428</v>
      </c>
      <c r="F266" s="182"/>
      <c r="G266" s="181"/>
    </row>
    <row r="267" spans="1:7" x14ac:dyDescent="0.25">
      <c r="A267" s="180">
        <v>2016</v>
      </c>
      <c r="B267" s="181" t="s">
        <v>495</v>
      </c>
      <c r="C267" s="180">
        <v>10</v>
      </c>
      <c r="D267" s="180">
        <v>66.959999999999994</v>
      </c>
      <c r="E267" s="180">
        <v>466.08</v>
      </c>
      <c r="F267" s="182"/>
      <c r="G267" s="181"/>
    </row>
    <row r="268" spans="1:7" x14ac:dyDescent="0.25">
      <c r="A268" s="180">
        <v>2016</v>
      </c>
      <c r="B268" s="181" t="s">
        <v>495</v>
      </c>
      <c r="C268" s="180">
        <v>12</v>
      </c>
      <c r="D268" s="182"/>
      <c r="E268" s="180">
        <v>517.27</v>
      </c>
      <c r="F268" s="182"/>
      <c r="G268" s="181"/>
    </row>
    <row r="269" spans="1:7" x14ac:dyDescent="0.25">
      <c r="A269" s="180">
        <v>2016</v>
      </c>
      <c r="B269" s="181" t="s">
        <v>477</v>
      </c>
      <c r="C269" s="180">
        <v>10</v>
      </c>
      <c r="D269" s="180">
        <v>55.51</v>
      </c>
      <c r="E269" s="180">
        <v>613.22</v>
      </c>
      <c r="F269" s="182"/>
      <c r="G269" s="181"/>
    </row>
    <row r="270" spans="1:7" x14ac:dyDescent="0.25">
      <c r="A270" s="180">
        <v>2016</v>
      </c>
      <c r="B270" s="181" t="s">
        <v>477</v>
      </c>
      <c r="C270" s="180">
        <v>9</v>
      </c>
      <c r="D270" s="180">
        <v>62.82</v>
      </c>
      <c r="E270" s="180">
        <v>645.36</v>
      </c>
      <c r="F270" s="182"/>
      <c r="G270" s="181"/>
    </row>
    <row r="271" spans="1:7" x14ac:dyDescent="0.25">
      <c r="A271" s="180">
        <v>2016</v>
      </c>
      <c r="B271" s="181" t="s">
        <v>477</v>
      </c>
      <c r="C271" s="180">
        <v>12</v>
      </c>
      <c r="D271" s="180">
        <v>47.3</v>
      </c>
      <c r="E271" s="180">
        <v>640.41999999999996</v>
      </c>
      <c r="F271" s="182"/>
      <c r="G271" s="181"/>
    </row>
    <row r="272" spans="1:7" x14ac:dyDescent="0.25">
      <c r="A272" s="180">
        <v>2016</v>
      </c>
      <c r="B272" s="181" t="s">
        <v>477</v>
      </c>
      <c r="C272" s="180">
        <v>8</v>
      </c>
      <c r="D272" s="180">
        <v>64.23</v>
      </c>
      <c r="E272" s="180">
        <v>553.95000000000005</v>
      </c>
      <c r="F272" s="182"/>
      <c r="G272" s="181"/>
    </row>
    <row r="273" spans="1:7" x14ac:dyDescent="0.25">
      <c r="A273" s="180">
        <v>2016</v>
      </c>
      <c r="B273" s="181" t="s">
        <v>477</v>
      </c>
      <c r="C273" s="180">
        <v>12</v>
      </c>
      <c r="D273" s="180">
        <v>50.95</v>
      </c>
      <c r="E273" s="180">
        <v>557.01</v>
      </c>
      <c r="F273" s="182"/>
      <c r="G273" s="181"/>
    </row>
    <row r="274" spans="1:7" x14ac:dyDescent="0.25">
      <c r="A274" s="180">
        <v>2016</v>
      </c>
      <c r="B274" s="181" t="s">
        <v>477</v>
      </c>
      <c r="C274" s="182"/>
      <c r="D274" s="180">
        <v>52.28</v>
      </c>
      <c r="E274" s="182"/>
      <c r="F274" s="182"/>
      <c r="G274" s="181"/>
    </row>
    <row r="275" spans="1:7" x14ac:dyDescent="0.25">
      <c r="A275" s="180">
        <v>2016</v>
      </c>
      <c r="B275" s="181" t="s">
        <v>494</v>
      </c>
      <c r="C275" s="180">
        <v>9</v>
      </c>
      <c r="D275" s="180">
        <v>68.180000000000007</v>
      </c>
      <c r="E275" s="180">
        <v>553.91</v>
      </c>
      <c r="F275" s="182"/>
      <c r="G275" s="181"/>
    </row>
    <row r="276" spans="1:7" x14ac:dyDescent="0.25">
      <c r="A276" s="180">
        <v>2016</v>
      </c>
      <c r="B276" s="181" t="s">
        <v>494</v>
      </c>
      <c r="C276" s="180">
        <v>10</v>
      </c>
      <c r="D276" s="180">
        <v>52.82</v>
      </c>
      <c r="E276" s="180">
        <v>455.44</v>
      </c>
      <c r="F276" s="182"/>
      <c r="G276" s="181"/>
    </row>
    <row r="277" spans="1:7" x14ac:dyDescent="0.25">
      <c r="A277" s="180">
        <v>2016</v>
      </c>
      <c r="B277" s="181" t="s">
        <v>494</v>
      </c>
      <c r="C277" s="180">
        <v>11</v>
      </c>
      <c r="D277" s="180">
        <v>45.82</v>
      </c>
      <c r="E277" s="180">
        <v>499.59</v>
      </c>
      <c r="F277" s="182"/>
      <c r="G277" s="181"/>
    </row>
    <row r="278" spans="1:7" x14ac:dyDescent="0.25">
      <c r="A278" s="180">
        <v>2016</v>
      </c>
      <c r="B278" s="181" t="s">
        <v>494</v>
      </c>
      <c r="C278" s="180">
        <v>14</v>
      </c>
      <c r="D278" s="180">
        <v>50.9</v>
      </c>
      <c r="E278" s="180">
        <v>467.83</v>
      </c>
      <c r="F278" s="182"/>
      <c r="G278" s="181"/>
    </row>
    <row r="279" spans="1:7" x14ac:dyDescent="0.25">
      <c r="A279" s="180">
        <v>2016</v>
      </c>
      <c r="B279" s="181" t="s">
        <v>494</v>
      </c>
      <c r="C279" s="180">
        <v>14</v>
      </c>
      <c r="D279" s="180">
        <v>69.52</v>
      </c>
      <c r="E279" s="180">
        <v>509.65</v>
      </c>
      <c r="F279" s="182"/>
      <c r="G279" s="181"/>
    </row>
    <row r="280" spans="1:7" x14ac:dyDescent="0.25">
      <c r="A280" s="180">
        <v>2016</v>
      </c>
      <c r="B280" s="181" t="s">
        <v>493</v>
      </c>
      <c r="C280" s="180">
        <v>11</v>
      </c>
      <c r="D280" s="180">
        <v>52.7</v>
      </c>
      <c r="E280" s="180">
        <v>482.38</v>
      </c>
      <c r="F280" s="182"/>
      <c r="G280" s="181"/>
    </row>
    <row r="281" spans="1:7" x14ac:dyDescent="0.25">
      <c r="A281" s="180">
        <v>2016</v>
      </c>
      <c r="B281" s="181" t="s">
        <v>493</v>
      </c>
      <c r="C281" s="180">
        <v>8</v>
      </c>
      <c r="D281" s="180">
        <v>58.79</v>
      </c>
      <c r="E281" s="180">
        <v>494.32</v>
      </c>
      <c r="F281" s="182"/>
      <c r="G281" s="181"/>
    </row>
    <row r="282" spans="1:7" x14ac:dyDescent="0.25">
      <c r="A282" s="180">
        <v>2016</v>
      </c>
      <c r="B282" s="181" t="s">
        <v>493</v>
      </c>
      <c r="C282" s="180">
        <v>9</v>
      </c>
      <c r="D282" s="180">
        <v>57.91</v>
      </c>
      <c r="E282" s="180">
        <v>641.29</v>
      </c>
      <c r="F282" s="182"/>
      <c r="G282" s="181"/>
    </row>
    <row r="283" spans="1:7" x14ac:dyDescent="0.25">
      <c r="A283" s="180">
        <v>2016</v>
      </c>
      <c r="B283" s="181" t="s">
        <v>493</v>
      </c>
      <c r="C283" s="180">
        <v>10</v>
      </c>
      <c r="D283" s="180">
        <v>54.72</v>
      </c>
      <c r="E283" s="180">
        <v>642.44000000000005</v>
      </c>
      <c r="F283" s="182"/>
      <c r="G283" s="181"/>
    </row>
    <row r="284" spans="1:7" x14ac:dyDescent="0.25">
      <c r="A284" s="180">
        <v>2016</v>
      </c>
      <c r="B284" s="181" t="s">
        <v>493</v>
      </c>
      <c r="C284" s="180">
        <v>8</v>
      </c>
      <c r="D284" s="180">
        <v>50.12</v>
      </c>
      <c r="E284" s="180">
        <v>619.94000000000005</v>
      </c>
      <c r="F284" s="182"/>
      <c r="G284" s="181"/>
    </row>
    <row r="285" spans="1:7" x14ac:dyDescent="0.25">
      <c r="A285" s="180">
        <v>2016</v>
      </c>
      <c r="B285" s="181" t="s">
        <v>493</v>
      </c>
      <c r="C285" s="182"/>
      <c r="D285" s="182"/>
      <c r="E285" s="180">
        <v>532.92999999999995</v>
      </c>
      <c r="F285" s="182"/>
      <c r="G285" s="181"/>
    </row>
    <row r="286" spans="1:7" x14ac:dyDescent="0.25">
      <c r="A286" s="180">
        <v>2016</v>
      </c>
      <c r="B286" s="181" t="s">
        <v>492</v>
      </c>
      <c r="C286" s="180">
        <v>14</v>
      </c>
      <c r="D286" s="180">
        <v>74.790000000000006</v>
      </c>
      <c r="E286" s="180">
        <v>515.61</v>
      </c>
      <c r="F286" s="182"/>
      <c r="G286" s="181"/>
    </row>
    <row r="287" spans="1:7" x14ac:dyDescent="0.25">
      <c r="A287" s="180">
        <v>2016</v>
      </c>
      <c r="B287" s="181" t="s">
        <v>492</v>
      </c>
      <c r="C287" s="180">
        <v>11</v>
      </c>
      <c r="D287" s="180">
        <v>70.77</v>
      </c>
      <c r="E287" s="180">
        <v>558.29999999999995</v>
      </c>
      <c r="F287" s="182"/>
      <c r="G287" s="181"/>
    </row>
    <row r="288" spans="1:7" x14ac:dyDescent="0.25">
      <c r="A288" s="180">
        <v>2016</v>
      </c>
      <c r="B288" s="181" t="s">
        <v>492</v>
      </c>
      <c r="C288" s="180">
        <v>14</v>
      </c>
      <c r="D288" s="180">
        <v>59</v>
      </c>
      <c r="E288" s="180">
        <v>454.6</v>
      </c>
      <c r="F288" s="182"/>
      <c r="G288" s="181"/>
    </row>
    <row r="289" spans="1:7" x14ac:dyDescent="0.25">
      <c r="A289" s="180">
        <v>2016</v>
      </c>
      <c r="B289" s="181" t="s">
        <v>492</v>
      </c>
      <c r="C289" s="180">
        <v>19</v>
      </c>
      <c r="D289" s="180">
        <v>52.79</v>
      </c>
      <c r="E289" s="180">
        <v>492.55</v>
      </c>
      <c r="F289" s="182"/>
      <c r="G289" s="181"/>
    </row>
    <row r="290" spans="1:7" x14ac:dyDescent="0.25">
      <c r="A290" s="180">
        <v>2016</v>
      </c>
      <c r="B290" s="181" t="s">
        <v>492</v>
      </c>
      <c r="C290" s="180">
        <v>17</v>
      </c>
      <c r="D290" s="180">
        <v>57.54</v>
      </c>
      <c r="E290" s="180">
        <v>424.06</v>
      </c>
      <c r="F290" s="182"/>
      <c r="G290" s="181"/>
    </row>
    <row r="291" spans="1:7" x14ac:dyDescent="0.25">
      <c r="A291" s="180">
        <v>2016</v>
      </c>
      <c r="B291" s="181" t="s">
        <v>492</v>
      </c>
      <c r="C291" s="182"/>
      <c r="D291" s="180">
        <v>52.44</v>
      </c>
      <c r="E291" s="182"/>
      <c r="F291" s="182"/>
      <c r="G291" s="181"/>
    </row>
    <row r="292" spans="1:7" x14ac:dyDescent="0.25">
      <c r="A292" s="180">
        <v>2016</v>
      </c>
      <c r="B292" s="181" t="s">
        <v>480</v>
      </c>
      <c r="C292" s="180">
        <v>14</v>
      </c>
      <c r="D292" s="180">
        <v>51.89</v>
      </c>
      <c r="E292" s="180">
        <v>517.82000000000005</v>
      </c>
      <c r="F292" s="182"/>
      <c r="G292" s="181"/>
    </row>
    <row r="293" spans="1:7" x14ac:dyDescent="0.25">
      <c r="A293" s="180">
        <v>2016</v>
      </c>
      <c r="B293" s="181" t="s">
        <v>480</v>
      </c>
      <c r="C293" s="180">
        <v>8</v>
      </c>
      <c r="D293" s="180">
        <v>61.94</v>
      </c>
      <c r="E293" s="180">
        <v>494.93</v>
      </c>
      <c r="F293" s="182"/>
      <c r="G293" s="181"/>
    </row>
    <row r="294" spans="1:7" x14ac:dyDescent="0.25">
      <c r="A294" s="180">
        <v>2016</v>
      </c>
      <c r="B294" s="181" t="s">
        <v>480</v>
      </c>
      <c r="C294" s="180">
        <v>10</v>
      </c>
      <c r="D294" s="180">
        <v>61.88</v>
      </c>
      <c r="E294" s="180">
        <v>381.68</v>
      </c>
      <c r="F294" s="182"/>
      <c r="G294" s="181"/>
    </row>
    <row r="295" spans="1:7" x14ac:dyDescent="0.25">
      <c r="A295" s="180">
        <v>2016</v>
      </c>
      <c r="B295" s="181" t="s">
        <v>480</v>
      </c>
      <c r="C295" s="180">
        <v>9</v>
      </c>
      <c r="D295" s="180">
        <v>59.62</v>
      </c>
      <c r="E295" s="180">
        <v>383.14</v>
      </c>
      <c r="F295" s="182"/>
      <c r="G295" s="181"/>
    </row>
    <row r="296" spans="1:7" x14ac:dyDescent="0.25">
      <c r="A296" s="180">
        <v>2016</v>
      </c>
      <c r="B296" s="181" t="s">
        <v>480</v>
      </c>
      <c r="C296" s="180">
        <v>13</v>
      </c>
      <c r="D296" s="180">
        <v>54.7</v>
      </c>
      <c r="E296" s="180">
        <v>486.86</v>
      </c>
      <c r="F296" s="182"/>
      <c r="G296" s="181"/>
    </row>
    <row r="297" spans="1:7" x14ac:dyDescent="0.25">
      <c r="A297" s="180">
        <v>2016</v>
      </c>
      <c r="B297" s="181" t="s">
        <v>480</v>
      </c>
      <c r="C297" s="182"/>
      <c r="D297" s="180">
        <v>67.77</v>
      </c>
      <c r="E297" s="182"/>
      <c r="F297" s="182"/>
      <c r="G297" s="181"/>
    </row>
    <row r="298" spans="1:7" x14ac:dyDescent="0.25">
      <c r="A298" s="180">
        <v>2016</v>
      </c>
      <c r="B298" s="181" t="s">
        <v>482</v>
      </c>
      <c r="C298" s="180">
        <v>9</v>
      </c>
      <c r="D298" s="180">
        <v>67.19</v>
      </c>
      <c r="E298" s="180">
        <v>371.43</v>
      </c>
      <c r="F298" s="182"/>
      <c r="G298" s="181"/>
    </row>
    <row r="299" spans="1:7" x14ac:dyDescent="0.25">
      <c r="A299" s="180">
        <v>2016</v>
      </c>
      <c r="B299" s="181" t="s">
        <v>482</v>
      </c>
      <c r="C299" s="180">
        <v>11</v>
      </c>
      <c r="D299" s="180">
        <v>58.07</v>
      </c>
      <c r="E299" s="180">
        <v>409.54</v>
      </c>
      <c r="F299" s="182"/>
      <c r="G299" s="181"/>
    </row>
    <row r="300" spans="1:7" x14ac:dyDescent="0.25">
      <c r="A300" s="180">
        <v>2016</v>
      </c>
      <c r="B300" s="181" t="s">
        <v>482</v>
      </c>
      <c r="C300" s="180">
        <v>16</v>
      </c>
      <c r="D300" s="180">
        <v>67.040000000000006</v>
      </c>
      <c r="E300" s="180">
        <v>373.17</v>
      </c>
      <c r="F300" s="182"/>
      <c r="G300" s="181"/>
    </row>
    <row r="301" spans="1:7" x14ac:dyDescent="0.25">
      <c r="A301" s="180">
        <v>2016</v>
      </c>
      <c r="B301" s="181" t="s">
        <v>482</v>
      </c>
      <c r="C301" s="180">
        <v>8</v>
      </c>
      <c r="D301" s="180">
        <v>60.43</v>
      </c>
      <c r="E301" s="180">
        <v>274.31</v>
      </c>
      <c r="F301" s="182"/>
      <c r="G301" s="181"/>
    </row>
    <row r="302" spans="1:7" x14ac:dyDescent="0.25">
      <c r="A302" s="180">
        <v>2016</v>
      </c>
      <c r="B302" s="181" t="s">
        <v>482</v>
      </c>
      <c r="C302" s="180">
        <v>11</v>
      </c>
      <c r="D302" s="180">
        <v>59.54</v>
      </c>
      <c r="E302" s="182"/>
      <c r="F302" s="182"/>
      <c r="G302" s="181"/>
    </row>
    <row r="303" spans="1:7" x14ac:dyDescent="0.25">
      <c r="A303" s="180">
        <v>2016</v>
      </c>
      <c r="B303" s="181" t="s">
        <v>482</v>
      </c>
      <c r="C303" s="182"/>
      <c r="D303" s="180">
        <v>59.91</v>
      </c>
      <c r="E303" s="182"/>
      <c r="F303" s="182"/>
      <c r="G303" s="181"/>
    </row>
    <row r="304" spans="1:7" x14ac:dyDescent="0.25">
      <c r="A304" s="180">
        <v>2016</v>
      </c>
      <c r="B304" s="181" t="s">
        <v>481</v>
      </c>
      <c r="C304" s="180">
        <v>16</v>
      </c>
      <c r="D304" s="180">
        <v>54.93</v>
      </c>
      <c r="E304" s="180">
        <v>538.49</v>
      </c>
      <c r="F304" s="182"/>
      <c r="G304" s="181"/>
    </row>
    <row r="305" spans="1:7" x14ac:dyDescent="0.25">
      <c r="A305" s="180">
        <v>2016</v>
      </c>
      <c r="B305" s="181" t="s">
        <v>481</v>
      </c>
      <c r="C305" s="180">
        <v>16</v>
      </c>
      <c r="D305" s="180">
        <v>54.93</v>
      </c>
      <c r="E305" s="180">
        <v>538.49</v>
      </c>
      <c r="F305" s="182"/>
      <c r="G305" s="181"/>
    </row>
    <row r="306" spans="1:7" x14ac:dyDescent="0.25">
      <c r="A306" s="180">
        <v>2016</v>
      </c>
      <c r="B306" s="181" t="s">
        <v>481</v>
      </c>
      <c r="C306" s="180">
        <v>9</v>
      </c>
      <c r="D306" s="180">
        <v>60.34</v>
      </c>
      <c r="E306" s="180">
        <v>497.9</v>
      </c>
      <c r="F306" s="182"/>
      <c r="G306" s="181"/>
    </row>
    <row r="307" spans="1:7" x14ac:dyDescent="0.25">
      <c r="A307" s="180">
        <v>2016</v>
      </c>
      <c r="B307" s="181" t="s">
        <v>481</v>
      </c>
      <c r="C307" s="180">
        <v>9</v>
      </c>
      <c r="D307" s="180">
        <v>60.34</v>
      </c>
      <c r="E307" s="180">
        <v>497.9</v>
      </c>
      <c r="F307" s="182"/>
      <c r="G307" s="181"/>
    </row>
    <row r="308" spans="1:7" x14ac:dyDescent="0.25">
      <c r="A308" s="180">
        <v>2016</v>
      </c>
      <c r="B308" s="181" t="s">
        <v>481</v>
      </c>
      <c r="C308" s="180">
        <v>10</v>
      </c>
      <c r="D308" s="180">
        <v>60.32</v>
      </c>
      <c r="E308" s="180">
        <v>480.64</v>
      </c>
      <c r="F308" s="182"/>
      <c r="G308" s="181"/>
    </row>
    <row r="309" spans="1:7" x14ac:dyDescent="0.25">
      <c r="A309" s="180">
        <v>2016</v>
      </c>
      <c r="B309" s="181" t="s">
        <v>481</v>
      </c>
      <c r="C309" s="180">
        <v>10</v>
      </c>
      <c r="D309" s="180">
        <v>60.32</v>
      </c>
      <c r="E309" s="180">
        <v>480.64</v>
      </c>
      <c r="F309" s="182"/>
      <c r="G309" s="181"/>
    </row>
    <row r="310" spans="1:7" x14ac:dyDescent="0.25">
      <c r="A310" s="180">
        <v>2016</v>
      </c>
      <c r="B310" s="181" t="s">
        <v>481</v>
      </c>
      <c r="C310" s="180">
        <v>10</v>
      </c>
      <c r="D310" s="180">
        <v>53.42</v>
      </c>
      <c r="E310" s="180">
        <v>616.5</v>
      </c>
      <c r="F310" s="182"/>
      <c r="G310" s="181"/>
    </row>
    <row r="311" spans="1:7" x14ac:dyDescent="0.25">
      <c r="A311" s="180">
        <v>2016</v>
      </c>
      <c r="B311" s="181" t="s">
        <v>481</v>
      </c>
      <c r="C311" s="180">
        <v>10</v>
      </c>
      <c r="D311" s="180">
        <v>53.42</v>
      </c>
      <c r="E311" s="180">
        <v>616.5</v>
      </c>
      <c r="F311" s="182"/>
      <c r="G311" s="181"/>
    </row>
    <row r="312" spans="1:7" x14ac:dyDescent="0.25">
      <c r="A312" s="180">
        <v>2016</v>
      </c>
      <c r="B312" s="181" t="s">
        <v>481</v>
      </c>
      <c r="C312" s="180">
        <v>12</v>
      </c>
      <c r="D312" s="180">
        <v>72.349999999999994</v>
      </c>
      <c r="E312" s="180">
        <v>585.04999999999995</v>
      </c>
      <c r="F312" s="182"/>
      <c r="G312" s="181"/>
    </row>
    <row r="313" spans="1:7" x14ac:dyDescent="0.25">
      <c r="A313" s="180">
        <v>2016</v>
      </c>
      <c r="B313" s="181" t="s">
        <v>481</v>
      </c>
      <c r="C313" s="180">
        <v>12</v>
      </c>
      <c r="D313" s="180">
        <v>72.349999999999994</v>
      </c>
      <c r="E313" s="180">
        <v>585.04999999999995</v>
      </c>
      <c r="F313" s="182"/>
      <c r="G313" s="181"/>
    </row>
    <row r="314" spans="1:7" x14ac:dyDescent="0.25">
      <c r="A314" s="180">
        <v>2016</v>
      </c>
      <c r="B314" s="181" t="s">
        <v>495</v>
      </c>
      <c r="C314" s="180">
        <v>10</v>
      </c>
      <c r="D314" s="180">
        <v>65.69</v>
      </c>
      <c r="E314" s="180">
        <v>432.98</v>
      </c>
      <c r="F314" s="182"/>
      <c r="G314" s="181"/>
    </row>
    <row r="315" spans="1:7" x14ac:dyDescent="0.25">
      <c r="A315" s="180">
        <v>2016</v>
      </c>
      <c r="B315" s="181" t="s">
        <v>495</v>
      </c>
      <c r="C315" s="180">
        <v>7</v>
      </c>
      <c r="D315" s="180">
        <v>53.06</v>
      </c>
      <c r="E315" s="180">
        <v>406.43</v>
      </c>
      <c r="F315" s="182"/>
      <c r="G315" s="181"/>
    </row>
    <row r="316" spans="1:7" x14ac:dyDescent="0.25">
      <c r="A316" s="180">
        <v>2016</v>
      </c>
      <c r="B316" s="181" t="s">
        <v>495</v>
      </c>
      <c r="C316" s="180">
        <v>7</v>
      </c>
      <c r="D316" s="180">
        <v>59.01</v>
      </c>
      <c r="E316" s="180">
        <v>454.57</v>
      </c>
      <c r="F316" s="182"/>
      <c r="G316" s="181"/>
    </row>
    <row r="317" spans="1:7" x14ac:dyDescent="0.25">
      <c r="A317" s="180">
        <v>2016</v>
      </c>
      <c r="B317" s="181" t="s">
        <v>495</v>
      </c>
      <c r="C317" s="180">
        <v>9</v>
      </c>
      <c r="D317" s="180">
        <v>52.98</v>
      </c>
      <c r="E317" s="180">
        <v>540.32000000000005</v>
      </c>
      <c r="F317" s="182"/>
      <c r="G317" s="181"/>
    </row>
    <row r="318" spans="1:7" x14ac:dyDescent="0.25">
      <c r="A318" s="180">
        <v>2016</v>
      </c>
      <c r="B318" s="181" t="s">
        <v>495</v>
      </c>
      <c r="C318" s="180">
        <v>12</v>
      </c>
      <c r="D318" s="180">
        <v>64.03</v>
      </c>
      <c r="E318" s="180">
        <v>532.21</v>
      </c>
      <c r="F318" s="182"/>
      <c r="G318" s="181"/>
    </row>
    <row r="319" spans="1:7" x14ac:dyDescent="0.25">
      <c r="A319" s="180">
        <v>2016</v>
      </c>
      <c r="B319" s="181" t="s">
        <v>495</v>
      </c>
      <c r="C319" s="180">
        <v>11</v>
      </c>
      <c r="D319" s="180">
        <v>60.21</v>
      </c>
      <c r="E319" s="182"/>
      <c r="F319" s="182"/>
      <c r="G319" s="181"/>
    </row>
    <row r="320" spans="1:7" x14ac:dyDescent="0.25">
      <c r="A320" s="180">
        <v>2016</v>
      </c>
      <c r="B320" s="181" t="s">
        <v>477</v>
      </c>
      <c r="C320" s="180">
        <v>12</v>
      </c>
      <c r="D320" s="180">
        <v>48.47</v>
      </c>
      <c r="E320" s="180">
        <v>581.44000000000005</v>
      </c>
      <c r="F320" s="182"/>
      <c r="G320" s="181"/>
    </row>
    <row r="321" spans="1:7" x14ac:dyDescent="0.25">
      <c r="A321" s="180">
        <v>2016</v>
      </c>
      <c r="B321" s="181" t="s">
        <v>477</v>
      </c>
      <c r="C321" s="180">
        <v>12</v>
      </c>
      <c r="D321" s="180">
        <v>58.47</v>
      </c>
      <c r="E321" s="180">
        <v>606.78</v>
      </c>
      <c r="F321" s="182"/>
      <c r="G321" s="181"/>
    </row>
    <row r="322" spans="1:7" x14ac:dyDescent="0.25">
      <c r="A322" s="180">
        <v>2016</v>
      </c>
      <c r="B322" s="181" t="s">
        <v>477</v>
      </c>
      <c r="C322" s="180">
        <v>15</v>
      </c>
      <c r="D322" s="180">
        <v>51.89</v>
      </c>
      <c r="E322" s="180">
        <v>377.44</v>
      </c>
      <c r="F322" s="182"/>
      <c r="G322" s="181"/>
    </row>
    <row r="323" spans="1:7" x14ac:dyDescent="0.25">
      <c r="A323" s="180">
        <v>2016</v>
      </c>
      <c r="B323" s="181" t="s">
        <v>477</v>
      </c>
      <c r="C323" s="180">
        <v>12</v>
      </c>
      <c r="D323" s="180">
        <v>58.1</v>
      </c>
      <c r="E323" s="180">
        <v>358.92</v>
      </c>
      <c r="F323" s="182"/>
      <c r="G323" s="181"/>
    </row>
    <row r="324" spans="1:7" x14ac:dyDescent="0.25">
      <c r="A324" s="180">
        <v>2016</v>
      </c>
      <c r="B324" s="181" t="s">
        <v>477</v>
      </c>
      <c r="C324" s="180">
        <v>17</v>
      </c>
      <c r="D324" s="180">
        <v>53.34</v>
      </c>
      <c r="E324" s="180">
        <v>535.07000000000005</v>
      </c>
      <c r="F324" s="182"/>
      <c r="G324" s="181"/>
    </row>
    <row r="325" spans="1:7" x14ac:dyDescent="0.25">
      <c r="A325" s="180">
        <v>2016</v>
      </c>
      <c r="B325" s="181" t="s">
        <v>477</v>
      </c>
      <c r="C325" s="182"/>
      <c r="D325" s="182"/>
      <c r="E325" s="180">
        <v>352.24</v>
      </c>
      <c r="F325" s="182"/>
      <c r="G325" s="181"/>
    </row>
    <row r="326" spans="1:7" x14ac:dyDescent="0.25">
      <c r="A326" s="180">
        <v>2016</v>
      </c>
      <c r="B326" s="181" t="s">
        <v>494</v>
      </c>
      <c r="C326" s="180">
        <v>18</v>
      </c>
      <c r="D326" s="180">
        <v>69.010000000000005</v>
      </c>
      <c r="E326" s="180">
        <v>441.75</v>
      </c>
      <c r="F326" s="182"/>
      <c r="G326" s="181"/>
    </row>
    <row r="327" spans="1:7" x14ac:dyDescent="0.25">
      <c r="A327" s="180">
        <v>2016</v>
      </c>
      <c r="B327" s="181" t="s">
        <v>494</v>
      </c>
      <c r="C327" s="180">
        <v>11</v>
      </c>
      <c r="D327" s="180">
        <v>72</v>
      </c>
      <c r="E327" s="180">
        <v>474.14</v>
      </c>
      <c r="F327" s="182"/>
      <c r="G327" s="181"/>
    </row>
    <row r="328" spans="1:7" x14ac:dyDescent="0.25">
      <c r="A328" s="180">
        <v>2016</v>
      </c>
      <c r="B328" s="181" t="s">
        <v>494</v>
      </c>
      <c r="C328" s="180">
        <v>10</v>
      </c>
      <c r="D328" s="180">
        <v>63.64</v>
      </c>
      <c r="E328" s="180">
        <v>476.48</v>
      </c>
      <c r="F328" s="182"/>
      <c r="G328" s="181"/>
    </row>
    <row r="329" spans="1:7" x14ac:dyDescent="0.25">
      <c r="A329" s="180">
        <v>2016</v>
      </c>
      <c r="B329" s="181" t="s">
        <v>494</v>
      </c>
      <c r="C329" s="180">
        <v>18</v>
      </c>
      <c r="D329" s="180">
        <v>65.540000000000006</v>
      </c>
      <c r="E329" s="180">
        <v>473.37</v>
      </c>
      <c r="F329" s="182"/>
      <c r="G329" s="181"/>
    </row>
    <row r="330" spans="1:7" x14ac:dyDescent="0.25">
      <c r="A330" s="180">
        <v>2016</v>
      </c>
      <c r="B330" s="181" t="s">
        <v>494</v>
      </c>
      <c r="C330" s="180">
        <v>13</v>
      </c>
      <c r="D330" s="180">
        <v>55.73</v>
      </c>
      <c r="E330" s="180">
        <v>405.54</v>
      </c>
      <c r="F330" s="182"/>
      <c r="G330" s="181"/>
    </row>
    <row r="331" spans="1:7" x14ac:dyDescent="0.25">
      <c r="A331" s="180">
        <v>2016</v>
      </c>
      <c r="B331" s="181" t="s">
        <v>493</v>
      </c>
      <c r="C331" s="180">
        <v>12</v>
      </c>
      <c r="D331" s="180">
        <v>62.43</v>
      </c>
      <c r="E331" s="180">
        <v>291.85000000000002</v>
      </c>
      <c r="F331" s="182"/>
      <c r="G331" s="181"/>
    </row>
    <row r="332" spans="1:7" x14ac:dyDescent="0.25">
      <c r="A332" s="180">
        <v>2016</v>
      </c>
      <c r="B332" s="181" t="s">
        <v>493</v>
      </c>
      <c r="C332" s="180">
        <v>13</v>
      </c>
      <c r="D332" s="180">
        <v>59.94</v>
      </c>
      <c r="E332" s="180">
        <v>312.63</v>
      </c>
      <c r="F332" s="182"/>
      <c r="G332" s="181"/>
    </row>
    <row r="333" spans="1:7" x14ac:dyDescent="0.25">
      <c r="A333" s="180">
        <v>2016</v>
      </c>
      <c r="B333" s="181" t="s">
        <v>493</v>
      </c>
      <c r="C333" s="180">
        <v>8</v>
      </c>
      <c r="D333" s="180">
        <v>59.72</v>
      </c>
      <c r="E333" s="180">
        <v>375.17</v>
      </c>
      <c r="F333" s="182"/>
      <c r="G333" s="181"/>
    </row>
    <row r="334" spans="1:7" x14ac:dyDescent="0.25">
      <c r="A334" s="180">
        <v>2016</v>
      </c>
      <c r="B334" s="181" t="s">
        <v>493</v>
      </c>
      <c r="C334" s="180">
        <v>9</v>
      </c>
      <c r="D334" s="180">
        <v>66.95</v>
      </c>
      <c r="E334" s="180">
        <v>382.35</v>
      </c>
      <c r="F334" s="182"/>
      <c r="G334" s="181"/>
    </row>
    <row r="335" spans="1:7" x14ac:dyDescent="0.25">
      <c r="A335" s="180">
        <v>2016</v>
      </c>
      <c r="B335" s="181" t="s">
        <v>493</v>
      </c>
      <c r="C335" s="182"/>
      <c r="D335" s="180">
        <v>63.94</v>
      </c>
      <c r="E335" s="180">
        <v>395.68</v>
      </c>
      <c r="F335" s="182"/>
      <c r="G335" s="181"/>
    </row>
    <row r="336" spans="1:7" x14ac:dyDescent="0.25">
      <c r="A336" s="180">
        <v>2016</v>
      </c>
      <c r="B336" s="181" t="s">
        <v>492</v>
      </c>
      <c r="C336" s="180">
        <v>11</v>
      </c>
      <c r="D336" s="180">
        <v>67.14</v>
      </c>
      <c r="E336" s="180">
        <v>591.26</v>
      </c>
      <c r="F336" s="182"/>
      <c r="G336" s="181"/>
    </row>
    <row r="337" spans="1:7" x14ac:dyDescent="0.25">
      <c r="A337" s="180">
        <v>2016</v>
      </c>
      <c r="B337" s="181" t="s">
        <v>492</v>
      </c>
      <c r="C337" s="180">
        <v>14</v>
      </c>
      <c r="D337" s="180">
        <v>67.510000000000005</v>
      </c>
      <c r="E337" s="180">
        <v>487.86</v>
      </c>
      <c r="F337" s="182"/>
      <c r="G337" s="181"/>
    </row>
    <row r="338" spans="1:7" x14ac:dyDescent="0.25">
      <c r="A338" s="180">
        <v>2016</v>
      </c>
      <c r="B338" s="181" t="s">
        <v>492</v>
      </c>
      <c r="C338" s="180">
        <v>12</v>
      </c>
      <c r="D338" s="180">
        <v>70.98</v>
      </c>
      <c r="E338" s="180">
        <v>568.05999999999995</v>
      </c>
      <c r="F338" s="182"/>
      <c r="G338" s="181"/>
    </row>
    <row r="339" spans="1:7" x14ac:dyDescent="0.25">
      <c r="A339" s="180">
        <v>2016</v>
      </c>
      <c r="B339" s="181" t="s">
        <v>492</v>
      </c>
      <c r="C339" s="180">
        <v>13</v>
      </c>
      <c r="D339" s="180">
        <v>54.63</v>
      </c>
      <c r="E339" s="180">
        <v>537.84</v>
      </c>
      <c r="F339" s="182"/>
      <c r="G339" s="181"/>
    </row>
    <row r="340" spans="1:7" x14ac:dyDescent="0.25">
      <c r="A340" s="180">
        <v>2016</v>
      </c>
      <c r="B340" s="181" t="s">
        <v>492</v>
      </c>
      <c r="C340" s="180">
        <v>15</v>
      </c>
      <c r="D340" s="180">
        <v>58.14</v>
      </c>
      <c r="E340" s="180">
        <v>567.14</v>
      </c>
      <c r="F340" s="182"/>
      <c r="G340" s="181"/>
    </row>
    <row r="341" spans="1:7" x14ac:dyDescent="0.25">
      <c r="A341" s="180">
        <v>2016</v>
      </c>
      <c r="B341" s="181" t="s">
        <v>480</v>
      </c>
      <c r="C341" s="180">
        <v>10</v>
      </c>
      <c r="D341" s="180">
        <v>56.48</v>
      </c>
      <c r="E341" s="180">
        <v>468.78</v>
      </c>
      <c r="F341" s="182"/>
      <c r="G341" s="181"/>
    </row>
    <row r="342" spans="1:7" x14ac:dyDescent="0.25">
      <c r="A342" s="180">
        <v>2016</v>
      </c>
      <c r="B342" s="181" t="s">
        <v>480</v>
      </c>
      <c r="C342" s="180">
        <v>9</v>
      </c>
      <c r="D342" s="180">
        <v>58.49</v>
      </c>
      <c r="E342" s="180">
        <v>329.84</v>
      </c>
      <c r="F342" s="182"/>
      <c r="G342" s="181"/>
    </row>
    <row r="343" spans="1:7" x14ac:dyDescent="0.25">
      <c r="A343" s="180">
        <v>2016</v>
      </c>
      <c r="B343" s="181" t="s">
        <v>480</v>
      </c>
      <c r="C343" s="180">
        <v>12</v>
      </c>
      <c r="D343" s="180">
        <v>50.59</v>
      </c>
      <c r="E343" s="180">
        <v>383.91</v>
      </c>
      <c r="F343" s="182"/>
      <c r="G343" s="181"/>
    </row>
    <row r="344" spans="1:7" x14ac:dyDescent="0.25">
      <c r="A344" s="180">
        <v>2016</v>
      </c>
      <c r="B344" s="181" t="s">
        <v>480</v>
      </c>
      <c r="C344" s="180">
        <v>7</v>
      </c>
      <c r="D344" s="180">
        <v>61.49</v>
      </c>
      <c r="E344" s="180">
        <v>301.48</v>
      </c>
      <c r="F344" s="182"/>
      <c r="G344" s="181"/>
    </row>
    <row r="345" spans="1:7" x14ac:dyDescent="0.25">
      <c r="A345" s="180">
        <v>2016</v>
      </c>
      <c r="B345" s="181" t="s">
        <v>480</v>
      </c>
      <c r="C345" s="180">
        <v>11</v>
      </c>
      <c r="D345" s="180">
        <v>62.84</v>
      </c>
      <c r="E345" s="180">
        <v>495.57</v>
      </c>
      <c r="F345" s="182"/>
      <c r="G345" s="181"/>
    </row>
    <row r="346" spans="1:7" x14ac:dyDescent="0.25">
      <c r="A346" s="180">
        <v>2016</v>
      </c>
      <c r="B346" s="181" t="s">
        <v>480</v>
      </c>
      <c r="C346" s="182"/>
      <c r="D346" s="182"/>
      <c r="E346" s="180">
        <v>357.58</v>
      </c>
      <c r="F346" s="182"/>
      <c r="G346" s="181"/>
    </row>
    <row r="347" spans="1:7" x14ac:dyDescent="0.25">
      <c r="A347" s="180">
        <v>2017</v>
      </c>
      <c r="B347" s="181" t="s">
        <v>482</v>
      </c>
      <c r="C347" s="182"/>
      <c r="D347" s="180">
        <v>55.4</v>
      </c>
      <c r="E347" s="180">
        <v>366.33</v>
      </c>
      <c r="F347" s="182"/>
      <c r="G347" s="181"/>
    </row>
    <row r="348" spans="1:7" x14ac:dyDescent="0.25">
      <c r="A348" s="180">
        <v>2017</v>
      </c>
      <c r="B348" s="181" t="s">
        <v>482</v>
      </c>
      <c r="C348" s="182"/>
      <c r="D348" s="180">
        <v>65.95</v>
      </c>
      <c r="E348" s="180">
        <v>452.84</v>
      </c>
      <c r="F348" s="182"/>
      <c r="G348" s="181"/>
    </row>
    <row r="349" spans="1:7" x14ac:dyDescent="0.25">
      <c r="A349" s="180">
        <v>2017</v>
      </c>
      <c r="B349" s="181" t="s">
        <v>482</v>
      </c>
      <c r="C349" s="182"/>
      <c r="D349" s="180">
        <v>57.72</v>
      </c>
      <c r="E349" s="180">
        <v>390.73</v>
      </c>
      <c r="F349" s="182"/>
      <c r="G349" s="181"/>
    </row>
    <row r="350" spans="1:7" x14ac:dyDescent="0.25">
      <c r="A350" s="180">
        <v>2017</v>
      </c>
      <c r="B350" s="181" t="s">
        <v>482</v>
      </c>
      <c r="C350" s="182"/>
      <c r="D350" s="182"/>
      <c r="E350" s="180">
        <v>376.96</v>
      </c>
      <c r="F350" s="182"/>
      <c r="G350" s="181"/>
    </row>
    <row r="351" spans="1:7" x14ac:dyDescent="0.25">
      <c r="A351" s="180">
        <v>2017</v>
      </c>
      <c r="B351" s="181" t="s">
        <v>482</v>
      </c>
      <c r="C351" s="182"/>
      <c r="D351" s="180">
        <v>59.96</v>
      </c>
      <c r="E351" s="180">
        <v>468.02</v>
      </c>
      <c r="F351" s="182"/>
      <c r="G351" s="181"/>
    </row>
    <row r="352" spans="1:7" x14ac:dyDescent="0.25">
      <c r="A352" s="180">
        <v>2017</v>
      </c>
      <c r="B352" s="181" t="s">
        <v>482</v>
      </c>
      <c r="C352" s="182"/>
      <c r="D352" s="180">
        <v>65.680000000000007</v>
      </c>
      <c r="E352" s="180">
        <v>344.09</v>
      </c>
      <c r="F352" s="182"/>
      <c r="G352" s="181"/>
    </row>
    <row r="353" spans="1:7" x14ac:dyDescent="0.25">
      <c r="A353" s="180">
        <v>2017</v>
      </c>
      <c r="B353" s="181" t="s">
        <v>481</v>
      </c>
      <c r="C353" s="182"/>
      <c r="D353" s="180">
        <v>76.11</v>
      </c>
      <c r="E353" s="180">
        <v>533.13</v>
      </c>
      <c r="F353" s="182"/>
      <c r="G353" s="181"/>
    </row>
    <row r="354" spans="1:7" x14ac:dyDescent="0.25">
      <c r="A354" s="180">
        <v>2017</v>
      </c>
      <c r="B354" s="181" t="s">
        <v>481</v>
      </c>
      <c r="C354" s="182"/>
      <c r="D354" s="180">
        <v>76.11</v>
      </c>
      <c r="E354" s="180">
        <v>533.13</v>
      </c>
      <c r="F354" s="182"/>
      <c r="G354" s="181"/>
    </row>
    <row r="355" spans="1:7" x14ac:dyDescent="0.25">
      <c r="A355" s="180">
        <v>2017</v>
      </c>
      <c r="B355" s="181" t="s">
        <v>481</v>
      </c>
      <c r="C355" s="182"/>
      <c r="D355" s="180">
        <v>80.05</v>
      </c>
      <c r="E355" s="180">
        <v>448.82</v>
      </c>
      <c r="F355" s="182"/>
      <c r="G355" s="181"/>
    </row>
    <row r="356" spans="1:7" x14ac:dyDescent="0.25">
      <c r="A356" s="180">
        <v>2017</v>
      </c>
      <c r="B356" s="181" t="s">
        <v>481</v>
      </c>
      <c r="C356" s="182"/>
      <c r="D356" s="180">
        <v>80.05</v>
      </c>
      <c r="E356" s="180">
        <v>448.82</v>
      </c>
      <c r="F356" s="182"/>
      <c r="G356" s="181"/>
    </row>
    <row r="357" spans="1:7" x14ac:dyDescent="0.25">
      <c r="A357" s="180">
        <v>2017</v>
      </c>
      <c r="B357" s="181" t="s">
        <v>481</v>
      </c>
      <c r="C357" s="182"/>
      <c r="D357" s="180">
        <v>62.15</v>
      </c>
      <c r="E357" s="180">
        <v>404.5</v>
      </c>
      <c r="F357" s="182"/>
      <c r="G357" s="181"/>
    </row>
    <row r="358" spans="1:7" x14ac:dyDescent="0.25">
      <c r="A358" s="180">
        <v>2017</v>
      </c>
      <c r="B358" s="181" t="s">
        <v>481</v>
      </c>
      <c r="C358" s="182"/>
      <c r="D358" s="180">
        <v>62.15</v>
      </c>
      <c r="E358" s="180">
        <v>404.5</v>
      </c>
      <c r="F358" s="182"/>
      <c r="G358" s="181"/>
    </row>
    <row r="359" spans="1:7" x14ac:dyDescent="0.25">
      <c r="A359" s="180">
        <v>2017</v>
      </c>
      <c r="B359" s="181" t="s">
        <v>481</v>
      </c>
      <c r="C359" s="182"/>
      <c r="D359" s="180">
        <v>61.69</v>
      </c>
      <c r="E359" s="180">
        <v>471.66</v>
      </c>
      <c r="F359" s="182"/>
      <c r="G359" s="181"/>
    </row>
    <row r="360" spans="1:7" x14ac:dyDescent="0.25">
      <c r="A360" s="180">
        <v>2017</v>
      </c>
      <c r="B360" s="181" t="s">
        <v>481</v>
      </c>
      <c r="C360" s="182"/>
      <c r="D360" s="180">
        <v>61.69</v>
      </c>
      <c r="E360" s="180">
        <v>471.66</v>
      </c>
      <c r="F360" s="182"/>
      <c r="G360" s="181"/>
    </row>
    <row r="361" spans="1:7" x14ac:dyDescent="0.25">
      <c r="A361" s="180">
        <v>2017</v>
      </c>
      <c r="B361" s="181" t="s">
        <v>481</v>
      </c>
      <c r="C361" s="182"/>
      <c r="D361" s="180">
        <v>57.25</v>
      </c>
      <c r="E361" s="180">
        <v>402.1</v>
      </c>
      <c r="F361" s="182"/>
      <c r="G361" s="181"/>
    </row>
    <row r="362" spans="1:7" x14ac:dyDescent="0.25">
      <c r="A362" s="180">
        <v>2017</v>
      </c>
      <c r="B362" s="181" t="s">
        <v>481</v>
      </c>
      <c r="C362" s="182"/>
      <c r="D362" s="180">
        <v>57.25</v>
      </c>
      <c r="E362" s="180">
        <v>402.1</v>
      </c>
      <c r="F362" s="182"/>
      <c r="G362" s="181"/>
    </row>
    <row r="363" spans="1:7" x14ac:dyDescent="0.25">
      <c r="A363" s="180">
        <v>2017</v>
      </c>
      <c r="B363" s="181" t="s">
        <v>480</v>
      </c>
      <c r="C363" s="182"/>
      <c r="D363" s="180">
        <v>64.36</v>
      </c>
      <c r="E363" s="180">
        <v>380.65</v>
      </c>
      <c r="F363" s="182"/>
      <c r="G363" s="181"/>
    </row>
    <row r="364" spans="1:7" x14ac:dyDescent="0.25">
      <c r="A364" s="180">
        <v>2017</v>
      </c>
      <c r="B364" s="181" t="s">
        <v>480</v>
      </c>
      <c r="C364" s="182"/>
      <c r="D364" s="180">
        <v>62.61</v>
      </c>
      <c r="E364" s="180">
        <v>456.53</v>
      </c>
      <c r="F364" s="182"/>
      <c r="G364" s="181"/>
    </row>
    <row r="365" spans="1:7" x14ac:dyDescent="0.25">
      <c r="A365" s="180">
        <v>2017</v>
      </c>
      <c r="B365" s="181" t="s">
        <v>480</v>
      </c>
      <c r="C365" s="182"/>
      <c r="D365" s="180">
        <v>72.03</v>
      </c>
      <c r="E365" s="180">
        <v>385.06</v>
      </c>
      <c r="F365" s="182"/>
      <c r="G365" s="181"/>
    </row>
    <row r="366" spans="1:7" x14ac:dyDescent="0.25">
      <c r="A366" s="180">
        <v>2017</v>
      </c>
      <c r="B366" s="181" t="s">
        <v>480</v>
      </c>
      <c r="C366" s="182"/>
      <c r="D366" s="180">
        <v>80.84</v>
      </c>
      <c r="E366" s="182"/>
      <c r="F366" s="182"/>
      <c r="G366" s="181"/>
    </row>
    <row r="367" spans="1:7" x14ac:dyDescent="0.25">
      <c r="A367" s="180">
        <v>2017</v>
      </c>
      <c r="B367" s="181" t="s">
        <v>480</v>
      </c>
      <c r="C367" s="182"/>
      <c r="D367" s="180">
        <v>83.74</v>
      </c>
      <c r="E367" s="180">
        <v>383.26</v>
      </c>
      <c r="F367" s="182"/>
      <c r="G367" s="181"/>
    </row>
    <row r="368" spans="1:7" x14ac:dyDescent="0.25">
      <c r="A368" s="180">
        <v>2017</v>
      </c>
      <c r="B368" s="181" t="s">
        <v>480</v>
      </c>
      <c r="C368" s="182"/>
      <c r="D368" s="180">
        <v>77.680000000000007</v>
      </c>
      <c r="E368" s="180">
        <v>477.1</v>
      </c>
      <c r="F368" s="182"/>
      <c r="G368" s="181"/>
    </row>
    <row r="369" spans="1:7" x14ac:dyDescent="0.25">
      <c r="A369" s="180">
        <v>2017</v>
      </c>
      <c r="B369" s="181" t="s">
        <v>494</v>
      </c>
      <c r="C369" s="180">
        <v>13</v>
      </c>
      <c r="D369" s="180">
        <v>76.94</v>
      </c>
      <c r="E369" s="180">
        <v>395.69</v>
      </c>
      <c r="F369" s="182"/>
      <c r="G369" s="181"/>
    </row>
    <row r="370" spans="1:7" x14ac:dyDescent="0.25">
      <c r="A370" s="180">
        <v>2017</v>
      </c>
      <c r="B370" s="181" t="s">
        <v>494</v>
      </c>
      <c r="C370" s="180">
        <v>11</v>
      </c>
      <c r="D370" s="180">
        <v>71.8</v>
      </c>
      <c r="E370" s="180">
        <v>497.74</v>
      </c>
      <c r="F370" s="182"/>
      <c r="G370" s="181"/>
    </row>
    <row r="371" spans="1:7" x14ac:dyDescent="0.25">
      <c r="A371" s="180">
        <v>2017</v>
      </c>
      <c r="B371" s="181" t="s">
        <v>494</v>
      </c>
      <c r="C371" s="180">
        <v>13</v>
      </c>
      <c r="D371" s="180">
        <v>69.349999999999994</v>
      </c>
      <c r="E371" s="180">
        <v>441.8</v>
      </c>
      <c r="F371" s="182"/>
      <c r="G371" s="181"/>
    </row>
    <row r="372" spans="1:7" x14ac:dyDescent="0.25">
      <c r="A372" s="180">
        <v>2017</v>
      </c>
      <c r="B372" s="181" t="s">
        <v>494</v>
      </c>
      <c r="C372" s="180">
        <v>11</v>
      </c>
      <c r="D372" s="180">
        <v>77.150000000000006</v>
      </c>
      <c r="E372" s="180">
        <v>393.58</v>
      </c>
      <c r="F372" s="182"/>
      <c r="G372" s="181"/>
    </row>
    <row r="373" spans="1:7" x14ac:dyDescent="0.25">
      <c r="A373" s="180">
        <v>2017</v>
      </c>
      <c r="B373" s="181" t="s">
        <v>494</v>
      </c>
      <c r="C373" s="180">
        <v>10</v>
      </c>
      <c r="D373" s="180">
        <v>66.650000000000006</v>
      </c>
      <c r="E373" s="180">
        <v>444.73</v>
      </c>
      <c r="F373" s="182"/>
      <c r="G373" s="181"/>
    </row>
    <row r="374" spans="1:7" x14ac:dyDescent="0.25">
      <c r="A374" s="180">
        <v>2017</v>
      </c>
      <c r="B374" s="181" t="s">
        <v>494</v>
      </c>
      <c r="C374" s="180">
        <v>13</v>
      </c>
      <c r="D374" s="180">
        <v>75.59</v>
      </c>
      <c r="E374" s="180">
        <v>496.76</v>
      </c>
      <c r="F374" s="182"/>
      <c r="G374" s="181"/>
    </row>
    <row r="375" spans="1:7" x14ac:dyDescent="0.25">
      <c r="A375" s="180">
        <v>2017</v>
      </c>
      <c r="B375" s="181" t="s">
        <v>477</v>
      </c>
      <c r="C375" s="180">
        <v>10</v>
      </c>
      <c r="D375" s="180">
        <v>61.77</v>
      </c>
      <c r="E375" s="180">
        <v>368.37</v>
      </c>
      <c r="F375" s="182"/>
      <c r="G375" s="181"/>
    </row>
    <row r="376" spans="1:7" x14ac:dyDescent="0.25">
      <c r="A376" s="180">
        <v>2017</v>
      </c>
      <c r="B376" s="181" t="s">
        <v>477</v>
      </c>
      <c r="C376" s="182"/>
      <c r="D376" s="180">
        <v>73.87</v>
      </c>
      <c r="E376" s="180">
        <v>467.61</v>
      </c>
      <c r="F376" s="182"/>
      <c r="G376" s="181"/>
    </row>
    <row r="377" spans="1:7" x14ac:dyDescent="0.25">
      <c r="A377" s="180">
        <v>2017</v>
      </c>
      <c r="B377" s="181" t="s">
        <v>477</v>
      </c>
      <c r="C377" s="180">
        <v>9</v>
      </c>
      <c r="D377" s="180">
        <v>66.22</v>
      </c>
      <c r="E377" s="180">
        <v>376.18</v>
      </c>
      <c r="F377" s="182"/>
      <c r="G377" s="181"/>
    </row>
    <row r="378" spans="1:7" x14ac:dyDescent="0.25">
      <c r="A378" s="180">
        <v>2017</v>
      </c>
      <c r="B378" s="181" t="s">
        <v>477</v>
      </c>
      <c r="C378" s="180">
        <v>9</v>
      </c>
      <c r="D378" s="180">
        <v>69.34</v>
      </c>
      <c r="E378" s="180">
        <v>423.67</v>
      </c>
      <c r="F378" s="182"/>
      <c r="G378" s="181"/>
    </row>
    <row r="379" spans="1:7" x14ac:dyDescent="0.25">
      <c r="A379" s="180">
        <v>2017</v>
      </c>
      <c r="B379" s="181" t="s">
        <v>477</v>
      </c>
      <c r="C379" s="180">
        <v>8</v>
      </c>
      <c r="D379" s="180">
        <v>71.180000000000007</v>
      </c>
      <c r="E379" s="180">
        <v>479.27</v>
      </c>
      <c r="F379" s="182"/>
      <c r="G379" s="181"/>
    </row>
    <row r="380" spans="1:7" x14ac:dyDescent="0.25">
      <c r="A380" s="180">
        <v>2017</v>
      </c>
      <c r="B380" s="181" t="s">
        <v>477</v>
      </c>
      <c r="C380" s="180">
        <v>9</v>
      </c>
      <c r="D380" s="180">
        <v>61.08</v>
      </c>
      <c r="E380" s="180">
        <v>383.75</v>
      </c>
      <c r="F380" s="182"/>
      <c r="G380" s="181"/>
    </row>
    <row r="381" spans="1:7" x14ac:dyDescent="0.25">
      <c r="A381" s="180">
        <v>2017</v>
      </c>
      <c r="B381" s="181" t="s">
        <v>495</v>
      </c>
      <c r="C381" s="180">
        <v>10</v>
      </c>
      <c r="D381" s="180">
        <v>54.29</v>
      </c>
      <c r="E381" s="180">
        <v>353.69</v>
      </c>
      <c r="F381" s="182"/>
      <c r="G381" s="181"/>
    </row>
    <row r="382" spans="1:7" x14ac:dyDescent="0.25">
      <c r="A382" s="180">
        <v>2017</v>
      </c>
      <c r="B382" s="181" t="s">
        <v>495</v>
      </c>
      <c r="C382" s="180">
        <v>13</v>
      </c>
      <c r="D382" s="180">
        <v>47.86</v>
      </c>
      <c r="E382" s="180">
        <v>307.81</v>
      </c>
      <c r="F382" s="182"/>
      <c r="G382" s="181"/>
    </row>
    <row r="383" spans="1:7" x14ac:dyDescent="0.25">
      <c r="A383" s="180">
        <v>2017</v>
      </c>
      <c r="B383" s="181" t="s">
        <v>495</v>
      </c>
      <c r="C383" s="180">
        <v>9</v>
      </c>
      <c r="D383" s="180">
        <v>51.43</v>
      </c>
      <c r="E383" s="180">
        <v>398.31</v>
      </c>
      <c r="F383" s="182"/>
      <c r="G383" s="181"/>
    </row>
    <row r="384" spans="1:7" x14ac:dyDescent="0.25">
      <c r="A384" s="180">
        <v>2017</v>
      </c>
      <c r="B384" s="181" t="s">
        <v>495</v>
      </c>
      <c r="C384" s="180">
        <v>9</v>
      </c>
      <c r="D384" s="180">
        <v>52.83</v>
      </c>
      <c r="E384" s="180">
        <v>392.99</v>
      </c>
      <c r="F384" s="182"/>
      <c r="G384" s="181"/>
    </row>
    <row r="385" spans="1:7" x14ac:dyDescent="0.25">
      <c r="A385" s="180">
        <v>2017</v>
      </c>
      <c r="B385" s="181" t="s">
        <v>495</v>
      </c>
      <c r="C385" s="180">
        <v>13</v>
      </c>
      <c r="D385" s="180">
        <v>48.26</v>
      </c>
      <c r="E385" s="180">
        <v>369.29</v>
      </c>
      <c r="F385" s="182"/>
      <c r="G385" s="181"/>
    </row>
    <row r="386" spans="1:7" x14ac:dyDescent="0.25">
      <c r="A386" s="180">
        <v>2017</v>
      </c>
      <c r="B386" s="181" t="s">
        <v>512</v>
      </c>
      <c r="C386" s="180">
        <v>10</v>
      </c>
      <c r="D386" s="180">
        <v>45.9</v>
      </c>
      <c r="E386" s="180">
        <v>343.35</v>
      </c>
      <c r="F386" s="182"/>
      <c r="G386" s="181"/>
    </row>
    <row r="387" spans="1:7" x14ac:dyDescent="0.25">
      <c r="A387" s="180">
        <v>2017</v>
      </c>
      <c r="B387" s="181" t="s">
        <v>512</v>
      </c>
      <c r="C387" s="180">
        <v>11</v>
      </c>
      <c r="D387" s="180">
        <v>43.54</v>
      </c>
      <c r="E387" s="180">
        <v>342.16</v>
      </c>
      <c r="F387" s="182"/>
      <c r="G387" s="181"/>
    </row>
    <row r="388" spans="1:7" x14ac:dyDescent="0.25">
      <c r="A388" s="180">
        <v>2017</v>
      </c>
      <c r="B388" s="181" t="s">
        <v>512</v>
      </c>
      <c r="C388" s="180">
        <v>9</v>
      </c>
      <c r="D388" s="180">
        <v>49.45</v>
      </c>
      <c r="E388" s="180">
        <v>360.56</v>
      </c>
      <c r="F388" s="182"/>
      <c r="G388" s="181"/>
    </row>
    <row r="389" spans="1:7" x14ac:dyDescent="0.25">
      <c r="A389" s="180">
        <v>2017</v>
      </c>
      <c r="B389" s="181" t="s">
        <v>512</v>
      </c>
      <c r="C389" s="180">
        <v>9</v>
      </c>
      <c r="D389" s="180">
        <v>59.48</v>
      </c>
      <c r="E389" s="180">
        <v>411.87</v>
      </c>
      <c r="F389" s="182"/>
      <c r="G389" s="181"/>
    </row>
    <row r="390" spans="1:7" x14ac:dyDescent="0.25">
      <c r="A390" s="180">
        <v>2017</v>
      </c>
      <c r="B390" s="181" t="s">
        <v>512</v>
      </c>
      <c r="C390" s="180">
        <v>11</v>
      </c>
      <c r="D390" s="180">
        <v>64.180000000000007</v>
      </c>
      <c r="E390" s="182"/>
      <c r="F390" s="182"/>
      <c r="G390" s="181"/>
    </row>
    <row r="391" spans="1:7" x14ac:dyDescent="0.25">
      <c r="A391" s="180">
        <v>2017</v>
      </c>
      <c r="B391" s="181" t="s">
        <v>512</v>
      </c>
      <c r="C391" s="180">
        <v>9</v>
      </c>
      <c r="D391" s="180">
        <v>55.98</v>
      </c>
      <c r="E391" s="180">
        <v>357.89</v>
      </c>
      <c r="F391" s="182"/>
      <c r="G391" s="181"/>
    </row>
    <row r="392" spans="1:7" x14ac:dyDescent="0.25">
      <c r="A392" s="180">
        <v>2017</v>
      </c>
      <c r="B392" s="181" t="s">
        <v>487</v>
      </c>
      <c r="C392" s="180">
        <v>10</v>
      </c>
      <c r="D392" s="180">
        <v>76.88</v>
      </c>
      <c r="E392" s="180">
        <v>527.80999999999995</v>
      </c>
      <c r="F392" s="182"/>
      <c r="G392" s="181"/>
    </row>
    <row r="393" spans="1:7" x14ac:dyDescent="0.25">
      <c r="A393" s="180">
        <v>2017</v>
      </c>
      <c r="B393" s="181" t="s">
        <v>487</v>
      </c>
      <c r="C393" s="180">
        <v>14</v>
      </c>
      <c r="D393" s="180">
        <v>66.89</v>
      </c>
      <c r="E393" s="180">
        <v>463.33</v>
      </c>
      <c r="F393" s="182"/>
      <c r="G393" s="181"/>
    </row>
    <row r="394" spans="1:7" x14ac:dyDescent="0.25">
      <c r="A394" s="180">
        <v>2017</v>
      </c>
      <c r="B394" s="181" t="s">
        <v>487</v>
      </c>
      <c r="C394" s="180">
        <v>10</v>
      </c>
      <c r="D394" s="180">
        <v>72.099999999999994</v>
      </c>
      <c r="E394" s="180">
        <v>547.04</v>
      </c>
      <c r="F394" s="182"/>
      <c r="G394" s="181"/>
    </row>
    <row r="395" spans="1:7" x14ac:dyDescent="0.25">
      <c r="A395" s="180">
        <v>2017</v>
      </c>
      <c r="B395" s="181" t="s">
        <v>487</v>
      </c>
      <c r="C395" s="180">
        <v>8</v>
      </c>
      <c r="D395" s="180">
        <v>57.78</v>
      </c>
      <c r="E395" s="180">
        <v>416.43</v>
      </c>
      <c r="F395" s="182"/>
      <c r="G395" s="181"/>
    </row>
    <row r="396" spans="1:7" x14ac:dyDescent="0.25">
      <c r="A396" s="180">
        <v>2017</v>
      </c>
      <c r="B396" s="181" t="s">
        <v>487</v>
      </c>
      <c r="C396" s="180">
        <v>12</v>
      </c>
      <c r="D396" s="180">
        <v>55.38</v>
      </c>
      <c r="E396" s="180">
        <v>510.25</v>
      </c>
      <c r="F396" s="182"/>
      <c r="G396" s="181"/>
    </row>
    <row r="397" spans="1:7" x14ac:dyDescent="0.25">
      <c r="A397" s="180">
        <v>2017</v>
      </c>
      <c r="B397" s="181" t="s">
        <v>480</v>
      </c>
      <c r="C397" s="180">
        <v>7</v>
      </c>
      <c r="D397" s="180">
        <v>48.96</v>
      </c>
      <c r="E397" s="180">
        <v>324.10000000000002</v>
      </c>
      <c r="F397" s="182"/>
      <c r="G397" s="181"/>
    </row>
    <row r="398" spans="1:7" x14ac:dyDescent="0.25">
      <c r="A398" s="180">
        <v>2017</v>
      </c>
      <c r="B398" s="181" t="s">
        <v>480</v>
      </c>
      <c r="C398" s="180">
        <v>8</v>
      </c>
      <c r="D398" s="180">
        <v>48.15</v>
      </c>
      <c r="E398" s="180">
        <v>330.27</v>
      </c>
      <c r="F398" s="182"/>
      <c r="G398" s="181"/>
    </row>
    <row r="399" spans="1:7" x14ac:dyDescent="0.25">
      <c r="A399" s="180">
        <v>2017</v>
      </c>
      <c r="B399" s="181" t="s">
        <v>480</v>
      </c>
      <c r="C399" s="180">
        <v>9</v>
      </c>
      <c r="D399" s="180">
        <v>46.42</v>
      </c>
      <c r="E399" s="180">
        <v>355</v>
      </c>
      <c r="F399" s="182"/>
      <c r="G399" s="181"/>
    </row>
    <row r="400" spans="1:7" x14ac:dyDescent="0.25">
      <c r="A400" s="180">
        <v>2017</v>
      </c>
      <c r="B400" s="181" t="s">
        <v>480</v>
      </c>
      <c r="C400" s="180">
        <v>9</v>
      </c>
      <c r="D400" s="182"/>
      <c r="E400" s="180">
        <v>412.31</v>
      </c>
      <c r="F400" s="182"/>
      <c r="G400" s="181"/>
    </row>
    <row r="401" spans="1:7" x14ac:dyDescent="0.25">
      <c r="A401" s="180">
        <v>2017</v>
      </c>
      <c r="B401" s="181" t="s">
        <v>480</v>
      </c>
      <c r="C401" s="180">
        <v>10</v>
      </c>
      <c r="D401" s="180">
        <v>55.83</v>
      </c>
      <c r="E401" s="180">
        <v>428.39</v>
      </c>
      <c r="F401" s="182"/>
      <c r="G401" s="181"/>
    </row>
    <row r="402" spans="1:7" x14ac:dyDescent="0.25">
      <c r="A402" s="180">
        <v>2017</v>
      </c>
      <c r="B402" s="181" t="s">
        <v>480</v>
      </c>
      <c r="C402" s="180">
        <v>8</v>
      </c>
      <c r="D402" s="180">
        <v>49.51</v>
      </c>
      <c r="E402" s="180">
        <v>322.52999999999997</v>
      </c>
      <c r="F402" s="182"/>
      <c r="G402" s="181"/>
    </row>
    <row r="403" spans="1:7" x14ac:dyDescent="0.25">
      <c r="A403" s="180">
        <v>2017</v>
      </c>
      <c r="B403" s="181" t="s">
        <v>481</v>
      </c>
      <c r="C403" s="180">
        <v>12</v>
      </c>
      <c r="D403" s="180">
        <v>63.32</v>
      </c>
      <c r="E403" s="180">
        <v>343.65</v>
      </c>
      <c r="F403" s="182"/>
      <c r="G403" s="181"/>
    </row>
    <row r="404" spans="1:7" x14ac:dyDescent="0.25">
      <c r="A404" s="180">
        <v>2017</v>
      </c>
      <c r="B404" s="181" t="s">
        <v>481</v>
      </c>
      <c r="C404" s="180">
        <v>12</v>
      </c>
      <c r="D404" s="180">
        <v>63.32</v>
      </c>
      <c r="E404" s="180">
        <v>343.65</v>
      </c>
      <c r="F404" s="182"/>
      <c r="G404" s="181"/>
    </row>
    <row r="405" spans="1:7" x14ac:dyDescent="0.25">
      <c r="A405" s="180">
        <v>2017</v>
      </c>
      <c r="B405" s="181" t="s">
        <v>481</v>
      </c>
      <c r="C405" s="180">
        <v>9</v>
      </c>
      <c r="D405" s="180">
        <v>58.38</v>
      </c>
      <c r="E405" s="180">
        <v>454.04</v>
      </c>
      <c r="F405" s="182"/>
      <c r="G405" s="181"/>
    </row>
    <row r="406" spans="1:7" x14ac:dyDescent="0.25">
      <c r="A406" s="180">
        <v>2017</v>
      </c>
      <c r="B406" s="181" t="s">
        <v>481</v>
      </c>
      <c r="C406" s="180">
        <v>9</v>
      </c>
      <c r="D406" s="180">
        <v>58.38</v>
      </c>
      <c r="E406" s="180">
        <v>454.04</v>
      </c>
      <c r="F406" s="182"/>
      <c r="G406" s="181"/>
    </row>
    <row r="407" spans="1:7" x14ac:dyDescent="0.25">
      <c r="A407" s="180">
        <v>2017</v>
      </c>
      <c r="B407" s="181" t="s">
        <v>481</v>
      </c>
      <c r="C407" s="180">
        <v>9</v>
      </c>
      <c r="D407" s="180">
        <v>54.94</v>
      </c>
      <c r="E407" s="180">
        <v>408.42</v>
      </c>
      <c r="F407" s="182"/>
      <c r="G407" s="181"/>
    </row>
    <row r="408" spans="1:7" x14ac:dyDescent="0.25">
      <c r="A408" s="180">
        <v>2017</v>
      </c>
      <c r="B408" s="181" t="s">
        <v>481</v>
      </c>
      <c r="C408" s="180">
        <v>9</v>
      </c>
      <c r="D408" s="180">
        <v>54.94</v>
      </c>
      <c r="E408" s="180">
        <v>408.42</v>
      </c>
      <c r="F408" s="182"/>
      <c r="G408" s="181"/>
    </row>
    <row r="409" spans="1:7" x14ac:dyDescent="0.25">
      <c r="A409" s="180">
        <v>2017</v>
      </c>
      <c r="B409" s="181" t="s">
        <v>481</v>
      </c>
      <c r="C409" s="182"/>
      <c r="D409" s="180">
        <v>51.5</v>
      </c>
      <c r="E409" s="180">
        <v>394.31</v>
      </c>
      <c r="F409" s="182"/>
      <c r="G409" s="181"/>
    </row>
    <row r="410" spans="1:7" x14ac:dyDescent="0.25">
      <c r="A410" s="180">
        <v>2017</v>
      </c>
      <c r="B410" s="181" t="s">
        <v>481</v>
      </c>
      <c r="C410" s="182"/>
      <c r="D410" s="180">
        <v>51.5</v>
      </c>
      <c r="E410" s="180">
        <v>394.31</v>
      </c>
      <c r="F410" s="182"/>
      <c r="G410" s="181"/>
    </row>
    <row r="411" spans="1:7" x14ac:dyDescent="0.25">
      <c r="A411" s="180">
        <v>2017</v>
      </c>
      <c r="B411" s="181" t="s">
        <v>481</v>
      </c>
      <c r="C411" s="180">
        <v>11</v>
      </c>
      <c r="D411" s="180">
        <v>48.87</v>
      </c>
      <c r="E411" s="180">
        <v>366.42</v>
      </c>
      <c r="F411" s="182"/>
      <c r="G411" s="181"/>
    </row>
    <row r="412" spans="1:7" x14ac:dyDescent="0.25">
      <c r="A412" s="180">
        <v>2017</v>
      </c>
      <c r="B412" s="181" t="s">
        <v>481</v>
      </c>
      <c r="C412" s="180">
        <v>11</v>
      </c>
      <c r="D412" s="180">
        <v>48.87</v>
      </c>
      <c r="E412" s="180">
        <v>366.42</v>
      </c>
      <c r="F412" s="182"/>
      <c r="G412" s="181"/>
    </row>
    <row r="413" spans="1:7" x14ac:dyDescent="0.25">
      <c r="A413" s="180">
        <v>2017</v>
      </c>
      <c r="B413" s="181" t="s">
        <v>481</v>
      </c>
      <c r="C413" s="180">
        <v>12</v>
      </c>
      <c r="D413" s="180">
        <v>64.06</v>
      </c>
      <c r="E413" s="180">
        <v>453.99</v>
      </c>
      <c r="F413" s="182"/>
      <c r="G413" s="181"/>
    </row>
    <row r="414" spans="1:7" x14ac:dyDescent="0.25">
      <c r="A414" s="180">
        <v>2017</v>
      </c>
      <c r="B414" s="181" t="s">
        <v>481</v>
      </c>
      <c r="C414" s="180">
        <v>12</v>
      </c>
      <c r="D414" s="180">
        <v>64.06</v>
      </c>
      <c r="E414" s="180">
        <v>453.99</v>
      </c>
      <c r="F414" s="182"/>
      <c r="G414" s="181"/>
    </row>
    <row r="415" spans="1:7" x14ac:dyDescent="0.25">
      <c r="A415" s="180">
        <v>2017</v>
      </c>
      <c r="B415" s="181" t="s">
        <v>477</v>
      </c>
      <c r="C415" s="180">
        <v>8</v>
      </c>
      <c r="D415" s="180">
        <v>74.8</v>
      </c>
      <c r="E415" s="180">
        <v>450.33</v>
      </c>
      <c r="F415" s="182"/>
      <c r="G415" s="181"/>
    </row>
    <row r="416" spans="1:7" x14ac:dyDescent="0.25">
      <c r="A416" s="180">
        <v>2017</v>
      </c>
      <c r="B416" s="181" t="s">
        <v>477</v>
      </c>
      <c r="C416" s="180">
        <v>8</v>
      </c>
      <c r="D416" s="180">
        <v>74.73</v>
      </c>
      <c r="E416" s="180">
        <v>546.55999999999995</v>
      </c>
      <c r="F416" s="182"/>
      <c r="G416" s="181"/>
    </row>
    <row r="417" spans="1:7" x14ac:dyDescent="0.25">
      <c r="A417" s="180">
        <v>2017</v>
      </c>
      <c r="B417" s="181" t="s">
        <v>477</v>
      </c>
      <c r="C417" s="180">
        <v>9</v>
      </c>
      <c r="D417" s="182"/>
      <c r="E417" s="180">
        <v>436.8</v>
      </c>
      <c r="F417" s="182"/>
      <c r="G417" s="181"/>
    </row>
    <row r="418" spans="1:7" x14ac:dyDescent="0.25">
      <c r="A418" s="180">
        <v>2017</v>
      </c>
      <c r="B418" s="181" t="s">
        <v>477</v>
      </c>
      <c r="C418" s="180">
        <v>13</v>
      </c>
      <c r="D418" s="180">
        <v>66.349999999999994</v>
      </c>
      <c r="E418" s="180">
        <v>590.51</v>
      </c>
      <c r="F418" s="182"/>
      <c r="G418" s="181"/>
    </row>
    <row r="419" spans="1:7" x14ac:dyDescent="0.25">
      <c r="A419" s="180">
        <v>2017</v>
      </c>
      <c r="B419" s="181" t="s">
        <v>477</v>
      </c>
      <c r="C419" s="180">
        <v>10</v>
      </c>
      <c r="D419" s="180">
        <v>82.37</v>
      </c>
      <c r="E419" s="180">
        <v>536.67999999999995</v>
      </c>
      <c r="F419" s="182"/>
      <c r="G419" s="181"/>
    </row>
    <row r="420" spans="1:7" x14ac:dyDescent="0.25">
      <c r="A420" s="180">
        <v>2017</v>
      </c>
      <c r="B420" s="181" t="s">
        <v>477</v>
      </c>
      <c r="C420" s="182"/>
      <c r="D420" s="180">
        <v>78.05</v>
      </c>
      <c r="E420" s="180">
        <v>590.46</v>
      </c>
      <c r="F420" s="182"/>
      <c r="G420" s="181"/>
    </row>
    <row r="421" spans="1:7" x14ac:dyDescent="0.25">
      <c r="A421" s="180">
        <v>2017</v>
      </c>
      <c r="B421" s="181" t="s">
        <v>494</v>
      </c>
      <c r="C421" s="180">
        <v>8</v>
      </c>
      <c r="D421" s="180">
        <v>78.680000000000007</v>
      </c>
      <c r="E421" s="180">
        <v>507.05</v>
      </c>
      <c r="F421" s="182"/>
      <c r="G421" s="181"/>
    </row>
    <row r="422" spans="1:7" x14ac:dyDescent="0.25">
      <c r="A422" s="180">
        <v>2017</v>
      </c>
      <c r="B422" s="181" t="s">
        <v>494</v>
      </c>
      <c r="C422" s="180">
        <v>7</v>
      </c>
      <c r="D422" s="180">
        <v>65.239999999999995</v>
      </c>
      <c r="E422" s="180">
        <v>459.88</v>
      </c>
      <c r="F422" s="182"/>
      <c r="G422" s="181"/>
    </row>
    <row r="423" spans="1:7" x14ac:dyDescent="0.25">
      <c r="A423" s="180">
        <v>2017</v>
      </c>
      <c r="B423" s="181" t="s">
        <v>494</v>
      </c>
      <c r="C423" s="182"/>
      <c r="D423" s="180">
        <v>75.98</v>
      </c>
      <c r="E423" s="180">
        <v>411.26</v>
      </c>
      <c r="F423" s="182"/>
      <c r="G423" s="181"/>
    </row>
    <row r="424" spans="1:7" x14ac:dyDescent="0.25">
      <c r="A424" s="180">
        <v>2017</v>
      </c>
      <c r="B424" s="181" t="s">
        <v>494</v>
      </c>
      <c r="C424" s="180">
        <v>6</v>
      </c>
      <c r="D424" s="180">
        <v>77.16</v>
      </c>
      <c r="E424" s="180">
        <v>400.99</v>
      </c>
      <c r="F424" s="182"/>
      <c r="G424" s="181"/>
    </row>
    <row r="425" spans="1:7" x14ac:dyDescent="0.25">
      <c r="A425" s="180">
        <v>2017</v>
      </c>
      <c r="B425" s="181" t="s">
        <v>494</v>
      </c>
      <c r="C425" s="180">
        <v>9</v>
      </c>
      <c r="D425" s="182"/>
      <c r="E425" s="180">
        <v>519.94000000000005</v>
      </c>
      <c r="F425" s="182"/>
      <c r="G425" s="181"/>
    </row>
    <row r="426" spans="1:7" x14ac:dyDescent="0.25">
      <c r="A426" s="180">
        <v>2017</v>
      </c>
      <c r="B426" s="181" t="s">
        <v>494</v>
      </c>
      <c r="C426" s="180">
        <v>6</v>
      </c>
      <c r="D426" s="180">
        <v>64.78</v>
      </c>
      <c r="E426" s="180">
        <v>541.29</v>
      </c>
      <c r="F426" s="182"/>
      <c r="G426" s="181"/>
    </row>
    <row r="427" spans="1:7" x14ac:dyDescent="0.25">
      <c r="A427" s="180">
        <v>2017</v>
      </c>
      <c r="B427" s="181" t="s">
        <v>493</v>
      </c>
      <c r="C427" s="180">
        <v>16</v>
      </c>
      <c r="D427" s="180">
        <v>79.510000000000005</v>
      </c>
      <c r="E427" s="180">
        <v>333.78</v>
      </c>
      <c r="F427" s="182"/>
      <c r="G427" s="181"/>
    </row>
    <row r="428" spans="1:7" x14ac:dyDescent="0.25">
      <c r="A428" s="180">
        <v>2017</v>
      </c>
      <c r="B428" s="181" t="s">
        <v>493</v>
      </c>
      <c r="C428" s="182"/>
      <c r="D428" s="180">
        <v>65.39</v>
      </c>
      <c r="E428" s="180">
        <v>481</v>
      </c>
      <c r="F428" s="182"/>
      <c r="G428" s="181"/>
    </row>
    <row r="429" spans="1:7" x14ac:dyDescent="0.25">
      <c r="A429" s="180">
        <v>2017</v>
      </c>
      <c r="B429" s="181" t="s">
        <v>493</v>
      </c>
      <c r="C429" s="180">
        <v>15</v>
      </c>
      <c r="D429" s="180">
        <v>80.959999999999994</v>
      </c>
      <c r="E429" s="180">
        <v>383.47</v>
      </c>
      <c r="F429" s="182"/>
      <c r="G429" s="181"/>
    </row>
    <row r="430" spans="1:7" x14ac:dyDescent="0.25">
      <c r="A430" s="180">
        <v>2017</v>
      </c>
      <c r="B430" s="181" t="s">
        <v>493</v>
      </c>
      <c r="C430" s="180">
        <v>13</v>
      </c>
      <c r="D430" s="180">
        <v>63.07</v>
      </c>
      <c r="E430" s="180">
        <v>419.36</v>
      </c>
      <c r="F430" s="182"/>
      <c r="G430" s="181"/>
    </row>
    <row r="431" spans="1:7" x14ac:dyDescent="0.25">
      <c r="A431" s="180">
        <v>2017</v>
      </c>
      <c r="B431" s="181" t="s">
        <v>493</v>
      </c>
      <c r="C431" s="180">
        <v>13</v>
      </c>
      <c r="D431" s="180">
        <v>74.81</v>
      </c>
      <c r="E431" s="180">
        <v>430.31</v>
      </c>
      <c r="F431" s="182"/>
      <c r="G431" s="181"/>
    </row>
    <row r="432" spans="1:7" x14ac:dyDescent="0.25">
      <c r="A432" s="180">
        <v>2017</v>
      </c>
      <c r="B432" s="181" t="s">
        <v>493</v>
      </c>
      <c r="C432" s="180">
        <v>12</v>
      </c>
      <c r="D432" s="180">
        <v>64.900000000000006</v>
      </c>
      <c r="E432" s="182"/>
      <c r="F432" s="182"/>
      <c r="G432" s="181"/>
    </row>
    <row r="433" spans="1:7" x14ac:dyDescent="0.25">
      <c r="A433" s="180">
        <v>2017</v>
      </c>
      <c r="B433" s="181" t="s">
        <v>495</v>
      </c>
      <c r="C433" s="180">
        <v>11</v>
      </c>
      <c r="D433" s="180">
        <v>76.97</v>
      </c>
      <c r="E433" s="180">
        <v>597.82000000000005</v>
      </c>
      <c r="F433" s="182"/>
      <c r="G433" s="181"/>
    </row>
    <row r="434" spans="1:7" x14ac:dyDescent="0.25">
      <c r="A434" s="180">
        <v>2017</v>
      </c>
      <c r="B434" s="181" t="s">
        <v>495</v>
      </c>
      <c r="C434" s="180">
        <v>8</v>
      </c>
      <c r="D434" s="180">
        <v>67.8</v>
      </c>
      <c r="E434" s="180">
        <v>679.84</v>
      </c>
      <c r="F434" s="182"/>
      <c r="G434" s="181"/>
    </row>
    <row r="435" spans="1:7" x14ac:dyDescent="0.25">
      <c r="A435" s="180">
        <v>2017</v>
      </c>
      <c r="B435" s="181" t="s">
        <v>495</v>
      </c>
      <c r="C435" s="180">
        <v>9</v>
      </c>
      <c r="D435" s="180">
        <v>74.45</v>
      </c>
      <c r="E435" s="180">
        <v>513.69000000000005</v>
      </c>
      <c r="F435" s="182"/>
      <c r="G435" s="181"/>
    </row>
    <row r="436" spans="1:7" x14ac:dyDescent="0.25">
      <c r="A436" s="180">
        <v>2017</v>
      </c>
      <c r="B436" s="181" t="s">
        <v>495</v>
      </c>
      <c r="C436" s="180">
        <v>13</v>
      </c>
      <c r="D436" s="180">
        <v>82.57</v>
      </c>
      <c r="E436" s="180">
        <v>651.86</v>
      </c>
      <c r="F436" s="182"/>
      <c r="G436" s="181"/>
    </row>
    <row r="437" spans="1:7" x14ac:dyDescent="0.25">
      <c r="A437" s="180">
        <v>2017</v>
      </c>
      <c r="B437" s="181" t="s">
        <v>495</v>
      </c>
      <c r="C437" s="180">
        <v>10</v>
      </c>
      <c r="D437" s="180">
        <v>68.849999999999994</v>
      </c>
      <c r="E437" s="180">
        <v>637.09</v>
      </c>
      <c r="F437" s="182"/>
      <c r="G437" s="181"/>
    </row>
    <row r="438" spans="1:7" x14ac:dyDescent="0.25">
      <c r="A438" s="180">
        <v>2017</v>
      </c>
      <c r="B438" s="181" t="s">
        <v>513</v>
      </c>
      <c r="C438" s="180">
        <v>11</v>
      </c>
      <c r="D438" s="180">
        <v>51</v>
      </c>
      <c r="E438" s="180">
        <v>365.89</v>
      </c>
      <c r="F438" s="182"/>
      <c r="G438" s="181"/>
    </row>
    <row r="439" spans="1:7" x14ac:dyDescent="0.25">
      <c r="A439" s="180">
        <v>2017</v>
      </c>
      <c r="B439" s="181" t="s">
        <v>513</v>
      </c>
      <c r="C439" s="180">
        <v>15</v>
      </c>
      <c r="D439" s="180">
        <v>55.26</v>
      </c>
      <c r="E439" s="180">
        <v>431.89</v>
      </c>
      <c r="F439" s="182"/>
      <c r="G439" s="181"/>
    </row>
    <row r="440" spans="1:7" x14ac:dyDescent="0.25">
      <c r="A440" s="180">
        <v>2017</v>
      </c>
      <c r="B440" s="181" t="s">
        <v>513</v>
      </c>
      <c r="C440" s="180">
        <v>10</v>
      </c>
      <c r="D440" s="180">
        <v>59.4</v>
      </c>
      <c r="E440" s="180">
        <v>466.8</v>
      </c>
      <c r="F440" s="182"/>
      <c r="G440" s="181"/>
    </row>
    <row r="441" spans="1:7" x14ac:dyDescent="0.25">
      <c r="A441" s="180">
        <v>2017</v>
      </c>
      <c r="B441" s="181" t="s">
        <v>513</v>
      </c>
      <c r="C441" s="180">
        <v>10</v>
      </c>
      <c r="D441" s="180">
        <v>45.82</v>
      </c>
      <c r="E441" s="180">
        <v>385.54</v>
      </c>
      <c r="F441" s="182"/>
      <c r="G441" s="181"/>
    </row>
    <row r="442" spans="1:7" x14ac:dyDescent="0.25">
      <c r="A442" s="180">
        <v>2017</v>
      </c>
      <c r="B442" s="181" t="s">
        <v>513</v>
      </c>
      <c r="C442" s="180">
        <v>15</v>
      </c>
      <c r="D442" s="180">
        <v>59.67</v>
      </c>
      <c r="E442" s="180">
        <v>476.01</v>
      </c>
      <c r="F442" s="182"/>
      <c r="G442" s="181"/>
    </row>
    <row r="443" spans="1:7" x14ac:dyDescent="0.25">
      <c r="A443" s="180">
        <v>2017</v>
      </c>
      <c r="B443" s="181" t="s">
        <v>512</v>
      </c>
      <c r="C443" s="180">
        <v>10</v>
      </c>
      <c r="D443" s="180">
        <v>63.09</v>
      </c>
      <c r="E443" s="180">
        <v>587.34</v>
      </c>
      <c r="F443" s="182"/>
      <c r="G443" s="181"/>
    </row>
    <row r="444" spans="1:7" x14ac:dyDescent="0.25">
      <c r="A444" s="180">
        <v>2017</v>
      </c>
      <c r="B444" s="181" t="s">
        <v>512</v>
      </c>
      <c r="C444" s="180">
        <v>12</v>
      </c>
      <c r="D444" s="180">
        <v>78.010000000000005</v>
      </c>
      <c r="E444" s="180">
        <v>571.24</v>
      </c>
      <c r="F444" s="182"/>
      <c r="G444" s="181"/>
    </row>
    <row r="445" spans="1:7" x14ac:dyDescent="0.25">
      <c r="A445" s="180">
        <v>2017</v>
      </c>
      <c r="B445" s="181" t="s">
        <v>512</v>
      </c>
      <c r="C445" s="180">
        <v>7</v>
      </c>
      <c r="D445" s="180">
        <v>63.52</v>
      </c>
      <c r="E445" s="180">
        <v>437.08</v>
      </c>
      <c r="F445" s="182"/>
      <c r="G445" s="181"/>
    </row>
    <row r="446" spans="1:7" x14ac:dyDescent="0.25">
      <c r="A446" s="180">
        <v>2017</v>
      </c>
      <c r="B446" s="181" t="s">
        <v>512</v>
      </c>
      <c r="C446" s="180">
        <v>11</v>
      </c>
      <c r="D446" s="180">
        <v>63.87</v>
      </c>
      <c r="E446" s="180">
        <v>539.99</v>
      </c>
      <c r="F446" s="182"/>
      <c r="G446" s="181"/>
    </row>
    <row r="447" spans="1:7" x14ac:dyDescent="0.25">
      <c r="A447" s="180">
        <v>2017</v>
      </c>
      <c r="B447" s="181" t="s">
        <v>512</v>
      </c>
      <c r="C447" s="180">
        <v>9</v>
      </c>
      <c r="D447" s="180">
        <v>77.180000000000007</v>
      </c>
      <c r="E447" s="180">
        <v>472.78</v>
      </c>
      <c r="F447" s="182"/>
      <c r="G447" s="181"/>
    </row>
    <row r="448" spans="1:7" x14ac:dyDescent="0.25">
      <c r="A448" s="180">
        <v>2017</v>
      </c>
      <c r="B448" s="181" t="s">
        <v>512</v>
      </c>
      <c r="C448" s="182"/>
      <c r="D448" s="180">
        <v>61.74</v>
      </c>
      <c r="E448" s="180">
        <v>434.5</v>
      </c>
      <c r="F448" s="182"/>
      <c r="G448" s="181"/>
    </row>
    <row r="449" spans="1:7" x14ac:dyDescent="0.25">
      <c r="A449" s="180">
        <v>2018</v>
      </c>
      <c r="B449" s="181" t="s">
        <v>477</v>
      </c>
      <c r="C449" s="180">
        <v>12</v>
      </c>
      <c r="D449" s="180">
        <v>67.8</v>
      </c>
      <c r="E449" s="180">
        <v>534.13</v>
      </c>
      <c r="F449" s="182"/>
      <c r="G449" s="181"/>
    </row>
    <row r="450" spans="1:7" x14ac:dyDescent="0.25">
      <c r="A450" s="180">
        <v>2018</v>
      </c>
      <c r="B450" s="181" t="s">
        <v>477</v>
      </c>
      <c r="C450" s="180">
        <v>13</v>
      </c>
      <c r="D450" s="180">
        <v>79.42</v>
      </c>
      <c r="E450" s="180">
        <v>617.53</v>
      </c>
      <c r="F450" s="182"/>
      <c r="G450" s="181"/>
    </row>
    <row r="451" spans="1:7" x14ac:dyDescent="0.25">
      <c r="A451" s="180">
        <v>2018</v>
      </c>
      <c r="B451" s="181" t="s">
        <v>477</v>
      </c>
      <c r="C451" s="182"/>
      <c r="D451" s="180">
        <v>64.45</v>
      </c>
      <c r="E451" s="180">
        <v>474.56</v>
      </c>
      <c r="F451" s="182"/>
      <c r="G451" s="181"/>
    </row>
    <row r="452" spans="1:7" x14ac:dyDescent="0.25">
      <c r="A452" s="180">
        <v>2018</v>
      </c>
      <c r="B452" s="181" t="s">
        <v>477</v>
      </c>
      <c r="C452" s="180">
        <v>9</v>
      </c>
      <c r="D452" s="180">
        <v>64.95</v>
      </c>
      <c r="E452" s="180">
        <v>523.65</v>
      </c>
      <c r="F452" s="182"/>
      <c r="G452" s="181"/>
    </row>
    <row r="453" spans="1:7" x14ac:dyDescent="0.25">
      <c r="A453" s="180">
        <v>2018</v>
      </c>
      <c r="B453" s="181" t="s">
        <v>477</v>
      </c>
      <c r="C453" s="180">
        <v>14</v>
      </c>
      <c r="D453" s="180">
        <v>75.95</v>
      </c>
      <c r="E453" s="180">
        <v>568.67999999999995</v>
      </c>
      <c r="F453" s="182"/>
      <c r="G453" s="181"/>
    </row>
    <row r="454" spans="1:7" x14ac:dyDescent="0.25">
      <c r="A454" s="180">
        <v>2018</v>
      </c>
      <c r="B454" s="181" t="s">
        <v>477</v>
      </c>
      <c r="C454" s="180">
        <v>12</v>
      </c>
      <c r="D454" s="180">
        <v>74.569999999999993</v>
      </c>
      <c r="E454" s="180">
        <v>622.01</v>
      </c>
      <c r="F454" s="182"/>
      <c r="G454" s="181"/>
    </row>
    <row r="455" spans="1:7" x14ac:dyDescent="0.25">
      <c r="A455" s="180">
        <v>2018</v>
      </c>
      <c r="B455" s="181" t="s">
        <v>482</v>
      </c>
      <c r="C455" s="180">
        <v>14</v>
      </c>
      <c r="D455" s="180">
        <v>71.19</v>
      </c>
      <c r="E455" s="180">
        <v>638.54999999999995</v>
      </c>
      <c r="F455" s="182"/>
      <c r="G455" s="181"/>
    </row>
    <row r="456" spans="1:7" x14ac:dyDescent="0.25">
      <c r="A456" s="180">
        <v>2018</v>
      </c>
      <c r="B456" s="181" t="s">
        <v>482</v>
      </c>
      <c r="C456" s="180">
        <v>15</v>
      </c>
      <c r="D456" s="180">
        <v>79.38</v>
      </c>
      <c r="E456" s="180">
        <v>642.34</v>
      </c>
      <c r="F456" s="182"/>
      <c r="G456" s="181"/>
    </row>
    <row r="457" spans="1:7" x14ac:dyDescent="0.25">
      <c r="A457" s="180">
        <v>2018</v>
      </c>
      <c r="B457" s="181" t="s">
        <v>482</v>
      </c>
      <c r="C457" s="180">
        <v>11</v>
      </c>
      <c r="D457" s="180">
        <v>82.43</v>
      </c>
      <c r="E457" s="180">
        <v>607.89</v>
      </c>
      <c r="F457" s="182"/>
      <c r="G457" s="181"/>
    </row>
    <row r="458" spans="1:7" x14ac:dyDescent="0.25">
      <c r="A458" s="180">
        <v>2018</v>
      </c>
      <c r="B458" s="181" t="s">
        <v>482</v>
      </c>
      <c r="C458" s="182"/>
      <c r="D458" s="180">
        <v>72.5</v>
      </c>
      <c r="E458" s="180">
        <v>647.29999999999995</v>
      </c>
      <c r="F458" s="182"/>
      <c r="G458" s="181"/>
    </row>
    <row r="459" spans="1:7" x14ac:dyDescent="0.25">
      <c r="A459" s="180">
        <v>2018</v>
      </c>
      <c r="B459" s="181" t="s">
        <v>482</v>
      </c>
      <c r="C459" s="180">
        <v>12</v>
      </c>
      <c r="D459" s="180">
        <v>69.77</v>
      </c>
      <c r="E459" s="180">
        <v>627.34</v>
      </c>
      <c r="F459" s="182"/>
      <c r="G459" s="181"/>
    </row>
    <row r="460" spans="1:7" x14ac:dyDescent="0.25">
      <c r="A460" s="180">
        <v>2018</v>
      </c>
      <c r="B460" s="181" t="s">
        <v>482</v>
      </c>
      <c r="C460" s="180">
        <v>11</v>
      </c>
      <c r="D460" s="180">
        <v>75.58</v>
      </c>
      <c r="E460" s="182"/>
      <c r="F460" s="182"/>
      <c r="G460" s="181"/>
    </row>
    <row r="461" spans="1:7" x14ac:dyDescent="0.25">
      <c r="A461" s="180">
        <v>2018</v>
      </c>
      <c r="B461" s="181" t="s">
        <v>481</v>
      </c>
      <c r="C461" s="180">
        <v>11</v>
      </c>
      <c r="D461" s="182"/>
      <c r="E461" s="180">
        <v>410.48</v>
      </c>
      <c r="F461" s="182"/>
      <c r="G461" s="181"/>
    </row>
    <row r="462" spans="1:7" x14ac:dyDescent="0.25">
      <c r="A462" s="180">
        <v>2018</v>
      </c>
      <c r="B462" s="181" t="s">
        <v>481</v>
      </c>
      <c r="C462" s="180">
        <v>11</v>
      </c>
      <c r="D462" s="182"/>
      <c r="E462" s="180">
        <v>410.48</v>
      </c>
      <c r="F462" s="182"/>
      <c r="G462" s="181"/>
    </row>
    <row r="463" spans="1:7" x14ac:dyDescent="0.25">
      <c r="A463" s="180">
        <v>2018</v>
      </c>
      <c r="B463" s="181" t="s">
        <v>481</v>
      </c>
      <c r="C463" s="180">
        <v>10</v>
      </c>
      <c r="D463" s="180">
        <v>74.13</v>
      </c>
      <c r="E463" s="180">
        <v>417.97</v>
      </c>
      <c r="F463" s="182"/>
      <c r="G463" s="181"/>
    </row>
    <row r="464" spans="1:7" x14ac:dyDescent="0.25">
      <c r="A464" s="180">
        <v>2018</v>
      </c>
      <c r="B464" s="181" t="s">
        <v>481</v>
      </c>
      <c r="C464" s="180">
        <v>10</v>
      </c>
      <c r="D464" s="180">
        <v>74.13</v>
      </c>
      <c r="E464" s="180">
        <v>417.97</v>
      </c>
      <c r="F464" s="182"/>
      <c r="G464" s="181"/>
    </row>
    <row r="465" spans="1:7" x14ac:dyDescent="0.25">
      <c r="A465" s="180">
        <v>2018</v>
      </c>
      <c r="B465" s="181" t="s">
        <v>481</v>
      </c>
      <c r="C465" s="182"/>
      <c r="D465" s="180">
        <v>70.34</v>
      </c>
      <c r="E465" s="180">
        <v>529.63</v>
      </c>
      <c r="F465" s="182"/>
      <c r="G465" s="181"/>
    </row>
    <row r="466" spans="1:7" x14ac:dyDescent="0.25">
      <c r="A466" s="180">
        <v>2018</v>
      </c>
      <c r="B466" s="181" t="s">
        <v>481</v>
      </c>
      <c r="C466" s="182"/>
      <c r="D466" s="180">
        <v>70.34</v>
      </c>
      <c r="E466" s="180">
        <v>529.63</v>
      </c>
      <c r="F466" s="182"/>
      <c r="G466" s="181"/>
    </row>
    <row r="467" spans="1:7" x14ac:dyDescent="0.25">
      <c r="A467" s="180">
        <v>2018</v>
      </c>
      <c r="B467" s="181" t="s">
        <v>481</v>
      </c>
      <c r="C467" s="180">
        <v>10</v>
      </c>
      <c r="D467" s="180">
        <v>61.55</v>
      </c>
      <c r="E467" s="180">
        <v>466.06</v>
      </c>
      <c r="F467" s="182"/>
      <c r="G467" s="181"/>
    </row>
    <row r="468" spans="1:7" x14ac:dyDescent="0.25">
      <c r="A468" s="180">
        <v>2018</v>
      </c>
      <c r="B468" s="181" t="s">
        <v>481</v>
      </c>
      <c r="C468" s="180">
        <v>10</v>
      </c>
      <c r="D468" s="180">
        <v>61.55</v>
      </c>
      <c r="E468" s="180">
        <v>466.06</v>
      </c>
      <c r="F468" s="182"/>
      <c r="G468" s="181"/>
    </row>
    <row r="469" spans="1:7" x14ac:dyDescent="0.25">
      <c r="A469" s="180">
        <v>2018</v>
      </c>
      <c r="B469" s="181" t="s">
        <v>481</v>
      </c>
      <c r="C469" s="180">
        <v>12</v>
      </c>
      <c r="D469" s="180">
        <v>71.040000000000006</v>
      </c>
      <c r="E469" s="180">
        <v>460.35</v>
      </c>
      <c r="F469" s="182"/>
      <c r="G469" s="181"/>
    </row>
    <row r="470" spans="1:7" x14ac:dyDescent="0.25">
      <c r="A470" s="180">
        <v>2018</v>
      </c>
      <c r="B470" s="181" t="s">
        <v>481</v>
      </c>
      <c r="C470" s="180">
        <v>12</v>
      </c>
      <c r="D470" s="180">
        <v>71.040000000000006</v>
      </c>
      <c r="E470" s="180">
        <v>460.35</v>
      </c>
      <c r="F470" s="182"/>
      <c r="G470" s="181"/>
    </row>
    <row r="471" spans="1:7" x14ac:dyDescent="0.25">
      <c r="A471" s="180">
        <v>2018</v>
      </c>
      <c r="B471" s="181" t="s">
        <v>481</v>
      </c>
      <c r="C471" s="180">
        <v>9</v>
      </c>
      <c r="D471" s="180">
        <v>67.47</v>
      </c>
      <c r="E471" s="180">
        <v>504.45</v>
      </c>
      <c r="F471" s="182"/>
      <c r="G471" s="181"/>
    </row>
    <row r="472" spans="1:7" x14ac:dyDescent="0.25">
      <c r="A472" s="180">
        <v>2018</v>
      </c>
      <c r="B472" s="181" t="s">
        <v>481</v>
      </c>
      <c r="C472" s="180">
        <v>9</v>
      </c>
      <c r="D472" s="180">
        <v>67.47</v>
      </c>
      <c r="E472" s="180">
        <v>504.45</v>
      </c>
      <c r="F472" s="182"/>
      <c r="G472" s="181"/>
    </row>
    <row r="473" spans="1:7" x14ac:dyDescent="0.25">
      <c r="A473" s="180">
        <v>2018</v>
      </c>
      <c r="B473" s="181" t="s">
        <v>512</v>
      </c>
      <c r="C473" s="180">
        <v>14</v>
      </c>
      <c r="D473" s="180">
        <v>55.9</v>
      </c>
      <c r="E473" s="180">
        <v>413.02</v>
      </c>
      <c r="F473" s="182"/>
      <c r="G473" s="181"/>
    </row>
    <row r="474" spans="1:7" x14ac:dyDescent="0.25">
      <c r="A474" s="180">
        <v>2018</v>
      </c>
      <c r="B474" s="181" t="s">
        <v>512</v>
      </c>
      <c r="C474" s="180">
        <v>13</v>
      </c>
      <c r="D474" s="180">
        <v>58.74</v>
      </c>
      <c r="E474" s="180">
        <v>483.79</v>
      </c>
      <c r="F474" s="182"/>
      <c r="G474" s="181"/>
    </row>
    <row r="475" spans="1:7" x14ac:dyDescent="0.25">
      <c r="A475" s="180">
        <v>2018</v>
      </c>
      <c r="B475" s="181" t="s">
        <v>512</v>
      </c>
      <c r="C475" s="180">
        <v>11</v>
      </c>
      <c r="D475" s="180">
        <v>63.72</v>
      </c>
      <c r="E475" s="180">
        <v>528.57000000000005</v>
      </c>
      <c r="F475" s="182"/>
      <c r="G475" s="181"/>
    </row>
    <row r="476" spans="1:7" x14ac:dyDescent="0.25">
      <c r="A476" s="180">
        <v>2018</v>
      </c>
      <c r="B476" s="181" t="s">
        <v>512</v>
      </c>
      <c r="C476" s="180">
        <v>14</v>
      </c>
      <c r="D476" s="180">
        <v>48.64</v>
      </c>
      <c r="E476" s="180">
        <v>442.37</v>
      </c>
      <c r="F476" s="182"/>
      <c r="G476" s="181"/>
    </row>
    <row r="477" spans="1:7" x14ac:dyDescent="0.25">
      <c r="A477" s="180">
        <v>2018</v>
      </c>
      <c r="B477" s="181" t="s">
        <v>512</v>
      </c>
      <c r="C477" s="180">
        <v>10</v>
      </c>
      <c r="D477" s="180">
        <v>51.34</v>
      </c>
      <c r="E477" s="180">
        <v>419.11</v>
      </c>
      <c r="F477" s="182"/>
      <c r="G477" s="181"/>
    </row>
    <row r="478" spans="1:7" x14ac:dyDescent="0.25">
      <c r="A478" s="180">
        <v>2018</v>
      </c>
      <c r="B478" s="181" t="s">
        <v>513</v>
      </c>
      <c r="C478" s="180">
        <v>12</v>
      </c>
      <c r="D478" s="180">
        <v>57.49</v>
      </c>
      <c r="E478" s="180">
        <v>489.55</v>
      </c>
      <c r="F478" s="182"/>
      <c r="G478" s="181"/>
    </row>
    <row r="479" spans="1:7" x14ac:dyDescent="0.25">
      <c r="A479" s="180">
        <v>2018</v>
      </c>
      <c r="B479" s="181" t="s">
        <v>513</v>
      </c>
      <c r="C479" s="180">
        <v>7</v>
      </c>
      <c r="D479" s="182"/>
      <c r="E479" s="180">
        <v>488.2</v>
      </c>
      <c r="F479" s="182"/>
      <c r="G479" s="181"/>
    </row>
    <row r="480" spans="1:7" x14ac:dyDescent="0.25">
      <c r="A480" s="180">
        <v>2018</v>
      </c>
      <c r="B480" s="181" t="s">
        <v>513</v>
      </c>
      <c r="C480" s="180">
        <v>8</v>
      </c>
      <c r="D480" s="180">
        <v>56.24</v>
      </c>
      <c r="E480" s="180">
        <v>442.44</v>
      </c>
      <c r="F480" s="182"/>
      <c r="G480" s="181"/>
    </row>
    <row r="481" spans="1:7" x14ac:dyDescent="0.25">
      <c r="A481" s="180">
        <v>2018</v>
      </c>
      <c r="B481" s="181" t="s">
        <v>513</v>
      </c>
      <c r="C481" s="180">
        <v>13</v>
      </c>
      <c r="D481" s="180">
        <v>71.19</v>
      </c>
      <c r="E481" s="180">
        <v>481.89</v>
      </c>
      <c r="F481" s="182"/>
      <c r="G481" s="181"/>
    </row>
    <row r="482" spans="1:7" x14ac:dyDescent="0.25">
      <c r="A482" s="180">
        <v>2018</v>
      </c>
      <c r="B482" s="181" t="s">
        <v>513</v>
      </c>
      <c r="C482" s="180">
        <v>12</v>
      </c>
      <c r="D482" s="180">
        <v>52.56</v>
      </c>
      <c r="E482" s="180">
        <v>402.54</v>
      </c>
      <c r="F482" s="182"/>
      <c r="G482" s="181"/>
    </row>
    <row r="483" spans="1:7" x14ac:dyDescent="0.25">
      <c r="A483" s="180">
        <v>2018</v>
      </c>
      <c r="B483" s="181" t="s">
        <v>513</v>
      </c>
      <c r="C483" s="180">
        <v>10</v>
      </c>
      <c r="D483" s="180">
        <v>65.72</v>
      </c>
      <c r="E483" s="182"/>
      <c r="F483" s="182"/>
      <c r="G483" s="181"/>
    </row>
    <row r="484" spans="1:7" x14ac:dyDescent="0.25">
      <c r="A484" s="180">
        <v>2018</v>
      </c>
      <c r="B484" s="181" t="s">
        <v>495</v>
      </c>
      <c r="C484" s="180">
        <v>9</v>
      </c>
      <c r="D484" s="182"/>
      <c r="E484" s="180">
        <v>423.85</v>
      </c>
      <c r="F484" s="182"/>
      <c r="G484" s="181"/>
    </row>
    <row r="485" spans="1:7" x14ac:dyDescent="0.25">
      <c r="A485" s="180">
        <v>2018</v>
      </c>
      <c r="B485" s="181" t="s">
        <v>495</v>
      </c>
      <c r="C485" s="180">
        <v>9</v>
      </c>
      <c r="D485" s="180">
        <v>69.78</v>
      </c>
      <c r="E485" s="180">
        <v>436.38</v>
      </c>
      <c r="F485" s="182"/>
      <c r="G485" s="181"/>
    </row>
    <row r="486" spans="1:7" x14ac:dyDescent="0.25">
      <c r="A486" s="180">
        <v>2018</v>
      </c>
      <c r="B486" s="181" t="s">
        <v>495</v>
      </c>
      <c r="C486" s="180">
        <v>12</v>
      </c>
      <c r="D486" s="180">
        <v>68.959999999999994</v>
      </c>
      <c r="E486" s="180">
        <v>460.38</v>
      </c>
      <c r="F486" s="182"/>
      <c r="G486" s="181"/>
    </row>
    <row r="487" spans="1:7" x14ac:dyDescent="0.25">
      <c r="A487" s="180">
        <v>2018</v>
      </c>
      <c r="B487" s="181" t="s">
        <v>495</v>
      </c>
      <c r="C487" s="182"/>
      <c r="D487" s="180">
        <v>63.96</v>
      </c>
      <c r="E487" s="180">
        <v>499.53</v>
      </c>
      <c r="F487" s="182"/>
      <c r="G487" s="181"/>
    </row>
    <row r="488" spans="1:7" x14ac:dyDescent="0.25">
      <c r="A488" s="180">
        <v>2018</v>
      </c>
      <c r="B488" s="181" t="s">
        <v>495</v>
      </c>
      <c r="C488" s="180">
        <v>10</v>
      </c>
      <c r="D488" s="180">
        <v>72.5</v>
      </c>
      <c r="E488" s="180">
        <v>439.67</v>
      </c>
      <c r="F488" s="182"/>
      <c r="G488" s="181"/>
    </row>
    <row r="489" spans="1:7" x14ac:dyDescent="0.25">
      <c r="A489" s="180">
        <v>2018</v>
      </c>
      <c r="B489" s="181" t="s">
        <v>495</v>
      </c>
      <c r="C489" s="180">
        <v>12</v>
      </c>
      <c r="D489" s="180">
        <v>72.37</v>
      </c>
      <c r="E489" s="180">
        <v>519.20000000000005</v>
      </c>
      <c r="F489" s="182"/>
      <c r="G489" s="181"/>
    </row>
    <row r="490" spans="1:7" x14ac:dyDescent="0.25">
      <c r="A490" s="180">
        <v>2018</v>
      </c>
      <c r="B490" s="181" t="s">
        <v>494</v>
      </c>
      <c r="C490" s="180">
        <v>14</v>
      </c>
      <c r="D490" s="180">
        <v>57.84</v>
      </c>
      <c r="E490" s="180">
        <v>415.78</v>
      </c>
      <c r="F490" s="182"/>
      <c r="G490" s="181"/>
    </row>
    <row r="491" spans="1:7" x14ac:dyDescent="0.25">
      <c r="A491" s="180">
        <v>2018</v>
      </c>
      <c r="B491" s="181" t="s">
        <v>494</v>
      </c>
      <c r="C491" s="180">
        <v>15</v>
      </c>
      <c r="D491" s="180">
        <v>65.02</v>
      </c>
      <c r="E491" s="180">
        <v>497.5</v>
      </c>
      <c r="F491" s="182"/>
      <c r="G491" s="181"/>
    </row>
    <row r="492" spans="1:7" x14ac:dyDescent="0.25">
      <c r="A492" s="180">
        <v>2018</v>
      </c>
      <c r="B492" s="181" t="s">
        <v>494</v>
      </c>
      <c r="C492" s="180">
        <v>14</v>
      </c>
      <c r="D492" s="180">
        <v>73.569999999999993</v>
      </c>
      <c r="E492" s="180">
        <v>407.31</v>
      </c>
      <c r="F492" s="182"/>
      <c r="G492" s="181"/>
    </row>
    <row r="493" spans="1:7" x14ac:dyDescent="0.25">
      <c r="A493" s="180">
        <v>2018</v>
      </c>
      <c r="B493" s="181" t="s">
        <v>494</v>
      </c>
      <c r="C493" s="180">
        <v>14</v>
      </c>
      <c r="D493" s="180">
        <v>54.3</v>
      </c>
      <c r="E493" s="180">
        <v>397.38</v>
      </c>
      <c r="F493" s="182"/>
      <c r="G493" s="181"/>
    </row>
    <row r="494" spans="1:7" x14ac:dyDescent="0.25">
      <c r="A494" s="180">
        <v>2018</v>
      </c>
      <c r="B494" s="181" t="s">
        <v>494</v>
      </c>
      <c r="C494" s="180">
        <v>14</v>
      </c>
      <c r="D494" s="180">
        <v>67.400000000000006</v>
      </c>
      <c r="E494" s="180">
        <v>462.92</v>
      </c>
      <c r="F494" s="182"/>
      <c r="G494" s="181"/>
    </row>
    <row r="495" spans="1:7" x14ac:dyDescent="0.25">
      <c r="A495" s="180">
        <v>2018</v>
      </c>
      <c r="B495" s="181" t="s">
        <v>492</v>
      </c>
      <c r="C495" s="180">
        <v>12</v>
      </c>
      <c r="D495" s="180">
        <v>59.24</v>
      </c>
      <c r="E495" s="180">
        <v>550.87</v>
      </c>
      <c r="F495" s="182"/>
      <c r="G495" s="181"/>
    </row>
    <row r="496" spans="1:7" x14ac:dyDescent="0.25">
      <c r="A496" s="180">
        <v>2018</v>
      </c>
      <c r="B496" s="181" t="s">
        <v>492</v>
      </c>
      <c r="C496" s="180">
        <v>10</v>
      </c>
      <c r="D496" s="180">
        <v>64.13</v>
      </c>
      <c r="E496" s="180">
        <v>499.65</v>
      </c>
      <c r="F496" s="182"/>
      <c r="G496" s="181"/>
    </row>
    <row r="497" spans="1:7" x14ac:dyDescent="0.25">
      <c r="A497" s="180">
        <v>2018</v>
      </c>
      <c r="B497" s="181" t="s">
        <v>492</v>
      </c>
      <c r="C497" s="180">
        <v>13</v>
      </c>
      <c r="D497" s="180">
        <v>52.1</v>
      </c>
      <c r="E497" s="180">
        <v>496.38</v>
      </c>
      <c r="F497" s="182"/>
      <c r="G497" s="181"/>
    </row>
    <row r="498" spans="1:7" x14ac:dyDescent="0.25">
      <c r="A498" s="180">
        <v>2018</v>
      </c>
      <c r="B498" s="181" t="s">
        <v>492</v>
      </c>
      <c r="C498" s="180">
        <v>12</v>
      </c>
      <c r="D498" s="180">
        <v>52.13</v>
      </c>
      <c r="E498" s="180">
        <v>434.93</v>
      </c>
      <c r="F498" s="182"/>
      <c r="G498" s="181"/>
    </row>
    <row r="499" spans="1:7" x14ac:dyDescent="0.25">
      <c r="A499" s="180">
        <v>2018</v>
      </c>
      <c r="B499" s="181" t="s">
        <v>492</v>
      </c>
      <c r="C499" s="180">
        <v>10</v>
      </c>
      <c r="D499" s="180">
        <v>57.49</v>
      </c>
      <c r="E499" s="180">
        <v>505.46</v>
      </c>
      <c r="F499" s="182"/>
      <c r="G499" s="181"/>
    </row>
    <row r="500" spans="1:7" x14ac:dyDescent="0.25">
      <c r="A500" s="180">
        <v>2018</v>
      </c>
      <c r="B500" s="181" t="s">
        <v>480</v>
      </c>
      <c r="C500" s="180">
        <v>12</v>
      </c>
      <c r="D500" s="180">
        <v>62.91</v>
      </c>
      <c r="E500" s="180">
        <v>523.71</v>
      </c>
      <c r="F500" s="182"/>
      <c r="G500" s="181"/>
    </row>
    <row r="501" spans="1:7" x14ac:dyDescent="0.25">
      <c r="A501" s="180">
        <v>2018</v>
      </c>
      <c r="B501" s="181" t="s">
        <v>480</v>
      </c>
      <c r="C501" s="180">
        <v>12</v>
      </c>
      <c r="D501" s="180">
        <v>81.86</v>
      </c>
      <c r="E501" s="180">
        <v>648.54</v>
      </c>
      <c r="F501" s="182"/>
      <c r="G501" s="181"/>
    </row>
    <row r="502" spans="1:7" x14ac:dyDescent="0.25">
      <c r="A502" s="180">
        <v>2018</v>
      </c>
      <c r="B502" s="181" t="s">
        <v>480</v>
      </c>
      <c r="C502" s="180">
        <v>13</v>
      </c>
      <c r="D502" s="180">
        <v>66.959999999999994</v>
      </c>
      <c r="E502" s="180">
        <v>636.96</v>
      </c>
      <c r="F502" s="182"/>
      <c r="G502" s="181"/>
    </row>
    <row r="503" spans="1:7" x14ac:dyDescent="0.25">
      <c r="A503" s="180">
        <v>2018</v>
      </c>
      <c r="B503" s="181" t="s">
        <v>480</v>
      </c>
      <c r="C503" s="180">
        <v>11</v>
      </c>
      <c r="D503" s="180">
        <v>61.3</v>
      </c>
      <c r="E503" s="180">
        <v>553.59</v>
      </c>
      <c r="F503" s="182"/>
      <c r="G503" s="181"/>
    </row>
    <row r="504" spans="1:7" x14ac:dyDescent="0.25">
      <c r="A504" s="180">
        <v>2018</v>
      </c>
      <c r="B504" s="181" t="s">
        <v>480</v>
      </c>
      <c r="C504" s="180">
        <v>12</v>
      </c>
      <c r="D504" s="180">
        <v>78.33</v>
      </c>
      <c r="E504" s="180">
        <v>663.31</v>
      </c>
      <c r="F504" s="182"/>
      <c r="G504" s="181"/>
    </row>
    <row r="505" spans="1:7" x14ac:dyDescent="0.25">
      <c r="A505" s="180">
        <v>2020</v>
      </c>
      <c r="B505" s="181" t="s">
        <v>481</v>
      </c>
      <c r="C505" s="180">
        <v>8</v>
      </c>
      <c r="D505" s="180">
        <v>57.35</v>
      </c>
      <c r="E505" s="180">
        <v>185.33</v>
      </c>
      <c r="F505" s="180">
        <v>5.7</v>
      </c>
      <c r="G505" s="181"/>
    </row>
    <row r="506" spans="1:7" x14ac:dyDescent="0.25">
      <c r="A506" s="180">
        <v>2020</v>
      </c>
      <c r="B506" s="181" t="s">
        <v>481</v>
      </c>
      <c r="C506" s="180">
        <v>8</v>
      </c>
      <c r="D506" s="180">
        <v>57.35</v>
      </c>
      <c r="E506" s="180">
        <v>185.33</v>
      </c>
      <c r="F506" s="180">
        <v>5.7</v>
      </c>
      <c r="G506" s="181"/>
    </row>
    <row r="507" spans="1:7" x14ac:dyDescent="0.25">
      <c r="A507" s="180">
        <v>2020</v>
      </c>
      <c r="B507" s="181" t="s">
        <v>481</v>
      </c>
      <c r="C507" s="180">
        <v>10</v>
      </c>
      <c r="D507" s="180">
        <v>64.790000000000006</v>
      </c>
      <c r="E507" s="180">
        <v>184.72</v>
      </c>
      <c r="F507" s="182"/>
      <c r="G507" s="181"/>
    </row>
    <row r="508" spans="1:7" x14ac:dyDescent="0.25">
      <c r="A508" s="180">
        <v>2020</v>
      </c>
      <c r="B508" s="181" t="s">
        <v>481</v>
      </c>
      <c r="C508" s="180">
        <v>10</v>
      </c>
      <c r="D508" s="180">
        <v>64.790000000000006</v>
      </c>
      <c r="E508" s="180">
        <v>184.72</v>
      </c>
      <c r="F508" s="182"/>
      <c r="G508" s="181"/>
    </row>
    <row r="509" spans="1:7" x14ac:dyDescent="0.25">
      <c r="A509" s="180">
        <v>2020</v>
      </c>
      <c r="B509" s="181" t="s">
        <v>481</v>
      </c>
      <c r="C509" s="180">
        <v>8</v>
      </c>
      <c r="D509" s="182"/>
      <c r="E509" s="180">
        <v>153.13999999999999</v>
      </c>
      <c r="F509" s="180">
        <v>4.2</v>
      </c>
      <c r="G509" s="181"/>
    </row>
    <row r="510" spans="1:7" x14ac:dyDescent="0.25">
      <c r="A510" s="180">
        <v>2020</v>
      </c>
      <c r="B510" s="181" t="s">
        <v>481</v>
      </c>
      <c r="C510" s="180">
        <v>8</v>
      </c>
      <c r="D510" s="182"/>
      <c r="E510" s="180">
        <v>153.13999999999999</v>
      </c>
      <c r="F510" s="180">
        <v>4.2</v>
      </c>
      <c r="G510" s="181"/>
    </row>
    <row r="511" spans="1:7" x14ac:dyDescent="0.25">
      <c r="A511" s="180">
        <v>2020</v>
      </c>
      <c r="B511" s="181" t="s">
        <v>481</v>
      </c>
      <c r="C511" s="180">
        <v>10</v>
      </c>
      <c r="D511" s="180">
        <v>52.95</v>
      </c>
      <c r="E511" s="180">
        <v>138.66</v>
      </c>
      <c r="F511" s="180">
        <v>5.56</v>
      </c>
      <c r="G511" s="181"/>
    </row>
    <row r="512" spans="1:7" x14ac:dyDescent="0.25">
      <c r="A512" s="180">
        <v>2020</v>
      </c>
      <c r="B512" s="181" t="s">
        <v>481</v>
      </c>
      <c r="C512" s="180">
        <v>10</v>
      </c>
      <c r="D512" s="180">
        <v>52.95</v>
      </c>
      <c r="E512" s="180">
        <v>138.66</v>
      </c>
      <c r="F512" s="180">
        <v>5.56</v>
      </c>
      <c r="G512" s="181"/>
    </row>
    <row r="513" spans="1:7" x14ac:dyDescent="0.25">
      <c r="A513" s="180">
        <v>2020</v>
      </c>
      <c r="B513" s="181" t="s">
        <v>481</v>
      </c>
      <c r="C513" s="180">
        <v>8</v>
      </c>
      <c r="D513" s="180">
        <v>62.21</v>
      </c>
      <c r="E513" s="180">
        <v>236.56</v>
      </c>
      <c r="F513" s="180">
        <v>5.2</v>
      </c>
      <c r="G513" s="181"/>
    </row>
    <row r="514" spans="1:7" x14ac:dyDescent="0.25">
      <c r="A514" s="180">
        <v>2020</v>
      </c>
      <c r="B514" s="181" t="s">
        <v>481</v>
      </c>
      <c r="C514" s="180">
        <v>8</v>
      </c>
      <c r="D514" s="180">
        <v>62.21</v>
      </c>
      <c r="E514" s="180">
        <v>236.56</v>
      </c>
      <c r="F514" s="180">
        <v>5.2</v>
      </c>
      <c r="G514" s="181"/>
    </row>
    <row r="515" spans="1:7" x14ac:dyDescent="0.25">
      <c r="A515" s="180">
        <v>2020</v>
      </c>
      <c r="B515" s="181" t="s">
        <v>481</v>
      </c>
      <c r="C515" s="180">
        <v>8</v>
      </c>
      <c r="D515" s="180">
        <v>55.51</v>
      </c>
      <c r="E515" s="180">
        <v>259.68</v>
      </c>
      <c r="F515" s="180">
        <v>4.2</v>
      </c>
      <c r="G515" s="181"/>
    </row>
    <row r="516" spans="1:7" x14ac:dyDescent="0.25">
      <c r="A516" s="180">
        <v>2020</v>
      </c>
      <c r="B516" s="181" t="s">
        <v>481</v>
      </c>
      <c r="C516" s="180">
        <v>8</v>
      </c>
      <c r="D516" s="180">
        <v>55.51</v>
      </c>
      <c r="E516" s="180">
        <v>259.68</v>
      </c>
      <c r="F516" s="180">
        <v>4.2</v>
      </c>
      <c r="G516" s="181"/>
    </row>
    <row r="517" spans="1:7" x14ac:dyDescent="0.25">
      <c r="A517" s="180">
        <v>2020</v>
      </c>
      <c r="B517" s="181" t="s">
        <v>482</v>
      </c>
      <c r="C517" s="180">
        <v>8</v>
      </c>
      <c r="D517" s="180">
        <v>43.27</v>
      </c>
      <c r="E517" s="180">
        <v>239.62</v>
      </c>
      <c r="F517" s="180">
        <v>7.15</v>
      </c>
      <c r="G517" s="181"/>
    </row>
    <row r="518" spans="1:7" x14ac:dyDescent="0.25">
      <c r="A518" s="180">
        <v>2020</v>
      </c>
      <c r="B518" s="181" t="s">
        <v>482</v>
      </c>
      <c r="C518" s="180">
        <v>5</v>
      </c>
      <c r="D518" s="180">
        <v>72.28</v>
      </c>
      <c r="E518" s="180">
        <v>165.46</v>
      </c>
      <c r="F518" s="180">
        <v>5.46</v>
      </c>
      <c r="G518" s="181"/>
    </row>
    <row r="519" spans="1:7" x14ac:dyDescent="0.25">
      <c r="A519" s="180">
        <v>2020</v>
      </c>
      <c r="B519" s="181" t="s">
        <v>482</v>
      </c>
      <c r="C519" s="180">
        <v>5</v>
      </c>
      <c r="D519" s="180">
        <v>47.41</v>
      </c>
      <c r="E519" s="180">
        <v>193.65</v>
      </c>
      <c r="F519" s="180">
        <v>6.04</v>
      </c>
      <c r="G519" s="181"/>
    </row>
    <row r="520" spans="1:7" x14ac:dyDescent="0.25">
      <c r="A520" s="180">
        <v>2020</v>
      </c>
      <c r="B520" s="181" t="s">
        <v>482</v>
      </c>
      <c r="C520" s="180">
        <v>4</v>
      </c>
      <c r="D520" s="180">
        <v>69.819999999999993</v>
      </c>
      <c r="E520" s="180">
        <v>220.98</v>
      </c>
      <c r="F520" s="180">
        <v>5.71</v>
      </c>
      <c r="G520" s="181"/>
    </row>
    <row r="521" spans="1:7" x14ac:dyDescent="0.25">
      <c r="A521" s="180">
        <v>2020</v>
      </c>
      <c r="B521" s="181" t="s">
        <v>482</v>
      </c>
      <c r="C521" s="180">
        <v>7</v>
      </c>
      <c r="D521" s="180">
        <v>53.53</v>
      </c>
      <c r="E521" s="180">
        <v>150.84</v>
      </c>
      <c r="F521" s="180">
        <v>4.83</v>
      </c>
      <c r="G521" s="181"/>
    </row>
    <row r="522" spans="1:7" x14ac:dyDescent="0.25">
      <c r="A522" s="180">
        <v>2020</v>
      </c>
      <c r="B522" s="181" t="s">
        <v>482</v>
      </c>
      <c r="C522" s="180">
        <v>7</v>
      </c>
      <c r="D522" s="180">
        <v>51.28</v>
      </c>
      <c r="E522" s="180">
        <v>202.76</v>
      </c>
      <c r="F522" s="180">
        <v>4.5199999999999996</v>
      </c>
      <c r="G522" s="181"/>
    </row>
    <row r="523" spans="1:7" x14ac:dyDescent="0.25">
      <c r="A523" s="180">
        <v>2020</v>
      </c>
      <c r="B523" s="181" t="s">
        <v>480</v>
      </c>
      <c r="C523" s="180">
        <v>9</v>
      </c>
      <c r="D523" s="180">
        <v>51.62</v>
      </c>
      <c r="E523" s="180">
        <v>204.9</v>
      </c>
      <c r="F523" s="180">
        <v>2.94</v>
      </c>
      <c r="G523" s="181"/>
    </row>
    <row r="524" spans="1:7" x14ac:dyDescent="0.25">
      <c r="A524" s="180">
        <v>2020</v>
      </c>
      <c r="B524" s="181" t="s">
        <v>480</v>
      </c>
      <c r="C524" s="180">
        <v>6</v>
      </c>
      <c r="D524" s="180">
        <v>57</v>
      </c>
      <c r="E524" s="180">
        <v>191.1</v>
      </c>
      <c r="F524" s="180">
        <v>2.21</v>
      </c>
      <c r="G524" s="181"/>
    </row>
    <row r="525" spans="1:7" x14ac:dyDescent="0.25">
      <c r="A525" s="180">
        <v>2020</v>
      </c>
      <c r="B525" s="181" t="s">
        <v>480</v>
      </c>
      <c r="C525" s="180">
        <v>10</v>
      </c>
      <c r="D525" s="180">
        <v>52.4</v>
      </c>
      <c r="E525" s="180">
        <v>179.21</v>
      </c>
      <c r="F525" s="180">
        <v>2.0099999999999998</v>
      </c>
      <c r="G525" s="181"/>
    </row>
    <row r="526" spans="1:7" x14ac:dyDescent="0.25">
      <c r="A526" s="180">
        <v>2020</v>
      </c>
      <c r="B526" s="181" t="s">
        <v>480</v>
      </c>
      <c r="C526" s="180">
        <v>8</v>
      </c>
      <c r="D526" s="180">
        <v>47.78</v>
      </c>
      <c r="E526" s="180">
        <v>175.3</v>
      </c>
      <c r="F526" s="180">
        <v>2.91</v>
      </c>
      <c r="G526" s="181"/>
    </row>
    <row r="527" spans="1:7" x14ac:dyDescent="0.25">
      <c r="A527" s="180">
        <v>2020</v>
      </c>
      <c r="B527" s="181" t="s">
        <v>480</v>
      </c>
      <c r="C527" s="180">
        <v>8</v>
      </c>
      <c r="D527" s="180">
        <v>43.77</v>
      </c>
      <c r="E527" s="180">
        <v>147.16</v>
      </c>
      <c r="F527" s="180">
        <v>2.78</v>
      </c>
      <c r="G527" s="181"/>
    </row>
    <row r="528" spans="1:7" x14ac:dyDescent="0.25">
      <c r="A528" s="180">
        <v>2020</v>
      </c>
      <c r="B528" s="181" t="s">
        <v>492</v>
      </c>
      <c r="C528" s="180">
        <v>7</v>
      </c>
      <c r="D528" s="182"/>
      <c r="E528" s="180">
        <v>196.7</v>
      </c>
      <c r="F528" s="180">
        <v>4.37</v>
      </c>
      <c r="G528" s="181"/>
    </row>
    <row r="529" spans="1:7" x14ac:dyDescent="0.25">
      <c r="A529" s="180">
        <v>2020</v>
      </c>
      <c r="B529" s="181" t="s">
        <v>492</v>
      </c>
      <c r="C529" s="180">
        <v>9</v>
      </c>
      <c r="D529" s="180">
        <v>59.61</v>
      </c>
      <c r="E529" s="180">
        <v>182.02</v>
      </c>
      <c r="F529" s="180">
        <v>4.42</v>
      </c>
      <c r="G529" s="181"/>
    </row>
    <row r="530" spans="1:7" x14ac:dyDescent="0.25">
      <c r="A530" s="180">
        <v>2020</v>
      </c>
      <c r="B530" s="181" t="s">
        <v>492</v>
      </c>
      <c r="C530" s="180">
        <v>9</v>
      </c>
      <c r="D530" s="180">
        <v>51.05</v>
      </c>
      <c r="E530" s="180">
        <v>243.56</v>
      </c>
      <c r="F530" s="180">
        <v>4.95</v>
      </c>
      <c r="G530" s="181"/>
    </row>
    <row r="531" spans="1:7" x14ac:dyDescent="0.25">
      <c r="A531" s="180">
        <v>2020</v>
      </c>
      <c r="B531" s="181" t="s">
        <v>492</v>
      </c>
      <c r="C531" s="180">
        <v>9</v>
      </c>
      <c r="D531" s="180">
        <v>59.8</v>
      </c>
      <c r="E531" s="180">
        <v>200.08</v>
      </c>
      <c r="F531" s="182"/>
      <c r="G531" s="181"/>
    </row>
    <row r="532" spans="1:7" x14ac:dyDescent="0.25">
      <c r="A532" s="180">
        <v>2020</v>
      </c>
      <c r="B532" s="181" t="s">
        <v>492</v>
      </c>
      <c r="C532" s="180">
        <v>7</v>
      </c>
      <c r="D532" s="180">
        <v>47.39</v>
      </c>
      <c r="E532" s="182"/>
      <c r="F532" s="180">
        <v>3.83</v>
      </c>
      <c r="G532" s="181"/>
    </row>
    <row r="533" spans="1:7" x14ac:dyDescent="0.25">
      <c r="A533" s="180">
        <v>2020</v>
      </c>
      <c r="B533" s="181" t="s">
        <v>492</v>
      </c>
      <c r="C533" s="180">
        <v>8</v>
      </c>
      <c r="D533" s="180">
        <v>56.78</v>
      </c>
      <c r="E533" s="180">
        <v>200.52</v>
      </c>
      <c r="F533" s="180">
        <v>4.9800000000000004</v>
      </c>
      <c r="G533" s="181"/>
    </row>
    <row r="534" spans="1:7" x14ac:dyDescent="0.25">
      <c r="A534" s="180">
        <v>2020</v>
      </c>
      <c r="B534" s="181" t="s">
        <v>493</v>
      </c>
      <c r="C534" s="180">
        <v>9</v>
      </c>
      <c r="D534" s="180">
        <v>64.930000000000007</v>
      </c>
      <c r="E534" s="180">
        <v>308.14</v>
      </c>
      <c r="F534" s="182"/>
      <c r="G534" s="181"/>
    </row>
    <row r="535" spans="1:7" x14ac:dyDescent="0.25">
      <c r="A535" s="180">
        <v>2020</v>
      </c>
      <c r="B535" s="181" t="s">
        <v>493</v>
      </c>
      <c r="C535" s="180">
        <v>6</v>
      </c>
      <c r="D535" s="180">
        <v>62.27</v>
      </c>
      <c r="E535" s="182"/>
      <c r="F535" s="180">
        <v>4.28</v>
      </c>
      <c r="G535" s="181"/>
    </row>
    <row r="536" spans="1:7" x14ac:dyDescent="0.25">
      <c r="A536" s="180">
        <v>2020</v>
      </c>
      <c r="B536" s="181" t="s">
        <v>493</v>
      </c>
      <c r="C536" s="180">
        <v>5</v>
      </c>
      <c r="D536" s="180">
        <v>53.5</v>
      </c>
      <c r="E536" s="180">
        <v>255.35</v>
      </c>
      <c r="F536" s="180">
        <v>5.63</v>
      </c>
      <c r="G536" s="181"/>
    </row>
    <row r="537" spans="1:7" x14ac:dyDescent="0.25">
      <c r="A537" s="180">
        <v>2020</v>
      </c>
      <c r="B537" s="181" t="s">
        <v>493</v>
      </c>
      <c r="C537" s="180">
        <v>8</v>
      </c>
      <c r="D537" s="180">
        <v>58.03</v>
      </c>
      <c r="E537" s="180">
        <v>252.58</v>
      </c>
      <c r="F537" s="180">
        <v>4.2</v>
      </c>
      <c r="G537" s="181"/>
    </row>
    <row r="538" spans="1:7" x14ac:dyDescent="0.25">
      <c r="A538" s="180">
        <v>2020</v>
      </c>
      <c r="B538" s="181" t="s">
        <v>493</v>
      </c>
      <c r="C538" s="180">
        <v>6</v>
      </c>
      <c r="D538" s="180">
        <v>52.78</v>
      </c>
      <c r="E538" s="180">
        <v>207.35</v>
      </c>
      <c r="F538" s="180">
        <v>4.6500000000000004</v>
      </c>
      <c r="G538" s="181"/>
    </row>
    <row r="539" spans="1:7" x14ac:dyDescent="0.25">
      <c r="A539" s="180">
        <v>2020</v>
      </c>
      <c r="B539" s="181" t="s">
        <v>493</v>
      </c>
      <c r="C539" s="180">
        <v>9</v>
      </c>
      <c r="D539" s="180">
        <v>60.29</v>
      </c>
      <c r="E539" s="180">
        <v>198.49</v>
      </c>
      <c r="F539" s="180">
        <v>4.7699999999999996</v>
      </c>
      <c r="G539" s="181"/>
    </row>
    <row r="540" spans="1:7" x14ac:dyDescent="0.25">
      <c r="A540" s="180">
        <v>2020</v>
      </c>
      <c r="B540" s="181" t="s">
        <v>494</v>
      </c>
      <c r="C540" s="180">
        <v>5</v>
      </c>
      <c r="D540" s="180">
        <v>57</v>
      </c>
      <c r="E540" s="180">
        <v>232.38</v>
      </c>
      <c r="F540" s="180">
        <v>4.74</v>
      </c>
      <c r="G540" s="181"/>
    </row>
    <row r="541" spans="1:7" x14ac:dyDescent="0.25">
      <c r="A541" s="180">
        <v>2020</v>
      </c>
      <c r="B541" s="181" t="s">
        <v>494</v>
      </c>
      <c r="C541" s="180">
        <v>5</v>
      </c>
      <c r="D541" s="180">
        <v>48.34</v>
      </c>
      <c r="E541" s="180">
        <v>181.88</v>
      </c>
      <c r="F541" s="180">
        <v>4.82</v>
      </c>
      <c r="G541" s="181"/>
    </row>
    <row r="542" spans="1:7" x14ac:dyDescent="0.25">
      <c r="A542" s="180">
        <v>2020</v>
      </c>
      <c r="B542" s="181" t="s">
        <v>494</v>
      </c>
      <c r="C542" s="180">
        <v>9</v>
      </c>
      <c r="D542" s="180">
        <v>59.48</v>
      </c>
      <c r="E542" s="180">
        <v>275.22000000000003</v>
      </c>
      <c r="F542" s="180">
        <v>5.4</v>
      </c>
      <c r="G542" s="181"/>
    </row>
    <row r="543" spans="1:7" x14ac:dyDescent="0.25">
      <c r="A543" s="180">
        <v>2020</v>
      </c>
      <c r="B543" s="181" t="s">
        <v>494</v>
      </c>
      <c r="C543" s="180">
        <v>7</v>
      </c>
      <c r="D543" s="180">
        <v>57.25</v>
      </c>
      <c r="E543" s="180">
        <v>222.42</v>
      </c>
      <c r="F543" s="180">
        <v>5.2</v>
      </c>
      <c r="G543" s="181"/>
    </row>
    <row r="544" spans="1:7" x14ac:dyDescent="0.25">
      <c r="A544" s="180">
        <v>2020</v>
      </c>
      <c r="B544" s="181" t="s">
        <v>494</v>
      </c>
      <c r="C544" s="180">
        <v>7</v>
      </c>
      <c r="D544" s="180">
        <v>51</v>
      </c>
      <c r="E544" s="180">
        <v>237.27</v>
      </c>
      <c r="F544" s="180">
        <v>5.22</v>
      </c>
      <c r="G544" s="181"/>
    </row>
    <row r="545" spans="1:7" x14ac:dyDescent="0.25">
      <c r="A545" s="180">
        <v>2020</v>
      </c>
      <c r="B545" s="181" t="s">
        <v>477</v>
      </c>
      <c r="C545" s="180">
        <v>11</v>
      </c>
      <c r="D545" s="180">
        <v>51.55</v>
      </c>
      <c r="E545" s="180">
        <v>250.52</v>
      </c>
      <c r="F545" s="180">
        <v>4.28</v>
      </c>
      <c r="G545" s="181"/>
    </row>
    <row r="546" spans="1:7" x14ac:dyDescent="0.25">
      <c r="A546" s="180">
        <v>2020</v>
      </c>
      <c r="B546" s="181" t="s">
        <v>477</v>
      </c>
      <c r="C546" s="180">
        <v>11</v>
      </c>
      <c r="D546" s="180">
        <v>64.349999999999994</v>
      </c>
      <c r="E546" s="180">
        <v>217.36</v>
      </c>
      <c r="F546" s="180">
        <v>4.42</v>
      </c>
      <c r="G546" s="181"/>
    </row>
    <row r="547" spans="1:7" x14ac:dyDescent="0.25">
      <c r="A547" s="180">
        <v>2020</v>
      </c>
      <c r="B547" s="181" t="s">
        <v>477</v>
      </c>
      <c r="C547" s="180">
        <v>10</v>
      </c>
      <c r="D547" s="180">
        <v>60.47</v>
      </c>
      <c r="E547" s="180">
        <v>221.57</v>
      </c>
      <c r="F547" s="180">
        <v>4.1100000000000003</v>
      </c>
      <c r="G547" s="181"/>
    </row>
    <row r="548" spans="1:7" x14ac:dyDescent="0.25">
      <c r="A548" s="180">
        <v>2020</v>
      </c>
      <c r="B548" s="181" t="s">
        <v>477</v>
      </c>
      <c r="C548" s="180">
        <v>7</v>
      </c>
      <c r="D548" s="180">
        <v>62.17</v>
      </c>
      <c r="E548" s="180">
        <v>197.61</v>
      </c>
      <c r="F548" s="180">
        <v>3.87</v>
      </c>
      <c r="G548" s="181"/>
    </row>
    <row r="549" spans="1:7" x14ac:dyDescent="0.25">
      <c r="A549" s="180">
        <v>2020</v>
      </c>
      <c r="B549" s="181" t="s">
        <v>477</v>
      </c>
      <c r="C549" s="180">
        <v>7</v>
      </c>
      <c r="D549" s="180">
        <v>68.56</v>
      </c>
      <c r="E549" s="180">
        <v>254.05</v>
      </c>
      <c r="F549" s="180">
        <v>4.6500000000000004</v>
      </c>
      <c r="G549" s="181"/>
    </row>
    <row r="550" spans="1:7" x14ac:dyDescent="0.25">
      <c r="A550" s="180">
        <v>2020</v>
      </c>
      <c r="B550" s="181" t="s">
        <v>477</v>
      </c>
      <c r="C550" s="180">
        <v>7</v>
      </c>
      <c r="D550" s="180">
        <v>59.66</v>
      </c>
      <c r="E550" s="180">
        <v>185.95</v>
      </c>
      <c r="F550" s="180">
        <v>3.58</v>
      </c>
      <c r="G550" s="181"/>
    </row>
    <row r="551" spans="1:7" x14ac:dyDescent="0.25">
      <c r="A551" s="180">
        <v>2020</v>
      </c>
      <c r="B551" s="181" t="s">
        <v>495</v>
      </c>
      <c r="C551" s="180">
        <v>9</v>
      </c>
      <c r="D551" s="180">
        <v>55.45</v>
      </c>
      <c r="E551" s="180">
        <v>255.83</v>
      </c>
      <c r="F551" s="180">
        <v>4.2300000000000004</v>
      </c>
      <c r="G551" s="181"/>
    </row>
    <row r="552" spans="1:7" x14ac:dyDescent="0.25">
      <c r="A552" s="180">
        <v>2020</v>
      </c>
      <c r="B552" s="181" t="s">
        <v>495</v>
      </c>
      <c r="C552" s="180">
        <v>7</v>
      </c>
      <c r="D552" s="180">
        <v>53.89</v>
      </c>
      <c r="E552" s="180">
        <v>227.81</v>
      </c>
      <c r="F552" s="180">
        <v>4.6100000000000003</v>
      </c>
      <c r="G552" s="181"/>
    </row>
    <row r="553" spans="1:7" x14ac:dyDescent="0.25">
      <c r="A553" s="180">
        <v>2020</v>
      </c>
      <c r="B553" s="181" t="s">
        <v>495</v>
      </c>
      <c r="C553" s="180">
        <v>6</v>
      </c>
      <c r="D553" s="180">
        <v>57.78</v>
      </c>
      <c r="E553" s="180">
        <v>223.89</v>
      </c>
      <c r="F553" s="180">
        <v>3.53</v>
      </c>
      <c r="G553" s="181"/>
    </row>
    <row r="554" spans="1:7" x14ac:dyDescent="0.25">
      <c r="A554" s="180">
        <v>2020</v>
      </c>
      <c r="B554" s="181" t="s">
        <v>495</v>
      </c>
      <c r="C554" s="180">
        <v>6</v>
      </c>
      <c r="D554" s="180">
        <v>49.52</v>
      </c>
      <c r="E554" s="180">
        <v>256.45</v>
      </c>
      <c r="F554" s="180">
        <v>4.3899999999999997</v>
      </c>
      <c r="G554" s="181"/>
    </row>
    <row r="555" spans="1:7" x14ac:dyDescent="0.25">
      <c r="A555" s="180">
        <v>2020</v>
      </c>
      <c r="B555" s="181" t="s">
        <v>495</v>
      </c>
      <c r="C555" s="180">
        <v>7</v>
      </c>
      <c r="D555" s="180">
        <v>53.23</v>
      </c>
      <c r="E555" s="180">
        <v>191.71</v>
      </c>
      <c r="F555" s="180">
        <v>4.3899999999999997</v>
      </c>
      <c r="G555" s="181"/>
    </row>
    <row r="556" spans="1:7" x14ac:dyDescent="0.25">
      <c r="A556" s="180">
        <v>2020</v>
      </c>
      <c r="B556" s="181" t="s">
        <v>495</v>
      </c>
      <c r="C556" s="180">
        <v>5</v>
      </c>
      <c r="D556" s="182"/>
      <c r="E556" s="180">
        <v>302.19</v>
      </c>
      <c r="F556" s="180">
        <v>4.92</v>
      </c>
      <c r="G556" s="181"/>
    </row>
    <row r="557" spans="1:7" x14ac:dyDescent="0.25">
      <c r="A557" s="180">
        <v>2020</v>
      </c>
      <c r="B557" s="181" t="s">
        <v>495</v>
      </c>
      <c r="C557" s="182"/>
      <c r="D557" s="180">
        <v>54</v>
      </c>
      <c r="E557" s="180">
        <v>205.85</v>
      </c>
      <c r="F557" s="180">
        <v>3.5</v>
      </c>
      <c r="G557" s="181"/>
    </row>
    <row r="558" spans="1:7" x14ac:dyDescent="0.25">
      <c r="A558" s="180">
        <v>2020</v>
      </c>
      <c r="B558" s="181" t="s">
        <v>495</v>
      </c>
      <c r="C558" s="182"/>
      <c r="D558" s="180">
        <v>55.06</v>
      </c>
      <c r="E558" s="180">
        <v>237.56</v>
      </c>
      <c r="F558" s="180">
        <v>3.58</v>
      </c>
      <c r="G558" s="181"/>
    </row>
    <row r="559" spans="1:7" x14ac:dyDescent="0.25">
      <c r="A559" s="180">
        <v>2021</v>
      </c>
      <c r="B559" s="181" t="s">
        <v>477</v>
      </c>
      <c r="C559" s="180">
        <v>7</v>
      </c>
      <c r="D559" s="180">
        <v>58.31</v>
      </c>
      <c r="E559" s="180">
        <v>273.26</v>
      </c>
      <c r="F559" s="180">
        <v>15.64</v>
      </c>
      <c r="G559" s="181"/>
    </row>
    <row r="560" spans="1:7" x14ac:dyDescent="0.25">
      <c r="A560" s="180">
        <v>2021</v>
      </c>
      <c r="B560" s="181" t="s">
        <v>477</v>
      </c>
      <c r="C560" s="180">
        <v>10</v>
      </c>
      <c r="D560" s="180">
        <v>58.54</v>
      </c>
      <c r="E560" s="180">
        <v>396.6</v>
      </c>
      <c r="F560" s="180">
        <v>18.760000000000002</v>
      </c>
      <c r="G560" s="181"/>
    </row>
    <row r="561" spans="1:7" x14ac:dyDescent="0.25">
      <c r="A561" s="180">
        <v>2021</v>
      </c>
      <c r="B561" s="181" t="s">
        <v>477</v>
      </c>
      <c r="C561" s="180">
        <v>6</v>
      </c>
      <c r="D561" s="180">
        <v>57.19</v>
      </c>
      <c r="E561" s="180">
        <v>454.29</v>
      </c>
      <c r="F561" s="180">
        <v>16.96</v>
      </c>
      <c r="G561" s="181"/>
    </row>
    <row r="562" spans="1:7" x14ac:dyDescent="0.25">
      <c r="A562" s="180">
        <v>2021</v>
      </c>
      <c r="B562" s="181" t="s">
        <v>477</v>
      </c>
      <c r="C562" s="180">
        <v>8</v>
      </c>
      <c r="D562" s="180">
        <v>67.25</v>
      </c>
      <c r="E562" s="180">
        <v>449.41</v>
      </c>
      <c r="F562" s="180">
        <v>17.13</v>
      </c>
      <c r="G562" s="181"/>
    </row>
    <row r="563" spans="1:7" x14ac:dyDescent="0.25">
      <c r="A563" s="180">
        <v>2021</v>
      </c>
      <c r="B563" s="181" t="s">
        <v>477</v>
      </c>
      <c r="C563" s="180">
        <v>6</v>
      </c>
      <c r="D563" s="180">
        <v>54.62</v>
      </c>
      <c r="E563" s="180">
        <v>385.86</v>
      </c>
      <c r="F563" s="180">
        <v>18.12</v>
      </c>
      <c r="G563" s="181"/>
    </row>
    <row r="564" spans="1:7" x14ac:dyDescent="0.25">
      <c r="A564" s="180">
        <v>2021</v>
      </c>
      <c r="B564" s="181" t="s">
        <v>482</v>
      </c>
      <c r="C564" s="180">
        <v>6</v>
      </c>
      <c r="D564" s="180">
        <v>66.099999999999994</v>
      </c>
      <c r="E564" s="180">
        <v>401.53</v>
      </c>
      <c r="F564" s="180">
        <v>15.88</v>
      </c>
      <c r="G564" s="181"/>
    </row>
    <row r="565" spans="1:7" x14ac:dyDescent="0.25">
      <c r="A565" s="180">
        <v>2021</v>
      </c>
      <c r="B565" s="181" t="s">
        <v>482</v>
      </c>
      <c r="C565" s="182"/>
      <c r="D565" s="180">
        <v>66.05</v>
      </c>
      <c r="E565" s="180">
        <v>319.35000000000002</v>
      </c>
      <c r="F565" s="180">
        <v>13.82</v>
      </c>
      <c r="G565" s="181"/>
    </row>
    <row r="566" spans="1:7" x14ac:dyDescent="0.25">
      <c r="A566" s="180">
        <v>2021</v>
      </c>
      <c r="B566" s="181" t="s">
        <v>482</v>
      </c>
      <c r="C566" s="180">
        <v>5</v>
      </c>
      <c r="D566" s="180">
        <v>62.59</v>
      </c>
      <c r="E566" s="182"/>
      <c r="F566" s="180">
        <v>16.66</v>
      </c>
      <c r="G566" s="181"/>
    </row>
    <row r="567" spans="1:7" x14ac:dyDescent="0.25">
      <c r="A567" s="180">
        <v>2021</v>
      </c>
      <c r="B567" s="181" t="s">
        <v>482</v>
      </c>
      <c r="C567" s="180">
        <v>5</v>
      </c>
      <c r="D567" s="180">
        <v>72.16</v>
      </c>
      <c r="E567" s="180">
        <v>381.22</v>
      </c>
      <c r="F567" s="180">
        <v>16.809999999999999</v>
      </c>
      <c r="G567" s="181"/>
    </row>
    <row r="568" spans="1:7" x14ac:dyDescent="0.25">
      <c r="A568" s="180">
        <v>2021</v>
      </c>
      <c r="B568" s="181" t="s">
        <v>482</v>
      </c>
      <c r="C568" s="180">
        <v>5</v>
      </c>
      <c r="D568" s="180">
        <v>81.680000000000007</v>
      </c>
      <c r="E568" s="180">
        <v>412.91</v>
      </c>
      <c r="F568" s="180">
        <v>17.22</v>
      </c>
      <c r="G568" s="181"/>
    </row>
    <row r="569" spans="1:7" x14ac:dyDescent="0.25">
      <c r="A569" s="180">
        <v>2021</v>
      </c>
      <c r="B569" s="181" t="s">
        <v>482</v>
      </c>
      <c r="C569" s="180">
        <v>4</v>
      </c>
      <c r="D569" s="180">
        <v>79.37</v>
      </c>
      <c r="E569" s="180">
        <v>340.28</v>
      </c>
      <c r="F569" s="180">
        <v>14.2</v>
      </c>
      <c r="G569" s="181"/>
    </row>
    <row r="570" spans="1:7" x14ac:dyDescent="0.25">
      <c r="A570" s="180">
        <v>2021</v>
      </c>
      <c r="B570" s="181" t="s">
        <v>481</v>
      </c>
      <c r="C570" s="180">
        <v>6</v>
      </c>
      <c r="D570" s="180">
        <v>78.989999999999995</v>
      </c>
      <c r="E570" s="180">
        <v>309.08</v>
      </c>
      <c r="F570" s="180">
        <v>10.74</v>
      </c>
      <c r="G570" s="181"/>
    </row>
    <row r="571" spans="1:7" x14ac:dyDescent="0.25">
      <c r="A571" s="180">
        <v>2021</v>
      </c>
      <c r="B571" s="181" t="s">
        <v>481</v>
      </c>
      <c r="C571" s="180">
        <v>6</v>
      </c>
      <c r="D571" s="180">
        <v>78.989999999999995</v>
      </c>
      <c r="E571" s="180">
        <v>309.08</v>
      </c>
      <c r="F571" s="180">
        <v>10.74</v>
      </c>
      <c r="G571" s="181"/>
    </row>
    <row r="572" spans="1:7" x14ac:dyDescent="0.25">
      <c r="A572" s="180">
        <v>2021</v>
      </c>
      <c r="B572" s="181" t="s">
        <v>481</v>
      </c>
      <c r="C572" s="180">
        <v>6</v>
      </c>
      <c r="D572" s="180">
        <v>76.760000000000005</v>
      </c>
      <c r="E572" s="180">
        <v>248.67</v>
      </c>
      <c r="F572" s="180">
        <v>10.9</v>
      </c>
      <c r="G572" s="181"/>
    </row>
    <row r="573" spans="1:7" x14ac:dyDescent="0.25">
      <c r="A573" s="180">
        <v>2021</v>
      </c>
      <c r="B573" s="181" t="s">
        <v>481</v>
      </c>
      <c r="C573" s="180">
        <v>6</v>
      </c>
      <c r="D573" s="180">
        <v>76.760000000000005</v>
      </c>
      <c r="E573" s="180">
        <v>248.67</v>
      </c>
      <c r="F573" s="180">
        <v>10.9</v>
      </c>
      <c r="G573" s="181"/>
    </row>
    <row r="574" spans="1:7" x14ac:dyDescent="0.25">
      <c r="A574" s="180">
        <v>2021</v>
      </c>
      <c r="B574" s="181" t="s">
        <v>481</v>
      </c>
      <c r="C574" s="180">
        <v>6</v>
      </c>
      <c r="D574" s="182"/>
      <c r="E574" s="182"/>
      <c r="F574" s="180">
        <v>19.350000000000001</v>
      </c>
      <c r="G574" s="181"/>
    </row>
    <row r="575" spans="1:7" x14ac:dyDescent="0.25">
      <c r="A575" s="180">
        <v>2021</v>
      </c>
      <c r="B575" s="181" t="s">
        <v>481</v>
      </c>
      <c r="C575" s="180">
        <v>6</v>
      </c>
      <c r="D575" s="182"/>
      <c r="E575" s="182"/>
      <c r="F575" s="180">
        <v>19.350000000000001</v>
      </c>
      <c r="G575" s="181"/>
    </row>
    <row r="576" spans="1:7" x14ac:dyDescent="0.25">
      <c r="A576" s="180">
        <v>2021</v>
      </c>
      <c r="B576" s="181" t="s">
        <v>481</v>
      </c>
      <c r="C576" s="180">
        <v>5</v>
      </c>
      <c r="D576" s="180">
        <v>92.72</v>
      </c>
      <c r="E576" s="180">
        <v>370.66</v>
      </c>
      <c r="F576" s="180">
        <v>18.36</v>
      </c>
      <c r="G576" s="181"/>
    </row>
    <row r="577" spans="1:7" x14ac:dyDescent="0.25">
      <c r="A577" s="180">
        <v>2021</v>
      </c>
      <c r="B577" s="181" t="s">
        <v>481</v>
      </c>
      <c r="C577" s="180">
        <v>5</v>
      </c>
      <c r="D577" s="180">
        <v>92.72</v>
      </c>
      <c r="E577" s="180">
        <v>370.66</v>
      </c>
      <c r="F577" s="180">
        <v>18.36</v>
      </c>
      <c r="G577" s="181"/>
    </row>
    <row r="578" spans="1:7" x14ac:dyDescent="0.25">
      <c r="A578" s="180">
        <v>2021</v>
      </c>
      <c r="B578" s="181" t="s">
        <v>481</v>
      </c>
      <c r="C578" s="182"/>
      <c r="D578" s="180">
        <v>66.39</v>
      </c>
      <c r="E578" s="180">
        <v>253.34</v>
      </c>
      <c r="F578" s="180">
        <v>15.96</v>
      </c>
      <c r="G578" s="181"/>
    </row>
    <row r="579" spans="1:7" x14ac:dyDescent="0.25">
      <c r="A579" s="180">
        <v>2021</v>
      </c>
      <c r="B579" s="181" t="s">
        <v>481</v>
      </c>
      <c r="C579" s="182"/>
      <c r="D579" s="180">
        <v>66.39</v>
      </c>
      <c r="E579" s="180">
        <v>253.34</v>
      </c>
      <c r="F579" s="180">
        <v>15.96</v>
      </c>
      <c r="G579" s="181"/>
    </row>
    <row r="580" spans="1:7" x14ac:dyDescent="0.25">
      <c r="A580" s="180">
        <v>2021</v>
      </c>
      <c r="B580" s="181" t="s">
        <v>481</v>
      </c>
      <c r="C580" s="180">
        <v>6</v>
      </c>
      <c r="D580" s="180">
        <v>65.569999999999993</v>
      </c>
      <c r="E580" s="180">
        <v>290.54000000000002</v>
      </c>
      <c r="F580" s="180">
        <v>16.45</v>
      </c>
      <c r="G580" s="181"/>
    </row>
    <row r="581" spans="1:7" x14ac:dyDescent="0.25">
      <c r="A581" s="180">
        <v>2021</v>
      </c>
      <c r="B581" s="181" t="s">
        <v>481</v>
      </c>
      <c r="C581" s="180">
        <v>6</v>
      </c>
      <c r="D581" s="180">
        <v>65.569999999999993</v>
      </c>
      <c r="E581" s="180">
        <v>290.54000000000002</v>
      </c>
      <c r="F581" s="180">
        <v>16.45</v>
      </c>
      <c r="G581" s="181"/>
    </row>
    <row r="582" spans="1:7" x14ac:dyDescent="0.25">
      <c r="A582" s="180">
        <v>2021</v>
      </c>
      <c r="B582" s="181" t="s">
        <v>512</v>
      </c>
      <c r="C582" s="180">
        <v>7</v>
      </c>
      <c r="D582" s="180">
        <v>87.37</v>
      </c>
      <c r="E582" s="180">
        <v>433.35</v>
      </c>
      <c r="F582" s="180">
        <v>15.52</v>
      </c>
      <c r="G582" s="181"/>
    </row>
    <row r="583" spans="1:7" x14ac:dyDescent="0.25">
      <c r="A583" s="180">
        <v>2021</v>
      </c>
      <c r="B583" s="181" t="s">
        <v>512</v>
      </c>
      <c r="C583" s="180">
        <v>8</v>
      </c>
      <c r="D583" s="180">
        <v>94.98</v>
      </c>
      <c r="E583" s="180">
        <v>434.86</v>
      </c>
      <c r="F583" s="180">
        <v>15.07</v>
      </c>
      <c r="G583" s="181"/>
    </row>
    <row r="584" spans="1:7" x14ac:dyDescent="0.25">
      <c r="A584" s="180">
        <v>2021</v>
      </c>
      <c r="B584" s="181" t="s">
        <v>512</v>
      </c>
      <c r="C584" s="180">
        <v>6</v>
      </c>
      <c r="D584" s="180">
        <v>92.12</v>
      </c>
      <c r="E584" s="180">
        <v>354.33</v>
      </c>
      <c r="F584" s="180">
        <v>15.1</v>
      </c>
      <c r="G584" s="181"/>
    </row>
    <row r="585" spans="1:7" x14ac:dyDescent="0.25">
      <c r="A585" s="180">
        <v>2021</v>
      </c>
      <c r="B585" s="181" t="s">
        <v>512</v>
      </c>
      <c r="C585" s="182"/>
      <c r="D585" s="180">
        <v>88.61</v>
      </c>
      <c r="E585" s="182"/>
      <c r="F585" s="180">
        <v>15.02</v>
      </c>
      <c r="G585" s="181"/>
    </row>
    <row r="586" spans="1:7" x14ac:dyDescent="0.25">
      <c r="A586" s="180">
        <v>2021</v>
      </c>
      <c r="B586" s="181" t="s">
        <v>512</v>
      </c>
      <c r="C586" s="180">
        <v>11</v>
      </c>
      <c r="D586" s="182"/>
      <c r="E586" s="180">
        <v>337.63</v>
      </c>
      <c r="F586" s="180">
        <v>16.2</v>
      </c>
      <c r="G586" s="181"/>
    </row>
    <row r="587" spans="1:7" x14ac:dyDescent="0.25">
      <c r="A587" s="180">
        <v>2021</v>
      </c>
      <c r="B587" s="181" t="s">
        <v>512</v>
      </c>
      <c r="C587" s="180">
        <v>6</v>
      </c>
      <c r="D587" s="180">
        <v>85.33</v>
      </c>
      <c r="E587" s="180">
        <v>342.21</v>
      </c>
      <c r="F587" s="180">
        <v>17.12</v>
      </c>
      <c r="G587" s="181"/>
    </row>
    <row r="588" spans="1:7" x14ac:dyDescent="0.25">
      <c r="A588" s="180">
        <v>2021</v>
      </c>
      <c r="B588" s="181" t="s">
        <v>492</v>
      </c>
      <c r="C588" s="180">
        <v>6</v>
      </c>
      <c r="D588" s="180">
        <v>65.790000000000006</v>
      </c>
      <c r="E588" s="180">
        <v>200.63</v>
      </c>
      <c r="F588" s="180">
        <v>13.9</v>
      </c>
      <c r="G588" s="181"/>
    </row>
    <row r="589" spans="1:7" x14ac:dyDescent="0.25">
      <c r="A589" s="180">
        <v>2021</v>
      </c>
      <c r="B589" s="181" t="s">
        <v>492</v>
      </c>
      <c r="C589" s="180">
        <v>6</v>
      </c>
      <c r="D589" s="180">
        <v>78.95</v>
      </c>
      <c r="E589" s="180">
        <v>270.93</v>
      </c>
      <c r="F589" s="180">
        <v>12.9</v>
      </c>
      <c r="G589" s="181"/>
    </row>
    <row r="590" spans="1:7" x14ac:dyDescent="0.25">
      <c r="A590" s="180">
        <v>2021</v>
      </c>
      <c r="B590" s="181" t="s">
        <v>492</v>
      </c>
      <c r="C590" s="180">
        <v>8</v>
      </c>
      <c r="D590" s="180">
        <v>71.17</v>
      </c>
      <c r="E590" s="180">
        <v>253.82</v>
      </c>
      <c r="F590" s="180">
        <v>12.84</v>
      </c>
      <c r="G590" s="181"/>
    </row>
    <row r="591" spans="1:7" x14ac:dyDescent="0.25">
      <c r="A591" s="180">
        <v>2021</v>
      </c>
      <c r="B591" s="181" t="s">
        <v>492</v>
      </c>
      <c r="C591" s="180">
        <v>7</v>
      </c>
      <c r="D591" s="180">
        <v>64.63</v>
      </c>
      <c r="E591" s="180">
        <v>320.02999999999997</v>
      </c>
      <c r="F591" s="180">
        <v>11.29</v>
      </c>
      <c r="G591" s="181"/>
    </row>
    <row r="592" spans="1:7" x14ac:dyDescent="0.25">
      <c r="A592" s="180">
        <v>2021</v>
      </c>
      <c r="B592" s="181" t="s">
        <v>492</v>
      </c>
      <c r="C592" s="180">
        <v>5</v>
      </c>
      <c r="D592" s="180">
        <v>85.33</v>
      </c>
      <c r="E592" s="180">
        <v>382.41</v>
      </c>
      <c r="F592" s="180">
        <v>13.48</v>
      </c>
      <c r="G592" s="181"/>
    </row>
    <row r="593" spans="1:7" x14ac:dyDescent="0.25">
      <c r="A593" s="180">
        <v>2021</v>
      </c>
      <c r="B593" s="181" t="s">
        <v>492</v>
      </c>
      <c r="C593" s="182"/>
      <c r="D593" s="182"/>
      <c r="E593" s="180">
        <v>347.56</v>
      </c>
      <c r="F593" s="180">
        <v>13.87</v>
      </c>
      <c r="G593" s="181"/>
    </row>
    <row r="594" spans="1:7" x14ac:dyDescent="0.25">
      <c r="A594" s="180">
        <v>2021</v>
      </c>
      <c r="B594" s="181" t="s">
        <v>493</v>
      </c>
      <c r="C594" s="180">
        <v>6</v>
      </c>
      <c r="D594" s="180">
        <v>61.26</v>
      </c>
      <c r="E594" s="180">
        <v>368.41</v>
      </c>
      <c r="F594" s="182"/>
      <c r="G594" s="181"/>
    </row>
    <row r="595" spans="1:7" x14ac:dyDescent="0.25">
      <c r="A595" s="180">
        <v>2021</v>
      </c>
      <c r="B595" s="181" t="s">
        <v>493</v>
      </c>
      <c r="C595" s="180">
        <v>5</v>
      </c>
      <c r="D595" s="180">
        <v>62.54</v>
      </c>
      <c r="E595" s="180">
        <v>299.58</v>
      </c>
      <c r="F595" s="180">
        <v>13.82</v>
      </c>
      <c r="G595" s="181"/>
    </row>
    <row r="596" spans="1:7" x14ac:dyDescent="0.25">
      <c r="A596" s="180">
        <v>2021</v>
      </c>
      <c r="B596" s="181" t="s">
        <v>493</v>
      </c>
      <c r="C596" s="180">
        <v>6</v>
      </c>
      <c r="D596" s="180">
        <v>61.62</v>
      </c>
      <c r="E596" s="182"/>
      <c r="F596" s="180">
        <v>11.04</v>
      </c>
      <c r="G596" s="181"/>
    </row>
    <row r="597" spans="1:7" x14ac:dyDescent="0.25">
      <c r="A597" s="180">
        <v>2021</v>
      </c>
      <c r="B597" s="181" t="s">
        <v>493</v>
      </c>
      <c r="C597" s="182"/>
      <c r="D597" s="180">
        <v>57.49</v>
      </c>
      <c r="E597" s="180">
        <v>420.23</v>
      </c>
      <c r="F597" s="180">
        <v>11.9</v>
      </c>
      <c r="G597" s="181"/>
    </row>
    <row r="598" spans="1:7" x14ac:dyDescent="0.25">
      <c r="A598" s="180">
        <v>2021</v>
      </c>
      <c r="B598" s="181" t="s">
        <v>493</v>
      </c>
      <c r="C598" s="180">
        <v>6</v>
      </c>
      <c r="D598" s="180">
        <v>60.52</v>
      </c>
      <c r="E598" s="180">
        <v>373.74</v>
      </c>
      <c r="F598" s="180">
        <v>12.9</v>
      </c>
      <c r="G598" s="181"/>
    </row>
    <row r="599" spans="1:7" x14ac:dyDescent="0.25">
      <c r="A599" s="180">
        <v>2021</v>
      </c>
      <c r="B599" s="181" t="s">
        <v>493</v>
      </c>
      <c r="C599" s="180">
        <v>9</v>
      </c>
      <c r="D599" s="180">
        <v>55.77</v>
      </c>
      <c r="E599" s="180">
        <v>357.45</v>
      </c>
      <c r="F599" s="180">
        <v>13.69</v>
      </c>
      <c r="G599" s="181"/>
    </row>
    <row r="600" spans="1:7" x14ac:dyDescent="0.25">
      <c r="A600" s="180">
        <v>2021</v>
      </c>
      <c r="B600" s="181" t="s">
        <v>494</v>
      </c>
      <c r="C600" s="180">
        <v>5</v>
      </c>
      <c r="D600" s="180">
        <v>57.26</v>
      </c>
      <c r="E600" s="180">
        <v>321.89999999999998</v>
      </c>
      <c r="F600" s="180">
        <v>14.78</v>
      </c>
      <c r="G600" s="181"/>
    </row>
    <row r="601" spans="1:7" x14ac:dyDescent="0.25">
      <c r="A601" s="180">
        <v>2021</v>
      </c>
      <c r="B601" s="181" t="s">
        <v>494</v>
      </c>
      <c r="C601" s="180">
        <v>5</v>
      </c>
      <c r="D601" s="180">
        <v>62.67</v>
      </c>
      <c r="E601" s="180">
        <v>293.89999999999998</v>
      </c>
      <c r="F601" s="180">
        <v>14.82</v>
      </c>
      <c r="G601" s="181"/>
    </row>
    <row r="602" spans="1:7" x14ac:dyDescent="0.25">
      <c r="A602" s="180">
        <v>2021</v>
      </c>
      <c r="B602" s="181" t="s">
        <v>494</v>
      </c>
      <c r="C602" s="180">
        <v>6</v>
      </c>
      <c r="D602" s="180">
        <v>62.47</v>
      </c>
      <c r="E602" s="180">
        <v>323.19</v>
      </c>
      <c r="F602" s="180">
        <v>11.09</v>
      </c>
      <c r="G602" s="181"/>
    </row>
    <row r="603" spans="1:7" x14ac:dyDescent="0.25">
      <c r="A603" s="180">
        <v>2021</v>
      </c>
      <c r="B603" s="181" t="s">
        <v>494</v>
      </c>
      <c r="C603" s="180">
        <v>7</v>
      </c>
      <c r="D603" s="180">
        <v>53.91</v>
      </c>
      <c r="E603" s="180">
        <v>259.06</v>
      </c>
      <c r="F603" s="180">
        <v>11.49</v>
      </c>
      <c r="G603" s="181"/>
    </row>
    <row r="604" spans="1:7" x14ac:dyDescent="0.25">
      <c r="A604" s="180">
        <v>2021</v>
      </c>
      <c r="B604" s="181" t="s">
        <v>494</v>
      </c>
      <c r="C604" s="182"/>
      <c r="D604" s="180">
        <v>53.11</v>
      </c>
      <c r="E604" s="180">
        <v>263.82</v>
      </c>
      <c r="F604" s="180">
        <v>13.32</v>
      </c>
      <c r="G604" s="181"/>
    </row>
    <row r="605" spans="1:7" x14ac:dyDescent="0.25">
      <c r="A605" s="180">
        <v>2021</v>
      </c>
      <c r="B605" s="181" t="s">
        <v>494</v>
      </c>
      <c r="C605" s="180">
        <v>8</v>
      </c>
      <c r="D605" s="180">
        <v>59.54</v>
      </c>
      <c r="E605" s="180">
        <v>299.89</v>
      </c>
      <c r="F605" s="182"/>
      <c r="G605" s="181"/>
    </row>
    <row r="606" spans="1:7" x14ac:dyDescent="0.25">
      <c r="A606" s="180">
        <v>2021</v>
      </c>
      <c r="B606" s="181" t="s">
        <v>495</v>
      </c>
      <c r="C606" s="180">
        <v>6</v>
      </c>
      <c r="D606" s="180">
        <v>91.16</v>
      </c>
      <c r="E606" s="180">
        <v>448.33</v>
      </c>
      <c r="F606" s="180">
        <v>18.29</v>
      </c>
      <c r="G606" s="181"/>
    </row>
    <row r="607" spans="1:7" x14ac:dyDescent="0.25">
      <c r="A607" s="180">
        <v>2021</v>
      </c>
      <c r="B607" s="181" t="s">
        <v>495</v>
      </c>
      <c r="C607" s="180">
        <v>6</v>
      </c>
      <c r="D607" s="180">
        <v>89.54</v>
      </c>
      <c r="E607" s="180">
        <v>425.39</v>
      </c>
      <c r="F607" s="180">
        <v>17.309999999999999</v>
      </c>
      <c r="G607" s="181"/>
    </row>
    <row r="608" spans="1:7" x14ac:dyDescent="0.25">
      <c r="A608" s="180">
        <v>2021</v>
      </c>
      <c r="B608" s="181" t="s">
        <v>495</v>
      </c>
      <c r="C608" s="180">
        <v>6</v>
      </c>
      <c r="D608" s="180">
        <v>75.91</v>
      </c>
      <c r="E608" s="180">
        <v>363.24</v>
      </c>
      <c r="F608" s="180">
        <v>15.34</v>
      </c>
      <c r="G608" s="181"/>
    </row>
    <row r="609" spans="1:7" x14ac:dyDescent="0.25">
      <c r="A609" s="180">
        <v>2021</v>
      </c>
      <c r="B609" s="181" t="s">
        <v>495</v>
      </c>
      <c r="C609" s="180">
        <v>8</v>
      </c>
      <c r="D609" s="180">
        <v>83.19</v>
      </c>
      <c r="E609" s="180">
        <v>394.6</v>
      </c>
      <c r="F609" s="180">
        <v>16.95</v>
      </c>
      <c r="G609" s="181"/>
    </row>
    <row r="610" spans="1:7" x14ac:dyDescent="0.25">
      <c r="A610" s="180">
        <v>2021</v>
      </c>
      <c r="B610" s="181" t="s">
        <v>495</v>
      </c>
      <c r="C610" s="180">
        <v>6</v>
      </c>
      <c r="D610" s="180">
        <v>77.16</v>
      </c>
      <c r="E610" s="180">
        <v>390.48</v>
      </c>
      <c r="F610" s="180">
        <v>16.7</v>
      </c>
      <c r="G610" s="181"/>
    </row>
    <row r="611" spans="1:7" x14ac:dyDescent="0.25">
      <c r="A611" s="180">
        <v>2021</v>
      </c>
      <c r="B611" s="181" t="s">
        <v>493</v>
      </c>
      <c r="C611" s="180">
        <v>15</v>
      </c>
      <c r="D611" s="180">
        <v>99.35</v>
      </c>
      <c r="E611" s="180">
        <v>442</v>
      </c>
      <c r="F611" s="180">
        <v>12.83</v>
      </c>
      <c r="G611" s="181"/>
    </row>
    <row r="612" spans="1:7" x14ac:dyDescent="0.25">
      <c r="A612" s="180">
        <v>2021</v>
      </c>
      <c r="B612" s="181" t="s">
        <v>493</v>
      </c>
      <c r="C612" s="180">
        <v>15</v>
      </c>
      <c r="D612" s="180">
        <v>99.47</v>
      </c>
      <c r="E612" s="180">
        <v>439.74</v>
      </c>
      <c r="F612" s="180">
        <v>13.26</v>
      </c>
      <c r="G612" s="181"/>
    </row>
    <row r="613" spans="1:7" x14ac:dyDescent="0.25">
      <c r="A613" s="180">
        <v>2021</v>
      </c>
      <c r="B613" s="181" t="s">
        <v>493</v>
      </c>
      <c r="C613" s="180">
        <v>16</v>
      </c>
      <c r="D613" s="180">
        <v>96.71</v>
      </c>
      <c r="E613" s="180">
        <v>394.96</v>
      </c>
      <c r="F613" s="180">
        <v>11.78</v>
      </c>
      <c r="G613" s="181"/>
    </row>
    <row r="614" spans="1:7" x14ac:dyDescent="0.25">
      <c r="A614" s="180">
        <v>2021</v>
      </c>
      <c r="B614" s="181" t="s">
        <v>493</v>
      </c>
      <c r="C614" s="180">
        <v>17</v>
      </c>
      <c r="D614" s="180">
        <v>96.87</v>
      </c>
      <c r="E614" s="180">
        <v>353.07</v>
      </c>
      <c r="F614" s="180">
        <v>12.03</v>
      </c>
      <c r="G614" s="181"/>
    </row>
    <row r="615" spans="1:7" x14ac:dyDescent="0.25">
      <c r="A615" s="180">
        <v>2021</v>
      </c>
      <c r="B615" s="181" t="s">
        <v>493</v>
      </c>
      <c r="C615" s="180">
        <v>14</v>
      </c>
      <c r="D615" s="180">
        <v>97.98</v>
      </c>
      <c r="E615" s="180">
        <v>371.05</v>
      </c>
      <c r="F615" s="180">
        <v>10.43</v>
      </c>
      <c r="G615" s="181"/>
    </row>
    <row r="616" spans="1:7" x14ac:dyDescent="0.25">
      <c r="A616" s="180">
        <v>2021</v>
      </c>
      <c r="B616" s="181" t="s">
        <v>477</v>
      </c>
      <c r="C616" s="180">
        <v>8</v>
      </c>
      <c r="D616" s="182"/>
      <c r="E616" s="180">
        <v>263.05</v>
      </c>
      <c r="F616" s="180">
        <v>10.85</v>
      </c>
      <c r="G616" s="181"/>
    </row>
    <row r="617" spans="1:7" x14ac:dyDescent="0.25">
      <c r="A617" s="180">
        <v>2021</v>
      </c>
      <c r="B617" s="181" t="s">
        <v>477</v>
      </c>
      <c r="C617" s="182"/>
      <c r="D617" s="180">
        <v>77.239999999999995</v>
      </c>
      <c r="E617" s="180">
        <v>191.35</v>
      </c>
      <c r="F617" s="180">
        <v>8.2100000000000009</v>
      </c>
      <c r="G617" s="181"/>
    </row>
    <row r="618" spans="1:7" x14ac:dyDescent="0.25">
      <c r="A618" s="180">
        <v>2021</v>
      </c>
      <c r="B618" s="181" t="s">
        <v>477</v>
      </c>
      <c r="C618" s="180">
        <v>8</v>
      </c>
      <c r="D618" s="180">
        <v>74.72</v>
      </c>
      <c r="E618" s="180">
        <v>283.18</v>
      </c>
      <c r="F618" s="180">
        <v>7.27</v>
      </c>
      <c r="G618" s="181"/>
    </row>
    <row r="619" spans="1:7" x14ac:dyDescent="0.25">
      <c r="A619" s="180">
        <v>2021</v>
      </c>
      <c r="B619" s="181" t="s">
        <v>477</v>
      </c>
      <c r="C619" s="180">
        <v>12</v>
      </c>
      <c r="D619" s="180">
        <v>80.33</v>
      </c>
      <c r="E619" s="180">
        <v>261.35000000000002</v>
      </c>
      <c r="F619" s="180">
        <v>10.15</v>
      </c>
      <c r="G619" s="181"/>
    </row>
    <row r="620" spans="1:7" x14ac:dyDescent="0.25">
      <c r="A620" s="180">
        <v>2021</v>
      </c>
      <c r="B620" s="181" t="s">
        <v>477</v>
      </c>
      <c r="C620" s="180">
        <v>9</v>
      </c>
      <c r="D620" s="180">
        <v>72.05</v>
      </c>
      <c r="E620" s="180">
        <v>267.77</v>
      </c>
      <c r="F620" s="180">
        <v>8.06</v>
      </c>
      <c r="G620" s="181"/>
    </row>
    <row r="621" spans="1:7" x14ac:dyDescent="0.25">
      <c r="A621" s="180">
        <v>2021</v>
      </c>
      <c r="B621" s="181" t="s">
        <v>477</v>
      </c>
      <c r="C621" s="180">
        <v>11</v>
      </c>
      <c r="D621" s="180">
        <v>87.52</v>
      </c>
      <c r="E621" s="180">
        <v>181.34</v>
      </c>
      <c r="F621" s="180">
        <v>8.75</v>
      </c>
      <c r="G621" s="181"/>
    </row>
    <row r="622" spans="1:7" x14ac:dyDescent="0.25">
      <c r="A622" s="180">
        <v>2021</v>
      </c>
      <c r="B622" s="181" t="s">
        <v>494</v>
      </c>
      <c r="C622" s="180">
        <v>8</v>
      </c>
      <c r="D622" s="180">
        <v>81.34</v>
      </c>
      <c r="E622" s="182"/>
      <c r="F622" s="182"/>
      <c r="G622" s="181"/>
    </row>
    <row r="623" spans="1:7" x14ac:dyDescent="0.25">
      <c r="A623" s="180">
        <v>2021</v>
      </c>
      <c r="B623" s="181" t="s">
        <v>494</v>
      </c>
      <c r="C623" s="180">
        <v>10</v>
      </c>
      <c r="D623" s="180">
        <v>74.38</v>
      </c>
      <c r="E623" s="180">
        <v>247.89</v>
      </c>
      <c r="F623" s="180">
        <v>11.31</v>
      </c>
      <c r="G623" s="181"/>
    </row>
    <row r="624" spans="1:7" x14ac:dyDescent="0.25">
      <c r="A624" s="180">
        <v>2021</v>
      </c>
      <c r="B624" s="181" t="s">
        <v>494</v>
      </c>
      <c r="C624" s="180">
        <v>14</v>
      </c>
      <c r="D624" s="180">
        <v>80.739999999999995</v>
      </c>
      <c r="E624" s="180">
        <v>191.55</v>
      </c>
      <c r="F624" s="180">
        <v>8.6</v>
      </c>
      <c r="G624" s="181"/>
    </row>
    <row r="625" spans="1:7" x14ac:dyDescent="0.25">
      <c r="A625" s="180">
        <v>2021</v>
      </c>
      <c r="B625" s="181" t="s">
        <v>494</v>
      </c>
      <c r="C625" s="180">
        <v>15</v>
      </c>
      <c r="D625" s="180">
        <v>85.92</v>
      </c>
      <c r="E625" s="180">
        <v>172.99</v>
      </c>
      <c r="F625" s="180">
        <v>7.66</v>
      </c>
      <c r="G625" s="181"/>
    </row>
    <row r="626" spans="1:7" x14ac:dyDescent="0.25">
      <c r="A626" s="180">
        <v>2021</v>
      </c>
      <c r="B626" s="181" t="s">
        <v>494</v>
      </c>
      <c r="C626" s="180">
        <v>11</v>
      </c>
      <c r="D626" s="180">
        <v>67.91</v>
      </c>
      <c r="E626" s="180">
        <v>258.77</v>
      </c>
      <c r="F626" s="180">
        <v>7.48</v>
      </c>
      <c r="G626" s="181"/>
    </row>
    <row r="627" spans="1:7" x14ac:dyDescent="0.25">
      <c r="A627" s="180">
        <v>2021</v>
      </c>
      <c r="B627" s="181" t="s">
        <v>494</v>
      </c>
      <c r="C627" s="180">
        <v>10</v>
      </c>
      <c r="D627" s="182"/>
      <c r="E627" s="180">
        <v>202.13</v>
      </c>
      <c r="F627" s="180">
        <v>10.24</v>
      </c>
      <c r="G627" s="181"/>
    </row>
    <row r="628" spans="1:7" x14ac:dyDescent="0.25">
      <c r="A628" s="180">
        <v>2021</v>
      </c>
      <c r="B628" s="181" t="s">
        <v>495</v>
      </c>
      <c r="C628" s="180">
        <v>10</v>
      </c>
      <c r="D628" s="182"/>
      <c r="E628" s="180">
        <v>305.35000000000002</v>
      </c>
      <c r="F628" s="180">
        <v>8.1</v>
      </c>
      <c r="G628" s="181"/>
    </row>
    <row r="629" spans="1:7" x14ac:dyDescent="0.25">
      <c r="A629" s="180">
        <v>2021</v>
      </c>
      <c r="B629" s="181" t="s">
        <v>495</v>
      </c>
      <c r="C629" s="180">
        <v>9</v>
      </c>
      <c r="D629" s="180">
        <v>96.84</v>
      </c>
      <c r="E629" s="180">
        <v>301.77</v>
      </c>
      <c r="F629" s="180">
        <v>11.95</v>
      </c>
      <c r="G629" s="181"/>
    </row>
    <row r="630" spans="1:7" x14ac:dyDescent="0.25">
      <c r="A630" s="180">
        <v>2021</v>
      </c>
      <c r="B630" s="181" t="s">
        <v>495</v>
      </c>
      <c r="C630" s="180">
        <v>8</v>
      </c>
      <c r="D630" s="180">
        <v>94.52</v>
      </c>
      <c r="E630" s="182"/>
      <c r="F630" s="180">
        <v>9.0299999999999994</v>
      </c>
      <c r="G630" s="181"/>
    </row>
    <row r="631" spans="1:7" x14ac:dyDescent="0.25">
      <c r="A631" s="180">
        <v>2021</v>
      </c>
      <c r="B631" s="181" t="s">
        <v>495</v>
      </c>
      <c r="C631" s="180">
        <v>11</v>
      </c>
      <c r="D631" s="180">
        <v>97.76</v>
      </c>
      <c r="E631" s="180">
        <v>313.92</v>
      </c>
      <c r="F631" s="180">
        <v>8.93</v>
      </c>
      <c r="G631" s="181"/>
    </row>
    <row r="632" spans="1:7" x14ac:dyDescent="0.25">
      <c r="A632" s="180">
        <v>2021</v>
      </c>
      <c r="B632" s="181" t="s">
        <v>495</v>
      </c>
      <c r="C632" s="180">
        <v>7</v>
      </c>
      <c r="D632" s="180">
        <v>97.82</v>
      </c>
      <c r="E632" s="180">
        <v>279.25</v>
      </c>
      <c r="F632" s="180">
        <v>7.85</v>
      </c>
      <c r="G632" s="181"/>
    </row>
    <row r="633" spans="1:7" x14ac:dyDescent="0.25">
      <c r="A633" s="180">
        <v>2021</v>
      </c>
      <c r="B633" s="181" t="s">
        <v>495</v>
      </c>
      <c r="C633" s="180">
        <v>10</v>
      </c>
      <c r="D633" s="180">
        <v>102.62</v>
      </c>
      <c r="E633" s="180">
        <v>282.95</v>
      </c>
      <c r="F633" s="182"/>
      <c r="G633" s="181"/>
    </row>
    <row r="634" spans="1:7" x14ac:dyDescent="0.25">
      <c r="A634" s="180">
        <v>2021</v>
      </c>
      <c r="B634" s="181" t="s">
        <v>482</v>
      </c>
      <c r="C634" s="180">
        <v>9</v>
      </c>
      <c r="D634" s="180">
        <v>108.13</v>
      </c>
      <c r="E634" s="180">
        <v>231.48</v>
      </c>
      <c r="F634" s="180">
        <v>8.42</v>
      </c>
      <c r="G634" s="181"/>
    </row>
    <row r="635" spans="1:7" x14ac:dyDescent="0.25">
      <c r="A635" s="180">
        <v>2021</v>
      </c>
      <c r="B635" s="181" t="s">
        <v>482</v>
      </c>
      <c r="C635" s="180">
        <v>11</v>
      </c>
      <c r="D635" s="182"/>
      <c r="E635" s="180">
        <v>224.26</v>
      </c>
      <c r="F635" s="180">
        <v>9.06</v>
      </c>
      <c r="G635" s="181"/>
    </row>
    <row r="636" spans="1:7" x14ac:dyDescent="0.25">
      <c r="A636" s="180">
        <v>2021</v>
      </c>
      <c r="B636" s="181" t="s">
        <v>482</v>
      </c>
      <c r="C636" s="180">
        <v>13</v>
      </c>
      <c r="D636" s="180">
        <v>107.25</v>
      </c>
      <c r="E636" s="180">
        <v>370.26</v>
      </c>
      <c r="F636" s="180">
        <v>10.86</v>
      </c>
      <c r="G636" s="181"/>
    </row>
    <row r="637" spans="1:7" x14ac:dyDescent="0.25">
      <c r="A637" s="180">
        <v>2021</v>
      </c>
      <c r="B637" s="181" t="s">
        <v>482</v>
      </c>
      <c r="C637" s="180">
        <v>8</v>
      </c>
      <c r="D637" s="180">
        <v>119.71</v>
      </c>
      <c r="E637" s="180">
        <v>284.89</v>
      </c>
      <c r="F637" s="180">
        <v>9.18</v>
      </c>
      <c r="G637" s="181"/>
    </row>
    <row r="638" spans="1:7" x14ac:dyDescent="0.25">
      <c r="A638" s="180">
        <v>2021</v>
      </c>
      <c r="B638" s="181" t="s">
        <v>482</v>
      </c>
      <c r="C638" s="180">
        <v>12</v>
      </c>
      <c r="D638" s="180">
        <v>105.55</v>
      </c>
      <c r="E638" s="180">
        <v>233.36</v>
      </c>
      <c r="F638" s="180">
        <v>7.72</v>
      </c>
      <c r="G638" s="181"/>
    </row>
    <row r="639" spans="1:7" x14ac:dyDescent="0.25">
      <c r="A639" s="180">
        <v>2021</v>
      </c>
      <c r="B639" s="181" t="s">
        <v>482</v>
      </c>
      <c r="C639" s="180">
        <v>8</v>
      </c>
      <c r="D639" s="180">
        <v>109.24</v>
      </c>
      <c r="E639" s="180">
        <v>335.08</v>
      </c>
      <c r="F639" s="180">
        <v>10.7</v>
      </c>
      <c r="G639" s="181"/>
    </row>
    <row r="640" spans="1:7" x14ac:dyDescent="0.25">
      <c r="A640" s="180">
        <v>2021</v>
      </c>
      <c r="B640" s="181" t="s">
        <v>481</v>
      </c>
      <c r="C640" s="180">
        <v>8</v>
      </c>
      <c r="D640" s="180">
        <v>108.4</v>
      </c>
      <c r="E640" s="180">
        <v>178.36</v>
      </c>
      <c r="F640" s="180">
        <v>11.22</v>
      </c>
      <c r="G640" s="181"/>
    </row>
    <row r="641" spans="1:7" x14ac:dyDescent="0.25">
      <c r="A641" s="180">
        <v>2021</v>
      </c>
      <c r="B641" s="181" t="s">
        <v>481</v>
      </c>
      <c r="C641" s="180">
        <v>8</v>
      </c>
      <c r="D641" s="180">
        <v>108.4</v>
      </c>
      <c r="E641" s="180">
        <v>178.36</v>
      </c>
      <c r="F641" s="180">
        <v>11.22</v>
      </c>
      <c r="G641" s="181"/>
    </row>
    <row r="642" spans="1:7" x14ac:dyDescent="0.25">
      <c r="A642" s="180">
        <v>2021</v>
      </c>
      <c r="B642" s="181" t="s">
        <v>481</v>
      </c>
      <c r="C642" s="180">
        <v>9</v>
      </c>
      <c r="D642" s="180">
        <v>87.39</v>
      </c>
      <c r="E642" s="180">
        <v>187.32</v>
      </c>
      <c r="F642" s="180">
        <v>8.5399999999999991</v>
      </c>
      <c r="G642" s="181"/>
    </row>
    <row r="643" spans="1:7" x14ac:dyDescent="0.25">
      <c r="A643" s="180">
        <v>2021</v>
      </c>
      <c r="B643" s="181" t="s">
        <v>481</v>
      </c>
      <c r="C643" s="180">
        <v>9</v>
      </c>
      <c r="D643" s="180">
        <v>87.39</v>
      </c>
      <c r="E643" s="180">
        <v>187.32</v>
      </c>
      <c r="F643" s="180">
        <v>8.5399999999999991</v>
      </c>
      <c r="G643" s="181"/>
    </row>
    <row r="644" spans="1:7" x14ac:dyDescent="0.25">
      <c r="A644" s="180">
        <v>2021</v>
      </c>
      <c r="B644" s="181" t="s">
        <v>481</v>
      </c>
      <c r="C644" s="180">
        <v>8</v>
      </c>
      <c r="D644" s="180">
        <v>107.63</v>
      </c>
      <c r="E644" s="180">
        <v>221.44</v>
      </c>
      <c r="F644" s="180">
        <v>13.54</v>
      </c>
      <c r="G644" s="181"/>
    </row>
    <row r="645" spans="1:7" x14ac:dyDescent="0.25">
      <c r="A645" s="180">
        <v>2021</v>
      </c>
      <c r="B645" s="181" t="s">
        <v>481</v>
      </c>
      <c r="C645" s="180">
        <v>8</v>
      </c>
      <c r="D645" s="180">
        <v>107.63</v>
      </c>
      <c r="E645" s="180">
        <v>221.44</v>
      </c>
      <c r="F645" s="180">
        <v>13.54</v>
      </c>
      <c r="G645" s="181"/>
    </row>
    <row r="646" spans="1:7" x14ac:dyDescent="0.25">
      <c r="A646" s="180">
        <v>2021</v>
      </c>
      <c r="B646" s="181" t="s">
        <v>481</v>
      </c>
      <c r="C646" s="180">
        <v>7</v>
      </c>
      <c r="D646" s="180">
        <v>106.75</v>
      </c>
      <c r="E646" s="180">
        <v>141.19999999999999</v>
      </c>
      <c r="F646" s="180">
        <v>12.33</v>
      </c>
      <c r="G646" s="181"/>
    </row>
    <row r="647" spans="1:7" x14ac:dyDescent="0.25">
      <c r="A647" s="180">
        <v>2021</v>
      </c>
      <c r="B647" s="181" t="s">
        <v>481</v>
      </c>
      <c r="C647" s="180">
        <v>7</v>
      </c>
      <c r="D647" s="180">
        <v>106.75</v>
      </c>
      <c r="E647" s="180">
        <v>141.19999999999999</v>
      </c>
      <c r="F647" s="180">
        <v>12.33</v>
      </c>
      <c r="G647" s="181"/>
    </row>
    <row r="648" spans="1:7" x14ac:dyDescent="0.25">
      <c r="A648" s="180">
        <v>2021</v>
      </c>
      <c r="B648" s="181" t="s">
        <v>481</v>
      </c>
      <c r="C648" s="180">
        <v>8</v>
      </c>
      <c r="D648" s="180">
        <v>96.16</v>
      </c>
      <c r="E648" s="180">
        <v>235.83</v>
      </c>
      <c r="F648" s="180">
        <v>12.03</v>
      </c>
      <c r="G648" s="181"/>
    </row>
    <row r="649" spans="1:7" x14ac:dyDescent="0.25">
      <c r="A649" s="180">
        <v>2021</v>
      </c>
      <c r="B649" s="181" t="s">
        <v>481</v>
      </c>
      <c r="C649" s="180">
        <v>8</v>
      </c>
      <c r="D649" s="180">
        <v>96.16</v>
      </c>
      <c r="E649" s="180">
        <v>235.83</v>
      </c>
      <c r="F649" s="180">
        <v>12.03</v>
      </c>
      <c r="G649" s="181"/>
    </row>
    <row r="650" spans="1:7" x14ac:dyDescent="0.25">
      <c r="A650" s="180">
        <v>2021</v>
      </c>
      <c r="B650" s="181" t="s">
        <v>480</v>
      </c>
      <c r="C650" s="180">
        <v>8</v>
      </c>
      <c r="D650" s="180">
        <v>99.39</v>
      </c>
      <c r="E650" s="180">
        <v>270.18</v>
      </c>
      <c r="F650" s="180">
        <v>6.12</v>
      </c>
      <c r="G650" s="181"/>
    </row>
    <row r="651" spans="1:7" x14ac:dyDescent="0.25">
      <c r="A651" s="180">
        <v>2021</v>
      </c>
      <c r="B651" s="181" t="s">
        <v>480</v>
      </c>
      <c r="C651" s="180">
        <v>12</v>
      </c>
      <c r="D651" s="180">
        <v>91.6</v>
      </c>
      <c r="E651" s="180">
        <v>305.60000000000002</v>
      </c>
      <c r="F651" s="180">
        <v>8.89</v>
      </c>
      <c r="G651" s="181"/>
    </row>
    <row r="652" spans="1:7" x14ac:dyDescent="0.25">
      <c r="A652" s="180">
        <v>2021</v>
      </c>
      <c r="B652" s="181" t="s">
        <v>480</v>
      </c>
      <c r="C652" s="180">
        <v>7</v>
      </c>
      <c r="D652" s="180">
        <v>86.52</v>
      </c>
      <c r="E652" s="180">
        <v>225.58</v>
      </c>
      <c r="F652" s="182"/>
      <c r="G652" s="181"/>
    </row>
    <row r="653" spans="1:7" x14ac:dyDescent="0.25">
      <c r="A653" s="180">
        <v>2021</v>
      </c>
      <c r="B653" s="181" t="s">
        <v>480</v>
      </c>
      <c r="C653" s="180">
        <v>8</v>
      </c>
      <c r="D653" s="180">
        <v>96.23</v>
      </c>
      <c r="E653" s="180">
        <v>224.16</v>
      </c>
      <c r="F653" s="180">
        <v>8.17</v>
      </c>
      <c r="G653" s="181"/>
    </row>
    <row r="654" spans="1:7" x14ac:dyDescent="0.25">
      <c r="A654" s="180">
        <v>2021</v>
      </c>
      <c r="B654" s="181" t="s">
        <v>480</v>
      </c>
      <c r="C654" s="180">
        <v>9</v>
      </c>
      <c r="D654" s="180">
        <v>102.68</v>
      </c>
      <c r="E654" s="180">
        <v>284.05</v>
      </c>
      <c r="F654" s="180">
        <v>7.88</v>
      </c>
      <c r="G654" s="181"/>
    </row>
    <row r="655" spans="1:7" x14ac:dyDescent="0.25">
      <c r="A655" s="180">
        <v>2021</v>
      </c>
      <c r="B655" s="181" t="s">
        <v>480</v>
      </c>
      <c r="C655" s="182"/>
      <c r="D655" s="182"/>
      <c r="E655" s="180">
        <v>333.18</v>
      </c>
      <c r="F655" s="180">
        <v>7.61</v>
      </c>
      <c r="G655" s="181"/>
    </row>
    <row r="656" spans="1:7" x14ac:dyDescent="0.25">
      <c r="A656" s="180">
        <v>2021</v>
      </c>
      <c r="B656" s="181" t="s">
        <v>492</v>
      </c>
      <c r="C656" s="180">
        <v>12</v>
      </c>
      <c r="D656" s="180">
        <v>82.74</v>
      </c>
      <c r="E656" s="180">
        <v>228.96</v>
      </c>
      <c r="F656" s="180">
        <v>7.88</v>
      </c>
      <c r="G656" s="181"/>
    </row>
    <row r="657" spans="1:7" x14ac:dyDescent="0.25">
      <c r="A657" s="180">
        <v>2021</v>
      </c>
      <c r="B657" s="181" t="s">
        <v>492</v>
      </c>
      <c r="C657" s="180">
        <v>10</v>
      </c>
      <c r="D657" s="180">
        <v>96.41</v>
      </c>
      <c r="E657" s="180">
        <v>288.95</v>
      </c>
      <c r="F657" s="182"/>
      <c r="G657" s="181"/>
    </row>
    <row r="658" spans="1:7" x14ac:dyDescent="0.25">
      <c r="A658" s="180">
        <v>2021</v>
      </c>
      <c r="B658" s="181" t="s">
        <v>492</v>
      </c>
      <c r="C658" s="182"/>
      <c r="D658" s="180">
        <v>82.72</v>
      </c>
      <c r="E658" s="180">
        <v>232.72</v>
      </c>
      <c r="F658" s="180">
        <v>7.41</v>
      </c>
      <c r="G658" s="181"/>
    </row>
    <row r="659" spans="1:7" x14ac:dyDescent="0.25">
      <c r="A659" s="180">
        <v>2021</v>
      </c>
      <c r="B659" s="181" t="s">
        <v>492</v>
      </c>
      <c r="C659" s="180">
        <v>11</v>
      </c>
      <c r="D659" s="180">
        <v>98.71</v>
      </c>
      <c r="E659" s="180">
        <v>311.68</v>
      </c>
      <c r="F659" s="180">
        <v>7.53</v>
      </c>
      <c r="G659" s="181"/>
    </row>
    <row r="660" spans="1:7" x14ac:dyDescent="0.25">
      <c r="A660" s="180">
        <v>2021</v>
      </c>
      <c r="B660" s="181" t="s">
        <v>492</v>
      </c>
      <c r="C660" s="180">
        <v>10</v>
      </c>
      <c r="D660" s="180">
        <v>94.71</v>
      </c>
      <c r="E660" s="182"/>
      <c r="F660" s="180">
        <v>7.22</v>
      </c>
      <c r="G660" s="181"/>
    </row>
    <row r="661" spans="1:7" x14ac:dyDescent="0.25">
      <c r="A661" s="180">
        <v>2021</v>
      </c>
      <c r="B661" s="181" t="s">
        <v>492</v>
      </c>
      <c r="C661" s="180">
        <v>10</v>
      </c>
      <c r="D661" s="180">
        <v>99.52</v>
      </c>
      <c r="E661" s="180">
        <v>263.43</v>
      </c>
      <c r="F661" s="180">
        <v>7.38</v>
      </c>
      <c r="G661" s="181"/>
    </row>
    <row r="662" spans="1:7" x14ac:dyDescent="0.25">
      <c r="A662" s="180">
        <v>2022</v>
      </c>
      <c r="B662" s="181" t="s">
        <v>477</v>
      </c>
      <c r="C662" s="180">
        <v>12</v>
      </c>
      <c r="D662" s="180">
        <v>73.19</v>
      </c>
      <c r="E662" s="180">
        <v>350.49</v>
      </c>
      <c r="F662" s="182"/>
      <c r="G662" s="181"/>
    </row>
    <row r="663" spans="1:7" x14ac:dyDescent="0.25">
      <c r="A663" s="180">
        <v>2022</v>
      </c>
      <c r="B663" s="181" t="s">
        <v>477</v>
      </c>
      <c r="C663" s="180">
        <v>9</v>
      </c>
      <c r="D663" s="180">
        <v>72.67</v>
      </c>
      <c r="E663" s="180">
        <v>426.14</v>
      </c>
      <c r="F663" s="180">
        <v>8.8699999999999992</v>
      </c>
      <c r="G663" s="181"/>
    </row>
    <row r="664" spans="1:7" x14ac:dyDescent="0.25">
      <c r="A664" s="180">
        <v>2022</v>
      </c>
      <c r="B664" s="181" t="s">
        <v>477</v>
      </c>
      <c r="C664" s="180">
        <v>10</v>
      </c>
      <c r="D664" s="180">
        <v>71.17</v>
      </c>
      <c r="E664" s="180">
        <v>314.12</v>
      </c>
      <c r="F664" s="180">
        <v>6.82</v>
      </c>
      <c r="G664" s="181"/>
    </row>
    <row r="665" spans="1:7" x14ac:dyDescent="0.25">
      <c r="A665" s="180">
        <v>2022</v>
      </c>
      <c r="B665" s="181" t="s">
        <v>477</v>
      </c>
      <c r="C665" s="180">
        <v>14</v>
      </c>
      <c r="D665" s="180">
        <v>76.67</v>
      </c>
      <c r="E665" s="182"/>
      <c r="F665" s="180">
        <v>6.81</v>
      </c>
      <c r="G665" s="181"/>
    </row>
    <row r="666" spans="1:7" x14ac:dyDescent="0.25">
      <c r="A666" s="180">
        <v>2022</v>
      </c>
      <c r="B666" s="181" t="s">
        <v>477</v>
      </c>
      <c r="C666" s="180">
        <v>9</v>
      </c>
      <c r="D666" s="180">
        <v>68.319999999999993</v>
      </c>
      <c r="E666" s="180">
        <v>426.24</v>
      </c>
      <c r="F666" s="180">
        <v>9.14</v>
      </c>
      <c r="G666" s="181"/>
    </row>
    <row r="667" spans="1:7" x14ac:dyDescent="0.25">
      <c r="A667" s="180">
        <v>2022</v>
      </c>
      <c r="B667" s="181" t="s">
        <v>477</v>
      </c>
      <c r="C667" s="180">
        <v>13</v>
      </c>
      <c r="D667" s="180">
        <v>77.290000000000006</v>
      </c>
      <c r="E667" s="180">
        <v>349.96</v>
      </c>
      <c r="F667" s="180">
        <v>8.5</v>
      </c>
      <c r="G667" s="181"/>
    </row>
    <row r="668" spans="1:7" x14ac:dyDescent="0.25">
      <c r="A668" s="180">
        <v>2022</v>
      </c>
      <c r="B668" s="181" t="s">
        <v>495</v>
      </c>
      <c r="C668" s="180">
        <v>8</v>
      </c>
      <c r="D668" s="180">
        <v>63.68</v>
      </c>
      <c r="E668" s="180">
        <v>373.91</v>
      </c>
      <c r="F668" s="180">
        <v>6.98</v>
      </c>
      <c r="G668" s="181"/>
    </row>
    <row r="669" spans="1:7" x14ac:dyDescent="0.25">
      <c r="A669" s="180">
        <v>2022</v>
      </c>
      <c r="B669" s="181" t="s">
        <v>495</v>
      </c>
      <c r="C669" s="180">
        <v>8</v>
      </c>
      <c r="D669" s="182"/>
      <c r="E669" s="180">
        <v>331.47</v>
      </c>
      <c r="F669" s="180">
        <v>5.7</v>
      </c>
      <c r="G669" s="181"/>
    </row>
    <row r="670" spans="1:7" x14ac:dyDescent="0.25">
      <c r="A670" s="180">
        <v>2022</v>
      </c>
      <c r="B670" s="181" t="s">
        <v>495</v>
      </c>
      <c r="C670" s="180">
        <v>9</v>
      </c>
      <c r="D670" s="180">
        <v>68.3</v>
      </c>
      <c r="E670" s="180">
        <v>403.01</v>
      </c>
      <c r="F670" s="180">
        <v>6.81</v>
      </c>
      <c r="G670" s="181"/>
    </row>
    <row r="671" spans="1:7" x14ac:dyDescent="0.25">
      <c r="A671" s="180">
        <v>2022</v>
      </c>
      <c r="B671" s="181" t="s">
        <v>495</v>
      </c>
      <c r="C671" s="180">
        <v>9</v>
      </c>
      <c r="D671" s="180">
        <v>74.069999999999993</v>
      </c>
      <c r="E671" s="182"/>
      <c r="F671" s="180">
        <v>6.65</v>
      </c>
      <c r="G671" s="181"/>
    </row>
    <row r="672" spans="1:7" x14ac:dyDescent="0.25">
      <c r="A672" s="180">
        <v>2022</v>
      </c>
      <c r="B672" s="181" t="s">
        <v>495</v>
      </c>
      <c r="C672" s="182"/>
      <c r="D672" s="180">
        <v>64.319999999999993</v>
      </c>
      <c r="E672" s="180">
        <v>320.39</v>
      </c>
      <c r="F672" s="180">
        <v>6.25</v>
      </c>
      <c r="G672" s="181"/>
    </row>
    <row r="673" spans="1:7" x14ac:dyDescent="0.25">
      <c r="A673" s="180">
        <v>2022</v>
      </c>
      <c r="B673" s="181" t="s">
        <v>495</v>
      </c>
      <c r="C673" s="180">
        <v>10</v>
      </c>
      <c r="D673" s="180">
        <v>74.760000000000005</v>
      </c>
      <c r="E673" s="180">
        <v>294.42</v>
      </c>
      <c r="F673" s="180">
        <v>7.68</v>
      </c>
      <c r="G673" s="181"/>
    </row>
    <row r="674" spans="1:7" x14ac:dyDescent="0.25">
      <c r="A674" s="180">
        <v>2022</v>
      </c>
      <c r="B674" s="181" t="s">
        <v>481</v>
      </c>
      <c r="C674" s="180">
        <v>9</v>
      </c>
      <c r="D674" s="180">
        <v>74.760000000000005</v>
      </c>
      <c r="E674" s="180">
        <v>199.32</v>
      </c>
      <c r="F674" s="180">
        <v>7.68</v>
      </c>
      <c r="G674" s="181"/>
    </row>
    <row r="675" spans="1:7" x14ac:dyDescent="0.25">
      <c r="A675" s="180">
        <v>2022</v>
      </c>
      <c r="B675" s="181" t="s">
        <v>481</v>
      </c>
      <c r="C675" s="180">
        <v>9</v>
      </c>
      <c r="D675" s="180">
        <v>74.760000000000005</v>
      </c>
      <c r="E675" s="180">
        <v>199.32</v>
      </c>
      <c r="F675" s="180">
        <v>7.68</v>
      </c>
      <c r="G675" s="181"/>
    </row>
    <row r="676" spans="1:7" x14ac:dyDescent="0.25">
      <c r="A676" s="180">
        <v>2022</v>
      </c>
      <c r="B676" s="181" t="s">
        <v>481</v>
      </c>
      <c r="C676" s="180">
        <v>11</v>
      </c>
      <c r="D676" s="180">
        <v>63.95</v>
      </c>
      <c r="E676" s="180">
        <v>231.58</v>
      </c>
      <c r="F676" s="180">
        <v>7.24</v>
      </c>
      <c r="G676" s="181"/>
    </row>
    <row r="677" spans="1:7" x14ac:dyDescent="0.25">
      <c r="A677" s="180">
        <v>2022</v>
      </c>
      <c r="B677" s="181" t="s">
        <v>481</v>
      </c>
      <c r="C677" s="180">
        <v>11</v>
      </c>
      <c r="D677" s="180">
        <v>63.95</v>
      </c>
      <c r="E677" s="180">
        <v>231.58</v>
      </c>
      <c r="F677" s="180">
        <v>7.24</v>
      </c>
      <c r="G677" s="181"/>
    </row>
    <row r="678" spans="1:7" x14ac:dyDescent="0.25">
      <c r="A678" s="180">
        <v>2022</v>
      </c>
      <c r="B678" s="181" t="s">
        <v>481</v>
      </c>
      <c r="C678" s="180">
        <v>14</v>
      </c>
      <c r="D678" s="180">
        <v>69.709999999999994</v>
      </c>
      <c r="E678" s="180">
        <v>184.5</v>
      </c>
      <c r="F678" s="180">
        <v>8.56</v>
      </c>
      <c r="G678" s="181"/>
    </row>
    <row r="679" spans="1:7" x14ac:dyDescent="0.25">
      <c r="A679" s="180">
        <v>2022</v>
      </c>
      <c r="B679" s="181" t="s">
        <v>481</v>
      </c>
      <c r="C679" s="180">
        <v>14</v>
      </c>
      <c r="D679" s="180">
        <v>69.709999999999994</v>
      </c>
      <c r="E679" s="180">
        <v>184.5</v>
      </c>
      <c r="F679" s="180">
        <v>8.56</v>
      </c>
      <c r="G679" s="181"/>
    </row>
    <row r="680" spans="1:7" x14ac:dyDescent="0.25">
      <c r="A680" s="180">
        <v>2022</v>
      </c>
      <c r="B680" s="181" t="s">
        <v>481</v>
      </c>
      <c r="C680" s="180">
        <v>9</v>
      </c>
      <c r="D680" s="180">
        <v>64.09</v>
      </c>
      <c r="E680" s="180">
        <v>234.65</v>
      </c>
      <c r="F680" s="180">
        <v>8.17</v>
      </c>
      <c r="G680" s="181"/>
    </row>
    <row r="681" spans="1:7" x14ac:dyDescent="0.25">
      <c r="A681" s="180">
        <v>2022</v>
      </c>
      <c r="B681" s="181" t="s">
        <v>481</v>
      </c>
      <c r="C681" s="180">
        <v>9</v>
      </c>
      <c r="D681" s="180">
        <v>64.09</v>
      </c>
      <c r="E681" s="180">
        <v>234.65</v>
      </c>
      <c r="F681" s="180">
        <v>8.17</v>
      </c>
      <c r="G681" s="181"/>
    </row>
    <row r="682" spans="1:7" x14ac:dyDescent="0.25">
      <c r="A682" s="180">
        <v>2022</v>
      </c>
      <c r="B682" s="181" t="s">
        <v>481</v>
      </c>
      <c r="C682" s="180">
        <v>9</v>
      </c>
      <c r="D682" s="180">
        <v>62.19</v>
      </c>
      <c r="E682" s="180">
        <v>247.94</v>
      </c>
      <c r="F682" s="180">
        <v>7.86</v>
      </c>
      <c r="G682" s="181"/>
    </row>
    <row r="683" spans="1:7" x14ac:dyDescent="0.25">
      <c r="A683" s="180">
        <v>2022</v>
      </c>
      <c r="B683" s="181" t="s">
        <v>481</v>
      </c>
      <c r="C683" s="180">
        <v>9</v>
      </c>
      <c r="D683" s="180">
        <v>62.19</v>
      </c>
      <c r="E683" s="180">
        <v>247.94</v>
      </c>
      <c r="F683" s="180">
        <v>7.86</v>
      </c>
      <c r="G683" s="181"/>
    </row>
    <row r="684" spans="1:7" x14ac:dyDescent="0.25">
      <c r="A684" s="180">
        <v>2022</v>
      </c>
      <c r="B684" s="181" t="s">
        <v>482</v>
      </c>
      <c r="C684" s="180">
        <v>10</v>
      </c>
      <c r="D684" s="180">
        <v>59.42</v>
      </c>
      <c r="E684" s="180">
        <v>216.24</v>
      </c>
      <c r="F684" s="180">
        <v>7.51</v>
      </c>
      <c r="G684" s="181"/>
    </row>
    <row r="685" spans="1:7" x14ac:dyDescent="0.25">
      <c r="A685" s="180">
        <v>2022</v>
      </c>
      <c r="B685" s="181" t="s">
        <v>482</v>
      </c>
      <c r="C685" s="180">
        <v>9</v>
      </c>
      <c r="D685" s="180">
        <v>57.36</v>
      </c>
      <c r="E685" s="180">
        <v>253.21</v>
      </c>
      <c r="F685" s="180">
        <v>8.93</v>
      </c>
      <c r="G685" s="181"/>
    </row>
    <row r="686" spans="1:7" x14ac:dyDescent="0.25">
      <c r="A686" s="180">
        <v>2022</v>
      </c>
      <c r="B686" s="181" t="s">
        <v>482</v>
      </c>
      <c r="C686" s="180">
        <v>7</v>
      </c>
      <c r="D686" s="180">
        <v>64.099999999999994</v>
      </c>
      <c r="E686" s="180">
        <v>306.45</v>
      </c>
      <c r="F686" s="180">
        <v>8.81</v>
      </c>
      <c r="G686" s="181"/>
    </row>
    <row r="687" spans="1:7" x14ac:dyDescent="0.25">
      <c r="A687" s="180">
        <v>2022</v>
      </c>
      <c r="B687" s="181" t="s">
        <v>482</v>
      </c>
      <c r="C687" s="180">
        <v>6</v>
      </c>
      <c r="D687" s="180">
        <v>76.12</v>
      </c>
      <c r="E687" s="180">
        <v>333.64</v>
      </c>
      <c r="F687" s="180">
        <v>7.71</v>
      </c>
      <c r="G687" s="181"/>
    </row>
    <row r="688" spans="1:7" x14ac:dyDescent="0.25">
      <c r="A688" s="180">
        <v>2022</v>
      </c>
      <c r="B688" s="181" t="s">
        <v>482</v>
      </c>
      <c r="C688" s="180">
        <v>7</v>
      </c>
      <c r="D688" s="180">
        <v>74.400000000000006</v>
      </c>
      <c r="E688" s="182"/>
      <c r="F688" s="180">
        <v>9.1300000000000008</v>
      </c>
      <c r="G688" s="181"/>
    </row>
    <row r="689" spans="1:7" x14ac:dyDescent="0.25">
      <c r="A689" s="180">
        <v>2022</v>
      </c>
      <c r="B689" s="181" t="s">
        <v>482</v>
      </c>
      <c r="C689" s="180">
        <v>10</v>
      </c>
      <c r="D689" s="182"/>
      <c r="E689" s="180">
        <v>347.2</v>
      </c>
      <c r="F689" s="182"/>
      <c r="G689" s="181"/>
    </row>
    <row r="690" spans="1:7" x14ac:dyDescent="0.25">
      <c r="A690" s="180">
        <v>2022</v>
      </c>
      <c r="B690" s="181" t="s">
        <v>480</v>
      </c>
      <c r="C690" s="180">
        <v>10</v>
      </c>
      <c r="D690" s="180">
        <v>80.09</v>
      </c>
      <c r="E690" s="182"/>
      <c r="F690" s="180">
        <v>10.3</v>
      </c>
      <c r="G690" s="181"/>
    </row>
    <row r="691" spans="1:7" x14ac:dyDescent="0.25">
      <c r="A691" s="180">
        <v>2022</v>
      </c>
      <c r="B691" s="181" t="s">
        <v>480</v>
      </c>
      <c r="C691" s="180">
        <v>7</v>
      </c>
      <c r="D691" s="180">
        <v>81.58</v>
      </c>
      <c r="E691" s="180">
        <v>379.89</v>
      </c>
      <c r="F691" s="180">
        <v>10.63</v>
      </c>
      <c r="G691" s="181"/>
    </row>
    <row r="692" spans="1:7" x14ac:dyDescent="0.25">
      <c r="A692" s="180">
        <v>2022</v>
      </c>
      <c r="B692" s="181" t="s">
        <v>480</v>
      </c>
      <c r="C692" s="180">
        <v>8</v>
      </c>
      <c r="D692" s="180">
        <v>66.069999999999993</v>
      </c>
      <c r="E692" s="180">
        <v>298.92</v>
      </c>
      <c r="F692" s="180">
        <v>7.38</v>
      </c>
      <c r="G692" s="181"/>
    </row>
    <row r="693" spans="1:7" x14ac:dyDescent="0.25">
      <c r="A693" s="180">
        <v>2022</v>
      </c>
      <c r="B693" s="181" t="s">
        <v>480</v>
      </c>
      <c r="C693" s="180">
        <v>10</v>
      </c>
      <c r="D693" s="182"/>
      <c r="E693" s="180">
        <v>289.49</v>
      </c>
      <c r="F693" s="180">
        <v>7.19</v>
      </c>
      <c r="G693" s="181"/>
    </row>
    <row r="694" spans="1:7" x14ac:dyDescent="0.25">
      <c r="A694" s="180">
        <v>2022</v>
      </c>
      <c r="B694" s="181" t="s">
        <v>480</v>
      </c>
      <c r="C694" s="180">
        <v>8</v>
      </c>
      <c r="D694" s="180">
        <v>75.58</v>
      </c>
      <c r="E694" s="180">
        <v>340.29</v>
      </c>
      <c r="F694" s="180">
        <v>10.039999999999999</v>
      </c>
      <c r="G694" s="181"/>
    </row>
    <row r="695" spans="1:7" x14ac:dyDescent="0.25">
      <c r="A695" s="180">
        <v>2022</v>
      </c>
      <c r="B695" s="181" t="s">
        <v>480</v>
      </c>
      <c r="C695" s="182"/>
      <c r="D695" s="180">
        <v>65.58</v>
      </c>
      <c r="E695" s="180">
        <v>288.58999999999997</v>
      </c>
      <c r="F695" s="180">
        <v>7.37</v>
      </c>
      <c r="G695" s="181"/>
    </row>
    <row r="696" spans="1:7" x14ac:dyDescent="0.25">
      <c r="A696" s="180">
        <v>2022</v>
      </c>
      <c r="B696" s="181" t="s">
        <v>492</v>
      </c>
      <c r="C696" s="180">
        <v>10</v>
      </c>
      <c r="D696" s="182"/>
      <c r="E696" s="182"/>
      <c r="F696" s="180">
        <v>7.3</v>
      </c>
      <c r="G696" s="181"/>
    </row>
    <row r="697" spans="1:7" x14ac:dyDescent="0.25">
      <c r="A697" s="180">
        <v>2022</v>
      </c>
      <c r="B697" s="181" t="s">
        <v>492</v>
      </c>
      <c r="C697" s="180">
        <v>11</v>
      </c>
      <c r="D697" s="180">
        <v>55.41</v>
      </c>
      <c r="E697" s="180">
        <v>314.82</v>
      </c>
      <c r="F697" s="182"/>
      <c r="G697" s="181"/>
    </row>
    <row r="698" spans="1:7" x14ac:dyDescent="0.25">
      <c r="A698" s="180">
        <v>2022</v>
      </c>
      <c r="B698" s="181" t="s">
        <v>492</v>
      </c>
      <c r="C698" s="180">
        <v>9</v>
      </c>
      <c r="D698" s="180">
        <v>61.55</v>
      </c>
      <c r="E698" s="180">
        <v>325.69</v>
      </c>
      <c r="F698" s="180">
        <v>7.37</v>
      </c>
      <c r="G698" s="181"/>
    </row>
    <row r="699" spans="1:7" x14ac:dyDescent="0.25">
      <c r="A699" s="180">
        <v>2022</v>
      </c>
      <c r="B699" s="181" t="s">
        <v>492</v>
      </c>
      <c r="C699" s="180">
        <v>12</v>
      </c>
      <c r="D699" s="180">
        <v>65.680000000000007</v>
      </c>
      <c r="E699" s="180">
        <v>308.47000000000003</v>
      </c>
      <c r="F699" s="180">
        <v>6.97</v>
      </c>
      <c r="G699" s="181"/>
    </row>
    <row r="700" spans="1:7" x14ac:dyDescent="0.25">
      <c r="A700" s="180">
        <v>2022</v>
      </c>
      <c r="B700" s="181" t="s">
        <v>492</v>
      </c>
      <c r="C700" s="180">
        <v>7</v>
      </c>
      <c r="D700" s="180">
        <v>55.18</v>
      </c>
      <c r="E700" s="180">
        <v>269.66000000000003</v>
      </c>
      <c r="F700" s="180">
        <v>8.6300000000000008</v>
      </c>
      <c r="G700" s="181"/>
    </row>
    <row r="701" spans="1:7" x14ac:dyDescent="0.25">
      <c r="A701" s="180">
        <v>2022</v>
      </c>
      <c r="B701" s="181" t="s">
        <v>492</v>
      </c>
      <c r="C701" s="180">
        <v>7</v>
      </c>
      <c r="D701" s="180">
        <v>70.150000000000006</v>
      </c>
      <c r="E701" s="180">
        <v>398.36</v>
      </c>
      <c r="F701" s="180">
        <v>9.06</v>
      </c>
      <c r="G701" s="181"/>
    </row>
    <row r="702" spans="1:7" x14ac:dyDescent="0.25">
      <c r="A702" s="180">
        <v>2022</v>
      </c>
      <c r="B702" s="181" t="s">
        <v>493</v>
      </c>
      <c r="C702" s="180">
        <v>10</v>
      </c>
      <c r="D702" s="180">
        <v>68.2</v>
      </c>
      <c r="E702" s="180">
        <v>261.12</v>
      </c>
      <c r="F702" s="180">
        <v>7.12</v>
      </c>
      <c r="G702" s="181"/>
    </row>
    <row r="703" spans="1:7" x14ac:dyDescent="0.25">
      <c r="A703" s="180">
        <v>2022</v>
      </c>
      <c r="B703" s="181" t="s">
        <v>493</v>
      </c>
      <c r="C703" s="180">
        <v>11</v>
      </c>
      <c r="D703" s="180">
        <v>74.92</v>
      </c>
      <c r="E703" s="180">
        <v>312.02</v>
      </c>
      <c r="F703" s="180">
        <v>7.48</v>
      </c>
      <c r="G703" s="181"/>
    </row>
    <row r="704" spans="1:7" x14ac:dyDescent="0.25">
      <c r="A704" s="180">
        <v>2022</v>
      </c>
      <c r="B704" s="181" t="s">
        <v>493</v>
      </c>
      <c r="C704" s="180">
        <v>9</v>
      </c>
      <c r="D704" s="180">
        <v>64.44</v>
      </c>
      <c r="E704" s="180">
        <v>258.38</v>
      </c>
      <c r="F704" s="180">
        <v>7.14</v>
      </c>
      <c r="G704" s="181"/>
    </row>
    <row r="705" spans="1:7" x14ac:dyDescent="0.25">
      <c r="A705" s="180">
        <v>2022</v>
      </c>
      <c r="B705" s="181" t="s">
        <v>493</v>
      </c>
      <c r="C705" s="180">
        <v>12</v>
      </c>
      <c r="D705" s="180">
        <v>73.81</v>
      </c>
      <c r="E705" s="180">
        <v>361.54</v>
      </c>
      <c r="F705" s="180">
        <v>9.4700000000000006</v>
      </c>
      <c r="G705" s="181"/>
    </row>
    <row r="706" spans="1:7" x14ac:dyDescent="0.25">
      <c r="A706" s="180">
        <v>2022</v>
      </c>
      <c r="B706" s="181" t="s">
        <v>493</v>
      </c>
      <c r="C706" s="180">
        <v>7</v>
      </c>
      <c r="D706" s="180">
        <v>66.58</v>
      </c>
      <c r="E706" s="180">
        <v>240.13</v>
      </c>
      <c r="F706" s="180">
        <v>7.7</v>
      </c>
      <c r="G706" s="181"/>
    </row>
    <row r="707" spans="1:7" x14ac:dyDescent="0.25">
      <c r="A707" s="180">
        <v>2022</v>
      </c>
      <c r="B707" s="181" t="s">
        <v>493</v>
      </c>
      <c r="C707" s="180">
        <v>7</v>
      </c>
      <c r="D707" s="180">
        <v>74.2</v>
      </c>
      <c r="E707" s="180">
        <v>350.03</v>
      </c>
      <c r="F707" s="180">
        <v>9.74</v>
      </c>
      <c r="G707" s="181"/>
    </row>
    <row r="708" spans="1:7" x14ac:dyDescent="0.25">
      <c r="A708" s="180">
        <v>2022</v>
      </c>
      <c r="B708" s="181" t="s">
        <v>494</v>
      </c>
      <c r="C708" s="180">
        <v>12</v>
      </c>
      <c r="D708" s="180">
        <v>61.75</v>
      </c>
      <c r="E708" s="180">
        <v>365.3</v>
      </c>
      <c r="F708" s="180">
        <v>9.42</v>
      </c>
      <c r="G708" s="181"/>
    </row>
    <row r="709" spans="1:7" x14ac:dyDescent="0.25">
      <c r="A709" s="180">
        <v>2022</v>
      </c>
      <c r="B709" s="181" t="s">
        <v>494</v>
      </c>
      <c r="C709" s="180">
        <v>9</v>
      </c>
      <c r="D709" s="180">
        <v>63.12</v>
      </c>
      <c r="E709" s="180">
        <v>309.26</v>
      </c>
      <c r="F709" s="180">
        <v>7.19</v>
      </c>
      <c r="G709" s="181"/>
    </row>
    <row r="710" spans="1:7" x14ac:dyDescent="0.25">
      <c r="A710" s="180">
        <v>2022</v>
      </c>
      <c r="B710" s="181" t="s">
        <v>494</v>
      </c>
      <c r="C710" s="180">
        <v>10</v>
      </c>
      <c r="D710" s="180">
        <v>62.72</v>
      </c>
      <c r="E710" s="180">
        <v>314.83</v>
      </c>
      <c r="F710" s="180">
        <v>7.25</v>
      </c>
      <c r="G710" s="181"/>
    </row>
    <row r="711" spans="1:7" x14ac:dyDescent="0.25">
      <c r="A711" s="180">
        <v>2022</v>
      </c>
      <c r="B711" s="181" t="s">
        <v>494</v>
      </c>
      <c r="C711" s="182"/>
      <c r="D711" s="180">
        <v>61.84</v>
      </c>
      <c r="E711" s="180">
        <v>443.49</v>
      </c>
      <c r="F711" s="180">
        <v>8.93</v>
      </c>
      <c r="G711" s="181"/>
    </row>
    <row r="712" spans="1:7" x14ac:dyDescent="0.25">
      <c r="A712" s="180">
        <v>2022</v>
      </c>
      <c r="B712" s="181" t="s">
        <v>494</v>
      </c>
      <c r="C712" s="180">
        <v>11</v>
      </c>
      <c r="D712" s="180">
        <v>60.8</v>
      </c>
      <c r="E712" s="180">
        <v>346.49</v>
      </c>
      <c r="F712" s="180">
        <v>9.4700000000000006</v>
      </c>
      <c r="G712" s="181"/>
    </row>
    <row r="713" spans="1:7" x14ac:dyDescent="0.25">
      <c r="A713" s="180">
        <v>2022</v>
      </c>
      <c r="B713" s="181" t="s">
        <v>494</v>
      </c>
      <c r="C713" s="180">
        <v>8</v>
      </c>
      <c r="D713" s="182"/>
      <c r="E713" s="180">
        <v>432.52</v>
      </c>
      <c r="F713" s="180">
        <v>10.119999999999999</v>
      </c>
      <c r="G713" s="181"/>
    </row>
    <row r="714" spans="1:7" x14ac:dyDescent="0.25">
      <c r="A714" s="180">
        <v>2022</v>
      </c>
      <c r="B714" s="181" t="s">
        <v>493</v>
      </c>
      <c r="C714" s="180">
        <v>7</v>
      </c>
      <c r="D714" s="180">
        <v>94.22</v>
      </c>
      <c r="E714" s="180">
        <v>425.5</v>
      </c>
      <c r="F714" s="180">
        <v>8.11</v>
      </c>
      <c r="G714" s="181"/>
    </row>
    <row r="715" spans="1:7" x14ac:dyDescent="0.25">
      <c r="A715" s="180">
        <v>2022</v>
      </c>
      <c r="B715" s="181" t="s">
        <v>493</v>
      </c>
      <c r="C715" s="180">
        <v>8</v>
      </c>
      <c r="D715" s="180">
        <v>95.87</v>
      </c>
      <c r="E715" s="182"/>
      <c r="F715" s="180">
        <v>6.06</v>
      </c>
      <c r="G715" s="181"/>
    </row>
    <row r="716" spans="1:7" x14ac:dyDescent="0.25">
      <c r="A716" s="180">
        <v>2022</v>
      </c>
      <c r="B716" s="181" t="s">
        <v>493</v>
      </c>
      <c r="C716" s="180">
        <v>6</v>
      </c>
      <c r="D716" s="180">
        <v>104.11</v>
      </c>
      <c r="E716" s="180">
        <v>439</v>
      </c>
      <c r="F716" s="180">
        <v>7.96</v>
      </c>
      <c r="G716" s="181"/>
    </row>
    <row r="717" spans="1:7" x14ac:dyDescent="0.25">
      <c r="A717" s="180">
        <v>2022</v>
      </c>
      <c r="B717" s="181" t="s">
        <v>493</v>
      </c>
      <c r="C717" s="182"/>
      <c r="D717" s="180">
        <v>93.64</v>
      </c>
      <c r="E717" s="180">
        <v>443.73</v>
      </c>
      <c r="F717" s="180">
        <v>6.87</v>
      </c>
      <c r="G717" s="181"/>
    </row>
    <row r="718" spans="1:7" x14ac:dyDescent="0.25">
      <c r="A718" s="180">
        <v>2022</v>
      </c>
      <c r="B718" s="181" t="s">
        <v>493</v>
      </c>
      <c r="C718" s="180">
        <v>10</v>
      </c>
      <c r="D718" s="180">
        <v>90.49</v>
      </c>
      <c r="E718" s="180">
        <v>455.82</v>
      </c>
      <c r="F718" s="180">
        <v>7.99</v>
      </c>
      <c r="G718" s="181"/>
    </row>
    <row r="719" spans="1:7" x14ac:dyDescent="0.25">
      <c r="A719" s="180">
        <v>2022</v>
      </c>
      <c r="B719" s="181" t="s">
        <v>493</v>
      </c>
      <c r="C719" s="180">
        <v>9</v>
      </c>
      <c r="D719" s="180">
        <v>95.56</v>
      </c>
      <c r="E719" s="180">
        <v>448.75</v>
      </c>
      <c r="F719" s="180">
        <v>6.34</v>
      </c>
      <c r="G719" s="181"/>
    </row>
    <row r="720" spans="1:7" x14ac:dyDescent="0.25">
      <c r="A720" s="180">
        <v>2022</v>
      </c>
      <c r="B720" s="181" t="s">
        <v>481</v>
      </c>
      <c r="C720" s="180">
        <v>8</v>
      </c>
      <c r="D720" s="180">
        <v>101.68</v>
      </c>
      <c r="E720" s="180">
        <v>419.92</v>
      </c>
      <c r="F720" s="180">
        <v>7.39</v>
      </c>
      <c r="G720" s="181"/>
    </row>
    <row r="721" spans="1:7" x14ac:dyDescent="0.25">
      <c r="A721" s="180">
        <v>2022</v>
      </c>
      <c r="B721" s="181" t="s">
        <v>481</v>
      </c>
      <c r="C721" s="180">
        <v>8</v>
      </c>
      <c r="D721" s="180">
        <v>101.68</v>
      </c>
      <c r="E721" s="180">
        <v>419.92</v>
      </c>
      <c r="F721" s="180">
        <v>7.39</v>
      </c>
      <c r="G721" s="181"/>
    </row>
    <row r="722" spans="1:7" x14ac:dyDescent="0.25">
      <c r="A722" s="180">
        <v>2022</v>
      </c>
      <c r="B722" s="181" t="s">
        <v>481</v>
      </c>
      <c r="C722" s="180">
        <v>9</v>
      </c>
      <c r="D722" s="180">
        <v>105.77</v>
      </c>
      <c r="E722" s="180">
        <v>307.2</v>
      </c>
      <c r="F722" s="180">
        <v>8.64</v>
      </c>
      <c r="G722" s="181"/>
    </row>
    <row r="723" spans="1:7" x14ac:dyDescent="0.25">
      <c r="A723" s="180">
        <v>2022</v>
      </c>
      <c r="B723" s="181" t="s">
        <v>481</v>
      </c>
      <c r="C723" s="180">
        <v>9</v>
      </c>
      <c r="D723" s="180">
        <v>105.77</v>
      </c>
      <c r="E723" s="180">
        <v>307.2</v>
      </c>
      <c r="F723" s="180">
        <v>8.64</v>
      </c>
      <c r="G723" s="181"/>
    </row>
    <row r="724" spans="1:7" x14ac:dyDescent="0.25">
      <c r="A724" s="180">
        <v>2022</v>
      </c>
      <c r="B724" s="181" t="s">
        <v>481</v>
      </c>
      <c r="C724" s="180">
        <v>9</v>
      </c>
      <c r="D724" s="180">
        <v>94.16</v>
      </c>
      <c r="E724" s="180">
        <v>393.69</v>
      </c>
      <c r="F724" s="180">
        <v>7.46</v>
      </c>
      <c r="G724" s="181"/>
    </row>
    <row r="725" spans="1:7" x14ac:dyDescent="0.25">
      <c r="A725" s="180">
        <v>2022</v>
      </c>
      <c r="B725" s="181" t="s">
        <v>481</v>
      </c>
      <c r="C725" s="180">
        <v>9</v>
      </c>
      <c r="D725" s="180">
        <v>94.16</v>
      </c>
      <c r="E725" s="180">
        <v>393.69</v>
      </c>
      <c r="F725" s="180">
        <v>7.46</v>
      </c>
      <c r="G725" s="181"/>
    </row>
    <row r="726" spans="1:7" x14ac:dyDescent="0.25">
      <c r="A726" s="180">
        <v>2022</v>
      </c>
      <c r="B726" s="181" t="s">
        <v>481</v>
      </c>
      <c r="C726" s="180">
        <v>8</v>
      </c>
      <c r="D726" s="182"/>
      <c r="E726" s="180">
        <v>284.73</v>
      </c>
      <c r="F726" s="182"/>
      <c r="G726" s="181"/>
    </row>
    <row r="727" spans="1:7" x14ac:dyDescent="0.25">
      <c r="A727" s="180">
        <v>2022</v>
      </c>
      <c r="B727" s="181" t="s">
        <v>481</v>
      </c>
      <c r="C727" s="180">
        <v>8</v>
      </c>
      <c r="D727" s="182"/>
      <c r="E727" s="180">
        <v>284.73</v>
      </c>
      <c r="F727" s="182"/>
      <c r="G727" s="181"/>
    </row>
    <row r="728" spans="1:7" x14ac:dyDescent="0.25">
      <c r="A728" s="180">
        <v>2022</v>
      </c>
      <c r="B728" s="181" t="s">
        <v>481</v>
      </c>
      <c r="C728" s="180">
        <v>9</v>
      </c>
      <c r="D728" s="180">
        <v>89.52</v>
      </c>
      <c r="E728" s="180">
        <v>282.24</v>
      </c>
      <c r="F728" s="180">
        <v>6.32</v>
      </c>
      <c r="G728" s="181"/>
    </row>
    <row r="729" spans="1:7" x14ac:dyDescent="0.25">
      <c r="A729" s="180">
        <v>2022</v>
      </c>
      <c r="B729" s="181" t="s">
        <v>481</v>
      </c>
      <c r="C729" s="180">
        <v>9</v>
      </c>
      <c r="D729" s="180">
        <v>89.52</v>
      </c>
      <c r="E729" s="180">
        <v>282.24</v>
      </c>
      <c r="F729" s="180">
        <v>6.32</v>
      </c>
      <c r="G729" s="181"/>
    </row>
    <row r="730" spans="1:7" x14ac:dyDescent="0.25">
      <c r="A730" s="180">
        <v>2022</v>
      </c>
      <c r="B730" s="181" t="s">
        <v>481</v>
      </c>
      <c r="C730" s="180">
        <v>9</v>
      </c>
      <c r="D730" s="180">
        <v>98.25</v>
      </c>
      <c r="E730" s="180">
        <v>376.81</v>
      </c>
      <c r="F730" s="180">
        <v>8.41</v>
      </c>
      <c r="G730" s="181"/>
    </row>
    <row r="731" spans="1:7" x14ac:dyDescent="0.25">
      <c r="A731" s="180">
        <v>2022</v>
      </c>
      <c r="B731" s="181" t="s">
        <v>481</v>
      </c>
      <c r="C731" s="180">
        <v>9</v>
      </c>
      <c r="D731" s="180">
        <v>98.25</v>
      </c>
      <c r="E731" s="180">
        <v>376.81</v>
      </c>
      <c r="F731" s="180">
        <v>8.41</v>
      </c>
      <c r="G731" s="181"/>
    </row>
    <row r="732" spans="1:7" x14ac:dyDescent="0.25">
      <c r="A732" s="180">
        <v>2022</v>
      </c>
      <c r="B732" s="181" t="s">
        <v>481</v>
      </c>
      <c r="C732" s="182"/>
      <c r="D732" s="182"/>
      <c r="E732" s="180">
        <v>327.45</v>
      </c>
      <c r="F732" s="182"/>
      <c r="G732" s="181"/>
    </row>
    <row r="733" spans="1:7" x14ac:dyDescent="0.25">
      <c r="A733" s="180">
        <v>2022</v>
      </c>
      <c r="B733" s="181" t="s">
        <v>481</v>
      </c>
      <c r="C733" s="182"/>
      <c r="D733" s="182"/>
      <c r="E733" s="180">
        <v>327.45</v>
      </c>
      <c r="F733" s="182"/>
      <c r="G733" s="181"/>
    </row>
    <row r="734" spans="1:7" x14ac:dyDescent="0.25">
      <c r="A734" s="180">
        <v>2022</v>
      </c>
      <c r="B734" s="181" t="s">
        <v>481</v>
      </c>
      <c r="C734" s="182"/>
      <c r="D734" s="182"/>
      <c r="E734" s="180">
        <v>419.46</v>
      </c>
      <c r="F734" s="182"/>
      <c r="G734" s="181"/>
    </row>
    <row r="735" spans="1:7" x14ac:dyDescent="0.25">
      <c r="A735" s="180">
        <v>2022</v>
      </c>
      <c r="B735" s="181" t="s">
        <v>481</v>
      </c>
      <c r="C735" s="182"/>
      <c r="D735" s="182"/>
      <c r="E735" s="180">
        <v>419.46</v>
      </c>
      <c r="F735" s="182"/>
      <c r="G735" s="181"/>
    </row>
    <row r="736" spans="1:7" x14ac:dyDescent="0.25">
      <c r="A736" s="180">
        <v>2022</v>
      </c>
      <c r="B736" s="181" t="s">
        <v>482</v>
      </c>
      <c r="C736" s="180">
        <v>7</v>
      </c>
      <c r="D736" s="180">
        <v>100.06</v>
      </c>
      <c r="E736" s="180">
        <v>303.94</v>
      </c>
      <c r="F736" s="180">
        <v>10.66</v>
      </c>
      <c r="G736" s="181"/>
    </row>
    <row r="737" spans="1:7" x14ac:dyDescent="0.25">
      <c r="A737" s="180">
        <v>2022</v>
      </c>
      <c r="B737" s="181" t="s">
        <v>482</v>
      </c>
      <c r="C737" s="180">
        <v>11</v>
      </c>
      <c r="D737" s="180">
        <v>93.14</v>
      </c>
      <c r="E737" s="180">
        <v>319.7</v>
      </c>
      <c r="F737" s="180">
        <v>7.21</v>
      </c>
      <c r="G737" s="181"/>
    </row>
    <row r="738" spans="1:7" x14ac:dyDescent="0.25">
      <c r="A738" s="180">
        <v>2022</v>
      </c>
      <c r="B738" s="181" t="s">
        <v>482</v>
      </c>
      <c r="C738" s="180">
        <v>12</v>
      </c>
      <c r="D738" s="180">
        <v>76.12</v>
      </c>
      <c r="E738" s="180">
        <v>234.42</v>
      </c>
      <c r="F738" s="182"/>
      <c r="G738" s="181"/>
    </row>
    <row r="739" spans="1:7" x14ac:dyDescent="0.25">
      <c r="A739" s="180">
        <v>2022</v>
      </c>
      <c r="B739" s="181" t="s">
        <v>482</v>
      </c>
      <c r="C739" s="180">
        <v>7</v>
      </c>
      <c r="D739" s="180">
        <v>89.48</v>
      </c>
      <c r="E739" s="180">
        <v>256.24</v>
      </c>
      <c r="F739" s="180">
        <v>8.67</v>
      </c>
      <c r="G739" s="181"/>
    </row>
    <row r="740" spans="1:7" x14ac:dyDescent="0.25">
      <c r="A740" s="180">
        <v>2022</v>
      </c>
      <c r="B740" s="181" t="s">
        <v>482</v>
      </c>
      <c r="C740" s="180">
        <v>7</v>
      </c>
      <c r="D740" s="180">
        <v>77.02</v>
      </c>
      <c r="E740" s="180">
        <v>240.82</v>
      </c>
      <c r="F740" s="180">
        <v>8.18</v>
      </c>
      <c r="G740" s="181"/>
    </row>
    <row r="741" spans="1:7" x14ac:dyDescent="0.25">
      <c r="A741" s="180">
        <v>2022</v>
      </c>
      <c r="B741" s="181" t="s">
        <v>482</v>
      </c>
      <c r="C741" s="180">
        <v>8</v>
      </c>
      <c r="D741" s="180">
        <v>80.66</v>
      </c>
      <c r="E741" s="180">
        <v>288.19</v>
      </c>
      <c r="F741" s="180">
        <v>9.09</v>
      </c>
      <c r="G741" s="181"/>
    </row>
    <row r="742" spans="1:7" x14ac:dyDescent="0.25">
      <c r="A742" s="180">
        <v>2022</v>
      </c>
      <c r="B742" s="181" t="s">
        <v>492</v>
      </c>
      <c r="C742" s="180">
        <v>29</v>
      </c>
      <c r="D742" s="180">
        <v>89.47</v>
      </c>
      <c r="E742" s="180">
        <v>404.75</v>
      </c>
      <c r="F742" s="180">
        <v>5.03</v>
      </c>
      <c r="G742" s="181"/>
    </row>
    <row r="743" spans="1:7" x14ac:dyDescent="0.25">
      <c r="A743" s="180">
        <v>2022</v>
      </c>
      <c r="B743" s="181" t="s">
        <v>492</v>
      </c>
      <c r="C743" s="180">
        <v>28</v>
      </c>
      <c r="D743" s="180">
        <v>84.75</v>
      </c>
      <c r="E743" s="180">
        <v>393.26</v>
      </c>
      <c r="F743" s="180">
        <v>6.84</v>
      </c>
      <c r="G743" s="181"/>
    </row>
    <row r="744" spans="1:7" x14ac:dyDescent="0.25">
      <c r="A744" s="180">
        <v>2022</v>
      </c>
      <c r="B744" s="181" t="s">
        <v>492</v>
      </c>
      <c r="C744" s="180">
        <v>31</v>
      </c>
      <c r="D744" s="180">
        <v>94.05</v>
      </c>
      <c r="E744" s="180">
        <v>404.26</v>
      </c>
      <c r="F744" s="180">
        <v>7.43</v>
      </c>
      <c r="G744" s="181"/>
    </row>
    <row r="745" spans="1:7" x14ac:dyDescent="0.25">
      <c r="A745" s="180">
        <v>2022</v>
      </c>
      <c r="B745" s="181" t="s">
        <v>492</v>
      </c>
      <c r="C745" s="180">
        <v>29</v>
      </c>
      <c r="D745" s="180">
        <v>90.16</v>
      </c>
      <c r="E745" s="180">
        <v>393</v>
      </c>
      <c r="F745" s="180">
        <v>6.73</v>
      </c>
      <c r="G745" s="181"/>
    </row>
    <row r="746" spans="1:7" x14ac:dyDescent="0.25">
      <c r="A746" s="180">
        <v>2022</v>
      </c>
      <c r="B746" s="181" t="s">
        <v>492</v>
      </c>
      <c r="C746" s="180">
        <v>32</v>
      </c>
      <c r="D746" s="180">
        <v>98.21</v>
      </c>
      <c r="E746" s="180">
        <v>299.06</v>
      </c>
      <c r="F746" s="180">
        <v>6.29</v>
      </c>
      <c r="G746" s="181"/>
    </row>
    <row r="747" spans="1:7" x14ac:dyDescent="0.25">
      <c r="A747" s="180">
        <v>2022</v>
      </c>
      <c r="B747" s="181" t="s">
        <v>492</v>
      </c>
      <c r="C747" s="180">
        <v>30</v>
      </c>
      <c r="D747" s="180">
        <v>92.33</v>
      </c>
      <c r="E747" s="180">
        <v>378.69</v>
      </c>
      <c r="F747" s="180">
        <v>4.8499999999999996</v>
      </c>
      <c r="G747" s="181"/>
    </row>
    <row r="748" spans="1:7" x14ac:dyDescent="0.25">
      <c r="A748" s="180">
        <v>2022</v>
      </c>
      <c r="B748" s="181" t="s">
        <v>492</v>
      </c>
      <c r="C748" s="182"/>
      <c r="D748" s="182"/>
      <c r="E748" s="180">
        <v>377.49</v>
      </c>
      <c r="F748" s="182"/>
      <c r="G748" s="181"/>
    </row>
    <row r="749" spans="1:7" x14ac:dyDescent="0.25">
      <c r="A749" s="180">
        <v>2022</v>
      </c>
      <c r="B749" s="181" t="s">
        <v>494</v>
      </c>
      <c r="C749" s="180">
        <v>7</v>
      </c>
      <c r="D749" s="180">
        <v>83.72</v>
      </c>
      <c r="E749" s="180">
        <v>377.49</v>
      </c>
      <c r="F749" s="180">
        <v>6.06</v>
      </c>
      <c r="G749" s="181"/>
    </row>
    <row r="750" spans="1:7" x14ac:dyDescent="0.25">
      <c r="A750" s="180">
        <v>2022</v>
      </c>
      <c r="B750" s="181" t="s">
        <v>494</v>
      </c>
      <c r="C750" s="180">
        <v>8</v>
      </c>
      <c r="D750" s="180">
        <v>90.87</v>
      </c>
      <c r="E750" s="180">
        <v>419.87</v>
      </c>
      <c r="F750" s="180">
        <v>6.95</v>
      </c>
      <c r="G750" s="181"/>
    </row>
    <row r="751" spans="1:7" x14ac:dyDescent="0.25">
      <c r="A751" s="180">
        <v>2022</v>
      </c>
      <c r="B751" s="181" t="s">
        <v>494</v>
      </c>
      <c r="C751" s="180">
        <v>9</v>
      </c>
      <c r="D751" s="180">
        <v>87.13</v>
      </c>
      <c r="E751" s="180">
        <v>388.21</v>
      </c>
      <c r="F751" s="180">
        <v>5.22</v>
      </c>
      <c r="G751" s="181"/>
    </row>
    <row r="752" spans="1:7" x14ac:dyDescent="0.25">
      <c r="A752" s="180">
        <v>2022</v>
      </c>
      <c r="B752" s="181" t="s">
        <v>494</v>
      </c>
      <c r="C752" s="180">
        <v>7</v>
      </c>
      <c r="D752" s="180">
        <v>69.33</v>
      </c>
      <c r="E752" s="182"/>
      <c r="F752" s="180">
        <v>5.19</v>
      </c>
      <c r="G752" s="181"/>
    </row>
    <row r="753" spans="1:7" x14ac:dyDescent="0.25">
      <c r="A753" s="180">
        <v>2022</v>
      </c>
      <c r="B753" s="181" t="s">
        <v>494</v>
      </c>
      <c r="C753" s="180">
        <v>9</v>
      </c>
      <c r="D753" s="180">
        <v>73.790000000000006</v>
      </c>
      <c r="E753" s="180">
        <v>457.51</v>
      </c>
      <c r="F753" s="180">
        <v>4.7699999999999996</v>
      </c>
      <c r="G753" s="181"/>
    </row>
    <row r="754" spans="1:7" x14ac:dyDescent="0.25">
      <c r="A754" s="180">
        <v>2022</v>
      </c>
      <c r="B754" s="181" t="s">
        <v>494</v>
      </c>
      <c r="C754" s="180">
        <v>8</v>
      </c>
      <c r="D754" s="180">
        <v>70.790000000000006</v>
      </c>
      <c r="E754" s="180">
        <v>370.48</v>
      </c>
      <c r="F754" s="182"/>
      <c r="G754" s="181"/>
    </row>
    <row r="755" spans="1:7" x14ac:dyDescent="0.25">
      <c r="A755" s="180">
        <v>2022</v>
      </c>
      <c r="B755" s="181" t="s">
        <v>477</v>
      </c>
      <c r="C755" s="180">
        <v>12</v>
      </c>
      <c r="D755" s="180">
        <v>79.44</v>
      </c>
      <c r="E755" s="180">
        <v>338.96</v>
      </c>
      <c r="F755" s="180">
        <v>4.6500000000000004</v>
      </c>
      <c r="G755" s="181"/>
    </row>
    <row r="756" spans="1:7" x14ac:dyDescent="0.25">
      <c r="A756" s="180">
        <v>2022</v>
      </c>
      <c r="B756" s="181" t="s">
        <v>477</v>
      </c>
      <c r="C756" s="180">
        <v>8</v>
      </c>
      <c r="D756" s="180">
        <v>93.33</v>
      </c>
      <c r="E756" s="180">
        <v>412.92</v>
      </c>
      <c r="F756" s="180">
        <v>5.58</v>
      </c>
      <c r="G756" s="181"/>
    </row>
    <row r="757" spans="1:7" x14ac:dyDescent="0.25">
      <c r="A757" s="180">
        <v>2022</v>
      </c>
      <c r="B757" s="181" t="s">
        <v>477</v>
      </c>
      <c r="C757" s="180">
        <v>8</v>
      </c>
      <c r="D757" s="180">
        <v>96.14</v>
      </c>
      <c r="E757" s="180">
        <v>430.64</v>
      </c>
      <c r="F757" s="180">
        <v>5.99</v>
      </c>
      <c r="G757" s="181"/>
    </row>
    <row r="758" spans="1:7" x14ac:dyDescent="0.25">
      <c r="A758" s="180">
        <v>2022</v>
      </c>
      <c r="B758" s="181" t="s">
        <v>477</v>
      </c>
      <c r="C758" s="180">
        <v>11</v>
      </c>
      <c r="D758" s="180">
        <v>95.23</v>
      </c>
      <c r="E758" s="180">
        <v>353.75</v>
      </c>
      <c r="F758" s="180">
        <v>6.77</v>
      </c>
      <c r="G758" s="181"/>
    </row>
    <row r="759" spans="1:7" x14ac:dyDescent="0.25">
      <c r="A759" s="180">
        <v>2022</v>
      </c>
      <c r="B759" s="181" t="s">
        <v>477</v>
      </c>
      <c r="C759" s="180">
        <v>10</v>
      </c>
      <c r="D759" s="180">
        <v>76.33</v>
      </c>
      <c r="E759" s="180">
        <v>330.72</v>
      </c>
      <c r="F759" s="180">
        <v>4.7</v>
      </c>
      <c r="G759" s="181"/>
    </row>
    <row r="760" spans="1:7" x14ac:dyDescent="0.25">
      <c r="A760" s="180">
        <v>2022</v>
      </c>
      <c r="B760" s="181" t="s">
        <v>477</v>
      </c>
      <c r="C760" s="182"/>
      <c r="D760" s="180">
        <v>90.52</v>
      </c>
      <c r="E760" s="180">
        <v>322.05</v>
      </c>
      <c r="F760" s="180">
        <v>6.32</v>
      </c>
      <c r="G760" s="181"/>
    </row>
    <row r="761" spans="1:7" x14ac:dyDescent="0.25">
      <c r="A761" s="180">
        <v>2022</v>
      </c>
      <c r="B761" s="181" t="s">
        <v>477</v>
      </c>
      <c r="C761" s="182"/>
      <c r="D761" s="182"/>
      <c r="E761" s="180">
        <v>397.51</v>
      </c>
      <c r="F761" s="182"/>
      <c r="G761" s="181"/>
    </row>
    <row r="762" spans="1:7" x14ac:dyDescent="0.25">
      <c r="A762" s="180">
        <v>2022</v>
      </c>
      <c r="B762" s="181" t="s">
        <v>495</v>
      </c>
      <c r="C762" s="180">
        <v>10</v>
      </c>
      <c r="D762" s="180">
        <v>102.29</v>
      </c>
      <c r="E762" s="182"/>
      <c r="F762" s="180">
        <v>4.8099999999999996</v>
      </c>
      <c r="G762" s="181"/>
    </row>
    <row r="763" spans="1:7" x14ac:dyDescent="0.25">
      <c r="A763" s="180">
        <v>2022</v>
      </c>
      <c r="B763" s="181" t="s">
        <v>495</v>
      </c>
      <c r="C763" s="180">
        <v>10</v>
      </c>
      <c r="D763" s="180">
        <v>112.74</v>
      </c>
      <c r="E763" s="180">
        <v>459.58</v>
      </c>
      <c r="F763" s="180">
        <v>5.74</v>
      </c>
      <c r="G763" s="181"/>
    </row>
    <row r="764" spans="1:7" x14ac:dyDescent="0.25">
      <c r="A764" s="180">
        <v>2022</v>
      </c>
      <c r="B764" s="181" t="s">
        <v>495</v>
      </c>
      <c r="C764" s="180">
        <v>13</v>
      </c>
      <c r="D764" s="182"/>
      <c r="E764" s="180">
        <v>444.52</v>
      </c>
      <c r="F764" s="182"/>
      <c r="G764" s="181"/>
    </row>
    <row r="765" spans="1:7" x14ac:dyDescent="0.25">
      <c r="A765" s="180">
        <v>2022</v>
      </c>
      <c r="B765" s="181" t="s">
        <v>495</v>
      </c>
      <c r="C765" s="180">
        <v>9</v>
      </c>
      <c r="D765" s="180">
        <v>103.28</v>
      </c>
      <c r="E765" s="180">
        <v>421.36</v>
      </c>
      <c r="F765" s="180">
        <v>7.24</v>
      </c>
      <c r="G765" s="181"/>
    </row>
    <row r="766" spans="1:7" x14ac:dyDescent="0.25">
      <c r="A766" s="180">
        <v>2022</v>
      </c>
      <c r="B766" s="181" t="s">
        <v>495</v>
      </c>
      <c r="C766" s="180">
        <v>12</v>
      </c>
      <c r="D766" s="180">
        <v>106.49</v>
      </c>
      <c r="E766" s="180">
        <v>410.03</v>
      </c>
      <c r="F766" s="180">
        <v>5.29</v>
      </c>
      <c r="G766" s="181"/>
    </row>
    <row r="767" spans="1:7" x14ac:dyDescent="0.25">
      <c r="A767" s="180">
        <v>2022</v>
      </c>
      <c r="B767" s="181" t="s">
        <v>495</v>
      </c>
      <c r="C767" s="180">
        <v>11</v>
      </c>
      <c r="D767" s="180">
        <v>111.57</v>
      </c>
      <c r="E767" s="180">
        <v>448.9</v>
      </c>
      <c r="F767" s="180">
        <v>5.53</v>
      </c>
      <c r="G767" s="181"/>
    </row>
    <row r="768" spans="1:7" x14ac:dyDescent="0.25">
      <c r="A768" s="180">
        <v>2022</v>
      </c>
      <c r="B768" s="181" t="s">
        <v>513</v>
      </c>
      <c r="C768" s="180">
        <v>9</v>
      </c>
      <c r="D768" s="180">
        <v>83.07</v>
      </c>
      <c r="E768" s="180">
        <v>393.52</v>
      </c>
      <c r="F768" s="180">
        <v>7.49</v>
      </c>
      <c r="G768" s="181"/>
    </row>
    <row r="769" spans="1:7" x14ac:dyDescent="0.25">
      <c r="A769" s="180">
        <v>2022</v>
      </c>
      <c r="B769" s="181" t="s">
        <v>513</v>
      </c>
      <c r="C769" s="180">
        <v>7</v>
      </c>
      <c r="D769" s="180">
        <v>76.14</v>
      </c>
      <c r="E769" s="180">
        <v>352.63</v>
      </c>
      <c r="F769" s="180">
        <v>6.04</v>
      </c>
      <c r="G769" s="181"/>
    </row>
    <row r="770" spans="1:7" x14ac:dyDescent="0.25">
      <c r="A770" s="180">
        <v>2022</v>
      </c>
      <c r="B770" s="181" t="s">
        <v>513</v>
      </c>
      <c r="C770" s="182"/>
      <c r="D770" s="180">
        <v>79.05</v>
      </c>
      <c r="E770" s="180">
        <v>363.43</v>
      </c>
      <c r="F770" s="180">
        <v>6.65</v>
      </c>
      <c r="G770" s="181"/>
    </row>
    <row r="771" spans="1:7" x14ac:dyDescent="0.25">
      <c r="A771" s="180">
        <v>2022</v>
      </c>
      <c r="B771" s="181" t="s">
        <v>513</v>
      </c>
      <c r="C771" s="180">
        <v>9</v>
      </c>
      <c r="D771" s="182"/>
      <c r="E771" s="182"/>
      <c r="F771" s="180">
        <v>7.63</v>
      </c>
      <c r="G771" s="181"/>
    </row>
    <row r="772" spans="1:7" x14ac:dyDescent="0.25">
      <c r="A772" s="180">
        <v>2022</v>
      </c>
      <c r="B772" s="181" t="s">
        <v>513</v>
      </c>
      <c r="C772" s="180">
        <v>8</v>
      </c>
      <c r="D772" s="180">
        <v>73.12</v>
      </c>
      <c r="E772" s="180">
        <v>358.73</v>
      </c>
      <c r="F772" s="180">
        <v>6.73</v>
      </c>
      <c r="G772" s="181"/>
    </row>
    <row r="773" spans="1:7" x14ac:dyDescent="0.25">
      <c r="A773" s="180">
        <v>2022</v>
      </c>
      <c r="B773" s="181" t="s">
        <v>513</v>
      </c>
      <c r="C773" s="180">
        <v>11</v>
      </c>
      <c r="D773" s="180">
        <v>77.53</v>
      </c>
      <c r="E773" s="180">
        <v>302.69</v>
      </c>
      <c r="F773" s="180">
        <v>6.48</v>
      </c>
      <c r="G773" s="181"/>
    </row>
    <row r="774" spans="1:7" x14ac:dyDescent="0.25">
      <c r="A774" s="180">
        <v>2020</v>
      </c>
      <c r="B774" s="181" t="s">
        <v>627</v>
      </c>
      <c r="C774" s="180">
        <v>11.349763321074718</v>
      </c>
      <c r="D774" s="182"/>
      <c r="E774" s="180">
        <v>526.21291229349981</v>
      </c>
      <c r="F774" s="180">
        <v>26.489100516538016</v>
      </c>
      <c r="G774" s="181"/>
    </row>
    <row r="775" spans="1:7" x14ac:dyDescent="0.25">
      <c r="A775" s="180">
        <v>2020</v>
      </c>
      <c r="B775" s="181" t="s">
        <v>627</v>
      </c>
      <c r="C775" s="180">
        <v>5.0406518370830096</v>
      </c>
      <c r="D775" s="182"/>
      <c r="E775" s="180">
        <v>228.04789544746183</v>
      </c>
      <c r="F775" s="180">
        <v>15.945102403085333</v>
      </c>
      <c r="G775" s="181"/>
    </row>
    <row r="776" spans="1:7" x14ac:dyDescent="0.25">
      <c r="A776" s="180">
        <v>2020</v>
      </c>
      <c r="B776" s="181" t="s">
        <v>627</v>
      </c>
      <c r="C776" s="180">
        <v>26.4624162110483</v>
      </c>
      <c r="D776" s="182"/>
      <c r="E776" s="180">
        <v>199.98912881355423</v>
      </c>
      <c r="F776" s="180">
        <v>30.041458510946782</v>
      </c>
      <c r="G776" s="181"/>
    </row>
    <row r="777" spans="1:7" x14ac:dyDescent="0.25">
      <c r="A777" s="180">
        <v>2020</v>
      </c>
      <c r="B777" s="181" t="s">
        <v>627</v>
      </c>
      <c r="C777" s="180">
        <v>8.8378974897379674</v>
      </c>
      <c r="D777" s="182"/>
      <c r="E777" s="180">
        <v>291.83692717151473</v>
      </c>
      <c r="F777" s="180">
        <v>29.939672414878959</v>
      </c>
      <c r="G777" s="181"/>
    </row>
    <row r="778" spans="1:7" x14ac:dyDescent="0.25">
      <c r="A778" s="180">
        <v>2020</v>
      </c>
      <c r="B778" s="181" t="s">
        <v>627</v>
      </c>
      <c r="C778" s="180">
        <v>9.5744129183991085</v>
      </c>
      <c r="D778" s="182"/>
      <c r="E778" s="180">
        <v>298.98284353797584</v>
      </c>
      <c r="F778" s="180">
        <v>28.192004507633769</v>
      </c>
      <c r="G778" s="181"/>
    </row>
    <row r="779" spans="1:7" x14ac:dyDescent="0.25">
      <c r="A779" s="180">
        <v>2020</v>
      </c>
      <c r="B779" s="181" t="s">
        <v>627</v>
      </c>
      <c r="C779" s="180">
        <v>3.7150107269047457</v>
      </c>
      <c r="D779" s="182"/>
      <c r="E779" s="180">
        <v>280.22775427615699</v>
      </c>
      <c r="F779" s="180">
        <v>25.596142800625685</v>
      </c>
      <c r="G779" s="181"/>
    </row>
    <row r="780" spans="1:7" x14ac:dyDescent="0.25">
      <c r="A780" s="180">
        <v>2020</v>
      </c>
      <c r="B780" s="181" t="s">
        <v>627</v>
      </c>
      <c r="C780" s="180">
        <v>5.2377834862319821</v>
      </c>
      <c r="D780" s="182"/>
      <c r="E780" s="180">
        <v>339.37876525831751</v>
      </c>
      <c r="F780" s="180">
        <v>18.922144693997893</v>
      </c>
      <c r="G780" s="181"/>
    </row>
    <row r="781" spans="1:7" x14ac:dyDescent="0.25">
      <c r="A781" s="180">
        <v>2020</v>
      </c>
      <c r="B781" s="181" t="s">
        <v>627</v>
      </c>
      <c r="C781" s="180">
        <v>5.3004715788536574</v>
      </c>
      <c r="D781" s="182"/>
      <c r="E781" s="180">
        <v>368.51821549803913</v>
      </c>
      <c r="F781" s="180">
        <v>37.08671309347617</v>
      </c>
      <c r="G781" s="181"/>
    </row>
    <row r="782" spans="1:7" x14ac:dyDescent="0.25">
      <c r="A782" s="180">
        <v>2020</v>
      </c>
      <c r="B782" s="181" t="s">
        <v>627</v>
      </c>
      <c r="C782" s="180">
        <v>8.7580359828599761</v>
      </c>
      <c r="D782" s="182"/>
      <c r="E782" s="180">
        <v>260.18991979501982</v>
      </c>
      <c r="F782" s="180">
        <v>36.391217026196664</v>
      </c>
      <c r="G782" s="181"/>
    </row>
    <row r="783" spans="1:7" x14ac:dyDescent="0.25">
      <c r="A783" s="180">
        <v>2020</v>
      </c>
      <c r="B783" s="181" t="s">
        <v>626</v>
      </c>
      <c r="C783" s="180">
        <v>9.6455339708228536</v>
      </c>
      <c r="D783" s="180">
        <v>63.678798305040495</v>
      </c>
      <c r="E783" s="180">
        <v>131.41133081209651</v>
      </c>
      <c r="F783" s="180">
        <v>19.191810217590731</v>
      </c>
      <c r="G783" s="181"/>
    </row>
    <row r="784" spans="1:7" x14ac:dyDescent="0.25">
      <c r="A784" s="180">
        <v>2020</v>
      </c>
      <c r="B784" s="181" t="s">
        <v>626</v>
      </c>
      <c r="C784" s="180">
        <v>14.426919027617554</v>
      </c>
      <c r="D784" s="180">
        <v>52.996822499452854</v>
      </c>
      <c r="E784" s="180">
        <v>210.594467017135</v>
      </c>
      <c r="F784" s="180">
        <v>14.559322962726212</v>
      </c>
      <c r="G784" s="181"/>
    </row>
    <row r="785" spans="1:7" x14ac:dyDescent="0.25">
      <c r="A785" s="180">
        <v>2020</v>
      </c>
      <c r="B785" s="181" t="s">
        <v>626</v>
      </c>
      <c r="C785" s="180">
        <v>6.6229762446977878</v>
      </c>
      <c r="D785" s="180">
        <v>59.62304715141542</v>
      </c>
      <c r="E785" s="180">
        <v>119.90690312699476</v>
      </c>
      <c r="F785" s="180">
        <v>13.672844960900177</v>
      </c>
      <c r="G785" s="181"/>
    </row>
    <row r="786" spans="1:7" x14ac:dyDescent="0.25">
      <c r="A786" s="180">
        <v>2020</v>
      </c>
      <c r="B786" s="181" t="s">
        <v>626</v>
      </c>
      <c r="C786" s="180">
        <v>3.7515260589418413</v>
      </c>
      <c r="D786" s="180">
        <v>68.612662489564002</v>
      </c>
      <c r="E786" s="180">
        <v>201.72742343595738</v>
      </c>
      <c r="F786" s="180">
        <v>11.44362364572566</v>
      </c>
      <c r="G786" s="181"/>
    </row>
    <row r="787" spans="1:7" x14ac:dyDescent="0.25">
      <c r="A787" s="180">
        <v>2020</v>
      </c>
      <c r="B787" s="181" t="s">
        <v>626</v>
      </c>
      <c r="C787" s="180">
        <v>3.3260748064730854</v>
      </c>
      <c r="D787" s="180">
        <v>28.311094987148447</v>
      </c>
      <c r="E787" s="180">
        <v>172.94691302730598</v>
      </c>
      <c r="F787" s="180">
        <v>26.275995144819799</v>
      </c>
      <c r="G787" s="181"/>
    </row>
    <row r="788" spans="1:7" x14ac:dyDescent="0.25">
      <c r="A788" s="180">
        <v>2020</v>
      </c>
      <c r="B788" s="181" t="s">
        <v>626</v>
      </c>
      <c r="C788" s="180">
        <v>2.7819863498992818</v>
      </c>
      <c r="D788" s="180">
        <v>71.325319642350394</v>
      </c>
      <c r="E788" s="180">
        <v>191.29588656239073</v>
      </c>
      <c r="F788" s="180">
        <v>17.0310859939284</v>
      </c>
      <c r="G788" s="181"/>
    </row>
    <row r="789" spans="1:7" x14ac:dyDescent="0.25">
      <c r="A789" s="180">
        <v>2020</v>
      </c>
      <c r="B789" s="181" t="s">
        <v>626</v>
      </c>
      <c r="C789" s="180">
        <v>3.9730439887475124</v>
      </c>
      <c r="D789" s="180">
        <v>71.317985938965293</v>
      </c>
      <c r="E789" s="180">
        <v>153.32213676726181</v>
      </c>
      <c r="F789" s="180">
        <v>13.864046062182824</v>
      </c>
      <c r="G789" s="181"/>
    </row>
    <row r="790" spans="1:7" x14ac:dyDescent="0.25">
      <c r="A790" s="180">
        <v>2020</v>
      </c>
      <c r="B790" s="181" t="s">
        <v>626</v>
      </c>
      <c r="C790" s="180">
        <v>3.2161472834937368</v>
      </c>
      <c r="D790" s="180">
        <v>76.439014993120779</v>
      </c>
      <c r="E790" s="180">
        <v>255.4118365048015</v>
      </c>
      <c r="F790" s="180">
        <v>20.639898179283797</v>
      </c>
      <c r="G790" s="181"/>
    </row>
    <row r="791" spans="1:7" x14ac:dyDescent="0.25">
      <c r="A791" s="180">
        <v>2020</v>
      </c>
      <c r="B791" s="181" t="s">
        <v>626</v>
      </c>
      <c r="C791" s="180">
        <v>2.53660308596691</v>
      </c>
      <c r="D791" s="180">
        <v>63.203931525946139</v>
      </c>
      <c r="E791" s="180">
        <v>234.91082268863087</v>
      </c>
      <c r="F791" s="180">
        <v>27.199635430004864</v>
      </c>
      <c r="G791" s="181"/>
    </row>
    <row r="792" spans="1:7" x14ac:dyDescent="0.25">
      <c r="A792" s="180">
        <v>2020</v>
      </c>
      <c r="B792" s="181" t="s">
        <v>626</v>
      </c>
      <c r="C792" s="180">
        <v>4.1621442382275671</v>
      </c>
      <c r="D792" s="180">
        <v>50.525311565369783</v>
      </c>
      <c r="E792" s="180">
        <v>83.528028250409079</v>
      </c>
      <c r="F792" s="180">
        <v>15.08407813790415</v>
      </c>
      <c r="G792" s="181"/>
    </row>
    <row r="793" spans="1:7" x14ac:dyDescent="0.25">
      <c r="A793" s="180">
        <v>2020</v>
      </c>
      <c r="B793" s="181" t="s">
        <v>628</v>
      </c>
      <c r="C793" s="180">
        <v>7.5945697057525718</v>
      </c>
      <c r="D793" s="182"/>
      <c r="E793" s="180">
        <v>181.43496175813328</v>
      </c>
      <c r="F793" s="180">
        <v>26.39259618651138</v>
      </c>
      <c r="G793" s="181"/>
    </row>
    <row r="794" spans="1:7" x14ac:dyDescent="0.25">
      <c r="A794" s="180">
        <v>2020</v>
      </c>
      <c r="B794" s="181" t="s">
        <v>628</v>
      </c>
      <c r="C794" s="180">
        <v>15.514599153911734</v>
      </c>
      <c r="D794" s="182"/>
      <c r="E794" s="180">
        <v>131.57352112227122</v>
      </c>
      <c r="F794" s="180">
        <v>13.549222017799615</v>
      </c>
      <c r="G794" s="181"/>
    </row>
    <row r="795" spans="1:7" x14ac:dyDescent="0.25">
      <c r="A795" s="180">
        <v>2020</v>
      </c>
      <c r="B795" s="181" t="s">
        <v>628</v>
      </c>
      <c r="C795" s="180">
        <v>26.432698761414876</v>
      </c>
      <c r="D795" s="182"/>
      <c r="E795" s="180">
        <v>177.07200762159195</v>
      </c>
      <c r="F795" s="180">
        <v>24.041106770980747</v>
      </c>
      <c r="G795" s="181"/>
    </row>
    <row r="796" spans="1:7" x14ac:dyDescent="0.25">
      <c r="A796" s="180">
        <v>2020</v>
      </c>
      <c r="B796" s="181" t="s">
        <v>628</v>
      </c>
      <c r="C796" s="180">
        <v>12.113501166078622</v>
      </c>
      <c r="D796" s="182"/>
      <c r="E796" s="180">
        <v>198.38881783419612</v>
      </c>
      <c r="F796" s="180">
        <v>29.346942463579794</v>
      </c>
      <c r="G796" s="181"/>
    </row>
    <row r="797" spans="1:7" x14ac:dyDescent="0.25">
      <c r="A797" s="180">
        <v>2020</v>
      </c>
      <c r="B797" s="181" t="s">
        <v>628</v>
      </c>
      <c r="C797" s="180">
        <v>7.0319614541632935</v>
      </c>
      <c r="D797" s="182"/>
      <c r="E797" s="180">
        <v>200.03999437454533</v>
      </c>
      <c r="F797" s="180">
        <v>20.873801034208597</v>
      </c>
      <c r="G797" s="181"/>
    </row>
    <row r="798" spans="1:7" x14ac:dyDescent="0.25">
      <c r="A798" s="180">
        <v>2020</v>
      </c>
      <c r="B798" s="181" t="s">
        <v>628</v>
      </c>
      <c r="C798" s="180">
        <v>8.3830678912776246</v>
      </c>
      <c r="D798" s="182"/>
      <c r="E798" s="180">
        <v>207.87082505362247</v>
      </c>
      <c r="F798" s="180">
        <v>20.517625947822594</v>
      </c>
      <c r="G798" s="181"/>
    </row>
    <row r="799" spans="1:7" x14ac:dyDescent="0.25">
      <c r="A799" s="180">
        <v>2020</v>
      </c>
      <c r="B799" s="181" t="s">
        <v>628</v>
      </c>
      <c r="C799" s="180">
        <v>8.6470644489999398</v>
      </c>
      <c r="D799" s="182"/>
      <c r="E799" s="180">
        <v>233.51463657589329</v>
      </c>
      <c r="F799" s="180">
        <v>30.234912924003755</v>
      </c>
      <c r="G799" s="181"/>
    </row>
    <row r="800" spans="1:7" x14ac:dyDescent="0.25">
      <c r="A800" s="180">
        <v>2020</v>
      </c>
      <c r="B800" s="181" t="s">
        <v>628</v>
      </c>
      <c r="C800" s="180">
        <v>6.2738030752761862</v>
      </c>
      <c r="D800" s="182"/>
      <c r="E800" s="180">
        <v>203.5398456593206</v>
      </c>
      <c r="F800" s="180">
        <v>22.736080452789036</v>
      </c>
      <c r="G800" s="181"/>
    </row>
    <row r="801" spans="1:7" x14ac:dyDescent="0.25">
      <c r="A801" s="180">
        <v>2020</v>
      </c>
      <c r="B801" s="181" t="s">
        <v>628</v>
      </c>
      <c r="C801" s="180">
        <v>4.9554974361570503</v>
      </c>
      <c r="D801" s="182"/>
      <c r="E801" s="180">
        <v>141.15304318964834</v>
      </c>
      <c r="F801" s="180">
        <v>15.240584685696941</v>
      </c>
      <c r="G801" s="181"/>
    </row>
    <row r="802" spans="1:7" x14ac:dyDescent="0.25">
      <c r="A802" s="180">
        <v>2020</v>
      </c>
      <c r="B802" s="181" t="s">
        <v>628</v>
      </c>
      <c r="C802" s="180">
        <v>11.911619389816781</v>
      </c>
      <c r="D802" s="182"/>
      <c r="E802" s="180">
        <v>203.9622818139585</v>
      </c>
      <c r="F802" s="180">
        <v>30.448287675727371</v>
      </c>
      <c r="G802" s="181"/>
    </row>
    <row r="803" spans="1:7" x14ac:dyDescent="0.25">
      <c r="A803" s="180">
        <v>2020</v>
      </c>
      <c r="B803" s="181" t="s">
        <v>630</v>
      </c>
      <c r="C803" s="180">
        <v>8.4307166367249771</v>
      </c>
      <c r="D803" s="182"/>
      <c r="E803" s="180">
        <v>106.97066309257683</v>
      </c>
      <c r="F803" s="180">
        <v>19.416512714589036</v>
      </c>
      <c r="G803" s="181"/>
    </row>
    <row r="804" spans="1:7" x14ac:dyDescent="0.25">
      <c r="A804" s="180">
        <v>2020</v>
      </c>
      <c r="B804" s="181" t="s">
        <v>630</v>
      </c>
      <c r="C804" s="180">
        <v>13.222255126366496</v>
      </c>
      <c r="D804" s="182"/>
      <c r="E804" s="180">
        <v>136.0825506495855</v>
      </c>
      <c r="F804" s="180">
        <v>8.7792674215398545</v>
      </c>
      <c r="G804" s="181"/>
    </row>
    <row r="805" spans="1:7" x14ac:dyDescent="0.25">
      <c r="A805" s="180">
        <v>2020</v>
      </c>
      <c r="B805" s="181" t="s">
        <v>630</v>
      </c>
      <c r="C805" s="180">
        <v>8.8979227386719799</v>
      </c>
      <c r="D805" s="182"/>
      <c r="E805" s="180">
        <v>235.75264886952777</v>
      </c>
      <c r="F805" s="180">
        <v>50.832076358389095</v>
      </c>
      <c r="G805" s="181"/>
    </row>
    <row r="806" spans="1:7" x14ac:dyDescent="0.25">
      <c r="A806" s="180">
        <v>2020</v>
      </c>
      <c r="B806" s="181" t="s">
        <v>630</v>
      </c>
      <c r="C806" s="180">
        <v>15.567404150964812</v>
      </c>
      <c r="D806" s="182"/>
      <c r="E806" s="180">
        <v>100.88105578748933</v>
      </c>
      <c r="F806" s="180">
        <v>13.426954643682436</v>
      </c>
      <c r="G806" s="181"/>
    </row>
    <row r="807" spans="1:7" x14ac:dyDescent="0.25">
      <c r="A807" s="180">
        <v>2020</v>
      </c>
      <c r="B807" s="181" t="s">
        <v>630</v>
      </c>
      <c r="C807" s="180">
        <v>7.8178866743781219</v>
      </c>
      <c r="D807" s="182"/>
      <c r="E807" s="180">
        <v>178.51637145263356</v>
      </c>
      <c r="F807" s="180">
        <v>21.165419695900734</v>
      </c>
      <c r="G807" s="181"/>
    </row>
    <row r="808" spans="1:7" x14ac:dyDescent="0.25">
      <c r="A808" s="180">
        <v>2020</v>
      </c>
      <c r="B808" s="181" t="s">
        <v>630</v>
      </c>
      <c r="C808" s="180">
        <v>22.556380824887196</v>
      </c>
      <c r="D808" s="182"/>
      <c r="E808" s="180">
        <v>253.40401944561077</v>
      </c>
      <c r="F808" s="180">
        <v>23.805387659148142</v>
      </c>
      <c r="G808" s="181"/>
    </row>
    <row r="809" spans="1:7" x14ac:dyDescent="0.25">
      <c r="A809" s="180">
        <v>2020</v>
      </c>
      <c r="B809" s="181" t="s">
        <v>630</v>
      </c>
      <c r="C809" s="180">
        <v>21.45506316761508</v>
      </c>
      <c r="D809" s="182"/>
      <c r="E809" s="180">
        <v>126.26300410203682</v>
      </c>
      <c r="F809" s="180">
        <v>30.263939933972061</v>
      </c>
      <c r="G809" s="181"/>
    </row>
    <row r="810" spans="1:7" x14ac:dyDescent="0.25">
      <c r="A810" s="180">
        <v>2020</v>
      </c>
      <c r="B810" s="181" t="s">
        <v>630</v>
      </c>
      <c r="C810" s="180">
        <v>11.844152117224384</v>
      </c>
      <c r="D810" s="182"/>
      <c r="E810" s="180">
        <v>204.12337120979146</v>
      </c>
      <c r="F810" s="180">
        <v>44.844191968361926</v>
      </c>
      <c r="G810" s="181"/>
    </row>
    <row r="811" spans="1:7" x14ac:dyDescent="0.25">
      <c r="A811" s="180">
        <v>2020</v>
      </c>
      <c r="B811" s="181" t="s">
        <v>630</v>
      </c>
      <c r="C811" s="180">
        <v>6.2262710379537616</v>
      </c>
      <c r="D811" s="182"/>
      <c r="E811" s="180">
        <v>179.75842925443658</v>
      </c>
      <c r="F811" s="180">
        <v>30.859985374399866</v>
      </c>
      <c r="G811" s="181"/>
    </row>
    <row r="812" spans="1:7" x14ac:dyDescent="0.25">
      <c r="A812" s="180">
        <v>2020</v>
      </c>
      <c r="B812" s="181" t="s">
        <v>630</v>
      </c>
      <c r="C812" s="180">
        <v>5.2382238406136299</v>
      </c>
      <c r="D812" s="182"/>
      <c r="E812" s="180">
        <v>100.66312405093311</v>
      </c>
      <c r="F812" s="180">
        <v>35.417564368223196</v>
      </c>
      <c r="G812" s="181"/>
    </row>
    <row r="813" spans="1:7" x14ac:dyDescent="0.25">
      <c r="A813" s="180">
        <v>2020</v>
      </c>
      <c r="B813" s="181" t="s">
        <v>79</v>
      </c>
      <c r="C813" s="180">
        <v>3.2249043689869841</v>
      </c>
      <c r="D813" s="180">
        <v>23.17290402263836</v>
      </c>
      <c r="E813" s="180">
        <v>514.60019544021281</v>
      </c>
      <c r="F813" s="180">
        <v>28.655851765188611</v>
      </c>
      <c r="G813" s="181"/>
    </row>
    <row r="814" spans="1:7" x14ac:dyDescent="0.25">
      <c r="A814" s="180">
        <v>2020</v>
      </c>
      <c r="B814" s="181" t="s">
        <v>79</v>
      </c>
      <c r="C814" s="180">
        <v>18.783439059017315</v>
      </c>
      <c r="D814" s="180">
        <v>47.998014913662651</v>
      </c>
      <c r="E814" s="180">
        <v>686.61947821956232</v>
      </c>
      <c r="F814" s="180">
        <v>33.288659296338587</v>
      </c>
      <c r="G814" s="181"/>
    </row>
    <row r="815" spans="1:7" x14ac:dyDescent="0.25">
      <c r="A815" s="180">
        <v>2020</v>
      </c>
      <c r="B815" s="181" t="s">
        <v>79</v>
      </c>
      <c r="C815" s="180">
        <v>5.5975360449132738</v>
      </c>
      <c r="D815" s="180">
        <v>35.346499106576445</v>
      </c>
      <c r="E815" s="180">
        <v>514.44392991871166</v>
      </c>
      <c r="F815" s="180">
        <v>32.690571459210126</v>
      </c>
      <c r="G815" s="181"/>
    </row>
    <row r="816" spans="1:7" x14ac:dyDescent="0.25">
      <c r="A816" s="180">
        <v>2020</v>
      </c>
      <c r="B816" s="181" t="s">
        <v>79</v>
      </c>
      <c r="C816" s="180">
        <v>3.5090817899585551</v>
      </c>
      <c r="D816" s="180">
        <v>40.06042606434886</v>
      </c>
      <c r="E816" s="180">
        <v>447.65601638513334</v>
      </c>
      <c r="F816" s="180">
        <v>19.670060750803415</v>
      </c>
      <c r="G816" s="181"/>
    </row>
    <row r="817" spans="1:7" x14ac:dyDescent="0.25">
      <c r="A817" s="180">
        <v>2020</v>
      </c>
      <c r="B817" s="181" t="s">
        <v>79</v>
      </c>
      <c r="C817" s="180">
        <v>3.0647827575400863</v>
      </c>
      <c r="D817" s="180">
        <v>25.77718849406666</v>
      </c>
      <c r="E817" s="180">
        <v>500.42428741984673</v>
      </c>
      <c r="F817" s="180">
        <v>15.633016295657841</v>
      </c>
      <c r="G817" s="181"/>
    </row>
    <row r="818" spans="1:7" x14ac:dyDescent="0.25">
      <c r="A818" s="180">
        <v>2020</v>
      </c>
      <c r="B818" s="181" t="s">
        <v>79</v>
      </c>
      <c r="C818" s="180">
        <v>4.6627392733089223</v>
      </c>
      <c r="D818" s="180">
        <v>30.094902356278016</v>
      </c>
      <c r="E818" s="180">
        <v>359.91178895894893</v>
      </c>
      <c r="F818" s="180">
        <v>16.276779484288895</v>
      </c>
      <c r="G818" s="181"/>
    </row>
    <row r="819" spans="1:7" x14ac:dyDescent="0.25">
      <c r="A819" s="180">
        <v>2020</v>
      </c>
      <c r="B819" s="181" t="s">
        <v>79</v>
      </c>
      <c r="C819" s="180">
        <v>3.8696649248636712</v>
      </c>
      <c r="D819" s="180">
        <v>29.736499178740587</v>
      </c>
      <c r="E819" s="180">
        <v>565.34332364124361</v>
      </c>
      <c r="F819" s="180">
        <v>49.048173447356504</v>
      </c>
      <c r="G819" s="181"/>
    </row>
    <row r="820" spans="1:7" x14ac:dyDescent="0.25">
      <c r="A820" s="180">
        <v>2020</v>
      </c>
      <c r="B820" s="181" t="s">
        <v>79</v>
      </c>
      <c r="C820" s="180">
        <v>5.1443142563033106</v>
      </c>
      <c r="D820" s="180">
        <v>30.590351355753789</v>
      </c>
      <c r="E820" s="180">
        <v>463.09503718018607</v>
      </c>
      <c r="F820" s="180">
        <v>23.32763068527424</v>
      </c>
      <c r="G820" s="181"/>
    </row>
    <row r="821" spans="1:7" x14ac:dyDescent="0.25">
      <c r="A821" s="180">
        <v>2020</v>
      </c>
      <c r="B821" s="181" t="s">
        <v>79</v>
      </c>
      <c r="C821" s="180">
        <v>9.2641377137926728</v>
      </c>
      <c r="D821" s="180">
        <v>45.471656065152274</v>
      </c>
      <c r="E821" s="180">
        <v>828.22263182425343</v>
      </c>
      <c r="F821" s="180">
        <v>15.648175066175151</v>
      </c>
      <c r="G821" s="181"/>
    </row>
    <row r="822" spans="1:7" x14ac:dyDescent="0.25">
      <c r="A822" s="180">
        <v>2020</v>
      </c>
      <c r="B822" s="181" t="s">
        <v>79</v>
      </c>
      <c r="C822" s="180">
        <v>6.5863639975922013</v>
      </c>
      <c r="D822" s="180">
        <v>46.92138879872757</v>
      </c>
      <c r="E822" s="180">
        <v>252.05225179357225</v>
      </c>
      <c r="F822" s="180">
        <v>10.502275158294074</v>
      </c>
      <c r="G822" s="181"/>
    </row>
    <row r="823" spans="1:7" x14ac:dyDescent="0.25">
      <c r="A823" s="180">
        <v>2020</v>
      </c>
      <c r="B823" s="181" t="s">
        <v>662</v>
      </c>
      <c r="C823" s="180">
        <v>3.9855280732706673</v>
      </c>
      <c r="D823" s="180">
        <v>33.908311339742724</v>
      </c>
      <c r="E823" s="180">
        <v>659.78162044198666</v>
      </c>
      <c r="F823" s="180">
        <v>31.387229330967937</v>
      </c>
      <c r="G823" s="181"/>
    </row>
    <row r="824" spans="1:7" x14ac:dyDescent="0.25">
      <c r="A824" s="180">
        <v>2020</v>
      </c>
      <c r="B824" s="181" t="s">
        <v>662</v>
      </c>
      <c r="C824" s="180">
        <v>3.233521432055138</v>
      </c>
      <c r="D824" s="180">
        <v>37.954638367966901</v>
      </c>
      <c r="E824" s="180">
        <v>733.25240407625358</v>
      </c>
      <c r="F824" s="180">
        <v>45.086644323945727</v>
      </c>
      <c r="G824" s="181"/>
    </row>
    <row r="825" spans="1:7" x14ac:dyDescent="0.25">
      <c r="A825" s="180">
        <v>2020</v>
      </c>
      <c r="B825" s="181" t="s">
        <v>662</v>
      </c>
      <c r="C825" s="180">
        <v>4.6600880124683943</v>
      </c>
      <c r="D825" s="180">
        <v>33.057469799079946</v>
      </c>
      <c r="E825" s="180">
        <v>710.2623482308295</v>
      </c>
      <c r="F825" s="180">
        <v>47.610961920073123</v>
      </c>
      <c r="G825" s="181"/>
    </row>
    <row r="826" spans="1:7" x14ac:dyDescent="0.25">
      <c r="A826" s="180">
        <v>2020</v>
      </c>
      <c r="B826" s="181" t="s">
        <v>662</v>
      </c>
      <c r="C826" s="180">
        <v>7.6621814478013457</v>
      </c>
      <c r="D826" s="180">
        <v>39.652536749062889</v>
      </c>
      <c r="E826" s="180">
        <v>543.69274967157833</v>
      </c>
      <c r="F826" s="180">
        <v>33.814615343606626</v>
      </c>
      <c r="G826" s="181"/>
    </row>
    <row r="827" spans="1:7" x14ac:dyDescent="0.25">
      <c r="A827" s="180">
        <v>2020</v>
      </c>
      <c r="B827" s="181" t="s">
        <v>631</v>
      </c>
      <c r="C827" s="180">
        <v>4.3890623516813454</v>
      </c>
      <c r="D827" s="180">
        <v>55.035425983615887</v>
      </c>
      <c r="E827" s="180">
        <v>222.30907875787508</v>
      </c>
      <c r="F827" s="180">
        <v>11.811189415059641</v>
      </c>
      <c r="G827" s="181"/>
    </row>
    <row r="828" spans="1:7" x14ac:dyDescent="0.25">
      <c r="A828" s="180">
        <v>2020</v>
      </c>
      <c r="B828" s="181" t="s">
        <v>631</v>
      </c>
      <c r="C828" s="180">
        <v>2.2567968903368936</v>
      </c>
      <c r="D828" s="180">
        <v>42.873496960078484</v>
      </c>
      <c r="E828" s="180">
        <v>175.58713584653418</v>
      </c>
      <c r="F828" s="180">
        <v>13.205976213245533</v>
      </c>
      <c r="G828" s="181"/>
    </row>
    <row r="829" spans="1:7" x14ac:dyDescent="0.25">
      <c r="A829" s="180">
        <v>2020</v>
      </c>
      <c r="B829" s="181" t="s">
        <v>631</v>
      </c>
      <c r="C829" s="180">
        <v>9.9796388979483996</v>
      </c>
      <c r="D829" s="180">
        <v>57.974681123575387</v>
      </c>
      <c r="E829" s="180">
        <v>299.74382275301457</v>
      </c>
      <c r="F829" s="180">
        <v>17.686316332933842</v>
      </c>
      <c r="G829" s="181"/>
    </row>
    <row r="830" spans="1:7" x14ac:dyDescent="0.25">
      <c r="A830" s="180">
        <v>2020</v>
      </c>
      <c r="B830" s="181" t="s">
        <v>631</v>
      </c>
      <c r="C830" s="180">
        <v>4.0760930078840456</v>
      </c>
      <c r="D830" s="180">
        <v>44.218924300185222</v>
      </c>
      <c r="E830" s="180">
        <v>252.77322703998436</v>
      </c>
      <c r="F830" s="180">
        <v>12.380210965892555</v>
      </c>
      <c r="G830" s="181"/>
    </row>
    <row r="831" spans="1:7" x14ac:dyDescent="0.25">
      <c r="A831" s="180">
        <v>2020</v>
      </c>
      <c r="B831" s="181" t="s">
        <v>631</v>
      </c>
      <c r="C831" s="180">
        <v>3.1352507048638865</v>
      </c>
      <c r="D831" s="180">
        <v>75.109648186358058</v>
      </c>
      <c r="E831" s="180">
        <v>272.84527037010355</v>
      </c>
      <c r="F831" s="180">
        <v>12.176326129011091</v>
      </c>
      <c r="G831" s="181"/>
    </row>
    <row r="832" spans="1:7" x14ac:dyDescent="0.25">
      <c r="A832" s="180">
        <v>2020</v>
      </c>
      <c r="B832" s="181" t="s">
        <v>631</v>
      </c>
      <c r="C832" s="180">
        <v>3.6356243370764716</v>
      </c>
      <c r="D832" s="180">
        <v>57.720400618455216</v>
      </c>
      <c r="E832" s="180">
        <v>219.55013790439938</v>
      </c>
      <c r="F832" s="180">
        <v>14.360613037188697</v>
      </c>
      <c r="G832" s="181"/>
    </row>
    <row r="833" spans="1:7" x14ac:dyDescent="0.25">
      <c r="A833" s="180">
        <v>2020</v>
      </c>
      <c r="B833" s="181" t="s">
        <v>631</v>
      </c>
      <c r="C833" s="180">
        <v>4.237156773184811</v>
      </c>
      <c r="D833" s="180">
        <v>49.420928323504008</v>
      </c>
      <c r="E833" s="180">
        <v>194.79912999231036</v>
      </c>
      <c r="F833" s="180">
        <v>19.420336355795683</v>
      </c>
      <c r="G833" s="181"/>
    </row>
    <row r="834" spans="1:7" x14ac:dyDescent="0.25">
      <c r="A834" s="180">
        <v>2020</v>
      </c>
      <c r="B834" s="181" t="s">
        <v>631</v>
      </c>
      <c r="C834" s="180">
        <v>3.5407324998903493</v>
      </c>
      <c r="D834" s="180">
        <v>55.72738824385101</v>
      </c>
      <c r="E834" s="180">
        <v>275.98778002980492</v>
      </c>
      <c r="F834" s="180">
        <v>20.332717303632027</v>
      </c>
      <c r="G834" s="181"/>
    </row>
    <row r="835" spans="1:7" x14ac:dyDescent="0.25">
      <c r="A835" s="180">
        <v>2020</v>
      </c>
      <c r="B835" s="181" t="s">
        <v>632</v>
      </c>
      <c r="C835" s="180">
        <v>22.412250671887261</v>
      </c>
      <c r="D835" s="180">
        <v>67.259078293326638</v>
      </c>
      <c r="E835" s="180">
        <v>263.85015460438478</v>
      </c>
      <c r="F835" s="180">
        <v>10.45607843929742</v>
      </c>
      <c r="G835" s="181"/>
    </row>
    <row r="836" spans="1:7" x14ac:dyDescent="0.25">
      <c r="A836" s="180">
        <v>2020</v>
      </c>
      <c r="B836" s="181" t="s">
        <v>632</v>
      </c>
      <c r="C836" s="180">
        <v>6.1744878800904184</v>
      </c>
      <c r="D836" s="180">
        <v>54.762469251753252</v>
      </c>
      <c r="E836" s="180">
        <v>383.3958520029866</v>
      </c>
      <c r="F836" s="180">
        <v>13.069472939782896</v>
      </c>
      <c r="G836" s="181"/>
    </row>
    <row r="837" spans="1:7" x14ac:dyDescent="0.25">
      <c r="A837" s="180">
        <v>2020</v>
      </c>
      <c r="B837" s="181" t="s">
        <v>632</v>
      </c>
      <c r="C837" s="180">
        <v>23.036282962678129</v>
      </c>
      <c r="D837" s="180">
        <v>73.008200209555142</v>
      </c>
      <c r="E837" s="180">
        <v>161.00302504192507</v>
      </c>
      <c r="F837" s="180">
        <v>19.518467998100029</v>
      </c>
      <c r="G837" s="181"/>
    </row>
    <row r="838" spans="1:7" x14ac:dyDescent="0.25">
      <c r="A838" s="180">
        <v>2020</v>
      </c>
      <c r="B838" s="181" t="s">
        <v>632</v>
      </c>
      <c r="C838" s="180">
        <v>33.995100605007032</v>
      </c>
      <c r="D838" s="180">
        <v>76.4448999520462</v>
      </c>
      <c r="E838" s="180">
        <v>328.27597699573488</v>
      </c>
      <c r="F838" s="180">
        <v>14.965834901867929</v>
      </c>
      <c r="G838" s="181"/>
    </row>
    <row r="839" spans="1:7" x14ac:dyDescent="0.25">
      <c r="A839" s="180">
        <v>2020</v>
      </c>
      <c r="B839" s="181" t="s">
        <v>632</v>
      </c>
      <c r="C839" s="180">
        <v>5.1731034266789866</v>
      </c>
      <c r="D839" s="180">
        <v>97.616965999233457</v>
      </c>
      <c r="E839" s="180">
        <v>315.83674312699532</v>
      </c>
      <c r="F839" s="180">
        <v>10.810147319304477</v>
      </c>
      <c r="G839" s="181"/>
    </row>
    <row r="840" spans="1:7" x14ac:dyDescent="0.25">
      <c r="A840" s="180">
        <v>2020</v>
      </c>
      <c r="B840" s="181" t="s">
        <v>632</v>
      </c>
      <c r="C840" s="180">
        <v>6.6585592748287112</v>
      </c>
      <c r="D840" s="180">
        <v>76.538865088014703</v>
      </c>
      <c r="E840" s="180">
        <v>422.19731803762522</v>
      </c>
      <c r="F840" s="180">
        <v>17.914612859836108</v>
      </c>
      <c r="G840" s="181"/>
    </row>
    <row r="841" spans="1:7" x14ac:dyDescent="0.25">
      <c r="A841" s="180">
        <v>2020</v>
      </c>
      <c r="B841" s="181" t="s">
        <v>632</v>
      </c>
      <c r="C841" s="180">
        <v>11.536392206919592</v>
      </c>
      <c r="D841" s="180">
        <v>94.933115625727694</v>
      </c>
      <c r="E841" s="180">
        <v>311.7351694049251</v>
      </c>
      <c r="F841" s="180">
        <v>22.382690608959219</v>
      </c>
      <c r="G841" s="181"/>
    </row>
    <row r="842" spans="1:7" x14ac:dyDescent="0.25">
      <c r="A842" s="180">
        <v>2020</v>
      </c>
      <c r="B842" s="181" t="s">
        <v>632</v>
      </c>
      <c r="C842" s="180">
        <v>4.6630717069750904</v>
      </c>
      <c r="D842" s="180">
        <v>70.0229974709017</v>
      </c>
      <c r="E842" s="180">
        <v>336.59242576362271</v>
      </c>
      <c r="F842" s="180">
        <v>12.635452467377672</v>
      </c>
      <c r="G842" s="181"/>
    </row>
    <row r="843" spans="1:7" x14ac:dyDescent="0.25">
      <c r="A843" s="180">
        <v>2020</v>
      </c>
      <c r="B843" s="181" t="s">
        <v>632</v>
      </c>
      <c r="C843" s="180">
        <v>18.848456185750337</v>
      </c>
      <c r="D843" s="180">
        <v>80.008937545940057</v>
      </c>
      <c r="E843" s="180">
        <v>301.80326484371221</v>
      </c>
      <c r="F843" s="180">
        <v>18.404003151761174</v>
      </c>
      <c r="G843" s="181"/>
    </row>
    <row r="844" spans="1:7" x14ac:dyDescent="0.25">
      <c r="A844" s="180">
        <v>2020</v>
      </c>
      <c r="B844" s="181" t="s">
        <v>632</v>
      </c>
      <c r="C844" s="180">
        <v>4.4112115862421302</v>
      </c>
      <c r="D844" s="180">
        <v>96.315307924744602</v>
      </c>
      <c r="E844" s="180">
        <v>546.30903392412449</v>
      </c>
      <c r="F844" s="180">
        <v>14.60774770627922</v>
      </c>
      <c r="G844" s="181"/>
    </row>
    <row r="845" spans="1:7" x14ac:dyDescent="0.25">
      <c r="A845" s="180">
        <v>2020</v>
      </c>
      <c r="B845" s="181" t="s">
        <v>633</v>
      </c>
      <c r="C845" s="180">
        <v>4.3418358680121596</v>
      </c>
      <c r="D845" s="180">
        <v>58.467215863515015</v>
      </c>
      <c r="E845" s="180">
        <v>432.44128761278967</v>
      </c>
      <c r="F845" s="180">
        <v>23.56792780307515</v>
      </c>
      <c r="G845" s="181"/>
    </row>
    <row r="846" spans="1:7" x14ac:dyDescent="0.25">
      <c r="A846" s="180">
        <v>2020</v>
      </c>
      <c r="B846" s="181" t="s">
        <v>633</v>
      </c>
      <c r="C846" s="180">
        <v>3.9105172899150484</v>
      </c>
      <c r="D846" s="180">
        <v>63.755656296196264</v>
      </c>
      <c r="E846" s="180">
        <v>193.04010123262671</v>
      </c>
      <c r="F846" s="180">
        <v>25.679918201352287</v>
      </c>
      <c r="G846" s="181"/>
    </row>
    <row r="847" spans="1:7" x14ac:dyDescent="0.25">
      <c r="A847" s="180">
        <v>2020</v>
      </c>
      <c r="B847" s="181" t="s">
        <v>633</v>
      </c>
      <c r="C847" s="180">
        <v>5.6180190670059744</v>
      </c>
      <c r="D847" s="180">
        <v>55.651914561944061</v>
      </c>
      <c r="E847" s="180">
        <v>473.65150503183946</v>
      </c>
      <c r="F847" s="180">
        <v>18.713934176815542</v>
      </c>
      <c r="G847" s="181"/>
    </row>
    <row r="848" spans="1:7" x14ac:dyDescent="0.25">
      <c r="A848" s="180">
        <v>2020</v>
      </c>
      <c r="B848" s="181" t="s">
        <v>633</v>
      </c>
      <c r="C848" s="180">
        <v>8.9348352716809991</v>
      </c>
      <c r="D848" s="180">
        <v>77.040833773799349</v>
      </c>
      <c r="E848" s="180">
        <v>415.96329394239871</v>
      </c>
      <c r="F848" s="180">
        <v>17.88031076504307</v>
      </c>
      <c r="G848" s="181"/>
    </row>
    <row r="849" spans="1:7" x14ac:dyDescent="0.25">
      <c r="A849" s="180">
        <v>2020</v>
      </c>
      <c r="B849" s="181" t="s">
        <v>633</v>
      </c>
      <c r="C849" s="180">
        <v>5.8872329553892335</v>
      </c>
      <c r="D849" s="180">
        <v>77.902713864780054</v>
      </c>
      <c r="E849" s="180">
        <v>471.03519865417042</v>
      </c>
      <c r="F849" s="180">
        <v>23.471207576431951</v>
      </c>
      <c r="G849" s="181"/>
    </row>
    <row r="850" spans="1:7" x14ac:dyDescent="0.25">
      <c r="A850" s="180">
        <v>2020</v>
      </c>
      <c r="B850" s="181" t="s">
        <v>633</v>
      </c>
      <c r="C850" s="180">
        <v>4.7008975688549572</v>
      </c>
      <c r="D850" s="180">
        <v>47.636777769968113</v>
      </c>
      <c r="E850" s="180">
        <v>370.21930310425768</v>
      </c>
      <c r="F850" s="180">
        <v>31.187074191772599</v>
      </c>
      <c r="G850" s="181"/>
    </row>
    <row r="851" spans="1:7" x14ac:dyDescent="0.25">
      <c r="A851" s="180">
        <v>2020</v>
      </c>
      <c r="B851" s="181" t="s">
        <v>633</v>
      </c>
      <c r="C851" s="180">
        <v>3.2371810161874293</v>
      </c>
      <c r="D851" s="180">
        <v>51.798173983714811</v>
      </c>
      <c r="E851" s="180">
        <v>289.27041927076789</v>
      </c>
      <c r="F851" s="180">
        <v>24.143296359239937</v>
      </c>
      <c r="G851" s="181"/>
    </row>
    <row r="852" spans="1:7" x14ac:dyDescent="0.25">
      <c r="A852" s="180">
        <v>2020</v>
      </c>
      <c r="B852" s="181" t="s">
        <v>633</v>
      </c>
      <c r="C852" s="180">
        <v>3.2155401794120246</v>
      </c>
      <c r="D852" s="180">
        <v>75.895675503136871</v>
      </c>
      <c r="E852" s="180">
        <v>427.39532609088678</v>
      </c>
      <c r="F852" s="180">
        <v>11.032006002280159</v>
      </c>
      <c r="G852" s="181"/>
    </row>
    <row r="853" spans="1:7" x14ac:dyDescent="0.25">
      <c r="A853" s="180">
        <v>2020</v>
      </c>
      <c r="B853" s="181" t="s">
        <v>633</v>
      </c>
      <c r="C853" s="180">
        <v>3.238699631269133</v>
      </c>
      <c r="D853" s="180">
        <v>55.177813439360236</v>
      </c>
      <c r="E853" s="180">
        <v>261.21325374386498</v>
      </c>
      <c r="F853" s="180">
        <v>25.005065623913822</v>
      </c>
      <c r="G853" s="181"/>
    </row>
    <row r="854" spans="1:7" x14ac:dyDescent="0.25">
      <c r="A854" s="180">
        <v>2020</v>
      </c>
      <c r="B854" s="181" t="s">
        <v>633</v>
      </c>
      <c r="C854" s="180">
        <v>3.0462885064241849</v>
      </c>
      <c r="D854" s="180">
        <v>55.933170506692115</v>
      </c>
      <c r="E854" s="180">
        <v>180.83614443864477</v>
      </c>
      <c r="F854" s="180">
        <v>19.544457052183272</v>
      </c>
      <c r="G854" s="181"/>
    </row>
    <row r="855" spans="1:7" x14ac:dyDescent="0.25">
      <c r="A855" s="180">
        <v>2020</v>
      </c>
      <c r="B855" s="181" t="s">
        <v>634</v>
      </c>
      <c r="C855" s="180">
        <v>10.260307354659709</v>
      </c>
      <c r="D855" s="180">
        <v>26.01562256306736</v>
      </c>
      <c r="E855" s="180">
        <v>436.22855698150801</v>
      </c>
      <c r="F855" s="180">
        <v>16.331973196424471</v>
      </c>
      <c r="G855" s="181"/>
    </row>
    <row r="856" spans="1:7" x14ac:dyDescent="0.25">
      <c r="A856" s="180">
        <v>2020</v>
      </c>
      <c r="B856" s="181" t="s">
        <v>634</v>
      </c>
      <c r="C856" s="180">
        <v>7.0052402378802601</v>
      </c>
      <c r="D856" s="180">
        <v>75.946366643162534</v>
      </c>
      <c r="E856" s="180">
        <v>448.21335494574606</v>
      </c>
      <c r="F856" s="180">
        <v>26.564378656869305</v>
      </c>
      <c r="G856" s="181"/>
    </row>
    <row r="857" spans="1:7" x14ac:dyDescent="0.25">
      <c r="A857" s="180">
        <v>2020</v>
      </c>
      <c r="B857" s="181" t="s">
        <v>634</v>
      </c>
      <c r="C857" s="180">
        <v>3.8619287538004996</v>
      </c>
      <c r="D857" s="180">
        <v>62.471141409086037</v>
      </c>
      <c r="E857" s="180">
        <v>492.7437871220061</v>
      </c>
      <c r="F857" s="180">
        <v>21.847898313082023</v>
      </c>
      <c r="G857" s="181"/>
    </row>
    <row r="858" spans="1:7" x14ac:dyDescent="0.25">
      <c r="A858" s="180">
        <v>2020</v>
      </c>
      <c r="B858" s="181" t="s">
        <v>634</v>
      </c>
      <c r="C858" s="180">
        <v>5.489692674726605</v>
      </c>
      <c r="D858" s="180">
        <v>42.682675384482032</v>
      </c>
      <c r="E858" s="180">
        <v>480.47215609934574</v>
      </c>
      <c r="F858" s="180">
        <v>21.124108396036153</v>
      </c>
      <c r="G858" s="181"/>
    </row>
    <row r="859" spans="1:7" x14ac:dyDescent="0.25">
      <c r="A859" s="180">
        <v>2020</v>
      </c>
      <c r="B859" s="181" t="s">
        <v>634</v>
      </c>
      <c r="C859" s="180">
        <v>13.959015042690673</v>
      </c>
      <c r="D859" s="180">
        <v>53.451769452336862</v>
      </c>
      <c r="E859" s="180">
        <v>887.37432265723533</v>
      </c>
      <c r="F859" s="180">
        <v>20.348378002536585</v>
      </c>
      <c r="G859" s="181"/>
    </row>
    <row r="860" spans="1:7" x14ac:dyDescent="0.25">
      <c r="A860" s="180">
        <v>2020</v>
      </c>
      <c r="B860" s="181" t="s">
        <v>634</v>
      </c>
      <c r="C860" s="180">
        <v>5.7375988050200935</v>
      </c>
      <c r="D860" s="180">
        <v>63.631617668930964</v>
      </c>
      <c r="E860" s="180">
        <v>431.14651606745105</v>
      </c>
      <c r="F860" s="180">
        <v>27.500320369416748</v>
      </c>
      <c r="G860" s="181"/>
    </row>
    <row r="861" spans="1:7" x14ac:dyDescent="0.25">
      <c r="A861" s="180">
        <v>2020</v>
      </c>
      <c r="B861" s="181" t="s">
        <v>634</v>
      </c>
      <c r="C861" s="180">
        <v>4.191540296918399</v>
      </c>
      <c r="D861" s="180">
        <v>63.180006051234457</v>
      </c>
      <c r="E861" s="180">
        <v>319.49003287317788</v>
      </c>
      <c r="F861" s="180">
        <v>23.926497242994017</v>
      </c>
      <c r="G861" s="181"/>
    </row>
    <row r="862" spans="1:7" x14ac:dyDescent="0.25">
      <c r="A862" s="180">
        <v>2020</v>
      </c>
      <c r="B862" s="181" t="s">
        <v>634</v>
      </c>
      <c r="C862" s="180">
        <v>5.5388550211869534</v>
      </c>
      <c r="D862" s="180">
        <v>43.137772673317045</v>
      </c>
      <c r="E862" s="180">
        <v>583.71789292927315</v>
      </c>
      <c r="F862" s="180">
        <v>15.632631320078573</v>
      </c>
      <c r="G862" s="181"/>
    </row>
    <row r="863" spans="1:7" x14ac:dyDescent="0.25">
      <c r="A863" s="180">
        <v>2020</v>
      </c>
      <c r="B863" s="181" t="s">
        <v>634</v>
      </c>
      <c r="C863" s="180">
        <v>4.7911897501797487</v>
      </c>
      <c r="D863" s="180">
        <v>31.998054833659697</v>
      </c>
      <c r="E863" s="180">
        <v>276.06728562674232</v>
      </c>
      <c r="F863" s="180">
        <v>29.334416499272933</v>
      </c>
      <c r="G863" s="181"/>
    </row>
    <row r="864" spans="1:7" x14ac:dyDescent="0.25">
      <c r="A864" s="180">
        <v>2020</v>
      </c>
      <c r="B864" s="181" t="s">
        <v>635</v>
      </c>
      <c r="C864" s="180">
        <v>5.8681909826969152</v>
      </c>
      <c r="D864" s="180">
        <v>97.648751071108023</v>
      </c>
      <c r="E864" s="180">
        <v>148.6868051228044</v>
      </c>
      <c r="F864" s="180">
        <v>33.408794916911923</v>
      </c>
      <c r="G864" s="181"/>
    </row>
    <row r="865" spans="1:7" x14ac:dyDescent="0.25">
      <c r="A865" s="180">
        <v>2020</v>
      </c>
      <c r="B865" s="181" t="s">
        <v>635</v>
      </c>
      <c r="C865" s="180">
        <v>12.204652308943523</v>
      </c>
      <c r="D865" s="180">
        <v>73.705670742496324</v>
      </c>
      <c r="E865" s="180">
        <v>235.33230035328887</v>
      </c>
      <c r="F865" s="180">
        <v>21.923877527124603</v>
      </c>
      <c r="G865" s="181"/>
    </row>
    <row r="866" spans="1:7" x14ac:dyDescent="0.25">
      <c r="A866" s="180">
        <v>2020</v>
      </c>
      <c r="B866" s="181" t="s">
        <v>635</v>
      </c>
      <c r="C866" s="180">
        <v>4.001817765683704</v>
      </c>
      <c r="D866" s="180">
        <v>67.37941106795256</v>
      </c>
      <c r="E866" s="180">
        <v>134.01877597395372</v>
      </c>
      <c r="F866" s="180">
        <v>13.526277951679987</v>
      </c>
      <c r="G866" s="181"/>
    </row>
    <row r="867" spans="1:7" x14ac:dyDescent="0.25">
      <c r="A867" s="180">
        <v>2020</v>
      </c>
      <c r="B867" s="181" t="s">
        <v>635</v>
      </c>
      <c r="C867" s="180">
        <v>6.7624011382809277</v>
      </c>
      <c r="D867" s="180">
        <v>82.137756593581969</v>
      </c>
      <c r="E867" s="180">
        <v>122.21103740748113</v>
      </c>
      <c r="F867" s="180">
        <v>12.000933742696905</v>
      </c>
      <c r="G867" s="181"/>
    </row>
    <row r="868" spans="1:7" x14ac:dyDescent="0.25">
      <c r="A868" s="180">
        <v>2020</v>
      </c>
      <c r="B868" s="181" t="s">
        <v>635</v>
      </c>
      <c r="C868" s="180">
        <v>8.5835303603863036</v>
      </c>
      <c r="D868" s="180">
        <v>104.53355889603016</v>
      </c>
      <c r="E868" s="180">
        <v>187.79421975715627</v>
      </c>
      <c r="F868" s="180">
        <v>20.202359206232817</v>
      </c>
      <c r="G868" s="181"/>
    </row>
    <row r="869" spans="1:7" x14ac:dyDescent="0.25">
      <c r="A869" s="180">
        <v>2020</v>
      </c>
      <c r="B869" s="181" t="s">
        <v>635</v>
      </c>
      <c r="C869" s="180">
        <v>13.361574742986909</v>
      </c>
      <c r="D869" s="180">
        <v>84.609807216379195</v>
      </c>
      <c r="E869" s="180">
        <v>281.19806451935796</v>
      </c>
      <c r="F869" s="180">
        <v>16.650204238174034</v>
      </c>
      <c r="G869" s="181"/>
    </row>
    <row r="870" spans="1:7" x14ac:dyDescent="0.25">
      <c r="A870" s="180">
        <v>2020</v>
      </c>
      <c r="B870" s="181" t="s">
        <v>635</v>
      </c>
      <c r="C870" s="180">
        <v>5.7467331367758749</v>
      </c>
      <c r="D870" s="180">
        <v>65.040277805787483</v>
      </c>
      <c r="E870" s="180">
        <v>150.32242334123268</v>
      </c>
      <c r="F870" s="180">
        <v>17.143452289485275</v>
      </c>
      <c r="G870" s="18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A0179-CA59-4204-87D7-F9222943AEBF}">
  <dimension ref="A1:U412"/>
  <sheetViews>
    <sheetView workbookViewId="0">
      <selection activeCell="I1" sqref="I1"/>
    </sheetView>
  </sheetViews>
  <sheetFormatPr defaultRowHeight="15" x14ac:dyDescent="0.25"/>
  <cols>
    <col min="1" max="1" width="9.140625" style="171"/>
    <col min="15" max="15" width="23.42578125" customWidth="1"/>
  </cols>
  <sheetData>
    <row r="1" spans="1:21" s="136" customFormat="1" x14ac:dyDescent="0.25">
      <c r="B1" s="136" t="s">
        <v>663</v>
      </c>
      <c r="I1" s="136" t="s">
        <v>665</v>
      </c>
      <c r="P1" s="136" t="s">
        <v>457</v>
      </c>
    </row>
    <row r="2" spans="1:21" x14ac:dyDescent="0.25">
      <c r="A2" s="185" t="s">
        <v>661</v>
      </c>
      <c r="B2" s="185" t="s">
        <v>83</v>
      </c>
      <c r="C2" s="185" t="s">
        <v>100</v>
      </c>
      <c r="D2" s="185" t="s">
        <v>229</v>
      </c>
      <c r="E2" s="185" t="s">
        <v>196</v>
      </c>
      <c r="F2" s="185" t="s">
        <v>638</v>
      </c>
      <c r="G2" s="185" t="s">
        <v>112</v>
      </c>
      <c r="I2" s="191" t="s">
        <v>83</v>
      </c>
      <c r="J2" s="191" t="str">
        <f>C2</f>
        <v>AChE</v>
      </c>
      <c r="K2" s="191" t="str">
        <f>D2</f>
        <v>CAT</v>
      </c>
      <c r="L2" s="191" t="str">
        <f>E2</f>
        <v>GST</v>
      </c>
      <c r="M2" s="191" t="str">
        <f>F2</f>
        <v>GR</v>
      </c>
      <c r="N2" s="191" t="str">
        <f>G2</f>
        <v>TBARS</v>
      </c>
      <c r="P2" s="191" t="s">
        <v>83</v>
      </c>
      <c r="Q2" s="191" t="str">
        <f>J2</f>
        <v>AChE</v>
      </c>
      <c r="R2" s="191" t="str">
        <f t="shared" ref="R2:U2" si="0">K2</f>
        <v>CAT</v>
      </c>
      <c r="S2" s="191" t="str">
        <f t="shared" si="0"/>
        <v>GST</v>
      </c>
      <c r="T2" s="191" t="str">
        <f t="shared" si="0"/>
        <v>GR</v>
      </c>
      <c r="U2" s="191" t="str">
        <f t="shared" si="0"/>
        <v>TBARS</v>
      </c>
    </row>
    <row r="3" spans="1:21" x14ac:dyDescent="0.25">
      <c r="A3" s="187">
        <v>2020</v>
      </c>
      <c r="B3" s="186" t="s">
        <v>509</v>
      </c>
      <c r="C3" s="187">
        <v>25</v>
      </c>
      <c r="D3" s="187">
        <v>141.63999999999999</v>
      </c>
      <c r="E3" s="187">
        <v>278.63</v>
      </c>
      <c r="F3" s="188"/>
      <c r="G3" s="186"/>
      <c r="I3" s="192" t="s">
        <v>509</v>
      </c>
      <c r="J3" cm="1">
        <f t="array" ref="J3">_xlfn.PERCENTILE.INC(_xlfn._xlws.FILTER(C:C, (B:B=I3)*(C:C&lt;&gt;"")), 0.1)</f>
        <v>28.6</v>
      </c>
      <c r="K3" cm="1">
        <f t="array" ref="K3">_xlfn.PERCENTILE.INC(_xlfn._xlws.FILTER(D:D, (B:B=I3)*(D:D&lt;&gt;"")), 0.9)</f>
        <v>102.3</v>
      </c>
      <c r="L3" cm="1">
        <f t="array" ref="L3">_xlfn.PERCENTILE.INC(_xlfn._xlws.FILTER(E:E, (B:B=I3)*(E:E&lt;&gt;"")), 0.9)</f>
        <v>141.595</v>
      </c>
      <c r="M3" cm="1">
        <f t="array" ref="M3">_xlfn.PERCENTILE.INC(_xlfn._xlws.FILTER(F:F, (B:B=I3)*(F:F&lt;&gt;"")), 0.9)</f>
        <v>4.4400000000000004</v>
      </c>
      <c r="N3" cm="1">
        <f t="array" ref="N3">_xlfn.PERCENTILE.INC(_xlfn._xlws.FILTER(G:G, (B:B=I3)*(G:G&lt;&gt;"")), 0.9)</f>
        <v>1.49</v>
      </c>
      <c r="P3" t="str">
        <f>I3</f>
        <v>SA</v>
      </c>
      <c r="Q3">
        <f>COUNTIFS(B:B, P3, C:C, "&lt;&gt;")</f>
        <v>57</v>
      </c>
      <c r="R3">
        <f>COUNTIFS(B:B, P3, D:D, "&lt;&gt;")</f>
        <v>46</v>
      </c>
      <c r="S3">
        <f>COUNTIFS(B:B, P3, E:E, "&lt;&gt;")</f>
        <v>46</v>
      </c>
      <c r="T3">
        <f>COUNTIFS(B:B, P3, F:F, "&lt;&gt;")</f>
        <v>11</v>
      </c>
      <c r="U3">
        <f>COUNTIFS(B:B, P3, G:G, "&lt;&gt;")</f>
        <v>11</v>
      </c>
    </row>
    <row r="4" spans="1:21" x14ac:dyDescent="0.25">
      <c r="A4" s="187">
        <v>2020</v>
      </c>
      <c r="B4" s="186" t="s">
        <v>509</v>
      </c>
      <c r="C4" s="187">
        <v>43</v>
      </c>
      <c r="D4" s="187">
        <v>115.63</v>
      </c>
      <c r="E4" s="187">
        <v>198.59</v>
      </c>
      <c r="F4" s="188"/>
      <c r="G4" s="186"/>
      <c r="I4" s="186" t="s">
        <v>504</v>
      </c>
      <c r="J4" cm="1">
        <f t="array" ref="J4">_xlfn.PERCENTILE.INC(_xlfn._xlws.FILTER(C:C, (B:B=I4)*(C:C&lt;&gt;"")), 0.1)</f>
        <v>26.9</v>
      </c>
      <c r="K4" cm="1">
        <f t="array" ref="K4">_xlfn.PERCENTILE.INC(_xlfn._xlws.FILTER(D:D, (B:B=I4)*(D:D&lt;&gt;"")), 0.9)</f>
        <v>102.718</v>
      </c>
      <c r="L4" cm="1">
        <f t="array" ref="L4">_xlfn.PERCENTILE.INC(_xlfn._xlws.FILTER(E:E, (B:B=I4)*(E:E&lt;&gt;"")), 0.9)</f>
        <v>159.423</v>
      </c>
      <c r="M4" cm="1">
        <f t="array" ref="M4">_xlfn.PERCENTILE.INC(_xlfn._xlws.FILTER(F:F, (B:B=I4)*(F:F&lt;&gt;"")), 0.9)</f>
        <v>4.4640000000000004</v>
      </c>
      <c r="N4" cm="1">
        <f t="array" ref="N4">_xlfn.PERCENTILE.INC(_xlfn._xlws.FILTER(G:G, (B:B=I4)*(G:G&lt;&gt;"")), 0.9)</f>
        <v>0.51800000000000002</v>
      </c>
      <c r="P4" t="str">
        <f t="shared" ref="P4:P10" si="1">I4</f>
        <v>LIE</v>
      </c>
      <c r="Q4">
        <f t="shared" ref="Q4:Q10" si="2">COUNTIFS(B:B, P4, C:C, "&lt;&gt;")</f>
        <v>50</v>
      </c>
      <c r="R4">
        <f t="shared" ref="R4:R10" si="3">COUNTIFS(B:B, P4, D:D, "&lt;&gt;")</f>
        <v>40</v>
      </c>
      <c r="S4">
        <f t="shared" ref="S4:S10" si="4">COUNTIFS(B:B, P4, E:E, "&lt;&gt;")</f>
        <v>40</v>
      </c>
      <c r="T4">
        <f t="shared" ref="T4:T10" si="5">COUNTIFS(B:B, P4, F:F, "&lt;&gt;")</f>
        <v>12</v>
      </c>
      <c r="U4">
        <f t="shared" ref="U4:U10" si="6">COUNTIFS(B:B, P4, G:G, "&lt;&gt;")</f>
        <v>12</v>
      </c>
    </row>
    <row r="5" spans="1:21" x14ac:dyDescent="0.25">
      <c r="A5" s="187">
        <v>2020</v>
      </c>
      <c r="B5" s="186" t="s">
        <v>509</v>
      </c>
      <c r="C5" s="187">
        <v>26</v>
      </c>
      <c r="D5" s="187">
        <v>129.6</v>
      </c>
      <c r="E5" s="187">
        <v>267.02</v>
      </c>
      <c r="F5" s="188"/>
      <c r="G5" s="186"/>
      <c r="I5" s="186" t="s">
        <v>505</v>
      </c>
      <c r="J5" cm="1">
        <f t="array" ref="J5">_xlfn.PERCENTILE.INC(_xlfn._xlws.FILTER(C:C, (B:B=I5)*(C:C&lt;&gt;"")), 0.1)</f>
        <v>19.5</v>
      </c>
      <c r="K5" cm="1">
        <f t="array" ref="K5">_xlfn.PERCENTILE.INC(_xlfn._xlws.FILTER(D:D, (B:B=I5)*(D:D&lt;&gt;"")), 0.9)</f>
        <v>125.764</v>
      </c>
      <c r="L5" cm="1">
        <f t="array" ref="L5">_xlfn.PERCENTILE.INC(_xlfn._xlws.FILTER(E:E, (B:B=I5)*(E:E&lt;&gt;"")), 0.9)</f>
        <v>318.36</v>
      </c>
      <c r="P5" t="str">
        <f t="shared" si="1"/>
        <v>ME</v>
      </c>
      <c r="Q5">
        <f t="shared" si="2"/>
        <v>12</v>
      </c>
      <c r="R5">
        <f t="shared" si="3"/>
        <v>5</v>
      </c>
      <c r="S5">
        <f t="shared" si="4"/>
        <v>5</v>
      </c>
      <c r="T5">
        <f t="shared" si="5"/>
        <v>0</v>
      </c>
      <c r="U5">
        <f t="shared" si="6"/>
        <v>0</v>
      </c>
    </row>
    <row r="6" spans="1:21" x14ac:dyDescent="0.25">
      <c r="A6" s="187">
        <v>2020</v>
      </c>
      <c r="B6" s="186" t="s">
        <v>509</v>
      </c>
      <c r="C6" s="187">
        <v>32</v>
      </c>
      <c r="D6" s="187">
        <v>138.36000000000001</v>
      </c>
      <c r="E6" s="187">
        <v>255.1</v>
      </c>
      <c r="F6" s="188"/>
      <c r="G6" s="186"/>
      <c r="I6" s="186" t="s">
        <v>502</v>
      </c>
      <c r="J6" cm="1">
        <f t="array" ref="J6">_xlfn.PERCENTILE.INC(_xlfn._xlws.FILTER(C:C, (B:B=I6)*(C:C&lt;&gt;"")), 0.1)</f>
        <v>21.8</v>
      </c>
      <c r="K6" cm="1">
        <f t="array" ref="K6">_xlfn.PERCENTILE.INC(_xlfn._xlws.FILTER(D:D, (B:B=I6)*(D:D&lt;&gt;"")), 0.9)</f>
        <v>118.08800000000001</v>
      </c>
      <c r="L6" cm="1">
        <f t="array" ref="L6">_xlfn.PERCENTILE.INC(_xlfn._xlws.FILTER(E:E, (B:B=I6)*(E:E&lt;&gt;"")), 0.9)</f>
        <v>181.47799999999998</v>
      </c>
      <c r="P6" t="str">
        <f t="shared" si="1"/>
        <v>KA</v>
      </c>
      <c r="Q6">
        <f t="shared" si="2"/>
        <v>15</v>
      </c>
      <c r="R6">
        <f t="shared" si="3"/>
        <v>5</v>
      </c>
      <c r="S6">
        <f t="shared" si="4"/>
        <v>5</v>
      </c>
      <c r="T6">
        <f t="shared" si="5"/>
        <v>0</v>
      </c>
      <c r="U6">
        <f t="shared" si="6"/>
        <v>0</v>
      </c>
    </row>
    <row r="7" spans="1:21" x14ac:dyDescent="0.25">
      <c r="A7" s="187">
        <v>2020</v>
      </c>
      <c r="B7" s="186" t="s">
        <v>509</v>
      </c>
      <c r="C7" s="187">
        <v>29</v>
      </c>
      <c r="D7" s="187">
        <v>119.23</v>
      </c>
      <c r="E7" s="187">
        <v>187.08</v>
      </c>
      <c r="F7" s="188"/>
      <c r="G7" s="186"/>
      <c r="I7" s="186" t="s">
        <v>498</v>
      </c>
      <c r="J7" cm="1">
        <f t="array" ref="J7">_xlfn.PERCENTILE.INC(_xlfn._xlws.FILTER(C:C, (B:B=I7)*(C:C&lt;&gt;"")), 0.1)</f>
        <v>22.2</v>
      </c>
      <c r="K7" cm="1">
        <f t="array" ref="K7">_xlfn.PERCENTILE.INC(_xlfn._xlws.FILTER(D:D, (B:B=I7)*(D:D&lt;&gt;"")), 0.9)</f>
        <v>158.44400000000002</v>
      </c>
      <c r="L7" cm="1">
        <f t="array" ref="L7">_xlfn.PERCENTILE.INC(_xlfn._xlws.FILTER(E:E, (B:B=I7)*(E:E&lt;&gt;"")), 0.9)</f>
        <v>274.51499999999999</v>
      </c>
      <c r="P7" t="str">
        <f t="shared" si="1"/>
        <v>DU</v>
      </c>
      <c r="Q7">
        <f t="shared" si="2"/>
        <v>13</v>
      </c>
      <c r="R7">
        <f t="shared" si="3"/>
        <v>4</v>
      </c>
      <c r="S7">
        <f t="shared" si="4"/>
        <v>4</v>
      </c>
      <c r="T7">
        <f t="shared" si="5"/>
        <v>0</v>
      </c>
      <c r="U7">
        <f t="shared" si="6"/>
        <v>0</v>
      </c>
    </row>
    <row r="8" spans="1:21" x14ac:dyDescent="0.25">
      <c r="A8" s="187">
        <v>2020</v>
      </c>
      <c r="B8" s="186" t="s">
        <v>509</v>
      </c>
      <c r="C8" s="187">
        <v>30</v>
      </c>
      <c r="D8" s="188"/>
      <c r="E8" s="188"/>
      <c r="F8" s="188"/>
      <c r="G8" s="186"/>
      <c r="I8" s="186" t="s">
        <v>514</v>
      </c>
      <c r="J8" cm="1">
        <f t="array" ref="J8">_xlfn.PERCENTILE.INC(_xlfn._xlws.FILTER(C:C, (B:B=I8)*(C:C&lt;&gt;"")), 0.1)</f>
        <v>28</v>
      </c>
      <c r="K8" cm="1">
        <f t="array" ref="K8">_xlfn.PERCENTILE.INC(_xlfn._xlws.FILTER(D:D, (B:B=I8)*(D:D&lt;&gt;"")), 0.9)</f>
        <v>115.785</v>
      </c>
      <c r="L8" cm="1">
        <f t="array" ref="L8">_xlfn.PERCENTILE.INC(_xlfn._xlws.FILTER(E:E, (B:B=I8)*(E:E&lt;&gt;"")), 0.9)</f>
        <v>252.14000000000001</v>
      </c>
      <c r="M8" cm="1">
        <f t="array" ref="M8">_xlfn.PERCENTILE.INC(_xlfn._xlws.FILTER(F:F, (B:B=I8)*(F:F&lt;&gt;"")), 0.9)</f>
        <v>3.653</v>
      </c>
      <c r="N8" cm="1">
        <f t="array" ref="N8">_xlfn.PERCENTILE.INC(_xlfn._xlws.FILTER(G:G, (B:B=I8)*(G:G&lt;&gt;"")), 0.9)</f>
        <v>1.2540000000000002</v>
      </c>
      <c r="P8" t="str">
        <f t="shared" si="1"/>
        <v>VE</v>
      </c>
      <c r="Q8">
        <f t="shared" si="2"/>
        <v>102</v>
      </c>
      <c r="R8">
        <f t="shared" si="3"/>
        <v>96</v>
      </c>
      <c r="S8">
        <f t="shared" si="4"/>
        <v>96</v>
      </c>
      <c r="T8">
        <f t="shared" si="5"/>
        <v>12</v>
      </c>
      <c r="U8">
        <f t="shared" si="6"/>
        <v>12</v>
      </c>
    </row>
    <row r="9" spans="1:21" x14ac:dyDescent="0.25">
      <c r="A9" s="187">
        <v>2020</v>
      </c>
      <c r="B9" s="186" t="s">
        <v>509</v>
      </c>
      <c r="C9" s="187">
        <v>37</v>
      </c>
      <c r="D9" s="188"/>
      <c r="E9" s="188"/>
      <c r="F9" s="188"/>
      <c r="G9" s="186"/>
      <c r="I9" s="186" t="s">
        <v>503</v>
      </c>
      <c r="J9" cm="1">
        <f t="array" ref="J9">_xlfn.PERCENTILE.INC(_xlfn._xlws.FILTER(C:C, (B:B=I9)*(C:C&lt;&gt;"")), 0.1)</f>
        <v>22</v>
      </c>
      <c r="K9" cm="1">
        <f t="array" ref="K9">_xlfn.PERCENTILE.INC(_xlfn._xlws.FILTER(D:D, (B:B=I9)*(D:D&lt;&gt;"")), 0.9)</f>
        <v>98.031000000000006</v>
      </c>
      <c r="L9" cm="1">
        <f t="array" ref="L9">_xlfn.PERCENTILE.INC(_xlfn._xlws.FILTER(E:E, (B:B=I9)*(E:E&lt;&gt;"")), 0.9)</f>
        <v>132.09800000000013</v>
      </c>
      <c r="M9" cm="1">
        <f t="array" ref="M9">_xlfn.PERCENTILE.INC(_xlfn._xlws.FILTER(F:F, (B:B=I9)*(F:F&lt;&gt;"")), 0.9)</f>
        <v>4.49</v>
      </c>
      <c r="N9" cm="1">
        <f t="array" ref="N9">_xlfn.PERCENTILE.INC(_xlfn._xlws.FILTER(G:G, (B:B=I9)*(G:G&lt;&gt;"")), 0.9)</f>
        <v>0.92300000000000004</v>
      </c>
      <c r="P9" t="str">
        <f t="shared" si="1"/>
        <v>LI</v>
      </c>
      <c r="Q9">
        <f t="shared" si="2"/>
        <v>51</v>
      </c>
      <c r="R9">
        <f t="shared" si="3"/>
        <v>40</v>
      </c>
      <c r="S9">
        <f t="shared" si="4"/>
        <v>40</v>
      </c>
      <c r="T9">
        <f t="shared" si="5"/>
        <v>12</v>
      </c>
      <c r="U9">
        <f t="shared" si="6"/>
        <v>12</v>
      </c>
    </row>
    <row r="10" spans="1:21" x14ac:dyDescent="0.25">
      <c r="A10" s="187">
        <v>2020</v>
      </c>
      <c r="B10" s="186" t="s">
        <v>509</v>
      </c>
      <c r="C10" s="187">
        <v>44</v>
      </c>
      <c r="D10" s="188"/>
      <c r="E10" s="188"/>
      <c r="F10" s="188"/>
      <c r="G10" s="186"/>
      <c r="I10" s="186" t="s">
        <v>496</v>
      </c>
      <c r="J10" cm="1">
        <f t="array" ref="J10">_xlfn.PERCENTILE.INC(_xlfn._xlws.FILTER(C:C, (B:B=I10)*(C:C&lt;&gt;"")), 0.1)</f>
        <v>25.4</v>
      </c>
      <c r="K10" cm="1">
        <f t="array" ref="K10">_xlfn.PERCENTILE.INC(_xlfn._xlws.FILTER(D:D, (B:B=I10)*(D:D&lt;&gt;"")), 0.9)</f>
        <v>128.05600000000004</v>
      </c>
      <c r="L10" cm="1">
        <f t="array" ref="L10">_xlfn.PERCENTILE.INC(_xlfn._xlws.FILTER(E:E, (B:B=I10)*(E:E&lt;&gt;"")), 0.9)</f>
        <v>226.72200000000009</v>
      </c>
      <c r="M10" cm="1">
        <f t="array" ref="M10">_xlfn.PERCENTILE.INC(_xlfn._xlws.FILTER(F:F, (B:B=I10)*(F:F&lt;&gt;"")), 0.9)</f>
        <v>5.7030000000000003</v>
      </c>
      <c r="N10" cm="1">
        <f t="array" ref="N10">_xlfn.PERCENTILE.INC(_xlfn._xlws.FILTER(G:G, (B:B=I10)*(G:G&lt;&gt;"")), 0.9)</f>
        <v>0.77800000000000014</v>
      </c>
      <c r="P10" t="str">
        <f t="shared" si="1"/>
        <v>BO</v>
      </c>
      <c r="Q10">
        <f t="shared" si="2"/>
        <v>105</v>
      </c>
      <c r="R10">
        <f t="shared" si="3"/>
        <v>90</v>
      </c>
      <c r="S10">
        <f t="shared" si="4"/>
        <v>87</v>
      </c>
      <c r="T10">
        <f t="shared" si="5"/>
        <v>14</v>
      </c>
      <c r="U10">
        <f t="shared" si="6"/>
        <v>14</v>
      </c>
    </row>
    <row r="11" spans="1:21" x14ac:dyDescent="0.25">
      <c r="A11" s="187">
        <v>2020</v>
      </c>
      <c r="B11" s="186" t="s">
        <v>509</v>
      </c>
      <c r="C11" s="187">
        <v>45</v>
      </c>
      <c r="D11" s="188"/>
      <c r="E11" s="188"/>
      <c r="F11" s="188"/>
      <c r="G11" s="186"/>
    </row>
    <row r="12" spans="1:21" x14ac:dyDescent="0.25">
      <c r="A12" s="187">
        <v>2020</v>
      </c>
      <c r="B12" s="186" t="s">
        <v>509</v>
      </c>
      <c r="C12" s="187">
        <v>45</v>
      </c>
      <c r="D12" s="188"/>
      <c r="E12" s="188"/>
      <c r="F12" s="188"/>
      <c r="G12" s="186"/>
    </row>
    <row r="13" spans="1:21" x14ac:dyDescent="0.25">
      <c r="A13" s="187">
        <v>2020</v>
      </c>
      <c r="B13" s="186" t="s">
        <v>509</v>
      </c>
      <c r="C13" s="187">
        <v>31</v>
      </c>
      <c r="D13" s="188"/>
      <c r="E13" s="188"/>
      <c r="F13" s="188"/>
      <c r="G13" s="186"/>
    </row>
    <row r="14" spans="1:21" x14ac:dyDescent="0.25">
      <c r="A14" s="187">
        <v>2020</v>
      </c>
      <c r="B14" s="186" t="s">
        <v>509</v>
      </c>
      <c r="C14" s="187">
        <v>42</v>
      </c>
      <c r="D14" s="188"/>
      <c r="E14" s="188"/>
      <c r="F14" s="188"/>
      <c r="G14" s="186"/>
    </row>
    <row r="15" spans="1:21" x14ac:dyDescent="0.25">
      <c r="A15" s="187">
        <v>2020</v>
      </c>
      <c r="B15" s="186" t="s">
        <v>509</v>
      </c>
      <c r="C15" s="187">
        <v>30</v>
      </c>
      <c r="D15" s="188"/>
      <c r="E15" s="188"/>
      <c r="F15" s="188"/>
      <c r="G15" s="186"/>
    </row>
    <row r="16" spans="1:21" x14ac:dyDescent="0.25">
      <c r="A16" s="187">
        <v>2020</v>
      </c>
      <c r="B16" s="186" t="s">
        <v>509</v>
      </c>
      <c r="C16" s="187">
        <v>34</v>
      </c>
      <c r="D16" s="188"/>
      <c r="E16" s="188"/>
      <c r="F16" s="188"/>
      <c r="G16" s="186"/>
    </row>
    <row r="17" spans="1:7" x14ac:dyDescent="0.25">
      <c r="A17" s="187">
        <v>2020</v>
      </c>
      <c r="B17" s="186" t="s">
        <v>509</v>
      </c>
      <c r="C17" s="187">
        <v>44</v>
      </c>
      <c r="D17" s="188"/>
      <c r="E17" s="188"/>
      <c r="F17" s="188"/>
      <c r="G17" s="186"/>
    </row>
    <row r="18" spans="1:7" x14ac:dyDescent="0.25">
      <c r="A18" s="187">
        <v>2020</v>
      </c>
      <c r="B18" s="186" t="s">
        <v>509</v>
      </c>
      <c r="C18" s="187">
        <v>25</v>
      </c>
      <c r="D18" s="188"/>
      <c r="E18" s="188"/>
      <c r="F18" s="188"/>
      <c r="G18" s="186"/>
    </row>
    <row r="19" spans="1:7" x14ac:dyDescent="0.25">
      <c r="A19" s="187">
        <v>2020</v>
      </c>
      <c r="B19" s="186" t="s">
        <v>504</v>
      </c>
      <c r="C19" s="187">
        <v>42</v>
      </c>
      <c r="D19" s="187">
        <v>99.22</v>
      </c>
      <c r="E19" s="187">
        <v>112.69</v>
      </c>
      <c r="F19" s="188"/>
      <c r="G19" s="186"/>
    </row>
    <row r="20" spans="1:7" x14ac:dyDescent="0.25">
      <c r="A20" s="187">
        <v>2020</v>
      </c>
      <c r="B20" s="186" t="s">
        <v>504</v>
      </c>
      <c r="C20" s="187">
        <v>44</v>
      </c>
      <c r="D20" s="187">
        <v>102.68</v>
      </c>
      <c r="E20" s="187">
        <v>273.89</v>
      </c>
      <c r="F20" s="188"/>
      <c r="G20" s="186"/>
    </row>
    <row r="21" spans="1:7" x14ac:dyDescent="0.25">
      <c r="A21" s="187">
        <v>2020</v>
      </c>
      <c r="B21" s="186" t="s">
        <v>504</v>
      </c>
      <c r="C21" s="187">
        <v>42</v>
      </c>
      <c r="D21" s="187">
        <v>116.54</v>
      </c>
      <c r="E21" s="187">
        <v>236.05</v>
      </c>
      <c r="F21" s="188"/>
      <c r="G21" s="186"/>
    </row>
    <row r="22" spans="1:7" x14ac:dyDescent="0.25">
      <c r="A22" s="187">
        <v>2020</v>
      </c>
      <c r="B22" s="186" t="s">
        <v>504</v>
      </c>
      <c r="C22" s="187">
        <v>42</v>
      </c>
      <c r="D22" s="187">
        <v>69.900000000000006</v>
      </c>
      <c r="E22" s="187">
        <v>124.79</v>
      </c>
      <c r="F22" s="188"/>
      <c r="G22" s="186"/>
    </row>
    <row r="23" spans="1:7" x14ac:dyDescent="0.25">
      <c r="A23" s="187">
        <v>2020</v>
      </c>
      <c r="B23" s="186" t="s">
        <v>504</v>
      </c>
      <c r="C23" s="187">
        <v>23</v>
      </c>
      <c r="D23" s="188"/>
      <c r="E23" s="188"/>
      <c r="F23" s="188"/>
      <c r="G23" s="186"/>
    </row>
    <row r="24" spans="1:7" x14ac:dyDescent="0.25">
      <c r="A24" s="187">
        <v>2020</v>
      </c>
      <c r="B24" s="186" t="s">
        <v>504</v>
      </c>
      <c r="C24" s="187">
        <v>25</v>
      </c>
      <c r="D24" s="188"/>
      <c r="E24" s="188"/>
      <c r="F24" s="188"/>
      <c r="G24" s="186"/>
    </row>
    <row r="25" spans="1:7" x14ac:dyDescent="0.25">
      <c r="A25" s="187">
        <v>2020</v>
      </c>
      <c r="B25" s="186" t="s">
        <v>504</v>
      </c>
      <c r="C25" s="187">
        <v>30</v>
      </c>
      <c r="D25" s="188"/>
      <c r="E25" s="188"/>
      <c r="F25" s="188"/>
      <c r="G25" s="186"/>
    </row>
    <row r="26" spans="1:7" x14ac:dyDescent="0.25">
      <c r="A26" s="187">
        <v>2020</v>
      </c>
      <c r="B26" s="186" t="s">
        <v>504</v>
      </c>
      <c r="C26" s="187">
        <v>27</v>
      </c>
      <c r="D26" s="188"/>
      <c r="E26" s="188"/>
      <c r="F26" s="188"/>
      <c r="G26" s="186"/>
    </row>
    <row r="27" spans="1:7" x14ac:dyDescent="0.25">
      <c r="A27" s="187">
        <v>2020</v>
      </c>
      <c r="B27" s="186" t="s">
        <v>504</v>
      </c>
      <c r="C27" s="187">
        <v>34</v>
      </c>
      <c r="D27" s="188"/>
      <c r="E27" s="188"/>
      <c r="F27" s="188"/>
      <c r="G27" s="186"/>
    </row>
    <row r="28" spans="1:7" x14ac:dyDescent="0.25">
      <c r="A28" s="187">
        <v>2020</v>
      </c>
      <c r="B28" s="186" t="s">
        <v>504</v>
      </c>
      <c r="C28" s="187">
        <v>43</v>
      </c>
      <c r="D28" s="188"/>
      <c r="E28" s="188"/>
      <c r="F28" s="188"/>
      <c r="G28" s="186"/>
    </row>
    <row r="29" spans="1:7" x14ac:dyDescent="0.25">
      <c r="A29" s="187">
        <v>2020</v>
      </c>
      <c r="B29" s="186" t="s">
        <v>504</v>
      </c>
      <c r="C29" s="187">
        <v>26</v>
      </c>
      <c r="D29" s="188"/>
      <c r="E29" s="188"/>
      <c r="F29" s="188"/>
      <c r="G29" s="186"/>
    </row>
    <row r="30" spans="1:7" x14ac:dyDescent="0.25">
      <c r="A30" s="187">
        <v>2020</v>
      </c>
      <c r="B30" s="186" t="s">
        <v>504</v>
      </c>
      <c r="C30" s="187">
        <v>38</v>
      </c>
      <c r="D30" s="188"/>
      <c r="E30" s="188"/>
      <c r="F30" s="188"/>
      <c r="G30" s="186"/>
    </row>
    <row r="31" spans="1:7" x14ac:dyDescent="0.25">
      <c r="A31" s="187">
        <v>2020</v>
      </c>
      <c r="B31" s="186" t="s">
        <v>504</v>
      </c>
      <c r="C31" s="187">
        <v>28</v>
      </c>
      <c r="D31" s="188"/>
      <c r="E31" s="188"/>
      <c r="F31" s="188"/>
      <c r="G31" s="186"/>
    </row>
    <row r="32" spans="1:7" x14ac:dyDescent="0.25">
      <c r="A32" s="187">
        <v>2020</v>
      </c>
      <c r="B32" s="186" t="s">
        <v>504</v>
      </c>
      <c r="C32" s="187">
        <v>27</v>
      </c>
      <c r="D32" s="188"/>
      <c r="E32" s="188"/>
      <c r="F32" s="188"/>
      <c r="G32" s="186"/>
    </row>
    <row r="33" spans="1:7" x14ac:dyDescent="0.25">
      <c r="A33" s="187">
        <v>2020</v>
      </c>
      <c r="B33" s="186" t="s">
        <v>505</v>
      </c>
      <c r="C33" s="187">
        <v>26</v>
      </c>
      <c r="D33" s="187">
        <v>112.85</v>
      </c>
      <c r="E33" s="187">
        <v>255.75</v>
      </c>
      <c r="F33" s="188"/>
      <c r="G33" s="186"/>
    </row>
    <row r="34" spans="1:7" x14ac:dyDescent="0.25">
      <c r="A34" s="187">
        <v>2020</v>
      </c>
      <c r="B34" s="186" t="s">
        <v>505</v>
      </c>
      <c r="C34" s="187">
        <v>25</v>
      </c>
      <c r="D34" s="187">
        <v>129</v>
      </c>
      <c r="E34" s="187">
        <v>237.43</v>
      </c>
      <c r="F34" s="188"/>
      <c r="G34" s="186"/>
    </row>
    <row r="35" spans="1:7" x14ac:dyDescent="0.25">
      <c r="A35" s="187">
        <v>2020</v>
      </c>
      <c r="B35" s="186" t="s">
        <v>505</v>
      </c>
      <c r="C35" s="187">
        <v>26</v>
      </c>
      <c r="D35" s="187">
        <v>120.91</v>
      </c>
      <c r="E35" s="187">
        <v>333.98</v>
      </c>
      <c r="F35" s="188"/>
      <c r="G35" s="186"/>
    </row>
    <row r="36" spans="1:7" x14ac:dyDescent="0.25">
      <c r="A36" s="187">
        <v>2020</v>
      </c>
      <c r="B36" s="186" t="s">
        <v>505</v>
      </c>
      <c r="C36" s="187">
        <v>24</v>
      </c>
      <c r="D36" s="187">
        <v>115.89</v>
      </c>
      <c r="E36" s="187">
        <v>294.93</v>
      </c>
      <c r="F36" s="188"/>
      <c r="G36" s="186"/>
    </row>
    <row r="37" spans="1:7" x14ac:dyDescent="0.25">
      <c r="A37" s="187">
        <v>2020</v>
      </c>
      <c r="B37" s="186" t="s">
        <v>505</v>
      </c>
      <c r="C37" s="187">
        <v>19</v>
      </c>
      <c r="D37" s="187">
        <v>102.08</v>
      </c>
      <c r="E37" s="187">
        <v>210.26</v>
      </c>
      <c r="F37" s="188"/>
      <c r="G37" s="186"/>
    </row>
    <row r="38" spans="1:7" x14ac:dyDescent="0.25">
      <c r="A38" s="187">
        <v>2020</v>
      </c>
      <c r="B38" s="186" t="s">
        <v>505</v>
      </c>
      <c r="C38" s="187">
        <v>15</v>
      </c>
      <c r="D38" s="188"/>
      <c r="E38" s="188"/>
      <c r="F38" s="188"/>
      <c r="G38" s="186"/>
    </row>
    <row r="39" spans="1:7" x14ac:dyDescent="0.25">
      <c r="A39" s="187">
        <v>2020</v>
      </c>
      <c r="B39" s="186" t="s">
        <v>505</v>
      </c>
      <c r="C39" s="187">
        <v>68</v>
      </c>
      <c r="D39" s="188"/>
      <c r="E39" s="188"/>
      <c r="F39" s="188"/>
      <c r="G39" s="186"/>
    </row>
    <row r="40" spans="1:7" x14ac:dyDescent="0.25">
      <c r="A40" s="187">
        <v>2020</v>
      </c>
      <c r="B40" s="186" t="s">
        <v>505</v>
      </c>
      <c r="C40" s="187">
        <v>55</v>
      </c>
      <c r="D40" s="188"/>
      <c r="E40" s="188"/>
      <c r="F40" s="188"/>
      <c r="G40" s="186"/>
    </row>
    <row r="41" spans="1:7" x14ac:dyDescent="0.25">
      <c r="A41" s="187">
        <v>2020</v>
      </c>
      <c r="B41" s="186" t="s">
        <v>505</v>
      </c>
      <c r="C41" s="187">
        <v>51</v>
      </c>
      <c r="D41" s="188"/>
      <c r="E41" s="188"/>
      <c r="F41" s="188"/>
      <c r="G41" s="186"/>
    </row>
    <row r="42" spans="1:7" x14ac:dyDescent="0.25">
      <c r="A42" s="187">
        <v>2020</v>
      </c>
      <c r="B42" s="186" t="s">
        <v>505</v>
      </c>
      <c r="C42" s="187">
        <v>36</v>
      </c>
      <c r="D42" s="188"/>
      <c r="E42" s="188"/>
      <c r="F42" s="188"/>
      <c r="G42" s="186"/>
    </row>
    <row r="43" spans="1:7" x14ac:dyDescent="0.25">
      <c r="A43" s="187">
        <v>2020</v>
      </c>
      <c r="B43" s="186" t="s">
        <v>505</v>
      </c>
      <c r="C43" s="187">
        <v>69</v>
      </c>
      <c r="D43" s="188"/>
      <c r="E43" s="188"/>
      <c r="F43" s="188"/>
      <c r="G43" s="186"/>
    </row>
    <row r="44" spans="1:7" x14ac:dyDescent="0.25">
      <c r="A44" s="187">
        <v>2020</v>
      </c>
      <c r="B44" s="186" t="s">
        <v>505</v>
      </c>
      <c r="C44" s="187">
        <v>63</v>
      </c>
      <c r="D44" s="188"/>
      <c r="E44" s="188"/>
      <c r="F44" s="188"/>
      <c r="G44" s="186"/>
    </row>
    <row r="45" spans="1:7" x14ac:dyDescent="0.25">
      <c r="A45" s="187">
        <v>2020</v>
      </c>
      <c r="B45" s="186" t="s">
        <v>502</v>
      </c>
      <c r="C45" s="187">
        <v>44</v>
      </c>
      <c r="D45" s="187">
        <v>109.51</v>
      </c>
      <c r="E45" s="187">
        <v>171.02</v>
      </c>
      <c r="F45" s="188"/>
      <c r="G45" s="186"/>
    </row>
    <row r="46" spans="1:7" x14ac:dyDescent="0.25">
      <c r="A46" s="187">
        <v>2020</v>
      </c>
      <c r="B46" s="186" t="s">
        <v>502</v>
      </c>
      <c r="C46" s="187">
        <v>69</v>
      </c>
      <c r="D46" s="187">
        <v>98.12</v>
      </c>
      <c r="E46" s="187">
        <v>119.58</v>
      </c>
      <c r="F46" s="188"/>
      <c r="G46" s="186"/>
    </row>
    <row r="47" spans="1:7" x14ac:dyDescent="0.25">
      <c r="A47" s="187">
        <v>2020</v>
      </c>
      <c r="B47" s="186" t="s">
        <v>502</v>
      </c>
      <c r="C47" s="187">
        <v>66</v>
      </c>
      <c r="D47" s="187">
        <v>113.54</v>
      </c>
      <c r="E47" s="187">
        <v>103.73</v>
      </c>
      <c r="F47" s="188"/>
      <c r="G47" s="186"/>
    </row>
    <row r="48" spans="1:7" x14ac:dyDescent="0.25">
      <c r="A48" s="187">
        <v>2020</v>
      </c>
      <c r="B48" s="186" t="s">
        <v>502</v>
      </c>
      <c r="C48" s="187">
        <v>67</v>
      </c>
      <c r="D48" s="187">
        <v>104.61</v>
      </c>
      <c r="E48" s="187">
        <v>138.96</v>
      </c>
      <c r="F48" s="188"/>
      <c r="G48" s="186"/>
    </row>
    <row r="49" spans="1:7" x14ac:dyDescent="0.25">
      <c r="A49" s="187">
        <v>2020</v>
      </c>
      <c r="B49" s="186" t="s">
        <v>502</v>
      </c>
      <c r="C49" s="187">
        <v>21</v>
      </c>
      <c r="D49" s="187">
        <v>121.12</v>
      </c>
      <c r="E49" s="187">
        <v>188.45</v>
      </c>
      <c r="F49" s="188"/>
      <c r="G49" s="186"/>
    </row>
    <row r="50" spans="1:7" x14ac:dyDescent="0.25">
      <c r="A50" s="187">
        <v>2020</v>
      </c>
      <c r="B50" s="186" t="s">
        <v>502</v>
      </c>
      <c r="C50" s="187">
        <v>38</v>
      </c>
      <c r="D50" s="188"/>
      <c r="E50" s="188"/>
      <c r="F50" s="188"/>
      <c r="G50" s="186"/>
    </row>
    <row r="51" spans="1:7" x14ac:dyDescent="0.25">
      <c r="A51" s="187">
        <v>2020</v>
      </c>
      <c r="B51" s="186" t="s">
        <v>502</v>
      </c>
      <c r="C51" s="187">
        <v>25</v>
      </c>
      <c r="D51" s="188"/>
      <c r="E51" s="188"/>
      <c r="F51" s="188"/>
      <c r="G51" s="186"/>
    </row>
    <row r="52" spans="1:7" x14ac:dyDescent="0.25">
      <c r="A52" s="187">
        <v>2020</v>
      </c>
      <c r="B52" s="186" t="s">
        <v>502</v>
      </c>
      <c r="C52" s="187">
        <v>19</v>
      </c>
      <c r="D52" s="188"/>
      <c r="E52" s="188"/>
      <c r="F52" s="188"/>
      <c r="G52" s="186"/>
    </row>
    <row r="53" spans="1:7" x14ac:dyDescent="0.25">
      <c r="A53" s="187">
        <v>2020</v>
      </c>
      <c r="B53" s="186" t="s">
        <v>502</v>
      </c>
      <c r="C53" s="187">
        <v>23</v>
      </c>
      <c r="D53" s="188"/>
      <c r="E53" s="188"/>
      <c r="F53" s="188"/>
      <c r="G53" s="186"/>
    </row>
    <row r="54" spans="1:7" x14ac:dyDescent="0.25">
      <c r="A54" s="187">
        <v>2020</v>
      </c>
      <c r="B54" s="186" t="s">
        <v>502</v>
      </c>
      <c r="C54" s="187">
        <v>31</v>
      </c>
      <c r="D54" s="188"/>
      <c r="E54" s="188"/>
      <c r="F54" s="188"/>
      <c r="G54" s="186"/>
    </row>
    <row r="55" spans="1:7" x14ac:dyDescent="0.25">
      <c r="A55" s="187">
        <v>2020</v>
      </c>
      <c r="B55" s="186" t="s">
        <v>502</v>
      </c>
      <c r="C55" s="187">
        <v>39</v>
      </c>
      <c r="D55" s="188"/>
      <c r="E55" s="188"/>
      <c r="F55" s="188"/>
      <c r="G55" s="186"/>
    </row>
    <row r="56" spans="1:7" x14ac:dyDescent="0.25">
      <c r="A56" s="187">
        <v>2020</v>
      </c>
      <c r="B56" s="186" t="s">
        <v>502</v>
      </c>
      <c r="C56" s="187">
        <v>48</v>
      </c>
      <c r="D56" s="188"/>
      <c r="E56" s="188"/>
      <c r="F56" s="188"/>
      <c r="G56" s="186"/>
    </row>
    <row r="57" spans="1:7" x14ac:dyDescent="0.25">
      <c r="A57" s="187">
        <v>2020</v>
      </c>
      <c r="B57" s="186" t="s">
        <v>502</v>
      </c>
      <c r="C57" s="187">
        <v>67</v>
      </c>
      <c r="D57" s="188"/>
      <c r="E57" s="188"/>
      <c r="F57" s="188"/>
      <c r="G57" s="186"/>
    </row>
    <row r="58" spans="1:7" x14ac:dyDescent="0.25">
      <c r="A58" s="187">
        <v>2020</v>
      </c>
      <c r="B58" s="186" t="s">
        <v>502</v>
      </c>
      <c r="C58" s="187">
        <v>34</v>
      </c>
      <c r="D58" s="188"/>
      <c r="E58" s="188"/>
      <c r="F58" s="188"/>
      <c r="G58" s="186"/>
    </row>
    <row r="59" spans="1:7" x14ac:dyDescent="0.25">
      <c r="A59" s="187">
        <v>2020</v>
      </c>
      <c r="B59" s="186" t="s">
        <v>502</v>
      </c>
      <c r="C59" s="187">
        <v>47</v>
      </c>
      <c r="D59" s="188"/>
      <c r="E59" s="188"/>
      <c r="F59" s="188"/>
      <c r="G59" s="186"/>
    </row>
    <row r="60" spans="1:7" x14ac:dyDescent="0.25">
      <c r="A60" s="187">
        <v>2020</v>
      </c>
      <c r="B60" s="186" t="s">
        <v>498</v>
      </c>
      <c r="C60" s="187">
        <v>31</v>
      </c>
      <c r="D60" s="187">
        <v>103.12</v>
      </c>
      <c r="E60" s="187">
        <v>166.12</v>
      </c>
      <c r="F60" s="188"/>
      <c r="G60" s="186"/>
    </row>
    <row r="61" spans="1:7" x14ac:dyDescent="0.25">
      <c r="A61" s="187">
        <v>2020</v>
      </c>
      <c r="B61" s="186" t="s">
        <v>498</v>
      </c>
      <c r="C61" s="187">
        <v>27</v>
      </c>
      <c r="D61" s="187">
        <v>131.41</v>
      </c>
      <c r="E61" s="187">
        <v>224.78</v>
      </c>
      <c r="F61" s="188"/>
      <c r="G61" s="186"/>
    </row>
    <row r="62" spans="1:7" x14ac:dyDescent="0.25">
      <c r="A62" s="187">
        <v>2020</v>
      </c>
      <c r="B62" s="186" t="s">
        <v>498</v>
      </c>
      <c r="C62" s="187">
        <v>38</v>
      </c>
      <c r="D62" s="187">
        <v>118.31</v>
      </c>
      <c r="E62" s="187">
        <v>169.8</v>
      </c>
      <c r="F62" s="188"/>
      <c r="G62" s="186"/>
    </row>
    <row r="63" spans="1:7" x14ac:dyDescent="0.25">
      <c r="A63" s="187">
        <v>2020</v>
      </c>
      <c r="B63" s="186" t="s">
        <v>498</v>
      </c>
      <c r="C63" s="187">
        <v>39</v>
      </c>
      <c r="D63" s="187">
        <v>170.03</v>
      </c>
      <c r="E63" s="187">
        <v>295.83</v>
      </c>
      <c r="F63" s="188"/>
      <c r="G63" s="186"/>
    </row>
    <row r="64" spans="1:7" x14ac:dyDescent="0.25">
      <c r="A64" s="187">
        <v>2020</v>
      </c>
      <c r="B64" s="186" t="s">
        <v>498</v>
      </c>
      <c r="C64" s="187">
        <v>20</v>
      </c>
      <c r="D64" s="188"/>
      <c r="E64" s="188"/>
      <c r="F64" s="188"/>
      <c r="G64" s="186"/>
    </row>
    <row r="65" spans="1:7" x14ac:dyDescent="0.25">
      <c r="A65" s="187">
        <v>2020</v>
      </c>
      <c r="B65" s="186" t="s">
        <v>498</v>
      </c>
      <c r="C65" s="187">
        <v>33</v>
      </c>
      <c r="D65" s="188"/>
      <c r="E65" s="188"/>
      <c r="F65" s="188"/>
      <c r="G65" s="186"/>
    </row>
    <row r="66" spans="1:7" x14ac:dyDescent="0.25">
      <c r="A66" s="187">
        <v>2020</v>
      </c>
      <c r="B66" s="186" t="s">
        <v>498</v>
      </c>
      <c r="C66" s="187">
        <v>39</v>
      </c>
      <c r="D66" s="188"/>
      <c r="E66" s="188"/>
      <c r="F66" s="188"/>
      <c r="G66" s="186"/>
    </row>
    <row r="67" spans="1:7" x14ac:dyDescent="0.25">
      <c r="A67" s="187">
        <v>2020</v>
      </c>
      <c r="B67" s="186" t="s">
        <v>498</v>
      </c>
      <c r="C67" s="187">
        <v>29</v>
      </c>
      <c r="D67" s="188"/>
      <c r="E67" s="188"/>
      <c r="F67" s="188"/>
      <c r="G67" s="186"/>
    </row>
    <row r="68" spans="1:7" x14ac:dyDescent="0.25">
      <c r="A68" s="187">
        <v>2020</v>
      </c>
      <c r="B68" s="186" t="s">
        <v>498</v>
      </c>
      <c r="C68" s="187">
        <v>23</v>
      </c>
      <c r="D68" s="188"/>
      <c r="E68" s="188"/>
      <c r="F68" s="188"/>
      <c r="G68" s="186"/>
    </row>
    <row r="69" spans="1:7" x14ac:dyDescent="0.25">
      <c r="A69" s="187">
        <v>2020</v>
      </c>
      <c r="B69" s="186" t="s">
        <v>498</v>
      </c>
      <c r="C69" s="187">
        <v>22</v>
      </c>
      <c r="D69" s="188"/>
      <c r="E69" s="188"/>
      <c r="F69" s="188"/>
      <c r="G69" s="186"/>
    </row>
    <row r="70" spans="1:7" x14ac:dyDescent="0.25">
      <c r="A70" s="187">
        <v>2020</v>
      </c>
      <c r="B70" s="186" t="s">
        <v>498</v>
      </c>
      <c r="C70" s="187">
        <v>23</v>
      </c>
      <c r="D70" s="188"/>
      <c r="E70" s="188"/>
      <c r="F70" s="188"/>
      <c r="G70" s="186"/>
    </row>
    <row r="71" spans="1:7" x14ac:dyDescent="0.25">
      <c r="A71" s="187">
        <v>2020</v>
      </c>
      <c r="B71" s="186" t="s">
        <v>498</v>
      </c>
      <c r="C71" s="187">
        <v>34</v>
      </c>
      <c r="D71" s="188"/>
      <c r="E71" s="188"/>
      <c r="F71" s="188"/>
      <c r="G71" s="186"/>
    </row>
    <row r="72" spans="1:7" x14ac:dyDescent="0.25">
      <c r="A72" s="187">
        <v>2020</v>
      </c>
      <c r="B72" s="186" t="s">
        <v>498</v>
      </c>
      <c r="C72" s="187">
        <v>41</v>
      </c>
      <c r="D72" s="188"/>
      <c r="E72" s="188"/>
      <c r="F72" s="188"/>
      <c r="G72" s="186"/>
    </row>
    <row r="73" spans="1:7" x14ac:dyDescent="0.25">
      <c r="A73" s="187">
        <v>2020</v>
      </c>
      <c r="B73" s="186" t="s">
        <v>514</v>
      </c>
      <c r="C73" s="187">
        <v>30</v>
      </c>
      <c r="D73" s="187">
        <v>105.25</v>
      </c>
      <c r="E73" s="187">
        <v>201.9</v>
      </c>
      <c r="F73" s="188"/>
      <c r="G73" s="186"/>
    </row>
    <row r="74" spans="1:7" x14ac:dyDescent="0.25">
      <c r="A74" s="187">
        <v>2020</v>
      </c>
      <c r="B74" s="186" t="s">
        <v>514</v>
      </c>
      <c r="C74" s="187">
        <v>42</v>
      </c>
      <c r="D74" s="187">
        <v>124.86</v>
      </c>
      <c r="E74" s="187">
        <v>264.47000000000003</v>
      </c>
      <c r="F74" s="188"/>
      <c r="G74" s="186"/>
    </row>
    <row r="75" spans="1:7" x14ac:dyDescent="0.25">
      <c r="A75" s="187">
        <v>2020</v>
      </c>
      <c r="B75" s="186" t="s">
        <v>514</v>
      </c>
      <c r="C75" s="187">
        <v>41</v>
      </c>
      <c r="D75" s="187">
        <v>100.78</v>
      </c>
      <c r="E75" s="187">
        <v>217.55</v>
      </c>
      <c r="F75" s="188"/>
      <c r="G75" s="186"/>
    </row>
    <row r="76" spans="1:7" x14ac:dyDescent="0.25">
      <c r="A76" s="187">
        <v>2020</v>
      </c>
      <c r="B76" s="186" t="s">
        <v>514</v>
      </c>
      <c r="C76" s="187">
        <v>39</v>
      </c>
      <c r="D76" s="187">
        <v>127.19</v>
      </c>
      <c r="E76" s="187">
        <v>239.81</v>
      </c>
      <c r="F76" s="188"/>
      <c r="G76" s="186"/>
    </row>
    <row r="77" spans="1:7" x14ac:dyDescent="0.25">
      <c r="A77" s="187">
        <v>2020</v>
      </c>
      <c r="B77" s="186" t="s">
        <v>514</v>
      </c>
      <c r="C77" s="187">
        <v>27</v>
      </c>
      <c r="D77" s="187">
        <v>129.96</v>
      </c>
      <c r="E77" s="187">
        <v>238.59</v>
      </c>
      <c r="F77" s="188"/>
      <c r="G77" s="186"/>
    </row>
    <row r="78" spans="1:7" x14ac:dyDescent="0.25">
      <c r="A78" s="187">
        <v>2020</v>
      </c>
      <c r="B78" s="186" t="s">
        <v>514</v>
      </c>
      <c r="C78" s="187">
        <v>35</v>
      </c>
      <c r="D78" s="187">
        <v>140.5</v>
      </c>
      <c r="E78" s="187">
        <v>281.37</v>
      </c>
      <c r="F78" s="188"/>
      <c r="G78" s="186"/>
    </row>
    <row r="79" spans="1:7" x14ac:dyDescent="0.25">
      <c r="A79" s="187">
        <v>2020</v>
      </c>
      <c r="B79" s="186" t="s">
        <v>514</v>
      </c>
      <c r="C79" s="187">
        <v>28</v>
      </c>
      <c r="D79" s="188"/>
      <c r="E79" s="188"/>
      <c r="F79" s="188"/>
      <c r="G79" s="186"/>
    </row>
    <row r="80" spans="1:7" x14ac:dyDescent="0.25">
      <c r="A80" s="187">
        <v>2020</v>
      </c>
      <c r="B80" s="186" t="s">
        <v>514</v>
      </c>
      <c r="C80" s="187">
        <v>34</v>
      </c>
      <c r="D80" s="188"/>
      <c r="E80" s="188"/>
      <c r="F80" s="188"/>
      <c r="G80" s="186"/>
    </row>
    <row r="81" spans="1:7" x14ac:dyDescent="0.25">
      <c r="A81" s="187">
        <v>2020</v>
      </c>
      <c r="B81" s="186" t="s">
        <v>514</v>
      </c>
      <c r="C81" s="187">
        <v>36</v>
      </c>
      <c r="D81" s="188"/>
      <c r="E81" s="188"/>
      <c r="F81" s="188"/>
      <c r="G81" s="186"/>
    </row>
    <row r="82" spans="1:7" x14ac:dyDescent="0.25">
      <c r="A82" s="187">
        <v>2020</v>
      </c>
      <c r="B82" s="186" t="s">
        <v>514</v>
      </c>
      <c r="C82" s="187">
        <v>42</v>
      </c>
      <c r="D82" s="188"/>
      <c r="E82" s="188"/>
      <c r="F82" s="188"/>
      <c r="G82" s="186"/>
    </row>
    <row r="83" spans="1:7" x14ac:dyDescent="0.25">
      <c r="A83" s="187">
        <v>2020</v>
      </c>
      <c r="B83" s="186" t="s">
        <v>514</v>
      </c>
      <c r="C83" s="187">
        <v>31</v>
      </c>
      <c r="D83" s="188"/>
      <c r="E83" s="188"/>
      <c r="F83" s="188"/>
      <c r="G83" s="186"/>
    </row>
    <row r="84" spans="1:7" x14ac:dyDescent="0.25">
      <c r="A84" s="187">
        <v>2020</v>
      </c>
      <c r="B84" s="186" t="s">
        <v>514</v>
      </c>
      <c r="C84" s="187">
        <v>33</v>
      </c>
      <c r="D84" s="188"/>
      <c r="E84" s="188"/>
      <c r="F84" s="188"/>
      <c r="G84" s="186"/>
    </row>
    <row r="85" spans="1:7" x14ac:dyDescent="0.25">
      <c r="A85" s="187">
        <v>2020</v>
      </c>
      <c r="B85" s="186" t="s">
        <v>503</v>
      </c>
      <c r="C85" s="187">
        <v>31</v>
      </c>
      <c r="D85" s="187">
        <v>105.06</v>
      </c>
      <c r="E85" s="187">
        <v>203.45</v>
      </c>
      <c r="F85" s="188"/>
      <c r="G85" s="186"/>
    </row>
    <row r="86" spans="1:7" x14ac:dyDescent="0.25">
      <c r="A86" s="187">
        <v>2020</v>
      </c>
      <c r="B86" s="186" t="s">
        <v>503</v>
      </c>
      <c r="C86" s="187">
        <v>42</v>
      </c>
      <c r="D86" s="187">
        <v>138.72999999999999</v>
      </c>
      <c r="E86" s="187">
        <v>209.91</v>
      </c>
      <c r="F86" s="188"/>
      <c r="G86" s="186"/>
    </row>
    <row r="87" spans="1:7" x14ac:dyDescent="0.25">
      <c r="A87" s="187">
        <v>2020</v>
      </c>
      <c r="B87" s="186" t="s">
        <v>503</v>
      </c>
      <c r="C87" s="187">
        <v>27</v>
      </c>
      <c r="D87" s="187">
        <v>117.61</v>
      </c>
      <c r="E87" s="187">
        <v>228.91</v>
      </c>
      <c r="F87" s="188"/>
      <c r="G87" s="186"/>
    </row>
    <row r="88" spans="1:7" x14ac:dyDescent="0.25">
      <c r="A88" s="187">
        <v>2020</v>
      </c>
      <c r="B88" s="186" t="s">
        <v>503</v>
      </c>
      <c r="C88" s="187">
        <v>35</v>
      </c>
      <c r="D88" s="187">
        <v>134.88999999999999</v>
      </c>
      <c r="E88" s="187">
        <v>242.55</v>
      </c>
      <c r="F88" s="188"/>
      <c r="G88" s="186"/>
    </row>
    <row r="89" spans="1:7" x14ac:dyDescent="0.25">
      <c r="A89" s="187">
        <v>2020</v>
      </c>
      <c r="B89" s="186" t="s">
        <v>503</v>
      </c>
      <c r="C89" s="187">
        <v>39</v>
      </c>
      <c r="D89" s="188"/>
      <c r="E89" s="188"/>
      <c r="F89" s="188"/>
      <c r="G89" s="186"/>
    </row>
    <row r="90" spans="1:7" x14ac:dyDescent="0.25">
      <c r="A90" s="187">
        <v>2020</v>
      </c>
      <c r="B90" s="186" t="s">
        <v>503</v>
      </c>
      <c r="C90" s="187">
        <v>25</v>
      </c>
      <c r="D90" s="188"/>
      <c r="E90" s="188"/>
      <c r="F90" s="188"/>
      <c r="G90" s="186"/>
    </row>
    <row r="91" spans="1:7" x14ac:dyDescent="0.25">
      <c r="A91" s="187">
        <v>2020</v>
      </c>
      <c r="B91" s="186" t="s">
        <v>503</v>
      </c>
      <c r="C91" s="187">
        <v>37</v>
      </c>
      <c r="D91" s="188"/>
      <c r="E91" s="188"/>
      <c r="F91" s="188"/>
      <c r="G91" s="186"/>
    </row>
    <row r="92" spans="1:7" x14ac:dyDescent="0.25">
      <c r="A92" s="187">
        <v>2020</v>
      </c>
      <c r="B92" s="186" t="s">
        <v>503</v>
      </c>
      <c r="C92" s="187">
        <v>20</v>
      </c>
      <c r="D92" s="188"/>
      <c r="E92" s="188"/>
      <c r="F92" s="188"/>
      <c r="G92" s="186"/>
    </row>
    <row r="93" spans="1:7" x14ac:dyDescent="0.25">
      <c r="A93" s="187">
        <v>2020</v>
      </c>
      <c r="B93" s="186" t="s">
        <v>503</v>
      </c>
      <c r="C93" s="187">
        <v>30</v>
      </c>
      <c r="D93" s="188"/>
      <c r="E93" s="188"/>
      <c r="F93" s="188"/>
      <c r="G93" s="186"/>
    </row>
    <row r="94" spans="1:7" x14ac:dyDescent="0.25">
      <c r="A94" s="187">
        <v>2020</v>
      </c>
      <c r="B94" s="186" t="s">
        <v>503</v>
      </c>
      <c r="C94" s="187">
        <v>46</v>
      </c>
      <c r="D94" s="188"/>
      <c r="E94" s="188"/>
      <c r="F94" s="188"/>
      <c r="G94" s="186"/>
    </row>
    <row r="95" spans="1:7" x14ac:dyDescent="0.25">
      <c r="A95" s="187">
        <v>2020</v>
      </c>
      <c r="B95" s="186" t="s">
        <v>503</v>
      </c>
      <c r="C95" s="187">
        <v>31</v>
      </c>
      <c r="D95" s="188"/>
      <c r="E95" s="188"/>
      <c r="F95" s="188"/>
      <c r="G95" s="186"/>
    </row>
    <row r="96" spans="1:7" x14ac:dyDescent="0.25">
      <c r="A96" s="187">
        <v>2020</v>
      </c>
      <c r="B96" s="186" t="s">
        <v>503</v>
      </c>
      <c r="C96" s="187">
        <v>45</v>
      </c>
      <c r="D96" s="188"/>
      <c r="E96" s="188"/>
      <c r="F96" s="188"/>
      <c r="G96" s="186"/>
    </row>
    <row r="97" spans="1:7" x14ac:dyDescent="0.25">
      <c r="A97" s="187">
        <v>2020</v>
      </c>
      <c r="B97" s="186" t="s">
        <v>503</v>
      </c>
      <c r="C97" s="187">
        <v>19</v>
      </c>
      <c r="D97" s="188"/>
      <c r="E97" s="188"/>
      <c r="F97" s="188"/>
      <c r="G97" s="186"/>
    </row>
    <row r="98" spans="1:7" x14ac:dyDescent="0.25">
      <c r="A98" s="187">
        <v>2020</v>
      </c>
      <c r="B98" s="186" t="s">
        <v>503</v>
      </c>
      <c r="C98" s="187">
        <v>21</v>
      </c>
      <c r="D98" s="188"/>
      <c r="E98" s="188"/>
      <c r="F98" s="188"/>
      <c r="G98" s="186"/>
    </row>
    <row r="99" spans="1:7" x14ac:dyDescent="0.25">
      <c r="A99" s="187">
        <v>2020</v>
      </c>
      <c r="B99" s="186" t="s">
        <v>503</v>
      </c>
      <c r="C99" s="187">
        <v>43</v>
      </c>
      <c r="D99" s="188"/>
      <c r="E99" s="188"/>
      <c r="F99" s="188"/>
      <c r="G99" s="186"/>
    </row>
    <row r="100" spans="1:7" x14ac:dyDescent="0.25">
      <c r="A100" s="187">
        <v>2020</v>
      </c>
      <c r="B100" s="186" t="s">
        <v>496</v>
      </c>
      <c r="C100" s="187">
        <v>29</v>
      </c>
      <c r="D100" s="187">
        <v>146.41999999999999</v>
      </c>
      <c r="E100" s="187">
        <v>235.74</v>
      </c>
      <c r="F100" s="188"/>
      <c r="G100" s="186"/>
    </row>
    <row r="101" spans="1:7" x14ac:dyDescent="0.25">
      <c r="A101" s="187">
        <v>2020</v>
      </c>
      <c r="B101" s="186" t="s">
        <v>496</v>
      </c>
      <c r="C101" s="187">
        <v>27</v>
      </c>
      <c r="D101" s="187">
        <v>122.82</v>
      </c>
      <c r="E101" s="187">
        <v>220.71</v>
      </c>
      <c r="F101" s="188"/>
      <c r="G101" s="186"/>
    </row>
    <row r="102" spans="1:7" x14ac:dyDescent="0.25">
      <c r="A102" s="187">
        <v>2020</v>
      </c>
      <c r="B102" s="186" t="s">
        <v>496</v>
      </c>
      <c r="C102" s="187">
        <v>21</v>
      </c>
      <c r="D102" s="187">
        <v>133.80000000000001</v>
      </c>
      <c r="E102" s="187">
        <v>273.5</v>
      </c>
      <c r="F102" s="188"/>
      <c r="G102" s="186"/>
    </row>
    <row r="103" spans="1:7" x14ac:dyDescent="0.25">
      <c r="A103" s="187">
        <v>2020</v>
      </c>
      <c r="B103" s="186" t="s">
        <v>496</v>
      </c>
      <c r="C103" s="187">
        <v>24</v>
      </c>
      <c r="D103" s="187">
        <v>139.47</v>
      </c>
      <c r="E103" s="187">
        <v>238.79</v>
      </c>
      <c r="F103" s="188"/>
      <c r="G103" s="186"/>
    </row>
    <row r="104" spans="1:7" x14ac:dyDescent="0.25">
      <c r="A104" s="187">
        <v>2020</v>
      </c>
      <c r="B104" s="186" t="s">
        <v>496</v>
      </c>
      <c r="C104" s="187">
        <v>22</v>
      </c>
      <c r="D104" s="187">
        <v>142.83000000000001</v>
      </c>
      <c r="E104" s="187">
        <v>242.23</v>
      </c>
      <c r="F104" s="188"/>
      <c r="G104" s="186"/>
    </row>
    <row r="105" spans="1:7" x14ac:dyDescent="0.25">
      <c r="A105" s="187">
        <v>2020</v>
      </c>
      <c r="B105" s="186" t="s">
        <v>496</v>
      </c>
      <c r="C105" s="187">
        <v>27</v>
      </c>
      <c r="D105" s="187">
        <v>141.01</v>
      </c>
      <c r="E105" s="187">
        <v>271.36</v>
      </c>
      <c r="F105" s="188"/>
      <c r="G105" s="186"/>
    </row>
    <row r="106" spans="1:7" x14ac:dyDescent="0.25">
      <c r="A106" s="187">
        <v>2020</v>
      </c>
      <c r="B106" s="186" t="s">
        <v>496</v>
      </c>
      <c r="C106" s="187">
        <v>29</v>
      </c>
      <c r="D106" s="187">
        <v>123.37</v>
      </c>
      <c r="E106" s="188"/>
      <c r="F106" s="188"/>
      <c r="G106" s="186"/>
    </row>
    <row r="107" spans="1:7" x14ac:dyDescent="0.25">
      <c r="A107" s="187">
        <v>2020</v>
      </c>
      <c r="B107" s="186" t="s">
        <v>496</v>
      </c>
      <c r="C107" s="187">
        <v>19</v>
      </c>
      <c r="D107" s="188"/>
      <c r="E107" s="188"/>
      <c r="F107" s="188"/>
      <c r="G107" s="186"/>
    </row>
    <row r="108" spans="1:7" x14ac:dyDescent="0.25">
      <c r="A108" s="187">
        <v>2020</v>
      </c>
      <c r="B108" s="186" t="s">
        <v>496</v>
      </c>
      <c r="C108" s="187">
        <v>31</v>
      </c>
      <c r="D108" s="188"/>
      <c r="E108" s="188"/>
      <c r="F108" s="188"/>
      <c r="G108" s="186"/>
    </row>
    <row r="109" spans="1:7" x14ac:dyDescent="0.25">
      <c r="A109" s="187">
        <v>2020</v>
      </c>
      <c r="B109" s="186" t="s">
        <v>496</v>
      </c>
      <c r="C109" s="187">
        <v>43</v>
      </c>
      <c r="D109" s="188"/>
      <c r="E109" s="188"/>
      <c r="F109" s="188"/>
      <c r="G109" s="186"/>
    </row>
    <row r="110" spans="1:7" x14ac:dyDescent="0.25">
      <c r="A110" s="187">
        <v>2020</v>
      </c>
      <c r="B110" s="186" t="s">
        <v>496</v>
      </c>
      <c r="C110" s="187">
        <v>36</v>
      </c>
      <c r="D110" s="188"/>
      <c r="E110" s="188"/>
      <c r="F110" s="188"/>
      <c r="G110" s="186"/>
    </row>
    <row r="111" spans="1:7" x14ac:dyDescent="0.25">
      <c r="A111" s="187">
        <v>2020</v>
      </c>
      <c r="B111" s="186" t="s">
        <v>496</v>
      </c>
      <c r="C111" s="187">
        <v>40</v>
      </c>
      <c r="D111" s="188"/>
      <c r="E111" s="188"/>
      <c r="F111" s="188"/>
      <c r="G111" s="186"/>
    </row>
    <row r="112" spans="1:7" x14ac:dyDescent="0.25">
      <c r="A112" s="187">
        <v>2020</v>
      </c>
      <c r="B112" s="186" t="s">
        <v>496</v>
      </c>
      <c r="C112" s="187">
        <v>43</v>
      </c>
      <c r="D112" s="188"/>
      <c r="E112" s="188"/>
      <c r="F112" s="188"/>
      <c r="G112" s="186"/>
    </row>
    <row r="113" spans="1:7" x14ac:dyDescent="0.25">
      <c r="A113" s="187">
        <v>2020</v>
      </c>
      <c r="B113" s="186" t="s">
        <v>496</v>
      </c>
      <c r="C113" s="187">
        <v>37</v>
      </c>
      <c r="D113" s="188"/>
      <c r="E113" s="188"/>
      <c r="F113" s="188"/>
      <c r="G113" s="186"/>
    </row>
    <row r="114" spans="1:7" x14ac:dyDescent="0.25">
      <c r="A114" s="187">
        <v>2020</v>
      </c>
      <c r="B114" s="186" t="s">
        <v>496</v>
      </c>
      <c r="C114" s="187">
        <v>41</v>
      </c>
      <c r="D114" s="188"/>
      <c r="E114" s="188"/>
      <c r="F114" s="188"/>
      <c r="G114" s="186"/>
    </row>
    <row r="115" spans="1:7" x14ac:dyDescent="0.25">
      <c r="A115" s="187">
        <v>2020</v>
      </c>
      <c r="B115" s="186" t="s">
        <v>496</v>
      </c>
      <c r="C115" s="187">
        <v>43</v>
      </c>
      <c r="D115" s="187">
        <v>124.46</v>
      </c>
      <c r="E115" s="187">
        <v>242.23</v>
      </c>
      <c r="F115" s="188"/>
      <c r="G115" s="186"/>
    </row>
    <row r="116" spans="1:7" x14ac:dyDescent="0.25">
      <c r="A116" s="187">
        <v>2020</v>
      </c>
      <c r="B116" s="186" t="s">
        <v>496</v>
      </c>
      <c r="C116" s="187">
        <v>30</v>
      </c>
      <c r="D116" s="187">
        <v>127.64</v>
      </c>
      <c r="E116" s="187">
        <v>310.70999999999998</v>
      </c>
      <c r="F116" s="188"/>
      <c r="G116" s="186"/>
    </row>
    <row r="117" spans="1:7" x14ac:dyDescent="0.25">
      <c r="A117" s="187">
        <v>2020</v>
      </c>
      <c r="B117" s="186" t="s">
        <v>496</v>
      </c>
      <c r="C117" s="187">
        <v>31</v>
      </c>
      <c r="D117" s="187">
        <v>119.7</v>
      </c>
      <c r="E117" s="187">
        <v>255.46</v>
      </c>
      <c r="F117" s="188"/>
      <c r="G117" s="186"/>
    </row>
    <row r="118" spans="1:7" x14ac:dyDescent="0.25">
      <c r="A118" s="187">
        <v>2020</v>
      </c>
      <c r="B118" s="186" t="s">
        <v>496</v>
      </c>
      <c r="C118" s="187">
        <v>32</v>
      </c>
      <c r="D118" s="187">
        <v>89.03</v>
      </c>
      <c r="E118" s="187">
        <v>185.6</v>
      </c>
      <c r="F118" s="188"/>
      <c r="G118" s="186"/>
    </row>
    <row r="119" spans="1:7" x14ac:dyDescent="0.25">
      <c r="A119" s="187">
        <v>2020</v>
      </c>
      <c r="B119" s="186" t="s">
        <v>496</v>
      </c>
      <c r="C119" s="187">
        <v>48</v>
      </c>
      <c r="D119" s="187">
        <v>136.86000000000001</v>
      </c>
      <c r="E119" s="187">
        <v>163.57</v>
      </c>
      <c r="F119" s="188"/>
      <c r="G119" s="186"/>
    </row>
    <row r="120" spans="1:7" x14ac:dyDescent="0.25">
      <c r="A120" s="187">
        <v>2020</v>
      </c>
      <c r="B120" s="186" t="s">
        <v>496</v>
      </c>
      <c r="C120" s="187">
        <v>46</v>
      </c>
      <c r="D120" s="187">
        <v>158.41999999999999</v>
      </c>
      <c r="E120" s="187">
        <v>271.36</v>
      </c>
      <c r="F120" s="188"/>
      <c r="G120" s="186"/>
    </row>
    <row r="121" spans="1:7" x14ac:dyDescent="0.25">
      <c r="A121" s="187">
        <v>2020</v>
      </c>
      <c r="B121" s="186" t="s">
        <v>496</v>
      </c>
      <c r="C121" s="187">
        <v>28</v>
      </c>
      <c r="D121" s="187">
        <v>131.80000000000001</v>
      </c>
      <c r="E121" s="188"/>
      <c r="F121" s="188"/>
      <c r="G121" s="186"/>
    </row>
    <row r="122" spans="1:7" x14ac:dyDescent="0.25">
      <c r="A122" s="187">
        <v>2020</v>
      </c>
      <c r="B122" s="186" t="s">
        <v>496</v>
      </c>
      <c r="C122" s="187">
        <v>38</v>
      </c>
      <c r="D122" s="187">
        <v>86.34</v>
      </c>
      <c r="E122" s="188"/>
      <c r="F122" s="188"/>
      <c r="G122" s="186"/>
    </row>
    <row r="123" spans="1:7" x14ac:dyDescent="0.25">
      <c r="A123" s="187">
        <v>2020</v>
      </c>
      <c r="B123" s="186" t="s">
        <v>496</v>
      </c>
      <c r="C123" s="187">
        <v>41</v>
      </c>
      <c r="D123" s="188"/>
      <c r="E123" s="188"/>
      <c r="F123" s="188"/>
      <c r="G123" s="186"/>
    </row>
    <row r="124" spans="1:7" x14ac:dyDescent="0.25">
      <c r="A124" s="187">
        <v>2020</v>
      </c>
      <c r="B124" s="186" t="s">
        <v>496</v>
      </c>
      <c r="C124" s="187">
        <v>45</v>
      </c>
      <c r="D124" s="188"/>
      <c r="E124" s="188"/>
      <c r="F124" s="188"/>
      <c r="G124" s="186"/>
    </row>
    <row r="125" spans="1:7" x14ac:dyDescent="0.25">
      <c r="A125" s="187">
        <v>2020</v>
      </c>
      <c r="B125" s="186" t="s">
        <v>496</v>
      </c>
      <c r="C125" s="187">
        <v>36</v>
      </c>
      <c r="D125" s="188"/>
      <c r="E125" s="188"/>
      <c r="F125" s="188"/>
      <c r="G125" s="186"/>
    </row>
    <row r="126" spans="1:7" x14ac:dyDescent="0.25">
      <c r="A126" s="187">
        <v>2020</v>
      </c>
      <c r="B126" s="186" t="s">
        <v>496</v>
      </c>
      <c r="C126" s="187">
        <v>40</v>
      </c>
      <c r="D126" s="188"/>
      <c r="E126" s="188"/>
      <c r="F126" s="188"/>
      <c r="G126" s="186"/>
    </row>
    <row r="127" spans="1:7" x14ac:dyDescent="0.25">
      <c r="A127" s="187">
        <v>2021</v>
      </c>
      <c r="B127" s="186" t="s">
        <v>496</v>
      </c>
      <c r="C127" s="187">
        <v>30</v>
      </c>
      <c r="D127" s="187">
        <v>34.74</v>
      </c>
      <c r="E127" s="187">
        <v>74.05</v>
      </c>
      <c r="F127" s="188"/>
      <c r="G127" s="186"/>
    </row>
    <row r="128" spans="1:7" x14ac:dyDescent="0.25">
      <c r="A128" s="187">
        <v>2021</v>
      </c>
      <c r="B128" s="186" t="s">
        <v>496</v>
      </c>
      <c r="C128" s="187">
        <v>30</v>
      </c>
      <c r="D128" s="187">
        <v>48.93</v>
      </c>
      <c r="E128" s="187">
        <v>83.93</v>
      </c>
      <c r="F128" s="188"/>
      <c r="G128" s="186"/>
    </row>
    <row r="129" spans="1:7" x14ac:dyDescent="0.25">
      <c r="A129" s="187">
        <v>2021</v>
      </c>
      <c r="B129" s="186" t="s">
        <v>496</v>
      </c>
      <c r="C129" s="187">
        <v>14</v>
      </c>
      <c r="D129" s="187">
        <v>80.08</v>
      </c>
      <c r="E129" s="187">
        <v>61.43</v>
      </c>
      <c r="F129" s="188"/>
      <c r="G129" s="186"/>
    </row>
    <row r="130" spans="1:7" x14ac:dyDescent="0.25">
      <c r="A130" s="187">
        <v>2021</v>
      </c>
      <c r="B130" s="186" t="s">
        <v>496</v>
      </c>
      <c r="C130" s="187">
        <v>26</v>
      </c>
      <c r="D130" s="187">
        <v>55.93</v>
      </c>
      <c r="E130" s="187">
        <v>82.13</v>
      </c>
      <c r="F130" s="188"/>
      <c r="G130" s="186"/>
    </row>
    <row r="131" spans="1:7" x14ac:dyDescent="0.25">
      <c r="A131" s="187">
        <v>2021</v>
      </c>
      <c r="B131" s="186" t="s">
        <v>496</v>
      </c>
      <c r="C131" s="187">
        <v>26</v>
      </c>
      <c r="D131" s="187">
        <v>46.99</v>
      </c>
      <c r="E131" s="187">
        <v>62.49</v>
      </c>
      <c r="F131" s="188"/>
      <c r="G131" s="186"/>
    </row>
    <row r="132" spans="1:7" x14ac:dyDescent="0.25">
      <c r="A132" s="187">
        <v>2021</v>
      </c>
      <c r="B132" s="186" t="s">
        <v>496</v>
      </c>
      <c r="C132" s="187">
        <v>28</v>
      </c>
      <c r="D132" s="187">
        <v>51.24</v>
      </c>
      <c r="E132" s="187">
        <v>67.92</v>
      </c>
      <c r="F132" s="188"/>
      <c r="G132" s="186"/>
    </row>
    <row r="133" spans="1:7" x14ac:dyDescent="0.25">
      <c r="A133" s="187">
        <v>2021</v>
      </c>
      <c r="B133" s="186" t="s">
        <v>496</v>
      </c>
      <c r="C133" s="187">
        <v>27</v>
      </c>
      <c r="D133" s="187">
        <v>84.97</v>
      </c>
      <c r="E133" s="187">
        <v>86.89</v>
      </c>
      <c r="F133" s="188"/>
      <c r="G133" s="186"/>
    </row>
    <row r="134" spans="1:7" x14ac:dyDescent="0.25">
      <c r="A134" s="187">
        <v>2021</v>
      </c>
      <c r="B134" s="186" t="s">
        <v>496</v>
      </c>
      <c r="C134" s="187">
        <v>25</v>
      </c>
      <c r="D134" s="187">
        <v>74.94</v>
      </c>
      <c r="E134" s="187">
        <v>70.11</v>
      </c>
      <c r="F134" s="188"/>
      <c r="G134" s="186"/>
    </row>
    <row r="135" spans="1:7" x14ac:dyDescent="0.25">
      <c r="A135" s="187">
        <v>2021</v>
      </c>
      <c r="B135" s="186" t="s">
        <v>496</v>
      </c>
      <c r="C135" s="187">
        <v>20</v>
      </c>
      <c r="D135" s="187">
        <v>58.16</v>
      </c>
      <c r="E135" s="187">
        <v>65.83</v>
      </c>
      <c r="F135" s="188"/>
      <c r="G135" s="186"/>
    </row>
    <row r="136" spans="1:7" x14ac:dyDescent="0.25">
      <c r="A136" s="187">
        <v>2021</v>
      </c>
      <c r="B136" s="186" t="s">
        <v>496</v>
      </c>
      <c r="C136" s="187">
        <v>27</v>
      </c>
      <c r="D136" s="187">
        <v>41.98</v>
      </c>
      <c r="E136" s="187">
        <v>91.74</v>
      </c>
      <c r="F136" s="188"/>
      <c r="G136" s="186"/>
    </row>
    <row r="137" spans="1:7" x14ac:dyDescent="0.25">
      <c r="A137" s="187">
        <v>2021</v>
      </c>
      <c r="B137" s="186" t="s">
        <v>496</v>
      </c>
      <c r="C137" s="187">
        <v>26</v>
      </c>
      <c r="D137" s="187">
        <v>37.75</v>
      </c>
      <c r="E137" s="187">
        <v>78.209999999999994</v>
      </c>
      <c r="F137" s="188"/>
      <c r="G137" s="186"/>
    </row>
    <row r="138" spans="1:7" x14ac:dyDescent="0.25">
      <c r="A138" s="187">
        <v>2021</v>
      </c>
      <c r="B138" s="186" t="s">
        <v>496</v>
      </c>
      <c r="C138" s="188"/>
      <c r="D138" s="187">
        <v>39.299999999999997</v>
      </c>
      <c r="E138" s="187">
        <v>88.53</v>
      </c>
      <c r="F138" s="188"/>
      <c r="G138" s="186"/>
    </row>
    <row r="139" spans="1:7" x14ac:dyDescent="0.25">
      <c r="A139" s="187">
        <v>2021</v>
      </c>
      <c r="B139" s="186" t="s">
        <v>496</v>
      </c>
      <c r="C139" s="188"/>
      <c r="D139" s="187">
        <v>64.59</v>
      </c>
      <c r="E139" s="187">
        <v>94.18</v>
      </c>
      <c r="F139" s="188"/>
      <c r="G139" s="186"/>
    </row>
    <row r="140" spans="1:7" x14ac:dyDescent="0.25">
      <c r="A140" s="187">
        <v>2021</v>
      </c>
      <c r="B140" s="186" t="s">
        <v>496</v>
      </c>
      <c r="C140" s="187">
        <v>45</v>
      </c>
      <c r="D140" s="187">
        <v>43.14</v>
      </c>
      <c r="E140" s="187">
        <v>64.14</v>
      </c>
      <c r="F140" s="188"/>
      <c r="G140" s="186"/>
    </row>
    <row r="141" spans="1:7" x14ac:dyDescent="0.25">
      <c r="A141" s="187">
        <v>2021</v>
      </c>
      <c r="B141" s="186" t="s">
        <v>496</v>
      </c>
      <c r="C141" s="187">
        <v>46</v>
      </c>
      <c r="D141" s="187">
        <v>46.68</v>
      </c>
      <c r="E141" s="187">
        <v>65.260000000000005</v>
      </c>
      <c r="F141" s="188"/>
      <c r="G141" s="186"/>
    </row>
    <row r="142" spans="1:7" x14ac:dyDescent="0.25">
      <c r="A142" s="187">
        <v>2021</v>
      </c>
      <c r="B142" s="186" t="s">
        <v>496</v>
      </c>
      <c r="C142" s="187">
        <v>45</v>
      </c>
      <c r="D142" s="187">
        <v>31.52</v>
      </c>
      <c r="E142" s="187">
        <v>47.45</v>
      </c>
      <c r="F142" s="188"/>
      <c r="G142" s="186"/>
    </row>
    <row r="143" spans="1:7" x14ac:dyDescent="0.25">
      <c r="A143" s="187">
        <v>2021</v>
      </c>
      <c r="B143" s="186" t="s">
        <v>496</v>
      </c>
      <c r="C143" s="187">
        <v>38</v>
      </c>
      <c r="D143" s="187">
        <v>29.68</v>
      </c>
      <c r="E143" s="187">
        <v>43.51</v>
      </c>
      <c r="F143" s="188"/>
      <c r="G143" s="186"/>
    </row>
    <row r="144" spans="1:7" x14ac:dyDescent="0.25">
      <c r="A144" s="187">
        <v>2021</v>
      </c>
      <c r="B144" s="186" t="s">
        <v>496</v>
      </c>
      <c r="C144" s="187">
        <v>49</v>
      </c>
      <c r="D144" s="187">
        <v>39.69</v>
      </c>
      <c r="E144" s="187">
        <v>54.02</v>
      </c>
      <c r="F144" s="188"/>
      <c r="G144" s="186"/>
    </row>
    <row r="145" spans="1:7" x14ac:dyDescent="0.25">
      <c r="A145" s="187">
        <v>2021</v>
      </c>
      <c r="B145" s="186" t="s">
        <v>496</v>
      </c>
      <c r="C145" s="187">
        <v>30</v>
      </c>
      <c r="D145" s="187">
        <v>26.52</v>
      </c>
      <c r="E145" s="187">
        <v>57.19</v>
      </c>
      <c r="F145" s="188"/>
      <c r="G145" s="186"/>
    </row>
    <row r="146" spans="1:7" x14ac:dyDescent="0.25">
      <c r="A146" s="187">
        <v>2021</v>
      </c>
      <c r="B146" s="186" t="s">
        <v>496</v>
      </c>
      <c r="C146" s="187">
        <v>30</v>
      </c>
      <c r="D146" s="187">
        <v>48.89</v>
      </c>
      <c r="E146" s="187">
        <v>81.99</v>
      </c>
      <c r="F146" s="188"/>
      <c r="G146" s="186"/>
    </row>
    <row r="147" spans="1:7" x14ac:dyDescent="0.25">
      <c r="A147" s="187">
        <v>2021</v>
      </c>
      <c r="B147" s="186" t="s">
        <v>496</v>
      </c>
      <c r="C147" s="187">
        <v>45</v>
      </c>
      <c r="D147" s="187">
        <v>31.18</v>
      </c>
      <c r="E147" s="187">
        <v>50.54</v>
      </c>
      <c r="F147" s="188"/>
      <c r="G147" s="186"/>
    </row>
    <row r="148" spans="1:7" x14ac:dyDescent="0.25">
      <c r="A148" s="187">
        <v>2021</v>
      </c>
      <c r="B148" s="186" t="s">
        <v>496</v>
      </c>
      <c r="C148" s="187">
        <v>43</v>
      </c>
      <c r="D148" s="187">
        <v>34.9</v>
      </c>
      <c r="E148" s="187">
        <v>89.51</v>
      </c>
      <c r="F148" s="188"/>
      <c r="G148" s="186"/>
    </row>
    <row r="149" spans="1:7" x14ac:dyDescent="0.25">
      <c r="A149" s="187">
        <v>2021</v>
      </c>
      <c r="B149" s="186" t="s">
        <v>496</v>
      </c>
      <c r="C149" s="187">
        <v>40</v>
      </c>
      <c r="D149" s="187">
        <v>83.22</v>
      </c>
      <c r="E149" s="187">
        <v>106.18</v>
      </c>
      <c r="F149" s="188"/>
      <c r="G149" s="186"/>
    </row>
    <row r="150" spans="1:7" x14ac:dyDescent="0.25">
      <c r="A150" s="187">
        <v>2021</v>
      </c>
      <c r="B150" s="186" t="s">
        <v>496</v>
      </c>
      <c r="C150" s="187">
        <v>58</v>
      </c>
      <c r="D150" s="187">
        <v>69.39</v>
      </c>
      <c r="E150" s="187">
        <v>93.65</v>
      </c>
      <c r="F150" s="188"/>
      <c r="G150" s="186"/>
    </row>
    <row r="151" spans="1:7" x14ac:dyDescent="0.25">
      <c r="A151" s="187">
        <v>2021</v>
      </c>
      <c r="B151" s="186" t="s">
        <v>496</v>
      </c>
      <c r="C151" s="187">
        <v>45</v>
      </c>
      <c r="D151" s="187">
        <v>85.29</v>
      </c>
      <c r="E151" s="187">
        <v>93.48</v>
      </c>
      <c r="F151" s="188"/>
      <c r="G151" s="186"/>
    </row>
    <row r="152" spans="1:7" x14ac:dyDescent="0.25">
      <c r="A152" s="187">
        <v>2021</v>
      </c>
      <c r="B152" s="186" t="s">
        <v>496</v>
      </c>
      <c r="C152" s="187">
        <v>34</v>
      </c>
      <c r="D152" s="188"/>
      <c r="E152" s="188"/>
      <c r="F152" s="188"/>
      <c r="G152" s="186"/>
    </row>
    <row r="153" spans="1:7" x14ac:dyDescent="0.25">
      <c r="A153" s="187">
        <v>2021</v>
      </c>
      <c r="B153" s="186" t="s">
        <v>496</v>
      </c>
      <c r="C153" s="187">
        <v>39</v>
      </c>
      <c r="D153" s="188"/>
      <c r="E153" s="188"/>
      <c r="F153" s="188"/>
      <c r="G153" s="186"/>
    </row>
    <row r="154" spans="1:7" x14ac:dyDescent="0.25">
      <c r="A154" s="187">
        <v>2021</v>
      </c>
      <c r="B154" s="186" t="s">
        <v>496</v>
      </c>
      <c r="C154" s="187">
        <v>32</v>
      </c>
      <c r="D154" s="188"/>
      <c r="E154" s="188"/>
      <c r="F154" s="188"/>
      <c r="G154" s="186"/>
    </row>
    <row r="155" spans="1:7" x14ac:dyDescent="0.25">
      <c r="A155" s="187">
        <v>2021</v>
      </c>
      <c r="B155" s="186" t="s">
        <v>496</v>
      </c>
      <c r="C155" s="187">
        <v>47</v>
      </c>
      <c r="D155" s="188"/>
      <c r="E155" s="188"/>
      <c r="F155" s="188"/>
      <c r="G155" s="186"/>
    </row>
    <row r="156" spans="1:7" x14ac:dyDescent="0.25">
      <c r="A156" s="187">
        <v>2021</v>
      </c>
      <c r="B156" s="186" t="s">
        <v>496</v>
      </c>
      <c r="C156" s="187">
        <v>54</v>
      </c>
      <c r="D156" s="188"/>
      <c r="E156" s="188"/>
      <c r="F156" s="188"/>
      <c r="G156" s="186"/>
    </row>
    <row r="157" spans="1:7" x14ac:dyDescent="0.25">
      <c r="A157" s="187">
        <v>2021</v>
      </c>
      <c r="B157" s="186" t="s">
        <v>496</v>
      </c>
      <c r="C157" s="187">
        <v>68</v>
      </c>
      <c r="D157" s="188"/>
      <c r="E157" s="188"/>
      <c r="F157" s="188"/>
      <c r="G157" s="186"/>
    </row>
    <row r="158" spans="1:7" x14ac:dyDescent="0.25">
      <c r="A158" s="187">
        <v>2021</v>
      </c>
      <c r="B158" s="186" t="s">
        <v>496</v>
      </c>
      <c r="C158" s="187">
        <v>47</v>
      </c>
      <c r="D158" s="188"/>
      <c r="E158" s="188"/>
      <c r="F158" s="188"/>
      <c r="G158" s="186"/>
    </row>
    <row r="159" spans="1:7" x14ac:dyDescent="0.25">
      <c r="A159" s="187">
        <v>2021</v>
      </c>
      <c r="B159" s="186" t="s">
        <v>496</v>
      </c>
      <c r="C159" s="187">
        <v>46</v>
      </c>
      <c r="D159" s="188"/>
      <c r="E159" s="188"/>
      <c r="F159" s="188"/>
      <c r="G159" s="186"/>
    </row>
    <row r="160" spans="1:7" x14ac:dyDescent="0.25">
      <c r="A160" s="187">
        <v>2021</v>
      </c>
      <c r="B160" s="186" t="s">
        <v>496</v>
      </c>
      <c r="C160" s="187">
        <v>29</v>
      </c>
      <c r="D160" s="187">
        <v>53.29</v>
      </c>
      <c r="E160" s="187">
        <v>60.43</v>
      </c>
      <c r="F160" s="188"/>
      <c r="G160" s="186"/>
    </row>
    <row r="161" spans="1:7" x14ac:dyDescent="0.25">
      <c r="A161" s="187">
        <v>2021</v>
      </c>
      <c r="B161" s="186" t="s">
        <v>496</v>
      </c>
      <c r="C161" s="187">
        <v>27</v>
      </c>
      <c r="D161" s="187">
        <v>49.03</v>
      </c>
      <c r="E161" s="187">
        <v>62.19</v>
      </c>
      <c r="F161" s="188"/>
      <c r="G161" s="186"/>
    </row>
    <row r="162" spans="1:7" x14ac:dyDescent="0.25">
      <c r="A162" s="187">
        <v>2021</v>
      </c>
      <c r="B162" s="186" t="s">
        <v>496</v>
      </c>
      <c r="C162" s="187">
        <v>38</v>
      </c>
      <c r="D162" s="187">
        <v>68.319999999999993</v>
      </c>
      <c r="E162" s="187">
        <v>81.75</v>
      </c>
      <c r="F162" s="188"/>
      <c r="G162" s="186"/>
    </row>
    <row r="163" spans="1:7" x14ac:dyDescent="0.25">
      <c r="A163" s="187">
        <v>2021</v>
      </c>
      <c r="B163" s="186" t="s">
        <v>496</v>
      </c>
      <c r="C163" s="187">
        <v>28</v>
      </c>
      <c r="D163" s="187">
        <v>50.24</v>
      </c>
      <c r="E163" s="187">
        <v>63.24</v>
      </c>
      <c r="F163" s="188"/>
      <c r="G163" s="186"/>
    </row>
    <row r="164" spans="1:7" x14ac:dyDescent="0.25">
      <c r="A164" s="187">
        <v>2021</v>
      </c>
      <c r="B164" s="186" t="s">
        <v>496</v>
      </c>
      <c r="C164" s="187">
        <v>31</v>
      </c>
      <c r="D164" s="187">
        <v>86.41</v>
      </c>
      <c r="E164" s="187">
        <v>110.79</v>
      </c>
      <c r="F164" s="188"/>
      <c r="G164" s="186"/>
    </row>
    <row r="165" spans="1:7" x14ac:dyDescent="0.25">
      <c r="A165" s="187">
        <v>2021</v>
      </c>
      <c r="B165" s="186" t="s">
        <v>496</v>
      </c>
      <c r="C165" s="187">
        <v>37</v>
      </c>
      <c r="D165" s="187">
        <v>56.42</v>
      </c>
      <c r="E165" s="187">
        <v>83.92</v>
      </c>
      <c r="F165" s="188"/>
      <c r="G165" s="186"/>
    </row>
    <row r="166" spans="1:7" x14ac:dyDescent="0.25">
      <c r="A166" s="187">
        <v>2021</v>
      </c>
      <c r="B166" s="186" t="s">
        <v>496</v>
      </c>
      <c r="C166" s="187">
        <v>36</v>
      </c>
      <c r="D166" s="187">
        <v>68.31</v>
      </c>
      <c r="E166" s="187">
        <v>85.41</v>
      </c>
      <c r="F166" s="188"/>
      <c r="G166" s="186"/>
    </row>
    <row r="167" spans="1:7" x14ac:dyDescent="0.25">
      <c r="A167" s="187">
        <v>2021</v>
      </c>
      <c r="B167" s="186" t="s">
        <v>496</v>
      </c>
      <c r="C167" s="187">
        <v>71</v>
      </c>
      <c r="D167" s="187">
        <v>29.68</v>
      </c>
      <c r="E167" s="187">
        <v>64.7</v>
      </c>
      <c r="F167" s="188"/>
      <c r="G167" s="186"/>
    </row>
    <row r="168" spans="1:7" x14ac:dyDescent="0.25">
      <c r="A168" s="187">
        <v>2021</v>
      </c>
      <c r="B168" s="186" t="s">
        <v>496</v>
      </c>
      <c r="C168" s="187">
        <v>70</v>
      </c>
      <c r="D168" s="187">
        <v>39.69</v>
      </c>
      <c r="E168" s="187">
        <v>57.77</v>
      </c>
      <c r="F168" s="188"/>
      <c r="G168" s="186"/>
    </row>
    <row r="169" spans="1:7" x14ac:dyDescent="0.25">
      <c r="A169" s="187">
        <v>2021</v>
      </c>
      <c r="B169" s="186" t="s">
        <v>496</v>
      </c>
      <c r="C169" s="187">
        <v>24</v>
      </c>
      <c r="D169" s="187">
        <v>26.52</v>
      </c>
      <c r="E169" s="187">
        <v>50.12</v>
      </c>
      <c r="F169" s="188"/>
      <c r="G169" s="186"/>
    </row>
    <row r="170" spans="1:7" x14ac:dyDescent="0.25">
      <c r="A170" s="187">
        <v>2021</v>
      </c>
      <c r="B170" s="186" t="s">
        <v>496</v>
      </c>
      <c r="C170" s="187">
        <v>57</v>
      </c>
      <c r="D170" s="187">
        <v>34.9</v>
      </c>
      <c r="E170" s="187">
        <v>134.6</v>
      </c>
      <c r="F170" s="188"/>
      <c r="G170" s="186"/>
    </row>
    <row r="171" spans="1:7" x14ac:dyDescent="0.25">
      <c r="A171" s="187">
        <v>2021</v>
      </c>
      <c r="B171" s="186" t="s">
        <v>496</v>
      </c>
      <c r="C171" s="187">
        <v>53</v>
      </c>
      <c r="D171" s="187">
        <v>80.45</v>
      </c>
      <c r="E171" s="187">
        <v>79.36</v>
      </c>
      <c r="F171" s="188"/>
      <c r="G171" s="186"/>
    </row>
    <row r="172" spans="1:7" x14ac:dyDescent="0.25">
      <c r="A172" s="187">
        <v>2021</v>
      </c>
      <c r="B172" s="186" t="s">
        <v>496</v>
      </c>
      <c r="C172" s="187">
        <v>44</v>
      </c>
      <c r="D172" s="187">
        <v>65.31</v>
      </c>
      <c r="E172" s="187">
        <v>108.83</v>
      </c>
      <c r="F172" s="188"/>
      <c r="G172" s="186"/>
    </row>
    <row r="173" spans="1:7" x14ac:dyDescent="0.25">
      <c r="A173" s="187">
        <v>2021</v>
      </c>
      <c r="B173" s="186" t="s">
        <v>496</v>
      </c>
      <c r="C173" s="187">
        <v>40</v>
      </c>
      <c r="D173" s="187">
        <v>67.540000000000006</v>
      </c>
      <c r="E173" s="187">
        <v>136.82</v>
      </c>
      <c r="F173" s="188"/>
      <c r="G173" s="186"/>
    </row>
    <row r="174" spans="1:7" x14ac:dyDescent="0.25">
      <c r="A174" s="187">
        <v>2021</v>
      </c>
      <c r="B174" s="186" t="s">
        <v>496</v>
      </c>
      <c r="C174" s="187">
        <v>51</v>
      </c>
      <c r="D174" s="187">
        <v>69.650000000000006</v>
      </c>
      <c r="E174" s="187">
        <v>73.489999999999995</v>
      </c>
      <c r="F174" s="188"/>
      <c r="G174" s="186"/>
    </row>
    <row r="175" spans="1:7" x14ac:dyDescent="0.25">
      <c r="A175" s="187">
        <v>2021</v>
      </c>
      <c r="B175" s="186" t="s">
        <v>496</v>
      </c>
      <c r="C175" s="187">
        <v>33</v>
      </c>
      <c r="D175" s="187">
        <v>48.09</v>
      </c>
      <c r="E175" s="187">
        <v>122.82</v>
      </c>
      <c r="F175" s="188"/>
      <c r="G175" s="186"/>
    </row>
    <row r="176" spans="1:7" x14ac:dyDescent="0.25">
      <c r="A176" s="187">
        <v>2021</v>
      </c>
      <c r="B176" s="186" t="s">
        <v>496</v>
      </c>
      <c r="C176" s="187">
        <v>42</v>
      </c>
      <c r="D176" s="187">
        <v>59.83</v>
      </c>
      <c r="E176" s="187">
        <v>106.1</v>
      </c>
      <c r="F176" s="188"/>
      <c r="G176" s="186"/>
    </row>
    <row r="177" spans="1:7" x14ac:dyDescent="0.25">
      <c r="A177" s="187">
        <v>2021</v>
      </c>
      <c r="B177" s="186" t="s">
        <v>496</v>
      </c>
      <c r="C177" s="187">
        <v>49</v>
      </c>
      <c r="D177" s="187">
        <v>51.53</v>
      </c>
      <c r="E177" s="187">
        <v>83.18</v>
      </c>
      <c r="F177" s="188"/>
      <c r="G177" s="186"/>
    </row>
    <row r="178" spans="1:7" x14ac:dyDescent="0.25">
      <c r="A178" s="187">
        <v>2021</v>
      </c>
      <c r="B178" s="186" t="s">
        <v>496</v>
      </c>
      <c r="C178" s="187">
        <v>34</v>
      </c>
      <c r="D178" s="187">
        <v>43.14</v>
      </c>
      <c r="E178" s="187">
        <v>96.11</v>
      </c>
      <c r="F178" s="188"/>
      <c r="G178" s="186"/>
    </row>
    <row r="179" spans="1:7" x14ac:dyDescent="0.25">
      <c r="A179" s="187">
        <v>2021</v>
      </c>
      <c r="B179" s="186" t="s">
        <v>496</v>
      </c>
      <c r="C179" s="188"/>
      <c r="D179" s="187">
        <v>83.12</v>
      </c>
      <c r="E179" s="187">
        <v>61.81</v>
      </c>
      <c r="F179" s="188"/>
      <c r="G179" s="186"/>
    </row>
    <row r="180" spans="1:7" x14ac:dyDescent="0.25">
      <c r="A180" s="187">
        <v>2021</v>
      </c>
      <c r="B180" s="186" t="s">
        <v>496</v>
      </c>
      <c r="C180" s="188"/>
      <c r="D180" s="187">
        <v>31.83</v>
      </c>
      <c r="E180" s="187">
        <v>98.52</v>
      </c>
      <c r="F180" s="188"/>
      <c r="G180" s="186"/>
    </row>
    <row r="181" spans="1:7" x14ac:dyDescent="0.25">
      <c r="A181" s="187">
        <v>2021</v>
      </c>
      <c r="B181" s="186" t="s">
        <v>496</v>
      </c>
      <c r="C181" s="188"/>
      <c r="D181" s="187">
        <v>81.41</v>
      </c>
      <c r="E181" s="187">
        <v>110.83</v>
      </c>
      <c r="F181" s="188"/>
      <c r="G181" s="186"/>
    </row>
    <row r="182" spans="1:7" x14ac:dyDescent="0.25">
      <c r="A182" s="187">
        <v>2021</v>
      </c>
      <c r="B182" s="186" t="s">
        <v>496</v>
      </c>
      <c r="C182" s="187">
        <v>60</v>
      </c>
      <c r="D182" s="187">
        <v>34.94</v>
      </c>
      <c r="E182" s="187">
        <v>178.02</v>
      </c>
      <c r="F182" s="188"/>
      <c r="G182" s="186"/>
    </row>
    <row r="183" spans="1:7" x14ac:dyDescent="0.25">
      <c r="A183" s="187">
        <v>2021</v>
      </c>
      <c r="B183" s="186" t="s">
        <v>496</v>
      </c>
      <c r="C183" s="187">
        <v>21</v>
      </c>
      <c r="D183" s="187">
        <v>80.59</v>
      </c>
      <c r="E183" s="187">
        <v>136.78</v>
      </c>
      <c r="F183" s="188"/>
      <c r="G183" s="186"/>
    </row>
    <row r="184" spans="1:7" x14ac:dyDescent="0.25">
      <c r="A184" s="187">
        <v>2021</v>
      </c>
      <c r="B184" s="186" t="s">
        <v>496</v>
      </c>
      <c r="C184" s="187">
        <v>39</v>
      </c>
      <c r="D184" s="187">
        <v>70.23</v>
      </c>
      <c r="E184" s="187">
        <v>184.12</v>
      </c>
      <c r="F184" s="188"/>
      <c r="G184" s="186"/>
    </row>
    <row r="185" spans="1:7" x14ac:dyDescent="0.25">
      <c r="A185" s="187">
        <v>2021</v>
      </c>
      <c r="B185" s="186" t="s">
        <v>496</v>
      </c>
      <c r="C185" s="187">
        <v>20</v>
      </c>
      <c r="D185" s="187">
        <v>31.91</v>
      </c>
      <c r="E185" s="187">
        <v>160.56</v>
      </c>
      <c r="F185" s="188"/>
      <c r="G185" s="186"/>
    </row>
    <row r="186" spans="1:7" x14ac:dyDescent="0.25">
      <c r="A186" s="187">
        <v>2021</v>
      </c>
      <c r="B186" s="186" t="s">
        <v>496</v>
      </c>
      <c r="C186" s="187">
        <v>43</v>
      </c>
      <c r="D186" s="187">
        <v>111.27</v>
      </c>
      <c r="E186" s="187">
        <v>174.37</v>
      </c>
      <c r="F186" s="188"/>
      <c r="G186" s="186"/>
    </row>
    <row r="187" spans="1:7" x14ac:dyDescent="0.25">
      <c r="A187" s="187">
        <v>2021</v>
      </c>
      <c r="B187" s="186" t="s">
        <v>496</v>
      </c>
      <c r="C187" s="187">
        <v>45</v>
      </c>
      <c r="D187" s="187">
        <v>56.41</v>
      </c>
      <c r="E187" s="187">
        <v>134.03</v>
      </c>
      <c r="F187" s="188"/>
      <c r="G187" s="186"/>
    </row>
    <row r="188" spans="1:7" x14ac:dyDescent="0.25">
      <c r="A188" s="187">
        <v>2021</v>
      </c>
      <c r="B188" s="186" t="s">
        <v>496</v>
      </c>
      <c r="C188" s="187">
        <v>63</v>
      </c>
      <c r="D188" s="187">
        <v>11.77</v>
      </c>
      <c r="E188" s="187">
        <v>140.07</v>
      </c>
      <c r="F188" s="188"/>
      <c r="G188" s="186"/>
    </row>
    <row r="189" spans="1:7" x14ac:dyDescent="0.25">
      <c r="A189" s="187">
        <v>2021</v>
      </c>
      <c r="B189" s="186" t="s">
        <v>496</v>
      </c>
      <c r="C189" s="187">
        <v>23</v>
      </c>
      <c r="D189" s="187">
        <v>36.94</v>
      </c>
      <c r="E189" s="187">
        <v>132.47999999999999</v>
      </c>
      <c r="F189" s="188"/>
      <c r="G189" s="186"/>
    </row>
    <row r="190" spans="1:7" x14ac:dyDescent="0.25">
      <c r="A190" s="187">
        <v>2021</v>
      </c>
      <c r="B190" s="186" t="s">
        <v>496</v>
      </c>
      <c r="C190" s="187">
        <v>36</v>
      </c>
      <c r="D190" s="187">
        <v>113.37</v>
      </c>
      <c r="E190" s="187">
        <v>141.99</v>
      </c>
      <c r="F190" s="188"/>
      <c r="G190" s="186"/>
    </row>
    <row r="191" spans="1:7" x14ac:dyDescent="0.25">
      <c r="A191" s="187">
        <v>2021</v>
      </c>
      <c r="B191" s="186" t="s">
        <v>496</v>
      </c>
      <c r="C191" s="187">
        <v>36</v>
      </c>
      <c r="D191" s="187">
        <v>26.41</v>
      </c>
      <c r="E191" s="187">
        <v>220.12</v>
      </c>
      <c r="F191" s="188"/>
      <c r="G191" s="186"/>
    </row>
    <row r="192" spans="1:7" x14ac:dyDescent="0.25">
      <c r="A192" s="187">
        <v>2021</v>
      </c>
      <c r="B192" s="186" t="s">
        <v>496</v>
      </c>
      <c r="C192" s="187">
        <v>45</v>
      </c>
      <c r="D192" s="187">
        <v>60.59</v>
      </c>
      <c r="E192" s="187">
        <v>150.13999999999999</v>
      </c>
      <c r="F192" s="188"/>
      <c r="G192" s="186"/>
    </row>
    <row r="193" spans="1:7" x14ac:dyDescent="0.25">
      <c r="A193" s="187">
        <v>2021</v>
      </c>
      <c r="B193" s="186" t="s">
        <v>496</v>
      </c>
      <c r="C193" s="187">
        <v>46</v>
      </c>
      <c r="D193" s="187">
        <v>53.45</v>
      </c>
      <c r="E193" s="187">
        <v>153.4</v>
      </c>
      <c r="F193" s="188"/>
      <c r="G193" s="186"/>
    </row>
    <row r="194" spans="1:7" x14ac:dyDescent="0.25">
      <c r="A194" s="187">
        <v>2021</v>
      </c>
      <c r="B194" s="186" t="s">
        <v>496</v>
      </c>
      <c r="C194" s="187">
        <v>41</v>
      </c>
      <c r="D194" s="187">
        <v>67.19</v>
      </c>
      <c r="E194" s="187">
        <v>138.66999999999999</v>
      </c>
      <c r="F194" s="188"/>
      <c r="G194" s="186"/>
    </row>
    <row r="195" spans="1:7" x14ac:dyDescent="0.25">
      <c r="A195" s="187">
        <v>2021</v>
      </c>
      <c r="B195" s="186" t="s">
        <v>496</v>
      </c>
      <c r="C195" s="187">
        <v>43</v>
      </c>
      <c r="D195" s="187">
        <v>75.17</v>
      </c>
      <c r="E195" s="187">
        <v>162.68</v>
      </c>
      <c r="F195" s="188"/>
      <c r="G195" s="186"/>
    </row>
    <row r="196" spans="1:7" x14ac:dyDescent="0.25">
      <c r="A196" s="187">
        <v>2021</v>
      </c>
      <c r="B196" s="186" t="s">
        <v>514</v>
      </c>
      <c r="C196" s="187">
        <v>36</v>
      </c>
      <c r="D196" s="187">
        <v>33.299999999999997</v>
      </c>
      <c r="E196" s="187">
        <v>59.87</v>
      </c>
      <c r="F196" s="188"/>
      <c r="G196" s="186"/>
    </row>
    <row r="197" spans="1:7" x14ac:dyDescent="0.25">
      <c r="A197" s="187">
        <v>2021</v>
      </c>
      <c r="B197" s="186" t="s">
        <v>514</v>
      </c>
      <c r="C197" s="187">
        <v>33</v>
      </c>
      <c r="D197" s="187">
        <v>55.97</v>
      </c>
      <c r="E197" s="187">
        <v>57.97</v>
      </c>
      <c r="F197" s="188"/>
      <c r="G197" s="186"/>
    </row>
    <row r="198" spans="1:7" x14ac:dyDescent="0.25">
      <c r="A198" s="187">
        <v>2021</v>
      </c>
      <c r="B198" s="186" t="s">
        <v>514</v>
      </c>
      <c r="C198" s="187">
        <v>37</v>
      </c>
      <c r="D198" s="187">
        <v>54.27</v>
      </c>
      <c r="E198" s="187">
        <v>112.75</v>
      </c>
      <c r="F198" s="188"/>
      <c r="G198" s="186"/>
    </row>
    <row r="199" spans="1:7" x14ac:dyDescent="0.25">
      <c r="A199" s="187">
        <v>2021</v>
      </c>
      <c r="B199" s="186" t="s">
        <v>514</v>
      </c>
      <c r="C199" s="187">
        <v>40</v>
      </c>
      <c r="D199" s="187">
        <v>49.54</v>
      </c>
      <c r="E199" s="187">
        <v>109.7</v>
      </c>
      <c r="F199" s="188"/>
      <c r="G199" s="186"/>
    </row>
    <row r="200" spans="1:7" x14ac:dyDescent="0.25">
      <c r="A200" s="187">
        <v>2021</v>
      </c>
      <c r="B200" s="186" t="s">
        <v>514</v>
      </c>
      <c r="C200" s="187">
        <v>38</v>
      </c>
      <c r="D200" s="187">
        <v>44.29</v>
      </c>
      <c r="E200" s="187">
        <v>101.59</v>
      </c>
      <c r="F200" s="188"/>
      <c r="G200" s="186"/>
    </row>
    <row r="201" spans="1:7" x14ac:dyDescent="0.25">
      <c r="A201" s="187">
        <v>2021</v>
      </c>
      <c r="B201" s="186" t="s">
        <v>514</v>
      </c>
      <c r="C201" s="187">
        <v>46</v>
      </c>
      <c r="D201" s="187">
        <v>43.39</v>
      </c>
      <c r="E201" s="187">
        <v>69.36</v>
      </c>
      <c r="F201" s="188"/>
      <c r="G201" s="186"/>
    </row>
    <row r="202" spans="1:7" x14ac:dyDescent="0.25">
      <c r="A202" s="187">
        <v>2021</v>
      </c>
      <c r="B202" s="186" t="s">
        <v>514</v>
      </c>
      <c r="C202" s="187">
        <v>40</v>
      </c>
      <c r="D202" s="187">
        <v>47.63</v>
      </c>
      <c r="E202" s="187">
        <v>64.349999999999994</v>
      </c>
      <c r="F202" s="188"/>
      <c r="G202" s="186"/>
    </row>
    <row r="203" spans="1:7" x14ac:dyDescent="0.25">
      <c r="A203" s="187">
        <v>2021</v>
      </c>
      <c r="B203" s="186" t="s">
        <v>514</v>
      </c>
      <c r="C203" s="187">
        <v>42</v>
      </c>
      <c r="D203" s="187">
        <v>67.959999999999994</v>
      </c>
      <c r="E203" s="187">
        <v>95.68</v>
      </c>
      <c r="F203" s="188"/>
      <c r="G203" s="186"/>
    </row>
    <row r="204" spans="1:7" x14ac:dyDescent="0.25">
      <c r="A204" s="187">
        <v>2021</v>
      </c>
      <c r="B204" s="186" t="s">
        <v>514</v>
      </c>
      <c r="C204" s="187">
        <v>57</v>
      </c>
      <c r="D204" s="187">
        <v>63.24</v>
      </c>
      <c r="E204" s="187">
        <v>92.88</v>
      </c>
      <c r="F204" s="188"/>
      <c r="G204" s="186"/>
    </row>
    <row r="205" spans="1:7" x14ac:dyDescent="0.25">
      <c r="A205" s="187">
        <v>2021</v>
      </c>
      <c r="B205" s="186" t="s">
        <v>514</v>
      </c>
      <c r="C205" s="187">
        <v>53</v>
      </c>
      <c r="D205" s="187">
        <v>66.319999999999993</v>
      </c>
      <c r="E205" s="187">
        <v>89.3</v>
      </c>
      <c r="F205" s="188"/>
      <c r="G205" s="186"/>
    </row>
    <row r="206" spans="1:7" x14ac:dyDescent="0.25">
      <c r="A206" s="187">
        <v>2021</v>
      </c>
      <c r="B206" s="186" t="s">
        <v>514</v>
      </c>
      <c r="C206" s="187">
        <v>28</v>
      </c>
      <c r="D206" s="187">
        <v>76.58</v>
      </c>
      <c r="E206" s="187">
        <v>74.37</v>
      </c>
      <c r="F206" s="188"/>
      <c r="G206" s="186"/>
    </row>
    <row r="207" spans="1:7" x14ac:dyDescent="0.25">
      <c r="A207" s="187">
        <v>2021</v>
      </c>
      <c r="B207" s="186" t="s">
        <v>514</v>
      </c>
      <c r="C207" s="187">
        <v>36</v>
      </c>
      <c r="D207" s="187">
        <v>38.82</v>
      </c>
      <c r="E207" s="187">
        <v>64.38</v>
      </c>
      <c r="F207" s="188"/>
      <c r="G207" s="186"/>
    </row>
    <row r="208" spans="1:7" x14ac:dyDescent="0.25">
      <c r="A208" s="187">
        <v>2021</v>
      </c>
      <c r="B208" s="186" t="s">
        <v>514</v>
      </c>
      <c r="C208" s="187">
        <v>33</v>
      </c>
      <c r="D208" s="187">
        <v>48.32</v>
      </c>
      <c r="E208" s="187">
        <v>50.3</v>
      </c>
      <c r="F208" s="188"/>
      <c r="G208" s="186"/>
    </row>
    <row r="209" spans="1:7" x14ac:dyDescent="0.25">
      <c r="A209" s="187">
        <v>2021</v>
      </c>
      <c r="B209" s="186" t="s">
        <v>514</v>
      </c>
      <c r="C209" s="187">
        <v>37</v>
      </c>
      <c r="D209" s="187">
        <v>47.72</v>
      </c>
      <c r="E209" s="187">
        <v>57.63</v>
      </c>
      <c r="F209" s="188"/>
      <c r="G209" s="186"/>
    </row>
    <row r="210" spans="1:7" x14ac:dyDescent="0.25">
      <c r="A210" s="187">
        <v>2021</v>
      </c>
      <c r="B210" s="186" t="s">
        <v>514</v>
      </c>
      <c r="C210" s="187">
        <v>36</v>
      </c>
      <c r="D210" s="187">
        <v>34.69</v>
      </c>
      <c r="E210" s="187">
        <v>60.1</v>
      </c>
      <c r="F210" s="188"/>
      <c r="G210" s="186"/>
    </row>
    <row r="211" spans="1:7" x14ac:dyDescent="0.25">
      <c r="A211" s="187">
        <v>2021</v>
      </c>
      <c r="B211" s="186" t="s">
        <v>514</v>
      </c>
      <c r="C211" s="187">
        <v>38</v>
      </c>
      <c r="D211" s="187">
        <v>32.299999999999997</v>
      </c>
      <c r="E211" s="187">
        <v>59.64</v>
      </c>
      <c r="F211" s="188"/>
      <c r="G211" s="186"/>
    </row>
    <row r="212" spans="1:7" x14ac:dyDescent="0.25">
      <c r="A212" s="187">
        <v>2021</v>
      </c>
      <c r="B212" s="186" t="s">
        <v>514</v>
      </c>
      <c r="C212" s="187">
        <v>35</v>
      </c>
      <c r="D212" s="187">
        <v>33.08</v>
      </c>
      <c r="E212" s="187">
        <v>54.49</v>
      </c>
      <c r="F212" s="188"/>
      <c r="G212" s="186"/>
    </row>
    <row r="213" spans="1:7" x14ac:dyDescent="0.25">
      <c r="A213" s="187">
        <v>2021</v>
      </c>
      <c r="B213" s="186" t="s">
        <v>514</v>
      </c>
      <c r="C213" s="187">
        <v>43</v>
      </c>
      <c r="D213" s="187">
        <v>54.01</v>
      </c>
      <c r="E213" s="187">
        <v>86.47</v>
      </c>
      <c r="F213" s="188"/>
      <c r="G213" s="186"/>
    </row>
    <row r="214" spans="1:7" x14ac:dyDescent="0.25">
      <c r="A214" s="187">
        <v>2021</v>
      </c>
      <c r="B214" s="186" t="s">
        <v>514</v>
      </c>
      <c r="C214" s="187">
        <v>32</v>
      </c>
      <c r="D214" s="187">
        <v>73.58</v>
      </c>
      <c r="E214" s="187">
        <v>95.9</v>
      </c>
      <c r="F214" s="188"/>
      <c r="G214" s="186"/>
    </row>
    <row r="215" spans="1:7" x14ac:dyDescent="0.25">
      <c r="A215" s="187">
        <v>2021</v>
      </c>
      <c r="B215" s="186" t="s">
        <v>514</v>
      </c>
      <c r="C215" s="187">
        <v>47</v>
      </c>
      <c r="D215" s="187">
        <v>66.17</v>
      </c>
      <c r="E215" s="187">
        <v>64.319999999999993</v>
      </c>
      <c r="F215" s="188"/>
      <c r="G215" s="186"/>
    </row>
    <row r="216" spans="1:7" x14ac:dyDescent="0.25">
      <c r="A216" s="187">
        <v>2021</v>
      </c>
      <c r="B216" s="186" t="s">
        <v>514</v>
      </c>
      <c r="C216" s="187">
        <v>47</v>
      </c>
      <c r="D216" s="187">
        <v>46.05</v>
      </c>
      <c r="E216" s="187">
        <v>86.05</v>
      </c>
      <c r="F216" s="188"/>
      <c r="G216" s="186"/>
    </row>
    <row r="217" spans="1:7" x14ac:dyDescent="0.25">
      <c r="A217" s="187">
        <v>2021</v>
      </c>
      <c r="B217" s="186" t="s">
        <v>514</v>
      </c>
      <c r="C217" s="187">
        <v>39</v>
      </c>
      <c r="D217" s="187">
        <v>87.87</v>
      </c>
      <c r="E217" s="187">
        <v>82.88</v>
      </c>
      <c r="F217" s="188"/>
      <c r="G217" s="186"/>
    </row>
    <row r="218" spans="1:7" x14ac:dyDescent="0.25">
      <c r="A218" s="187">
        <v>2021</v>
      </c>
      <c r="B218" s="186" t="s">
        <v>514</v>
      </c>
      <c r="C218" s="187">
        <v>58</v>
      </c>
      <c r="D218" s="187">
        <v>77.33</v>
      </c>
      <c r="E218" s="187">
        <v>87.78</v>
      </c>
      <c r="F218" s="188"/>
      <c r="G218" s="186"/>
    </row>
    <row r="219" spans="1:7" x14ac:dyDescent="0.25">
      <c r="A219" s="187">
        <v>2021</v>
      </c>
      <c r="B219" s="186" t="s">
        <v>514</v>
      </c>
      <c r="C219" s="187">
        <v>38</v>
      </c>
      <c r="D219" s="187">
        <v>75.09</v>
      </c>
      <c r="E219" s="187">
        <v>69.349999999999994</v>
      </c>
      <c r="F219" s="188"/>
      <c r="G219" s="186"/>
    </row>
    <row r="220" spans="1:7" x14ac:dyDescent="0.25">
      <c r="A220" s="187">
        <v>2021</v>
      </c>
      <c r="B220" s="186" t="s">
        <v>514</v>
      </c>
      <c r="C220" s="187">
        <v>26</v>
      </c>
      <c r="D220" s="187">
        <v>40.07</v>
      </c>
      <c r="E220" s="187">
        <v>68.61</v>
      </c>
      <c r="F220" s="188"/>
      <c r="G220" s="186"/>
    </row>
    <row r="221" spans="1:7" x14ac:dyDescent="0.25">
      <c r="A221" s="187">
        <v>2021</v>
      </c>
      <c r="B221" s="186" t="s">
        <v>514</v>
      </c>
      <c r="C221" s="187">
        <v>34</v>
      </c>
      <c r="D221" s="187">
        <v>50.44</v>
      </c>
      <c r="E221" s="187">
        <v>72.459999999999994</v>
      </c>
      <c r="F221" s="188"/>
      <c r="G221" s="186"/>
    </row>
    <row r="222" spans="1:7" x14ac:dyDescent="0.25">
      <c r="A222" s="187">
        <v>2021</v>
      </c>
      <c r="B222" s="186" t="s">
        <v>514</v>
      </c>
      <c r="C222" s="187">
        <v>32</v>
      </c>
      <c r="D222" s="187">
        <v>43.25</v>
      </c>
      <c r="E222" s="187">
        <v>72.680000000000007</v>
      </c>
      <c r="F222" s="188"/>
      <c r="G222" s="186"/>
    </row>
    <row r="223" spans="1:7" x14ac:dyDescent="0.25">
      <c r="A223" s="187">
        <v>2021</v>
      </c>
      <c r="B223" s="186" t="s">
        <v>514</v>
      </c>
      <c r="C223" s="187">
        <v>37</v>
      </c>
      <c r="D223" s="187">
        <v>53.78</v>
      </c>
      <c r="E223" s="187">
        <v>82.61</v>
      </c>
      <c r="F223" s="188"/>
      <c r="G223" s="186"/>
    </row>
    <row r="224" spans="1:7" x14ac:dyDescent="0.25">
      <c r="A224" s="187">
        <v>2021</v>
      </c>
      <c r="B224" s="186" t="s">
        <v>514</v>
      </c>
      <c r="C224" s="187">
        <v>30</v>
      </c>
      <c r="D224" s="187">
        <v>66.959999999999994</v>
      </c>
      <c r="E224" s="187">
        <v>89.82</v>
      </c>
      <c r="F224" s="188"/>
      <c r="G224" s="186"/>
    </row>
    <row r="225" spans="1:7" x14ac:dyDescent="0.25">
      <c r="A225" s="187">
        <v>2021</v>
      </c>
      <c r="B225" s="186" t="s">
        <v>514</v>
      </c>
      <c r="C225" s="187">
        <v>30</v>
      </c>
      <c r="D225" s="187">
        <v>56.82</v>
      </c>
      <c r="E225" s="187">
        <v>73.92</v>
      </c>
      <c r="F225" s="188"/>
      <c r="G225" s="186"/>
    </row>
    <row r="226" spans="1:7" x14ac:dyDescent="0.25">
      <c r="A226" s="187">
        <v>2021</v>
      </c>
      <c r="B226" s="186" t="s">
        <v>514</v>
      </c>
      <c r="C226" s="187">
        <v>36</v>
      </c>
      <c r="D226" s="187">
        <v>67.97</v>
      </c>
      <c r="E226" s="187">
        <v>86.55</v>
      </c>
      <c r="F226" s="188"/>
      <c r="G226" s="186"/>
    </row>
    <row r="227" spans="1:7" x14ac:dyDescent="0.25">
      <c r="A227" s="187">
        <v>2021</v>
      </c>
      <c r="B227" s="186" t="s">
        <v>514</v>
      </c>
      <c r="C227" s="187">
        <v>26</v>
      </c>
      <c r="D227" s="187">
        <v>60.97</v>
      </c>
      <c r="E227" s="187">
        <v>77.3</v>
      </c>
      <c r="F227" s="188"/>
      <c r="G227" s="186"/>
    </row>
    <row r="228" spans="1:7" x14ac:dyDescent="0.25">
      <c r="A228" s="187">
        <v>2021</v>
      </c>
      <c r="B228" s="186" t="s">
        <v>514</v>
      </c>
      <c r="C228" s="187">
        <v>28</v>
      </c>
      <c r="D228" s="187">
        <v>73.42</v>
      </c>
      <c r="E228" s="187">
        <v>117.81</v>
      </c>
      <c r="F228" s="188"/>
      <c r="G228" s="186"/>
    </row>
    <row r="229" spans="1:7" x14ac:dyDescent="0.25">
      <c r="A229" s="187">
        <v>2021</v>
      </c>
      <c r="B229" s="186" t="s">
        <v>514</v>
      </c>
      <c r="C229" s="187">
        <v>42</v>
      </c>
      <c r="D229" s="187">
        <v>96.82</v>
      </c>
      <c r="E229" s="187">
        <v>108.78</v>
      </c>
      <c r="F229" s="188"/>
      <c r="G229" s="186"/>
    </row>
    <row r="230" spans="1:7" x14ac:dyDescent="0.25">
      <c r="A230" s="187">
        <v>2021</v>
      </c>
      <c r="B230" s="186" t="s">
        <v>514</v>
      </c>
      <c r="C230" s="187">
        <v>44</v>
      </c>
      <c r="D230" s="187">
        <v>66.52</v>
      </c>
      <c r="E230" s="187">
        <v>106.7</v>
      </c>
      <c r="F230" s="188"/>
      <c r="G230" s="186"/>
    </row>
    <row r="231" spans="1:7" x14ac:dyDescent="0.25">
      <c r="A231" s="187">
        <v>2021</v>
      </c>
      <c r="B231" s="186" t="s">
        <v>514</v>
      </c>
      <c r="C231" s="187">
        <v>36</v>
      </c>
      <c r="D231" s="187">
        <v>88.8</v>
      </c>
      <c r="E231" s="187">
        <v>99.87</v>
      </c>
      <c r="F231" s="188"/>
      <c r="G231" s="186"/>
    </row>
    <row r="232" spans="1:7" x14ac:dyDescent="0.25">
      <c r="A232" s="187">
        <v>2021</v>
      </c>
      <c r="B232" s="186" t="s">
        <v>514</v>
      </c>
      <c r="C232" s="187">
        <v>55</v>
      </c>
      <c r="D232" s="187">
        <v>62.67</v>
      </c>
      <c r="E232" s="187">
        <v>98.24</v>
      </c>
      <c r="F232" s="188"/>
      <c r="G232" s="186"/>
    </row>
    <row r="233" spans="1:7" x14ac:dyDescent="0.25">
      <c r="A233" s="187">
        <v>2021</v>
      </c>
      <c r="B233" s="186" t="s">
        <v>514</v>
      </c>
      <c r="C233" s="187">
        <v>55</v>
      </c>
      <c r="D233" s="187">
        <v>62.67</v>
      </c>
      <c r="E233" s="187">
        <v>98.24</v>
      </c>
      <c r="F233" s="188"/>
      <c r="G233" s="186"/>
    </row>
    <row r="234" spans="1:7" x14ac:dyDescent="0.25">
      <c r="A234" s="187">
        <v>2021</v>
      </c>
      <c r="B234" s="186" t="s">
        <v>514</v>
      </c>
      <c r="C234" s="187">
        <v>55</v>
      </c>
      <c r="D234" s="187">
        <v>123.42</v>
      </c>
      <c r="E234" s="187">
        <v>97.84</v>
      </c>
      <c r="F234" s="188"/>
      <c r="G234" s="186"/>
    </row>
    <row r="235" spans="1:7" x14ac:dyDescent="0.25">
      <c r="A235" s="187">
        <v>2021</v>
      </c>
      <c r="B235" s="186" t="s">
        <v>514</v>
      </c>
      <c r="C235" s="187">
        <v>55</v>
      </c>
      <c r="D235" s="187">
        <v>123.42</v>
      </c>
      <c r="E235" s="187">
        <v>97.84</v>
      </c>
      <c r="F235" s="188"/>
      <c r="G235" s="186"/>
    </row>
    <row r="236" spans="1:7" x14ac:dyDescent="0.25">
      <c r="A236" s="187">
        <v>2021</v>
      </c>
      <c r="B236" s="186" t="s">
        <v>514</v>
      </c>
      <c r="C236" s="187">
        <v>48</v>
      </c>
      <c r="D236" s="187">
        <v>73.569999999999993</v>
      </c>
      <c r="E236" s="187">
        <v>170.83</v>
      </c>
      <c r="F236" s="188"/>
      <c r="G236" s="186"/>
    </row>
    <row r="237" spans="1:7" x14ac:dyDescent="0.25">
      <c r="A237" s="187">
        <v>2021</v>
      </c>
      <c r="B237" s="186" t="s">
        <v>514</v>
      </c>
      <c r="C237" s="187">
        <v>48</v>
      </c>
      <c r="D237" s="187">
        <v>73.569999999999993</v>
      </c>
      <c r="E237" s="187">
        <v>170.83</v>
      </c>
      <c r="F237" s="188"/>
      <c r="G237" s="186"/>
    </row>
    <row r="238" spans="1:7" x14ac:dyDescent="0.25">
      <c r="A238" s="187">
        <v>2021</v>
      </c>
      <c r="B238" s="186" t="s">
        <v>514</v>
      </c>
      <c r="C238" s="187">
        <v>49</v>
      </c>
      <c r="D238" s="187">
        <v>128.26</v>
      </c>
      <c r="E238" s="187">
        <v>165.74</v>
      </c>
      <c r="F238" s="188"/>
      <c r="G238" s="186"/>
    </row>
    <row r="239" spans="1:7" x14ac:dyDescent="0.25">
      <c r="A239" s="187">
        <v>2021</v>
      </c>
      <c r="B239" s="186" t="s">
        <v>514</v>
      </c>
      <c r="C239" s="187">
        <v>49</v>
      </c>
      <c r="D239" s="187">
        <v>128.26</v>
      </c>
      <c r="E239" s="187">
        <v>165.74</v>
      </c>
      <c r="F239" s="188"/>
      <c r="G239" s="186"/>
    </row>
    <row r="240" spans="1:7" x14ac:dyDescent="0.25">
      <c r="A240" s="187">
        <v>2021</v>
      </c>
      <c r="B240" s="186" t="s">
        <v>514</v>
      </c>
      <c r="C240" s="187">
        <v>49</v>
      </c>
      <c r="D240" s="187">
        <v>109.69</v>
      </c>
      <c r="E240" s="187">
        <v>150.94999999999999</v>
      </c>
      <c r="F240" s="188"/>
      <c r="G240" s="186"/>
    </row>
    <row r="241" spans="1:7" x14ac:dyDescent="0.25">
      <c r="A241" s="187">
        <v>2021</v>
      </c>
      <c r="B241" s="186" t="s">
        <v>514</v>
      </c>
      <c r="C241" s="187">
        <v>49</v>
      </c>
      <c r="D241" s="187">
        <v>109.69</v>
      </c>
      <c r="E241" s="187">
        <v>150.94999999999999</v>
      </c>
      <c r="F241" s="188"/>
      <c r="G241" s="186"/>
    </row>
    <row r="242" spans="1:7" x14ac:dyDescent="0.25">
      <c r="A242" s="187">
        <v>2021</v>
      </c>
      <c r="B242" s="186" t="s">
        <v>514</v>
      </c>
      <c r="C242" s="187">
        <v>40</v>
      </c>
      <c r="D242" s="187">
        <v>75.680000000000007</v>
      </c>
      <c r="E242" s="187">
        <v>184.9</v>
      </c>
      <c r="F242" s="188"/>
      <c r="G242" s="186"/>
    </row>
    <row r="243" spans="1:7" x14ac:dyDescent="0.25">
      <c r="A243" s="187">
        <v>2021</v>
      </c>
      <c r="B243" s="186" t="s">
        <v>514</v>
      </c>
      <c r="C243" s="187">
        <v>40</v>
      </c>
      <c r="D243" s="187">
        <v>75.680000000000007</v>
      </c>
      <c r="E243" s="187">
        <v>184.9</v>
      </c>
      <c r="F243" s="188"/>
      <c r="G243" s="186"/>
    </row>
    <row r="244" spans="1:7" x14ac:dyDescent="0.25">
      <c r="A244" s="187">
        <v>2021</v>
      </c>
      <c r="B244" s="186" t="s">
        <v>514</v>
      </c>
      <c r="C244" s="187">
        <v>37</v>
      </c>
      <c r="D244" s="187">
        <v>63.24</v>
      </c>
      <c r="E244" s="187">
        <v>219.85</v>
      </c>
      <c r="F244" s="188"/>
      <c r="G244" s="186"/>
    </row>
    <row r="245" spans="1:7" x14ac:dyDescent="0.25">
      <c r="A245" s="187">
        <v>2021</v>
      </c>
      <c r="B245" s="186" t="s">
        <v>514</v>
      </c>
      <c r="C245" s="187">
        <v>37</v>
      </c>
      <c r="D245" s="187">
        <v>63.24</v>
      </c>
      <c r="E245" s="187">
        <v>219.85</v>
      </c>
      <c r="F245" s="188"/>
      <c r="G245" s="186"/>
    </row>
    <row r="246" spans="1:7" x14ac:dyDescent="0.25">
      <c r="A246" s="187">
        <v>2021</v>
      </c>
      <c r="B246" s="186" t="s">
        <v>514</v>
      </c>
      <c r="C246" s="187">
        <v>34</v>
      </c>
      <c r="D246" s="187">
        <v>111.77</v>
      </c>
      <c r="E246" s="187">
        <v>207.97</v>
      </c>
      <c r="F246" s="188"/>
      <c r="G246" s="186"/>
    </row>
    <row r="247" spans="1:7" x14ac:dyDescent="0.25">
      <c r="A247" s="187">
        <v>2021</v>
      </c>
      <c r="B247" s="186" t="s">
        <v>514</v>
      </c>
      <c r="C247" s="187">
        <v>34</v>
      </c>
      <c r="D247" s="187">
        <v>111.77</v>
      </c>
      <c r="E247" s="187">
        <v>207.97</v>
      </c>
      <c r="F247" s="188"/>
      <c r="G247" s="186"/>
    </row>
    <row r="248" spans="1:7" x14ac:dyDescent="0.25">
      <c r="A248" s="187">
        <v>2021</v>
      </c>
      <c r="B248" s="186" t="s">
        <v>514</v>
      </c>
      <c r="C248" s="187">
        <v>50</v>
      </c>
      <c r="D248" s="187">
        <v>83.94</v>
      </c>
      <c r="E248" s="187">
        <v>276.35000000000002</v>
      </c>
      <c r="F248" s="188"/>
      <c r="G248" s="186"/>
    </row>
    <row r="249" spans="1:7" x14ac:dyDescent="0.25">
      <c r="A249" s="187">
        <v>2021</v>
      </c>
      <c r="B249" s="186" t="s">
        <v>514</v>
      </c>
      <c r="C249" s="187">
        <v>50</v>
      </c>
      <c r="D249" s="187">
        <v>83.94</v>
      </c>
      <c r="E249" s="187">
        <v>276.35000000000002</v>
      </c>
      <c r="F249" s="188"/>
      <c r="G249" s="186"/>
    </row>
    <row r="250" spans="1:7" x14ac:dyDescent="0.25">
      <c r="A250" s="187">
        <v>2021</v>
      </c>
      <c r="B250" s="186" t="s">
        <v>514</v>
      </c>
      <c r="C250" s="187">
        <v>39</v>
      </c>
      <c r="D250" s="187">
        <v>99.46</v>
      </c>
      <c r="E250" s="187">
        <v>237.56</v>
      </c>
      <c r="F250" s="188"/>
      <c r="G250" s="186"/>
    </row>
    <row r="251" spans="1:7" x14ac:dyDescent="0.25">
      <c r="A251" s="187">
        <v>2021</v>
      </c>
      <c r="B251" s="186" t="s">
        <v>514</v>
      </c>
      <c r="C251" s="187">
        <v>39</v>
      </c>
      <c r="D251" s="187">
        <v>99.46</v>
      </c>
      <c r="E251" s="187">
        <v>237.56</v>
      </c>
      <c r="F251" s="188"/>
      <c r="G251" s="186"/>
    </row>
    <row r="252" spans="1:7" x14ac:dyDescent="0.25">
      <c r="A252" s="187">
        <v>2021</v>
      </c>
      <c r="B252" s="186" t="s">
        <v>514</v>
      </c>
      <c r="C252" s="187">
        <v>42</v>
      </c>
      <c r="D252" s="187">
        <v>94.25</v>
      </c>
      <c r="E252" s="187">
        <v>281.67</v>
      </c>
      <c r="F252" s="188"/>
      <c r="G252" s="186"/>
    </row>
    <row r="253" spans="1:7" x14ac:dyDescent="0.25">
      <c r="A253" s="187">
        <v>2021</v>
      </c>
      <c r="B253" s="186" t="s">
        <v>514</v>
      </c>
      <c r="C253" s="187">
        <v>42</v>
      </c>
      <c r="D253" s="187">
        <v>94.25</v>
      </c>
      <c r="E253" s="187">
        <v>281.67</v>
      </c>
      <c r="F253" s="188"/>
      <c r="G253" s="186"/>
    </row>
    <row r="254" spans="1:7" x14ac:dyDescent="0.25">
      <c r="A254" s="187">
        <v>2021</v>
      </c>
      <c r="B254" s="186" t="s">
        <v>514</v>
      </c>
      <c r="C254" s="187">
        <v>29</v>
      </c>
      <c r="D254" s="187">
        <v>118.6</v>
      </c>
      <c r="E254" s="187">
        <v>320.02</v>
      </c>
      <c r="F254" s="188"/>
      <c r="G254" s="186"/>
    </row>
    <row r="255" spans="1:7" x14ac:dyDescent="0.25">
      <c r="A255" s="187">
        <v>2021</v>
      </c>
      <c r="B255" s="186" t="s">
        <v>514</v>
      </c>
      <c r="C255" s="187">
        <v>29</v>
      </c>
      <c r="D255" s="187">
        <v>118.6</v>
      </c>
      <c r="E255" s="187">
        <v>320.02</v>
      </c>
      <c r="F255" s="188"/>
      <c r="G255" s="186"/>
    </row>
    <row r="256" spans="1:7" x14ac:dyDescent="0.25">
      <c r="A256" s="187">
        <v>2021</v>
      </c>
      <c r="B256" s="186" t="s">
        <v>514</v>
      </c>
      <c r="C256" s="187">
        <v>31</v>
      </c>
      <c r="D256" s="187">
        <v>54.11</v>
      </c>
      <c r="E256" s="187">
        <v>239.4</v>
      </c>
      <c r="F256" s="188"/>
      <c r="G256" s="186"/>
    </row>
    <row r="257" spans="1:7" x14ac:dyDescent="0.25">
      <c r="A257" s="187">
        <v>2021</v>
      </c>
      <c r="B257" s="186" t="s">
        <v>514</v>
      </c>
      <c r="C257" s="187">
        <v>31</v>
      </c>
      <c r="D257" s="187">
        <v>54.11</v>
      </c>
      <c r="E257" s="187">
        <v>239.4</v>
      </c>
      <c r="F257" s="188"/>
      <c r="G257" s="186"/>
    </row>
    <row r="258" spans="1:7" x14ac:dyDescent="0.25">
      <c r="A258" s="187">
        <v>2021</v>
      </c>
      <c r="B258" s="186" t="s">
        <v>514</v>
      </c>
      <c r="C258" s="187">
        <v>27</v>
      </c>
      <c r="D258" s="187">
        <v>53.61</v>
      </c>
      <c r="E258" s="187">
        <v>200.79</v>
      </c>
      <c r="F258" s="188"/>
      <c r="G258" s="186"/>
    </row>
    <row r="259" spans="1:7" x14ac:dyDescent="0.25">
      <c r="A259" s="187">
        <v>2021</v>
      </c>
      <c r="B259" s="186" t="s">
        <v>514</v>
      </c>
      <c r="C259" s="187">
        <v>27</v>
      </c>
      <c r="D259" s="187">
        <v>53.61</v>
      </c>
      <c r="E259" s="187">
        <v>200.79</v>
      </c>
      <c r="F259" s="188"/>
      <c r="G259" s="186"/>
    </row>
    <row r="260" spans="1:7" x14ac:dyDescent="0.25">
      <c r="A260" s="187">
        <v>2021</v>
      </c>
      <c r="B260" s="186" t="s">
        <v>514</v>
      </c>
      <c r="C260" s="187">
        <v>28</v>
      </c>
      <c r="D260" s="187">
        <v>112.97</v>
      </c>
      <c r="E260" s="187">
        <v>311.39999999999998</v>
      </c>
      <c r="F260" s="188"/>
      <c r="G260" s="186"/>
    </row>
    <row r="261" spans="1:7" x14ac:dyDescent="0.25">
      <c r="A261" s="187">
        <v>2021</v>
      </c>
      <c r="B261" s="186" t="s">
        <v>514</v>
      </c>
      <c r="C261" s="187">
        <v>28</v>
      </c>
      <c r="D261" s="187">
        <v>112.97</v>
      </c>
      <c r="E261" s="187">
        <v>311.39999999999998</v>
      </c>
      <c r="F261" s="188"/>
      <c r="G261" s="186"/>
    </row>
    <row r="262" spans="1:7" x14ac:dyDescent="0.25">
      <c r="A262" s="187">
        <v>2021</v>
      </c>
      <c r="B262" s="186" t="s">
        <v>514</v>
      </c>
      <c r="C262" s="187">
        <v>40</v>
      </c>
      <c r="D262" s="187">
        <v>69.069999999999993</v>
      </c>
      <c r="E262" s="187">
        <v>157.06</v>
      </c>
      <c r="F262" s="188"/>
      <c r="G262" s="186"/>
    </row>
    <row r="263" spans="1:7" x14ac:dyDescent="0.25">
      <c r="A263" s="187">
        <v>2021</v>
      </c>
      <c r="B263" s="186" t="s">
        <v>514</v>
      </c>
      <c r="C263" s="187">
        <v>31</v>
      </c>
      <c r="D263" s="187">
        <v>76.400000000000006</v>
      </c>
      <c r="E263" s="187">
        <v>122.67</v>
      </c>
      <c r="F263" s="188"/>
      <c r="G263" s="186"/>
    </row>
    <row r="264" spans="1:7" x14ac:dyDescent="0.25">
      <c r="A264" s="187">
        <v>2021</v>
      </c>
      <c r="B264" s="186" t="s">
        <v>514</v>
      </c>
      <c r="C264" s="187">
        <v>15</v>
      </c>
      <c r="D264" s="187">
        <v>67.760000000000005</v>
      </c>
      <c r="E264" s="187">
        <v>177.87</v>
      </c>
      <c r="F264" s="188"/>
      <c r="G264" s="186"/>
    </row>
    <row r="265" spans="1:7" x14ac:dyDescent="0.25">
      <c r="A265" s="187">
        <v>2021</v>
      </c>
      <c r="B265" s="186" t="s">
        <v>514</v>
      </c>
      <c r="C265" s="187">
        <v>11</v>
      </c>
      <c r="D265" s="187">
        <v>82.6</v>
      </c>
      <c r="E265" s="187">
        <v>190.5</v>
      </c>
      <c r="F265" s="188"/>
      <c r="G265" s="186"/>
    </row>
    <row r="266" spans="1:7" x14ac:dyDescent="0.25">
      <c r="A266" s="187">
        <v>2021</v>
      </c>
      <c r="B266" s="186" t="s">
        <v>514</v>
      </c>
      <c r="C266" s="187">
        <v>13</v>
      </c>
      <c r="D266" s="187">
        <v>74.849999999999994</v>
      </c>
      <c r="E266" s="187">
        <v>131.83000000000001</v>
      </c>
      <c r="F266" s="188"/>
      <c r="G266" s="186"/>
    </row>
    <row r="267" spans="1:7" x14ac:dyDescent="0.25">
      <c r="A267" s="187">
        <v>2021</v>
      </c>
      <c r="B267" s="186" t="s">
        <v>514</v>
      </c>
      <c r="C267" s="187">
        <v>52</v>
      </c>
      <c r="D267" s="187">
        <v>69.03</v>
      </c>
      <c r="E267" s="187">
        <v>154.97999999999999</v>
      </c>
      <c r="F267" s="188"/>
      <c r="G267" s="186"/>
    </row>
    <row r="268" spans="1:7" x14ac:dyDescent="0.25">
      <c r="A268" s="187">
        <v>2021</v>
      </c>
      <c r="B268" s="186" t="s">
        <v>514</v>
      </c>
      <c r="C268" s="187">
        <v>46</v>
      </c>
      <c r="D268" s="187">
        <v>76.319999999999993</v>
      </c>
      <c r="E268" s="187">
        <v>159.13999999999999</v>
      </c>
      <c r="F268" s="188"/>
      <c r="G268" s="186"/>
    </row>
    <row r="269" spans="1:7" x14ac:dyDescent="0.25">
      <c r="A269" s="187">
        <v>2021</v>
      </c>
      <c r="B269" s="186" t="s">
        <v>514</v>
      </c>
      <c r="C269" s="187">
        <v>54</v>
      </c>
      <c r="D269" s="187">
        <v>96.04</v>
      </c>
      <c r="E269" s="187">
        <v>140.85</v>
      </c>
      <c r="F269" s="188"/>
      <c r="G269" s="186"/>
    </row>
    <row r="270" spans="1:7" x14ac:dyDescent="0.25">
      <c r="A270" s="187">
        <v>2021</v>
      </c>
      <c r="B270" s="186" t="s">
        <v>514</v>
      </c>
      <c r="C270" s="187">
        <v>50</v>
      </c>
      <c r="D270" s="187">
        <v>48.58</v>
      </c>
      <c r="E270" s="187">
        <v>165.33</v>
      </c>
      <c r="F270" s="188"/>
      <c r="G270" s="186"/>
    </row>
    <row r="271" spans="1:7" x14ac:dyDescent="0.25">
      <c r="A271" s="187">
        <v>2021</v>
      </c>
      <c r="B271" s="186" t="s">
        <v>514</v>
      </c>
      <c r="C271" s="187">
        <v>52</v>
      </c>
      <c r="D271" s="187">
        <v>48.6</v>
      </c>
      <c r="E271" s="187">
        <v>181.09</v>
      </c>
      <c r="F271" s="188"/>
      <c r="G271" s="186"/>
    </row>
    <row r="272" spans="1:7" x14ac:dyDescent="0.25">
      <c r="A272" s="187">
        <v>2021</v>
      </c>
      <c r="B272" s="186" t="s">
        <v>514</v>
      </c>
      <c r="C272" s="187">
        <v>40</v>
      </c>
      <c r="D272" s="187">
        <v>81.77</v>
      </c>
      <c r="E272" s="187">
        <v>129.47</v>
      </c>
      <c r="F272" s="188"/>
      <c r="G272" s="186"/>
    </row>
    <row r="273" spans="1:7" x14ac:dyDescent="0.25">
      <c r="A273" s="187">
        <v>2021</v>
      </c>
      <c r="B273" s="186" t="s">
        <v>514</v>
      </c>
      <c r="C273" s="187">
        <v>35</v>
      </c>
      <c r="D273" s="187">
        <v>69.31</v>
      </c>
      <c r="E273" s="187">
        <v>153.46</v>
      </c>
      <c r="F273" s="188"/>
      <c r="G273" s="186"/>
    </row>
    <row r="274" spans="1:7" x14ac:dyDescent="0.25">
      <c r="A274" s="187">
        <v>2021</v>
      </c>
      <c r="B274" s="186" t="s">
        <v>509</v>
      </c>
      <c r="C274" s="187">
        <v>39</v>
      </c>
      <c r="D274" s="187">
        <v>80.45</v>
      </c>
      <c r="E274" s="187">
        <v>79.489999999999995</v>
      </c>
      <c r="F274" s="188"/>
      <c r="G274" s="186"/>
    </row>
    <row r="275" spans="1:7" x14ac:dyDescent="0.25">
      <c r="A275" s="187">
        <v>2021</v>
      </c>
      <c r="B275" s="186" t="s">
        <v>509</v>
      </c>
      <c r="C275" s="187">
        <v>54</v>
      </c>
      <c r="D275" s="187">
        <v>73.790000000000006</v>
      </c>
      <c r="E275" s="187">
        <v>81.44</v>
      </c>
      <c r="F275" s="188"/>
      <c r="G275" s="186"/>
    </row>
    <row r="276" spans="1:7" x14ac:dyDescent="0.25">
      <c r="A276" s="187">
        <v>2021</v>
      </c>
      <c r="B276" s="186" t="s">
        <v>509</v>
      </c>
      <c r="C276" s="187">
        <v>37</v>
      </c>
      <c r="D276" s="187">
        <v>65.73</v>
      </c>
      <c r="E276" s="187">
        <v>51.81</v>
      </c>
      <c r="F276" s="188"/>
      <c r="G276" s="186"/>
    </row>
    <row r="277" spans="1:7" x14ac:dyDescent="0.25">
      <c r="A277" s="187">
        <v>2021</v>
      </c>
      <c r="B277" s="186" t="s">
        <v>509</v>
      </c>
      <c r="C277" s="187">
        <v>41</v>
      </c>
      <c r="D277" s="187">
        <v>44.37</v>
      </c>
      <c r="E277" s="187">
        <v>64.05</v>
      </c>
      <c r="F277" s="188"/>
      <c r="G277" s="186"/>
    </row>
    <row r="278" spans="1:7" x14ac:dyDescent="0.25">
      <c r="A278" s="187">
        <v>2021</v>
      </c>
      <c r="B278" s="186" t="s">
        <v>509</v>
      </c>
      <c r="C278" s="187">
        <v>61</v>
      </c>
      <c r="D278" s="187">
        <v>39.549999999999997</v>
      </c>
      <c r="E278" s="187">
        <v>87.63</v>
      </c>
      <c r="F278" s="188"/>
      <c r="G278" s="186"/>
    </row>
    <row r="279" spans="1:7" x14ac:dyDescent="0.25">
      <c r="A279" s="187">
        <v>2021</v>
      </c>
      <c r="B279" s="186" t="s">
        <v>509</v>
      </c>
      <c r="C279" s="187">
        <v>47</v>
      </c>
      <c r="D279" s="187">
        <v>58.89</v>
      </c>
      <c r="E279" s="187">
        <v>93.54</v>
      </c>
      <c r="F279" s="188"/>
      <c r="G279" s="186"/>
    </row>
    <row r="280" spans="1:7" x14ac:dyDescent="0.25">
      <c r="A280" s="187">
        <v>2021</v>
      </c>
      <c r="B280" s="186" t="s">
        <v>509</v>
      </c>
      <c r="C280" s="187">
        <v>41</v>
      </c>
      <c r="D280" s="187">
        <v>70.39</v>
      </c>
      <c r="E280" s="187">
        <v>79.819999999999993</v>
      </c>
      <c r="F280" s="188"/>
      <c r="G280" s="186"/>
    </row>
    <row r="281" spans="1:7" x14ac:dyDescent="0.25">
      <c r="A281" s="187">
        <v>2021</v>
      </c>
      <c r="B281" s="186" t="s">
        <v>509</v>
      </c>
      <c r="C281" s="187">
        <v>59</v>
      </c>
      <c r="D281" s="187">
        <v>73.09</v>
      </c>
      <c r="E281" s="187">
        <v>64.11</v>
      </c>
      <c r="F281" s="188"/>
      <c r="G281" s="186"/>
    </row>
    <row r="282" spans="1:7" x14ac:dyDescent="0.25">
      <c r="A282" s="187">
        <v>2021</v>
      </c>
      <c r="B282" s="186" t="s">
        <v>509</v>
      </c>
      <c r="C282" s="187">
        <v>39</v>
      </c>
      <c r="D282" s="187">
        <v>74.34</v>
      </c>
      <c r="E282" s="187">
        <v>95.68</v>
      </c>
      <c r="F282" s="188"/>
      <c r="G282" s="186"/>
    </row>
    <row r="283" spans="1:7" x14ac:dyDescent="0.25">
      <c r="A283" s="187">
        <v>2021</v>
      </c>
      <c r="B283" s="186" t="s">
        <v>509</v>
      </c>
      <c r="C283" s="187">
        <v>54</v>
      </c>
      <c r="D283" s="187">
        <v>78.5</v>
      </c>
      <c r="E283" s="187">
        <v>69.12</v>
      </c>
      <c r="F283" s="188"/>
      <c r="G283" s="186"/>
    </row>
    <row r="284" spans="1:7" x14ac:dyDescent="0.25">
      <c r="A284" s="187">
        <v>2021</v>
      </c>
      <c r="B284" s="186" t="s">
        <v>509</v>
      </c>
      <c r="C284" s="187">
        <v>48</v>
      </c>
      <c r="D284" s="187">
        <v>65.05</v>
      </c>
      <c r="E284" s="187">
        <v>81.91</v>
      </c>
      <c r="F284" s="188"/>
      <c r="G284" s="186"/>
    </row>
    <row r="285" spans="1:7" x14ac:dyDescent="0.25">
      <c r="A285" s="187">
        <v>2021</v>
      </c>
      <c r="B285" s="186" t="s">
        <v>509</v>
      </c>
      <c r="C285" s="187">
        <v>39</v>
      </c>
      <c r="D285" s="187">
        <v>59</v>
      </c>
      <c r="E285" s="187">
        <v>79.16</v>
      </c>
      <c r="F285" s="188"/>
      <c r="G285" s="186"/>
    </row>
    <row r="286" spans="1:7" x14ac:dyDescent="0.25">
      <c r="A286" s="187">
        <v>2021</v>
      </c>
      <c r="B286" s="186" t="s">
        <v>509</v>
      </c>
      <c r="C286" s="187">
        <v>43</v>
      </c>
      <c r="D286" s="187">
        <v>39.200000000000003</v>
      </c>
      <c r="E286" s="187">
        <v>87.34</v>
      </c>
      <c r="F286" s="188"/>
      <c r="G286" s="186"/>
    </row>
    <row r="287" spans="1:7" x14ac:dyDescent="0.25">
      <c r="A287" s="187">
        <v>2021</v>
      </c>
      <c r="B287" s="186" t="s">
        <v>509</v>
      </c>
      <c r="C287" s="187">
        <v>46</v>
      </c>
      <c r="D287" s="187">
        <v>71.180000000000007</v>
      </c>
      <c r="E287" s="187">
        <v>88.8</v>
      </c>
      <c r="F287" s="188"/>
      <c r="G287" s="186"/>
    </row>
    <row r="288" spans="1:7" x14ac:dyDescent="0.25">
      <c r="A288" s="187">
        <v>2021</v>
      </c>
      <c r="B288" s="186" t="s">
        <v>509</v>
      </c>
      <c r="C288" s="187">
        <v>37</v>
      </c>
      <c r="D288" s="187">
        <v>39.909999999999997</v>
      </c>
      <c r="E288" s="187">
        <v>59.68</v>
      </c>
      <c r="F288" s="188"/>
      <c r="G288" s="186"/>
    </row>
    <row r="289" spans="1:7" x14ac:dyDescent="0.25">
      <c r="A289" s="187">
        <v>2021</v>
      </c>
      <c r="B289" s="186" t="s">
        <v>509</v>
      </c>
      <c r="C289" s="187">
        <v>52</v>
      </c>
      <c r="D289" s="187">
        <v>43.46</v>
      </c>
      <c r="E289" s="187">
        <v>66.150000000000006</v>
      </c>
      <c r="F289" s="188"/>
      <c r="G289" s="186"/>
    </row>
    <row r="290" spans="1:7" x14ac:dyDescent="0.25">
      <c r="A290" s="187">
        <v>2021</v>
      </c>
      <c r="B290" s="186" t="s">
        <v>509</v>
      </c>
      <c r="C290" s="187">
        <v>39</v>
      </c>
      <c r="D290" s="187">
        <v>45.29</v>
      </c>
      <c r="E290" s="187">
        <v>77.09</v>
      </c>
      <c r="F290" s="188"/>
      <c r="G290" s="186"/>
    </row>
    <row r="291" spans="1:7" x14ac:dyDescent="0.25">
      <c r="A291" s="187">
        <v>2021</v>
      </c>
      <c r="B291" s="186" t="s">
        <v>509</v>
      </c>
      <c r="C291" s="187">
        <v>54</v>
      </c>
      <c r="D291" s="187">
        <v>65.52</v>
      </c>
      <c r="E291" s="187">
        <v>85.54</v>
      </c>
      <c r="F291" s="188"/>
      <c r="G291" s="186"/>
    </row>
    <row r="292" spans="1:7" x14ac:dyDescent="0.25">
      <c r="A292" s="187">
        <v>2021</v>
      </c>
      <c r="B292" s="186" t="s">
        <v>509</v>
      </c>
      <c r="C292" s="187">
        <v>49</v>
      </c>
      <c r="D292" s="187">
        <v>58.59</v>
      </c>
      <c r="E292" s="187">
        <v>63.19</v>
      </c>
      <c r="F292" s="188"/>
      <c r="G292" s="186"/>
    </row>
    <row r="293" spans="1:7" x14ac:dyDescent="0.25">
      <c r="A293" s="187">
        <v>2021</v>
      </c>
      <c r="B293" s="186" t="s">
        <v>509</v>
      </c>
      <c r="C293" s="187">
        <v>28</v>
      </c>
      <c r="D293" s="187">
        <v>53.05</v>
      </c>
      <c r="E293" s="187">
        <v>64.069999999999993</v>
      </c>
      <c r="F293" s="188"/>
      <c r="G293" s="186"/>
    </row>
    <row r="294" spans="1:7" x14ac:dyDescent="0.25">
      <c r="A294" s="187">
        <v>2021</v>
      </c>
      <c r="B294" s="186" t="s">
        <v>509</v>
      </c>
      <c r="C294" s="187">
        <v>37</v>
      </c>
      <c r="D294" s="187">
        <v>60.73</v>
      </c>
      <c r="E294" s="187">
        <v>58.7</v>
      </c>
      <c r="F294" s="188"/>
      <c r="G294" s="186"/>
    </row>
    <row r="295" spans="1:7" x14ac:dyDescent="0.25">
      <c r="A295" s="187">
        <v>2021</v>
      </c>
      <c r="B295" s="186" t="s">
        <v>509</v>
      </c>
      <c r="C295" s="187">
        <v>40</v>
      </c>
      <c r="D295" s="187">
        <v>85.45</v>
      </c>
      <c r="E295" s="187">
        <v>96.11</v>
      </c>
      <c r="F295" s="188"/>
      <c r="G295" s="186"/>
    </row>
    <row r="296" spans="1:7" x14ac:dyDescent="0.25">
      <c r="A296" s="187">
        <v>2021</v>
      </c>
      <c r="B296" s="186" t="s">
        <v>509</v>
      </c>
      <c r="C296" s="187">
        <v>47</v>
      </c>
      <c r="D296" s="187">
        <v>66.62</v>
      </c>
      <c r="E296" s="187">
        <v>80.97</v>
      </c>
      <c r="F296" s="188"/>
      <c r="G296" s="186"/>
    </row>
    <row r="297" spans="1:7" x14ac:dyDescent="0.25">
      <c r="A297" s="187">
        <v>2021</v>
      </c>
      <c r="B297" s="186" t="s">
        <v>509</v>
      </c>
      <c r="C297" s="187">
        <v>32</v>
      </c>
      <c r="D297" s="187">
        <v>73.94</v>
      </c>
      <c r="E297" s="187">
        <v>64.84</v>
      </c>
      <c r="F297" s="188"/>
      <c r="G297" s="186"/>
    </row>
    <row r="298" spans="1:7" x14ac:dyDescent="0.25">
      <c r="A298" s="187">
        <v>2021</v>
      </c>
      <c r="B298" s="186" t="s">
        <v>509</v>
      </c>
      <c r="C298" s="187">
        <v>55</v>
      </c>
      <c r="D298" s="187">
        <v>40.43</v>
      </c>
      <c r="E298" s="187">
        <v>60.77</v>
      </c>
      <c r="F298" s="188"/>
      <c r="G298" s="186"/>
    </row>
    <row r="299" spans="1:7" x14ac:dyDescent="0.25">
      <c r="A299" s="187">
        <v>2021</v>
      </c>
      <c r="B299" s="186" t="s">
        <v>509</v>
      </c>
      <c r="C299" s="187">
        <v>45</v>
      </c>
      <c r="D299" s="187">
        <v>59.07</v>
      </c>
      <c r="E299" s="187">
        <v>86.74</v>
      </c>
      <c r="F299" s="188"/>
      <c r="G299" s="186"/>
    </row>
    <row r="300" spans="1:7" x14ac:dyDescent="0.25">
      <c r="A300" s="187">
        <v>2021</v>
      </c>
      <c r="B300" s="186" t="s">
        <v>509</v>
      </c>
      <c r="C300" s="187">
        <v>47</v>
      </c>
      <c r="D300" s="187">
        <v>50.36</v>
      </c>
      <c r="E300" s="187">
        <v>94.84</v>
      </c>
      <c r="F300" s="188"/>
      <c r="G300" s="186"/>
    </row>
    <row r="301" spans="1:7" x14ac:dyDescent="0.25">
      <c r="A301" s="187">
        <v>2021</v>
      </c>
      <c r="B301" s="186" t="s">
        <v>509</v>
      </c>
      <c r="C301" s="187">
        <v>46</v>
      </c>
      <c r="D301" s="187">
        <v>32.07</v>
      </c>
      <c r="E301" s="187">
        <v>47.66</v>
      </c>
      <c r="F301" s="188"/>
      <c r="G301" s="186"/>
    </row>
    <row r="302" spans="1:7" x14ac:dyDescent="0.25">
      <c r="A302" s="187">
        <v>2021</v>
      </c>
      <c r="B302" s="186" t="s">
        <v>509</v>
      </c>
      <c r="C302" s="187">
        <v>44</v>
      </c>
      <c r="D302" s="187">
        <v>29.6</v>
      </c>
      <c r="E302" s="187">
        <v>52.08</v>
      </c>
      <c r="F302" s="188"/>
      <c r="G302" s="186"/>
    </row>
    <row r="303" spans="1:7" x14ac:dyDescent="0.25">
      <c r="A303" s="187">
        <v>2021</v>
      </c>
      <c r="B303" s="186" t="s">
        <v>509</v>
      </c>
      <c r="C303" s="187">
        <v>75</v>
      </c>
      <c r="D303" s="187">
        <v>28.55</v>
      </c>
      <c r="E303" s="187">
        <v>51.54</v>
      </c>
      <c r="F303" s="188"/>
      <c r="G303" s="186"/>
    </row>
    <row r="304" spans="1:7" x14ac:dyDescent="0.25">
      <c r="A304" s="187">
        <v>2021</v>
      </c>
      <c r="B304" s="186" t="s">
        <v>503</v>
      </c>
      <c r="C304" s="187">
        <v>26</v>
      </c>
      <c r="D304" s="187">
        <v>71</v>
      </c>
      <c r="E304" s="187">
        <v>124.17</v>
      </c>
      <c r="F304" s="188"/>
      <c r="G304" s="186"/>
    </row>
    <row r="305" spans="1:7" x14ac:dyDescent="0.25">
      <c r="A305" s="187">
        <v>2021</v>
      </c>
      <c r="B305" s="186" t="s">
        <v>503</v>
      </c>
      <c r="C305" s="187">
        <v>28</v>
      </c>
      <c r="D305" s="187">
        <v>73.22</v>
      </c>
      <c r="E305" s="187">
        <v>109.08</v>
      </c>
      <c r="F305" s="188"/>
      <c r="G305" s="186"/>
    </row>
    <row r="306" spans="1:7" x14ac:dyDescent="0.25">
      <c r="A306" s="187">
        <v>2021</v>
      </c>
      <c r="B306" s="186" t="s">
        <v>503</v>
      </c>
      <c r="C306" s="187">
        <v>18</v>
      </c>
      <c r="D306" s="187">
        <v>81.09</v>
      </c>
      <c r="E306" s="187">
        <v>98.84</v>
      </c>
      <c r="F306" s="188"/>
      <c r="G306" s="186"/>
    </row>
    <row r="307" spans="1:7" x14ac:dyDescent="0.25">
      <c r="A307" s="187">
        <v>2021</v>
      </c>
      <c r="B307" s="186" t="s">
        <v>503</v>
      </c>
      <c r="C307" s="187">
        <v>26</v>
      </c>
      <c r="D307" s="187">
        <v>76.64</v>
      </c>
      <c r="E307" s="187">
        <v>107.08</v>
      </c>
      <c r="F307" s="188"/>
      <c r="G307" s="186"/>
    </row>
    <row r="308" spans="1:7" x14ac:dyDescent="0.25">
      <c r="A308" s="187">
        <v>2021</v>
      </c>
      <c r="B308" s="186" t="s">
        <v>503</v>
      </c>
      <c r="C308" s="187">
        <v>17</v>
      </c>
      <c r="D308" s="187">
        <v>69.58</v>
      </c>
      <c r="E308" s="187">
        <v>100.45</v>
      </c>
      <c r="F308" s="188"/>
      <c r="G308" s="186"/>
    </row>
    <row r="309" spans="1:7" x14ac:dyDescent="0.25">
      <c r="A309" s="187">
        <v>2021</v>
      </c>
      <c r="B309" s="186" t="s">
        <v>503</v>
      </c>
      <c r="C309" s="187">
        <v>22</v>
      </c>
      <c r="D309" s="187">
        <v>74.819999999999993</v>
      </c>
      <c r="E309" s="187">
        <v>105.86</v>
      </c>
      <c r="F309" s="188"/>
      <c r="G309" s="186"/>
    </row>
    <row r="310" spans="1:7" x14ac:dyDescent="0.25">
      <c r="A310" s="187">
        <v>2021</v>
      </c>
      <c r="B310" s="186" t="s">
        <v>503</v>
      </c>
      <c r="C310" s="187">
        <v>63</v>
      </c>
      <c r="D310" s="187">
        <v>57.65</v>
      </c>
      <c r="E310" s="187">
        <v>100.46</v>
      </c>
      <c r="F310" s="188"/>
      <c r="G310" s="186"/>
    </row>
    <row r="311" spans="1:7" x14ac:dyDescent="0.25">
      <c r="A311" s="187">
        <v>2021</v>
      </c>
      <c r="B311" s="186" t="s">
        <v>503</v>
      </c>
      <c r="C311" s="187">
        <v>34</v>
      </c>
      <c r="D311" s="187">
        <v>56.45</v>
      </c>
      <c r="E311" s="187">
        <v>79.72</v>
      </c>
      <c r="F311" s="188"/>
      <c r="G311" s="186"/>
    </row>
    <row r="312" spans="1:7" x14ac:dyDescent="0.25">
      <c r="A312" s="187">
        <v>2021</v>
      </c>
      <c r="B312" s="186" t="s">
        <v>503</v>
      </c>
      <c r="C312" s="187">
        <v>43</v>
      </c>
      <c r="D312" s="187">
        <v>74.209999999999994</v>
      </c>
      <c r="E312" s="187">
        <v>92.17</v>
      </c>
      <c r="F312" s="188"/>
      <c r="G312" s="186"/>
    </row>
    <row r="313" spans="1:7" x14ac:dyDescent="0.25">
      <c r="A313" s="187">
        <v>2021</v>
      </c>
      <c r="B313" s="186" t="s">
        <v>503</v>
      </c>
      <c r="C313" s="187">
        <v>60</v>
      </c>
      <c r="D313" s="187">
        <v>46.2</v>
      </c>
      <c r="E313" s="187">
        <v>80.849999999999994</v>
      </c>
      <c r="F313" s="188"/>
      <c r="G313" s="186"/>
    </row>
    <row r="314" spans="1:7" x14ac:dyDescent="0.25">
      <c r="A314" s="187">
        <v>2021</v>
      </c>
      <c r="B314" s="186" t="s">
        <v>503</v>
      </c>
      <c r="C314" s="187">
        <v>31</v>
      </c>
      <c r="D314" s="187">
        <v>44.02</v>
      </c>
      <c r="E314" s="187">
        <v>70.42</v>
      </c>
      <c r="F314" s="188"/>
      <c r="G314" s="186"/>
    </row>
    <row r="315" spans="1:7" x14ac:dyDescent="0.25">
      <c r="A315" s="187">
        <v>2021</v>
      </c>
      <c r="B315" s="186" t="s">
        <v>503</v>
      </c>
      <c r="C315" s="187">
        <v>40</v>
      </c>
      <c r="D315" s="187">
        <v>61</v>
      </c>
      <c r="E315" s="187">
        <v>67.12</v>
      </c>
      <c r="F315" s="188"/>
      <c r="G315" s="186"/>
    </row>
    <row r="316" spans="1:7" x14ac:dyDescent="0.25">
      <c r="A316" s="187">
        <v>2021</v>
      </c>
      <c r="B316" s="186" t="s">
        <v>503</v>
      </c>
      <c r="C316" s="187">
        <v>43</v>
      </c>
      <c r="D316" s="187">
        <v>52.48</v>
      </c>
      <c r="E316" s="187">
        <v>80.58</v>
      </c>
      <c r="F316" s="188"/>
      <c r="G316" s="186"/>
    </row>
    <row r="317" spans="1:7" x14ac:dyDescent="0.25">
      <c r="A317" s="187">
        <v>2021</v>
      </c>
      <c r="B317" s="186" t="s">
        <v>503</v>
      </c>
      <c r="C317" s="187">
        <v>33</v>
      </c>
      <c r="D317" s="187">
        <v>62.07</v>
      </c>
      <c r="E317" s="187">
        <v>99.78</v>
      </c>
      <c r="F317" s="188"/>
      <c r="G317" s="186"/>
    </row>
    <row r="318" spans="1:7" x14ac:dyDescent="0.25">
      <c r="A318" s="187">
        <v>2021</v>
      </c>
      <c r="B318" s="186" t="s">
        <v>503</v>
      </c>
      <c r="C318" s="187">
        <v>34</v>
      </c>
      <c r="D318" s="187">
        <v>80.97</v>
      </c>
      <c r="E318" s="187">
        <v>100.08</v>
      </c>
      <c r="F318" s="188"/>
      <c r="G318" s="186"/>
    </row>
    <row r="319" spans="1:7" x14ac:dyDescent="0.25">
      <c r="A319" s="187">
        <v>2021</v>
      </c>
      <c r="B319" s="186" t="s">
        <v>503</v>
      </c>
      <c r="C319" s="187">
        <v>33</v>
      </c>
      <c r="D319" s="187">
        <v>69.13</v>
      </c>
      <c r="E319" s="187">
        <v>92.7</v>
      </c>
      <c r="F319" s="188"/>
      <c r="G319" s="186"/>
    </row>
    <row r="320" spans="1:7" x14ac:dyDescent="0.25">
      <c r="A320" s="187">
        <v>2021</v>
      </c>
      <c r="B320" s="186" t="s">
        <v>503</v>
      </c>
      <c r="C320" s="187">
        <v>45</v>
      </c>
      <c r="D320" s="187">
        <v>41.2</v>
      </c>
      <c r="E320" s="187">
        <v>61.92</v>
      </c>
      <c r="F320" s="188"/>
      <c r="G320" s="186"/>
    </row>
    <row r="321" spans="1:7" x14ac:dyDescent="0.25">
      <c r="A321" s="187">
        <v>2021</v>
      </c>
      <c r="B321" s="186" t="s">
        <v>503</v>
      </c>
      <c r="C321" s="187">
        <v>28</v>
      </c>
      <c r="D321" s="187">
        <v>58.22</v>
      </c>
      <c r="E321" s="187">
        <v>72.73</v>
      </c>
      <c r="F321" s="188"/>
      <c r="G321" s="186"/>
    </row>
    <row r="322" spans="1:7" x14ac:dyDescent="0.25">
      <c r="A322" s="187">
        <v>2021</v>
      </c>
      <c r="B322" s="186" t="s">
        <v>503</v>
      </c>
      <c r="C322" s="187">
        <v>35</v>
      </c>
      <c r="D322" s="187">
        <v>76.92</v>
      </c>
      <c r="E322" s="187">
        <v>92.66</v>
      </c>
      <c r="F322" s="188"/>
      <c r="G322" s="186"/>
    </row>
    <row r="323" spans="1:7" x14ac:dyDescent="0.25">
      <c r="A323" s="187">
        <v>2021</v>
      </c>
      <c r="B323" s="186" t="s">
        <v>503</v>
      </c>
      <c r="C323" s="187">
        <v>32</v>
      </c>
      <c r="D323" s="187">
        <v>80.05</v>
      </c>
      <c r="E323" s="187">
        <v>94.27</v>
      </c>
      <c r="F323" s="188"/>
      <c r="G323" s="186"/>
    </row>
    <row r="324" spans="1:7" x14ac:dyDescent="0.25">
      <c r="A324" s="187">
        <v>2021</v>
      </c>
      <c r="B324" s="186" t="s">
        <v>503</v>
      </c>
      <c r="C324" s="187">
        <v>28</v>
      </c>
      <c r="D324" s="187">
        <v>66.349999999999994</v>
      </c>
      <c r="E324" s="187">
        <v>75.92</v>
      </c>
      <c r="F324" s="188"/>
      <c r="G324" s="186"/>
    </row>
    <row r="325" spans="1:7" x14ac:dyDescent="0.25">
      <c r="A325" s="187">
        <v>2021</v>
      </c>
      <c r="B325" s="186" t="s">
        <v>503</v>
      </c>
      <c r="C325" s="187">
        <v>31</v>
      </c>
      <c r="D325" s="187">
        <v>85.41</v>
      </c>
      <c r="E325" s="187">
        <v>90.5</v>
      </c>
      <c r="F325" s="188"/>
      <c r="G325" s="186"/>
    </row>
    <row r="326" spans="1:7" x14ac:dyDescent="0.25">
      <c r="A326" s="187">
        <v>2021</v>
      </c>
      <c r="B326" s="186" t="s">
        <v>503</v>
      </c>
      <c r="C326" s="187">
        <v>33</v>
      </c>
      <c r="D326" s="187">
        <v>53.33</v>
      </c>
      <c r="E326" s="187">
        <v>62.13</v>
      </c>
      <c r="F326" s="188"/>
      <c r="G326" s="186"/>
    </row>
    <row r="327" spans="1:7" x14ac:dyDescent="0.25">
      <c r="A327" s="187">
        <v>2021</v>
      </c>
      <c r="B327" s="186" t="s">
        <v>503</v>
      </c>
      <c r="C327" s="187">
        <v>39</v>
      </c>
      <c r="D327" s="187">
        <v>63.26</v>
      </c>
      <c r="E327" s="187">
        <v>74.19</v>
      </c>
      <c r="F327" s="188"/>
      <c r="G327" s="186"/>
    </row>
    <row r="328" spans="1:7" x14ac:dyDescent="0.25">
      <c r="A328" s="187">
        <v>2021</v>
      </c>
      <c r="B328" s="186" t="s">
        <v>504</v>
      </c>
      <c r="C328" s="187">
        <v>27</v>
      </c>
      <c r="D328" s="187">
        <v>76.17</v>
      </c>
      <c r="E328" s="187">
        <v>109.55</v>
      </c>
      <c r="F328" s="188"/>
      <c r="G328" s="186"/>
    </row>
    <row r="329" spans="1:7" x14ac:dyDescent="0.25">
      <c r="A329" s="187">
        <v>2021</v>
      </c>
      <c r="B329" s="186" t="s">
        <v>504</v>
      </c>
      <c r="C329" s="187">
        <v>35</v>
      </c>
      <c r="D329" s="187">
        <v>105.57</v>
      </c>
      <c r="E329" s="187">
        <v>137.1</v>
      </c>
      <c r="F329" s="188"/>
      <c r="G329" s="186"/>
    </row>
    <row r="330" spans="1:7" x14ac:dyDescent="0.25">
      <c r="A330" s="187">
        <v>2021</v>
      </c>
      <c r="B330" s="186" t="s">
        <v>504</v>
      </c>
      <c r="C330" s="187">
        <v>28</v>
      </c>
      <c r="D330" s="187">
        <v>86.52</v>
      </c>
      <c r="E330" s="187">
        <v>105.22</v>
      </c>
      <c r="F330" s="188"/>
      <c r="G330" s="186"/>
    </row>
    <row r="331" spans="1:7" x14ac:dyDescent="0.25">
      <c r="A331" s="187">
        <v>2021</v>
      </c>
      <c r="B331" s="186" t="s">
        <v>504</v>
      </c>
      <c r="C331" s="187">
        <v>37</v>
      </c>
      <c r="D331" s="187">
        <v>61.81</v>
      </c>
      <c r="E331" s="187">
        <v>103.15</v>
      </c>
      <c r="F331" s="188"/>
      <c r="G331" s="186"/>
    </row>
    <row r="332" spans="1:7" x14ac:dyDescent="0.25">
      <c r="A332" s="187">
        <v>2021</v>
      </c>
      <c r="B332" s="186" t="s">
        <v>504</v>
      </c>
      <c r="C332" s="187">
        <v>41</v>
      </c>
      <c r="D332" s="187">
        <v>103.06</v>
      </c>
      <c r="E332" s="187">
        <v>152.12</v>
      </c>
      <c r="F332" s="188"/>
      <c r="G332" s="186"/>
    </row>
    <row r="333" spans="1:7" x14ac:dyDescent="0.25">
      <c r="A333" s="187">
        <v>2021</v>
      </c>
      <c r="B333" s="186" t="s">
        <v>504</v>
      </c>
      <c r="C333" s="187">
        <v>46</v>
      </c>
      <c r="D333" s="187">
        <v>79.08</v>
      </c>
      <c r="E333" s="187">
        <v>166.56</v>
      </c>
      <c r="F333" s="188"/>
      <c r="G333" s="186"/>
    </row>
    <row r="334" spans="1:7" x14ac:dyDescent="0.25">
      <c r="A334" s="187">
        <v>2021</v>
      </c>
      <c r="B334" s="186" t="s">
        <v>504</v>
      </c>
      <c r="C334" s="187">
        <v>30</v>
      </c>
      <c r="D334" s="187">
        <v>91.07</v>
      </c>
      <c r="E334" s="187">
        <v>113.19</v>
      </c>
      <c r="F334" s="188"/>
      <c r="G334" s="186"/>
    </row>
    <row r="335" spans="1:7" x14ac:dyDescent="0.25">
      <c r="A335" s="187">
        <v>2021</v>
      </c>
      <c r="B335" s="186" t="s">
        <v>504</v>
      </c>
      <c r="C335" s="187">
        <v>51</v>
      </c>
      <c r="D335" s="187">
        <v>85.61</v>
      </c>
      <c r="E335" s="187">
        <v>127.8</v>
      </c>
      <c r="F335" s="188"/>
      <c r="G335" s="186"/>
    </row>
    <row r="336" spans="1:7" x14ac:dyDescent="0.25">
      <c r="A336" s="187">
        <v>2021</v>
      </c>
      <c r="B336" s="186" t="s">
        <v>504</v>
      </c>
      <c r="C336" s="187">
        <v>23</v>
      </c>
      <c r="D336" s="187">
        <v>77.040000000000006</v>
      </c>
      <c r="E336" s="187">
        <v>83.82</v>
      </c>
      <c r="F336" s="188"/>
      <c r="G336" s="186"/>
    </row>
    <row r="337" spans="1:7" x14ac:dyDescent="0.25">
      <c r="A337" s="187">
        <v>2021</v>
      </c>
      <c r="B337" s="186" t="s">
        <v>504</v>
      </c>
      <c r="C337" s="187">
        <v>20</v>
      </c>
      <c r="D337" s="187">
        <v>70.790000000000006</v>
      </c>
      <c r="E337" s="187">
        <v>86.19</v>
      </c>
      <c r="F337" s="188"/>
      <c r="G337" s="186"/>
    </row>
    <row r="338" spans="1:7" x14ac:dyDescent="0.25">
      <c r="A338" s="187">
        <v>2021</v>
      </c>
      <c r="B338" s="186" t="s">
        <v>504</v>
      </c>
      <c r="C338" s="187">
        <v>53</v>
      </c>
      <c r="D338" s="187">
        <v>92.67</v>
      </c>
      <c r="E338" s="187">
        <v>170.15</v>
      </c>
      <c r="F338" s="188"/>
      <c r="G338" s="186"/>
    </row>
    <row r="339" spans="1:7" x14ac:dyDescent="0.25">
      <c r="A339" s="187">
        <v>2021</v>
      </c>
      <c r="B339" s="186" t="s">
        <v>504</v>
      </c>
      <c r="C339" s="187">
        <v>31</v>
      </c>
      <c r="D339" s="187">
        <v>80.73</v>
      </c>
      <c r="E339" s="187">
        <v>108.08</v>
      </c>
      <c r="F339" s="188"/>
      <c r="G339" s="186"/>
    </row>
    <row r="340" spans="1:7" x14ac:dyDescent="0.25">
      <c r="A340" s="187">
        <v>2021</v>
      </c>
      <c r="B340" s="186" t="s">
        <v>504</v>
      </c>
      <c r="C340" s="187">
        <v>39</v>
      </c>
      <c r="D340" s="187">
        <v>85.41</v>
      </c>
      <c r="E340" s="187">
        <v>130.80000000000001</v>
      </c>
      <c r="F340" s="188"/>
      <c r="G340" s="186"/>
    </row>
    <row r="341" spans="1:7" x14ac:dyDescent="0.25">
      <c r="A341" s="187">
        <v>2021</v>
      </c>
      <c r="B341" s="186" t="s">
        <v>504</v>
      </c>
      <c r="C341" s="187">
        <v>28</v>
      </c>
      <c r="D341" s="187">
        <v>70.81</v>
      </c>
      <c r="E341" s="187">
        <v>115.65</v>
      </c>
      <c r="F341" s="188"/>
      <c r="G341" s="186"/>
    </row>
    <row r="342" spans="1:7" x14ac:dyDescent="0.25">
      <c r="A342" s="187">
        <v>2021</v>
      </c>
      <c r="B342" s="186" t="s">
        <v>504</v>
      </c>
      <c r="C342" s="187">
        <v>34</v>
      </c>
      <c r="D342" s="187">
        <v>78.08</v>
      </c>
      <c r="E342" s="187">
        <v>120.92</v>
      </c>
      <c r="F342" s="188"/>
      <c r="G342" s="186"/>
    </row>
    <row r="343" spans="1:7" x14ac:dyDescent="0.25">
      <c r="A343" s="187">
        <v>2021</v>
      </c>
      <c r="B343" s="186" t="s">
        <v>504</v>
      </c>
      <c r="C343" s="187">
        <v>49</v>
      </c>
      <c r="D343" s="187">
        <v>89.82</v>
      </c>
      <c r="E343" s="187">
        <v>158.63</v>
      </c>
      <c r="F343" s="188"/>
      <c r="G343" s="186"/>
    </row>
    <row r="344" spans="1:7" x14ac:dyDescent="0.25">
      <c r="A344" s="187">
        <v>2021</v>
      </c>
      <c r="B344" s="186" t="s">
        <v>504</v>
      </c>
      <c r="C344" s="187">
        <v>36</v>
      </c>
      <c r="D344" s="187">
        <v>119.87</v>
      </c>
      <c r="E344" s="187">
        <v>146.49</v>
      </c>
      <c r="F344" s="188"/>
      <c r="G344" s="186"/>
    </row>
    <row r="345" spans="1:7" x14ac:dyDescent="0.25">
      <c r="A345" s="187">
        <v>2021</v>
      </c>
      <c r="B345" s="186" t="s">
        <v>504</v>
      </c>
      <c r="C345" s="187">
        <v>32</v>
      </c>
      <c r="D345" s="187">
        <v>46</v>
      </c>
      <c r="E345" s="187">
        <v>149.71</v>
      </c>
      <c r="F345" s="188"/>
      <c r="G345" s="186"/>
    </row>
    <row r="346" spans="1:7" x14ac:dyDescent="0.25">
      <c r="A346" s="187">
        <v>2021</v>
      </c>
      <c r="B346" s="186" t="s">
        <v>504</v>
      </c>
      <c r="C346" s="187">
        <v>45</v>
      </c>
      <c r="D346" s="187">
        <v>41.24</v>
      </c>
      <c r="E346" s="187">
        <v>80.03</v>
      </c>
      <c r="F346" s="188"/>
      <c r="G346" s="186"/>
    </row>
    <row r="347" spans="1:7" x14ac:dyDescent="0.25">
      <c r="A347" s="187">
        <v>2021</v>
      </c>
      <c r="B347" s="186" t="s">
        <v>504</v>
      </c>
      <c r="C347" s="187">
        <v>42</v>
      </c>
      <c r="D347" s="187">
        <v>30.39</v>
      </c>
      <c r="E347" s="187">
        <v>54.98</v>
      </c>
      <c r="F347" s="188"/>
      <c r="G347" s="186"/>
    </row>
    <row r="348" spans="1:7" x14ac:dyDescent="0.25">
      <c r="A348" s="187">
        <v>2021</v>
      </c>
      <c r="B348" s="186" t="s">
        <v>504</v>
      </c>
      <c r="C348" s="187">
        <v>29</v>
      </c>
      <c r="D348" s="187">
        <v>27.54</v>
      </c>
      <c r="E348" s="187">
        <v>48.98</v>
      </c>
      <c r="F348" s="188"/>
      <c r="G348" s="186"/>
    </row>
    <row r="349" spans="1:7" x14ac:dyDescent="0.25">
      <c r="A349" s="187">
        <v>2021</v>
      </c>
      <c r="B349" s="186" t="s">
        <v>504</v>
      </c>
      <c r="C349" s="187">
        <v>45</v>
      </c>
      <c r="D349" s="187">
        <v>42.15</v>
      </c>
      <c r="E349" s="187">
        <v>83.33</v>
      </c>
      <c r="F349" s="188"/>
      <c r="G349" s="186"/>
    </row>
    <row r="350" spans="1:7" x14ac:dyDescent="0.25">
      <c r="A350" s="187">
        <v>2021</v>
      </c>
      <c r="B350" s="186" t="s">
        <v>504</v>
      </c>
      <c r="C350" s="187">
        <v>47</v>
      </c>
      <c r="D350" s="187">
        <v>33.54</v>
      </c>
      <c r="E350" s="187">
        <v>55.23</v>
      </c>
      <c r="F350" s="188"/>
      <c r="G350" s="186"/>
    </row>
    <row r="351" spans="1:7" x14ac:dyDescent="0.25">
      <c r="A351" s="187">
        <v>2021</v>
      </c>
      <c r="B351" s="186" t="s">
        <v>504</v>
      </c>
      <c r="C351" s="187">
        <v>33</v>
      </c>
      <c r="D351" s="187">
        <v>36.56</v>
      </c>
      <c r="E351" s="187">
        <v>40.33</v>
      </c>
      <c r="F351" s="188"/>
      <c r="G351" s="186"/>
    </row>
    <row r="352" spans="1:7" x14ac:dyDescent="0.25">
      <c r="A352" s="187">
        <v>2022</v>
      </c>
      <c r="B352" s="186" t="s">
        <v>514</v>
      </c>
      <c r="C352" s="187">
        <v>28</v>
      </c>
      <c r="D352" s="187">
        <v>89.31</v>
      </c>
      <c r="E352" s="187">
        <v>75.599999999999994</v>
      </c>
      <c r="F352" s="187">
        <v>3.29</v>
      </c>
      <c r="G352" s="186">
        <v>0.72</v>
      </c>
    </row>
    <row r="353" spans="1:7" x14ac:dyDescent="0.25">
      <c r="A353" s="187">
        <v>2022</v>
      </c>
      <c r="B353" s="186" t="s">
        <v>514</v>
      </c>
      <c r="C353" s="187">
        <v>34</v>
      </c>
      <c r="D353" s="187">
        <v>37.78</v>
      </c>
      <c r="E353" s="187">
        <v>76.84</v>
      </c>
      <c r="F353" s="187">
        <v>3.05</v>
      </c>
      <c r="G353" s="186">
        <v>1.29</v>
      </c>
    </row>
    <row r="354" spans="1:7" x14ac:dyDescent="0.25">
      <c r="A354" s="187">
        <v>2022</v>
      </c>
      <c r="B354" s="186" t="s">
        <v>514</v>
      </c>
      <c r="C354" s="187">
        <v>37</v>
      </c>
      <c r="D354" s="187">
        <v>73.510000000000005</v>
      </c>
      <c r="E354" s="187">
        <v>57.05</v>
      </c>
      <c r="F354" s="187">
        <v>2.96</v>
      </c>
      <c r="G354" s="186">
        <v>0.5</v>
      </c>
    </row>
    <row r="355" spans="1:7" x14ac:dyDescent="0.25">
      <c r="A355" s="187">
        <v>2022</v>
      </c>
      <c r="B355" s="186" t="s">
        <v>514</v>
      </c>
      <c r="C355" s="187">
        <v>41</v>
      </c>
      <c r="D355" s="187">
        <v>83.77</v>
      </c>
      <c r="E355" s="187">
        <v>74.349999999999994</v>
      </c>
      <c r="F355" s="187">
        <v>2.84</v>
      </c>
      <c r="G355" s="186">
        <v>0.48</v>
      </c>
    </row>
    <row r="356" spans="1:7" x14ac:dyDescent="0.25">
      <c r="A356" s="187">
        <v>2022</v>
      </c>
      <c r="B356" s="186" t="s">
        <v>514</v>
      </c>
      <c r="C356" s="187">
        <v>36</v>
      </c>
      <c r="D356" s="187">
        <v>57.66</v>
      </c>
      <c r="E356" s="187">
        <v>54.77</v>
      </c>
      <c r="F356" s="187">
        <v>2.79</v>
      </c>
      <c r="G356" s="186">
        <v>0.44</v>
      </c>
    </row>
    <row r="357" spans="1:7" x14ac:dyDescent="0.25">
      <c r="A357" s="187">
        <v>2022</v>
      </c>
      <c r="B357" s="186" t="s">
        <v>514</v>
      </c>
      <c r="C357" s="187">
        <v>32</v>
      </c>
      <c r="D357" s="187">
        <v>51.77</v>
      </c>
      <c r="E357" s="187">
        <v>63.68</v>
      </c>
      <c r="F357" s="187">
        <v>3.31</v>
      </c>
      <c r="G357" s="186">
        <v>0.44</v>
      </c>
    </row>
    <row r="358" spans="1:7" x14ac:dyDescent="0.25">
      <c r="A358" s="187">
        <v>2022</v>
      </c>
      <c r="B358" s="186" t="s">
        <v>514</v>
      </c>
      <c r="C358" s="187">
        <v>25</v>
      </c>
      <c r="D358" s="187">
        <v>64.62</v>
      </c>
      <c r="E358" s="187">
        <v>74.48</v>
      </c>
      <c r="F358" s="187">
        <v>2.85</v>
      </c>
      <c r="G358" s="186">
        <v>0.93</v>
      </c>
    </row>
    <row r="359" spans="1:7" x14ac:dyDescent="0.25">
      <c r="A359" s="187">
        <v>2022</v>
      </c>
      <c r="B359" s="186" t="s">
        <v>514</v>
      </c>
      <c r="C359" s="187">
        <v>23</v>
      </c>
      <c r="D359" s="187">
        <v>77.19</v>
      </c>
      <c r="E359" s="187">
        <v>72.22</v>
      </c>
      <c r="F359" s="187">
        <v>3.12</v>
      </c>
      <c r="G359" s="186">
        <v>1.65</v>
      </c>
    </row>
    <row r="360" spans="1:7" x14ac:dyDescent="0.25">
      <c r="A360" s="187">
        <v>2022</v>
      </c>
      <c r="B360" s="186" t="s">
        <v>514</v>
      </c>
      <c r="C360" s="187">
        <v>36</v>
      </c>
      <c r="D360" s="187">
        <v>44.5</v>
      </c>
      <c r="E360" s="187">
        <v>102.24</v>
      </c>
      <c r="F360" s="187">
        <v>3.69</v>
      </c>
      <c r="G360" s="186">
        <v>0.36</v>
      </c>
    </row>
    <row r="361" spans="1:7" x14ac:dyDescent="0.25">
      <c r="A361" s="187">
        <v>2022</v>
      </c>
      <c r="B361" s="186" t="s">
        <v>514</v>
      </c>
      <c r="C361" s="187">
        <v>37</v>
      </c>
      <c r="D361" s="187">
        <v>82.58</v>
      </c>
      <c r="E361" s="187">
        <v>77.459999999999994</v>
      </c>
      <c r="F361" s="187">
        <v>2.78</v>
      </c>
      <c r="G361" s="186">
        <v>0.65</v>
      </c>
    </row>
    <row r="362" spans="1:7" x14ac:dyDescent="0.25">
      <c r="A362" s="187">
        <v>2022</v>
      </c>
      <c r="B362" s="186" t="s">
        <v>514</v>
      </c>
      <c r="C362" s="187">
        <v>29</v>
      </c>
      <c r="D362" s="187">
        <v>66.28</v>
      </c>
      <c r="E362" s="187">
        <v>83.53</v>
      </c>
      <c r="F362" s="187">
        <v>3.5</v>
      </c>
      <c r="G362" s="186">
        <v>0.77</v>
      </c>
    </row>
    <row r="363" spans="1:7" x14ac:dyDescent="0.25">
      <c r="A363" s="187">
        <v>2022</v>
      </c>
      <c r="B363" s="186" t="s">
        <v>514</v>
      </c>
      <c r="C363" s="187">
        <v>44</v>
      </c>
      <c r="D363" s="187">
        <v>72.59</v>
      </c>
      <c r="E363" s="187">
        <v>62.64</v>
      </c>
      <c r="F363" s="187">
        <v>3.67</v>
      </c>
      <c r="G363" s="186">
        <v>0.88</v>
      </c>
    </row>
    <row r="364" spans="1:7" x14ac:dyDescent="0.25">
      <c r="A364" s="187">
        <v>2022</v>
      </c>
      <c r="B364" s="186" t="s">
        <v>504</v>
      </c>
      <c r="C364" s="187">
        <v>53</v>
      </c>
      <c r="D364" s="187">
        <v>90.45</v>
      </c>
      <c r="E364" s="187">
        <v>75.09</v>
      </c>
      <c r="F364" s="187">
        <v>3.03</v>
      </c>
      <c r="G364" s="186">
        <v>1.0900000000000001</v>
      </c>
    </row>
    <row r="365" spans="1:7" x14ac:dyDescent="0.25">
      <c r="A365" s="187">
        <v>2022</v>
      </c>
      <c r="B365" s="186" t="s">
        <v>504</v>
      </c>
      <c r="C365" s="187">
        <v>48</v>
      </c>
      <c r="D365" s="187">
        <v>73.8</v>
      </c>
      <c r="E365" s="187">
        <v>62.94</v>
      </c>
      <c r="F365" s="187">
        <v>3.3</v>
      </c>
      <c r="G365" s="186">
        <v>0.48</v>
      </c>
    </row>
    <row r="366" spans="1:7" x14ac:dyDescent="0.25">
      <c r="A366" s="187">
        <v>2022</v>
      </c>
      <c r="B366" s="186" t="s">
        <v>504</v>
      </c>
      <c r="C366" s="187">
        <v>54</v>
      </c>
      <c r="D366" s="187">
        <v>85.94</v>
      </c>
      <c r="E366" s="187">
        <v>77.12</v>
      </c>
      <c r="F366" s="187">
        <v>4.08</v>
      </c>
      <c r="G366" s="186">
        <v>0.48</v>
      </c>
    </row>
    <row r="367" spans="1:7" x14ac:dyDescent="0.25">
      <c r="A367" s="187">
        <v>2022</v>
      </c>
      <c r="B367" s="186" t="s">
        <v>504</v>
      </c>
      <c r="C367" s="187">
        <v>53</v>
      </c>
      <c r="D367" s="187">
        <v>70</v>
      </c>
      <c r="E367" s="187">
        <v>81.12</v>
      </c>
      <c r="F367" s="187">
        <v>4.5</v>
      </c>
      <c r="G367" s="186">
        <v>0.35</v>
      </c>
    </row>
    <row r="368" spans="1:7" x14ac:dyDescent="0.25">
      <c r="A368" s="187">
        <v>2022</v>
      </c>
      <c r="B368" s="186" t="s">
        <v>504</v>
      </c>
      <c r="C368" s="187">
        <v>57</v>
      </c>
      <c r="D368" s="187">
        <v>64.5</v>
      </c>
      <c r="E368" s="187">
        <v>86.77</v>
      </c>
      <c r="F368" s="187">
        <v>4.49</v>
      </c>
      <c r="G368" s="186">
        <v>0.42</v>
      </c>
    </row>
    <row r="369" spans="1:7" x14ac:dyDescent="0.25">
      <c r="A369" s="187">
        <v>2022</v>
      </c>
      <c r="B369" s="186" t="s">
        <v>504</v>
      </c>
      <c r="C369" s="187">
        <v>59</v>
      </c>
      <c r="D369" s="187">
        <v>73.37</v>
      </c>
      <c r="E369" s="187">
        <v>68.52</v>
      </c>
      <c r="F369" s="187">
        <v>4.2300000000000004</v>
      </c>
      <c r="G369" s="186">
        <v>0.36</v>
      </c>
    </row>
    <row r="370" spans="1:7" x14ac:dyDescent="0.25">
      <c r="A370" s="187">
        <v>2022</v>
      </c>
      <c r="B370" s="186" t="s">
        <v>504</v>
      </c>
      <c r="C370" s="187">
        <v>44</v>
      </c>
      <c r="D370" s="187">
        <v>50.93</v>
      </c>
      <c r="E370" s="187">
        <v>47.81</v>
      </c>
      <c r="F370" s="187">
        <v>1.75</v>
      </c>
      <c r="G370" s="186">
        <v>0.5</v>
      </c>
    </row>
    <row r="371" spans="1:7" x14ac:dyDescent="0.25">
      <c r="A371" s="187">
        <v>2022</v>
      </c>
      <c r="B371" s="186" t="s">
        <v>504</v>
      </c>
      <c r="C371" s="187">
        <v>54</v>
      </c>
      <c r="D371" s="187">
        <v>46.92</v>
      </c>
      <c r="E371" s="187">
        <v>66.38</v>
      </c>
      <c r="F371" s="187">
        <v>3.36</v>
      </c>
      <c r="G371" s="186">
        <v>0.37</v>
      </c>
    </row>
    <row r="372" spans="1:7" x14ac:dyDescent="0.25">
      <c r="A372" s="187">
        <v>2022</v>
      </c>
      <c r="B372" s="186" t="s">
        <v>504</v>
      </c>
      <c r="C372" s="187">
        <v>36</v>
      </c>
      <c r="D372" s="187">
        <v>54.99</v>
      </c>
      <c r="E372" s="187">
        <v>64.930000000000007</v>
      </c>
      <c r="F372" s="187">
        <v>3.8</v>
      </c>
      <c r="G372" s="186">
        <v>0.23</v>
      </c>
    </row>
    <row r="373" spans="1:7" x14ac:dyDescent="0.25">
      <c r="A373" s="187">
        <v>2022</v>
      </c>
      <c r="B373" s="186" t="s">
        <v>504</v>
      </c>
      <c r="C373" s="187">
        <v>52</v>
      </c>
      <c r="D373" s="187">
        <v>79.13</v>
      </c>
      <c r="E373" s="187">
        <v>72.89</v>
      </c>
      <c r="F373" s="187">
        <v>4.01</v>
      </c>
      <c r="G373" s="186">
        <v>0.45</v>
      </c>
    </row>
    <row r="374" spans="1:7" x14ac:dyDescent="0.25">
      <c r="A374" s="187">
        <v>2022</v>
      </c>
      <c r="B374" s="186" t="s">
        <v>504</v>
      </c>
      <c r="C374" s="187">
        <v>35</v>
      </c>
      <c r="D374" s="187">
        <v>69.22</v>
      </c>
      <c r="E374" s="187">
        <v>70.14</v>
      </c>
      <c r="F374" s="187">
        <v>4.08</v>
      </c>
      <c r="G374" s="186">
        <v>0.52</v>
      </c>
    </row>
    <row r="375" spans="1:7" x14ac:dyDescent="0.25">
      <c r="A375" s="187">
        <v>2022</v>
      </c>
      <c r="B375" s="186" t="s">
        <v>504</v>
      </c>
      <c r="C375" s="187">
        <v>45</v>
      </c>
      <c r="D375" s="187">
        <v>92.03</v>
      </c>
      <c r="E375" s="187">
        <v>73.94</v>
      </c>
      <c r="F375" s="187">
        <v>3.07</v>
      </c>
      <c r="G375" s="186">
        <v>0.43</v>
      </c>
    </row>
    <row r="376" spans="1:7" x14ac:dyDescent="0.25">
      <c r="A376" s="187">
        <v>2022</v>
      </c>
      <c r="B376" s="186" t="s">
        <v>509</v>
      </c>
      <c r="C376" s="187">
        <v>29</v>
      </c>
      <c r="D376" s="187">
        <v>78.81</v>
      </c>
      <c r="E376" s="187">
        <v>54.99</v>
      </c>
      <c r="F376" s="187">
        <v>3.61</v>
      </c>
      <c r="G376" s="186">
        <v>1.1299999999999999</v>
      </c>
    </row>
    <row r="377" spans="1:7" x14ac:dyDescent="0.25">
      <c r="A377" s="187">
        <v>2022</v>
      </c>
      <c r="B377" s="186" t="s">
        <v>509</v>
      </c>
      <c r="C377" s="187">
        <v>48</v>
      </c>
      <c r="D377" s="187">
        <v>70.8</v>
      </c>
      <c r="E377" s="187">
        <v>71.209999999999994</v>
      </c>
      <c r="F377" s="187">
        <v>3.36</v>
      </c>
      <c r="G377" s="186">
        <v>0.45</v>
      </c>
    </row>
    <row r="378" spans="1:7" x14ac:dyDescent="0.25">
      <c r="A378" s="187">
        <v>2022</v>
      </c>
      <c r="B378" s="186" t="s">
        <v>509</v>
      </c>
      <c r="C378" s="187">
        <v>31</v>
      </c>
      <c r="D378" s="187">
        <v>69.88</v>
      </c>
      <c r="E378" s="187">
        <v>59.78</v>
      </c>
      <c r="F378" s="187">
        <v>3.4</v>
      </c>
      <c r="G378" s="186">
        <v>0.62</v>
      </c>
    </row>
    <row r="379" spans="1:7" x14ac:dyDescent="0.25">
      <c r="A379" s="187">
        <v>2022</v>
      </c>
      <c r="B379" s="186" t="s">
        <v>509</v>
      </c>
      <c r="C379" s="187">
        <v>33</v>
      </c>
      <c r="D379" s="187">
        <v>68.849999999999994</v>
      </c>
      <c r="E379" s="187">
        <v>50.43</v>
      </c>
      <c r="F379" s="187">
        <v>6.47</v>
      </c>
      <c r="G379" s="186">
        <v>0.76</v>
      </c>
    </row>
    <row r="380" spans="1:7" x14ac:dyDescent="0.25">
      <c r="A380" s="187">
        <v>2022</v>
      </c>
      <c r="B380" s="186" t="s">
        <v>509</v>
      </c>
      <c r="C380" s="187">
        <v>36</v>
      </c>
      <c r="D380" s="187">
        <v>73.819999999999993</v>
      </c>
      <c r="E380" s="187">
        <v>63.21</v>
      </c>
      <c r="F380" s="187">
        <v>4.4400000000000004</v>
      </c>
      <c r="G380" s="186">
        <v>1.49</v>
      </c>
    </row>
    <row r="381" spans="1:7" x14ac:dyDescent="0.25">
      <c r="A381" s="187">
        <v>2022</v>
      </c>
      <c r="B381" s="186" t="s">
        <v>509</v>
      </c>
      <c r="C381" s="187">
        <v>28</v>
      </c>
      <c r="D381" s="187">
        <v>88.97</v>
      </c>
      <c r="E381" s="187">
        <v>73.78</v>
      </c>
      <c r="F381" s="187">
        <v>3.72</v>
      </c>
      <c r="G381" s="186">
        <v>0.49</v>
      </c>
    </row>
    <row r="382" spans="1:7" x14ac:dyDescent="0.25">
      <c r="A382" s="187">
        <v>2022</v>
      </c>
      <c r="B382" s="186" t="s">
        <v>509</v>
      </c>
      <c r="C382" s="187">
        <v>28</v>
      </c>
      <c r="D382" s="187">
        <v>66.239999999999995</v>
      </c>
      <c r="E382" s="187">
        <v>54.46</v>
      </c>
      <c r="F382" s="187">
        <v>2.2000000000000002</v>
      </c>
      <c r="G382" s="186">
        <v>0.52</v>
      </c>
    </row>
    <row r="383" spans="1:7" x14ac:dyDescent="0.25">
      <c r="A383" s="187">
        <v>2022</v>
      </c>
      <c r="B383" s="186" t="s">
        <v>509</v>
      </c>
      <c r="C383" s="187">
        <v>36</v>
      </c>
      <c r="D383" s="187">
        <v>70.760000000000005</v>
      </c>
      <c r="E383" s="187">
        <v>53.52</v>
      </c>
      <c r="F383" s="187">
        <v>2.38</v>
      </c>
      <c r="G383" s="186">
        <v>0.52</v>
      </c>
    </row>
    <row r="384" spans="1:7" x14ac:dyDescent="0.25">
      <c r="A384" s="187">
        <v>2022</v>
      </c>
      <c r="B384" s="186" t="s">
        <v>509</v>
      </c>
      <c r="C384" s="187">
        <v>43</v>
      </c>
      <c r="D384" s="187">
        <v>84.07</v>
      </c>
      <c r="E384" s="187">
        <v>71.41</v>
      </c>
      <c r="F384" s="187">
        <v>4.13</v>
      </c>
      <c r="G384" s="186">
        <v>2.0299999999999998</v>
      </c>
    </row>
    <row r="385" spans="1:7" x14ac:dyDescent="0.25">
      <c r="A385" s="187">
        <v>2022</v>
      </c>
      <c r="B385" s="186" t="s">
        <v>509</v>
      </c>
      <c r="C385" s="187">
        <v>47</v>
      </c>
      <c r="D385" s="187">
        <v>82.76</v>
      </c>
      <c r="E385" s="187">
        <v>69.95</v>
      </c>
      <c r="F385" s="187">
        <v>4.0199999999999996</v>
      </c>
      <c r="G385" s="186">
        <v>1.01</v>
      </c>
    </row>
    <row r="386" spans="1:7" x14ac:dyDescent="0.25">
      <c r="A386" s="187">
        <v>2022</v>
      </c>
      <c r="B386" s="186" t="s">
        <v>509</v>
      </c>
      <c r="C386" s="187">
        <v>53</v>
      </c>
      <c r="D386" s="187">
        <v>65.22</v>
      </c>
      <c r="E386" s="187">
        <v>73.680000000000007</v>
      </c>
      <c r="F386" s="187">
        <v>4.25</v>
      </c>
      <c r="G386" s="186">
        <v>0.42</v>
      </c>
    </row>
    <row r="387" spans="1:7" x14ac:dyDescent="0.25">
      <c r="A387" s="187">
        <v>2022</v>
      </c>
      <c r="B387" s="186" t="s">
        <v>503</v>
      </c>
      <c r="C387" s="187">
        <v>41</v>
      </c>
      <c r="D387" s="187">
        <v>69.83</v>
      </c>
      <c r="E387" s="187">
        <v>72.47</v>
      </c>
      <c r="F387" s="187">
        <v>3.97</v>
      </c>
      <c r="G387" s="186">
        <v>0.75</v>
      </c>
    </row>
    <row r="388" spans="1:7" x14ac:dyDescent="0.25">
      <c r="A388" s="187">
        <v>2022</v>
      </c>
      <c r="B388" s="186" t="s">
        <v>503</v>
      </c>
      <c r="C388" s="187">
        <v>36</v>
      </c>
      <c r="D388" s="187">
        <v>97.25</v>
      </c>
      <c r="E388" s="187">
        <v>78.430000000000007</v>
      </c>
      <c r="F388" s="187">
        <v>4.3899999999999997</v>
      </c>
      <c r="G388" s="186">
        <v>0.77</v>
      </c>
    </row>
    <row r="389" spans="1:7" x14ac:dyDescent="0.25">
      <c r="A389" s="187">
        <v>2022</v>
      </c>
      <c r="B389" s="186" t="s">
        <v>503</v>
      </c>
      <c r="C389" s="187">
        <v>41</v>
      </c>
      <c r="D389" s="187">
        <v>84.78</v>
      </c>
      <c r="E389" s="187">
        <v>74.37</v>
      </c>
      <c r="F389" s="187">
        <v>5.05</v>
      </c>
      <c r="G389" s="186">
        <v>0.66</v>
      </c>
    </row>
    <row r="390" spans="1:7" x14ac:dyDescent="0.25">
      <c r="A390" s="187">
        <v>2022</v>
      </c>
      <c r="B390" s="186" t="s">
        <v>503</v>
      </c>
      <c r="C390" s="187">
        <v>45</v>
      </c>
      <c r="D390" s="187">
        <v>75.650000000000006</v>
      </c>
      <c r="E390" s="187">
        <v>70.599999999999994</v>
      </c>
      <c r="F390" s="187">
        <v>4.12</v>
      </c>
      <c r="G390" s="186">
        <v>0.28000000000000003</v>
      </c>
    </row>
    <row r="391" spans="1:7" x14ac:dyDescent="0.25">
      <c r="A391" s="187">
        <v>2022</v>
      </c>
      <c r="B391" s="186" t="s">
        <v>503</v>
      </c>
      <c r="C391" s="187">
        <v>36</v>
      </c>
      <c r="D391" s="187">
        <v>68.23</v>
      </c>
      <c r="E391" s="187">
        <v>57.89</v>
      </c>
      <c r="F391" s="187">
        <v>3.6</v>
      </c>
      <c r="G391" s="186">
        <v>0.94</v>
      </c>
    </row>
    <row r="392" spans="1:7" x14ac:dyDescent="0.25">
      <c r="A392" s="187">
        <v>2022</v>
      </c>
      <c r="B392" s="186" t="s">
        <v>503</v>
      </c>
      <c r="C392" s="187">
        <v>43</v>
      </c>
      <c r="D392" s="187">
        <v>63.11</v>
      </c>
      <c r="E392" s="187">
        <v>53.47</v>
      </c>
      <c r="F392" s="187">
        <v>3.66</v>
      </c>
      <c r="G392" s="186">
        <v>0.39</v>
      </c>
    </row>
    <row r="393" spans="1:7" x14ac:dyDescent="0.25">
      <c r="A393" s="187">
        <v>2022</v>
      </c>
      <c r="B393" s="186" t="s">
        <v>503</v>
      </c>
      <c r="C393" s="187">
        <v>42</v>
      </c>
      <c r="D393" s="187">
        <v>74.3</v>
      </c>
      <c r="E393" s="187">
        <v>56.66</v>
      </c>
      <c r="F393" s="187">
        <v>3.29</v>
      </c>
      <c r="G393" s="186">
        <v>0.65</v>
      </c>
    </row>
    <row r="394" spans="1:7" x14ac:dyDescent="0.25">
      <c r="A394" s="187">
        <v>2022</v>
      </c>
      <c r="B394" s="186" t="s">
        <v>503</v>
      </c>
      <c r="C394" s="187">
        <v>33</v>
      </c>
      <c r="D394" s="187">
        <v>49.13</v>
      </c>
      <c r="E394" s="187">
        <v>68.5</v>
      </c>
      <c r="F394" s="187">
        <v>4.4000000000000004</v>
      </c>
      <c r="G394" s="186">
        <v>0.22</v>
      </c>
    </row>
    <row r="395" spans="1:7" x14ac:dyDescent="0.25">
      <c r="A395" s="187">
        <v>2022</v>
      </c>
      <c r="B395" s="186" t="s">
        <v>503</v>
      </c>
      <c r="C395" s="187">
        <v>49</v>
      </c>
      <c r="D395" s="187">
        <v>96.59</v>
      </c>
      <c r="E395" s="187">
        <v>80.12</v>
      </c>
      <c r="F395" s="187">
        <v>4.5</v>
      </c>
      <c r="G395" s="186">
        <v>0.44</v>
      </c>
    </row>
    <row r="396" spans="1:7" x14ac:dyDescent="0.25">
      <c r="A396" s="187">
        <v>2022</v>
      </c>
      <c r="B396" s="186" t="s">
        <v>503</v>
      </c>
      <c r="C396" s="187">
        <v>37</v>
      </c>
      <c r="D396" s="187">
        <v>75.58</v>
      </c>
      <c r="E396" s="187">
        <v>67.61</v>
      </c>
      <c r="F396" s="187">
        <v>3.76</v>
      </c>
      <c r="G396" s="186">
        <v>0.21</v>
      </c>
    </row>
    <row r="397" spans="1:7" x14ac:dyDescent="0.25">
      <c r="A397" s="187">
        <v>2022</v>
      </c>
      <c r="B397" s="186" t="s">
        <v>503</v>
      </c>
      <c r="C397" s="187">
        <v>44</v>
      </c>
      <c r="D397" s="187">
        <v>71.12</v>
      </c>
      <c r="E397" s="187">
        <v>72.3</v>
      </c>
      <c r="F397" s="187">
        <v>4.33</v>
      </c>
      <c r="G397" s="186">
        <v>1.34</v>
      </c>
    </row>
    <row r="398" spans="1:7" x14ac:dyDescent="0.25">
      <c r="A398" s="187">
        <v>2022</v>
      </c>
      <c r="B398" s="186" t="s">
        <v>503</v>
      </c>
      <c r="C398" s="187">
        <v>42</v>
      </c>
      <c r="D398" s="187">
        <v>52.66</v>
      </c>
      <c r="E398" s="187">
        <v>55.33</v>
      </c>
      <c r="F398" s="187">
        <v>3.53</v>
      </c>
      <c r="G398" s="186">
        <v>0.52</v>
      </c>
    </row>
    <row r="399" spans="1:7" x14ac:dyDescent="0.25">
      <c r="A399" s="187">
        <v>2022</v>
      </c>
      <c r="B399" s="186" t="s">
        <v>496</v>
      </c>
      <c r="C399" s="187">
        <v>55</v>
      </c>
      <c r="D399" s="187">
        <v>37.700000000000003</v>
      </c>
      <c r="E399" s="187">
        <v>42.68</v>
      </c>
      <c r="F399" s="187">
        <v>3.09</v>
      </c>
      <c r="G399" s="186">
        <v>0.31</v>
      </c>
    </row>
    <row r="400" spans="1:7" x14ac:dyDescent="0.25">
      <c r="A400" s="187">
        <v>2022</v>
      </c>
      <c r="B400" s="186" t="s">
        <v>496</v>
      </c>
      <c r="C400" s="187">
        <v>39</v>
      </c>
      <c r="D400" s="187">
        <v>51.26</v>
      </c>
      <c r="E400" s="187">
        <v>44.85</v>
      </c>
      <c r="F400" s="187">
        <v>3.67</v>
      </c>
      <c r="G400" s="186">
        <v>0.24</v>
      </c>
    </row>
    <row r="401" spans="1:7" x14ac:dyDescent="0.25">
      <c r="A401" s="187">
        <v>2022</v>
      </c>
      <c r="B401" s="186" t="s">
        <v>496</v>
      </c>
      <c r="C401" s="187">
        <v>58</v>
      </c>
      <c r="D401" s="187">
        <v>66.849999999999994</v>
      </c>
      <c r="E401" s="187">
        <v>61.92</v>
      </c>
      <c r="F401" s="187">
        <v>3.66</v>
      </c>
      <c r="G401" s="186">
        <v>0.21</v>
      </c>
    </row>
    <row r="402" spans="1:7" x14ac:dyDescent="0.25">
      <c r="A402" s="187">
        <v>2022</v>
      </c>
      <c r="B402" s="186" t="s">
        <v>496</v>
      </c>
      <c r="C402" s="187">
        <v>53</v>
      </c>
      <c r="D402" s="187">
        <v>133.56</v>
      </c>
      <c r="E402" s="187">
        <v>83.94</v>
      </c>
      <c r="F402" s="187">
        <v>5.73</v>
      </c>
      <c r="G402" s="186">
        <v>0.54</v>
      </c>
    </row>
    <row r="403" spans="1:7" x14ac:dyDescent="0.25">
      <c r="A403" s="187">
        <v>2022</v>
      </c>
      <c r="B403" s="186" t="s">
        <v>496</v>
      </c>
      <c r="C403" s="187">
        <v>43</v>
      </c>
      <c r="D403" s="187">
        <v>62.73</v>
      </c>
      <c r="E403" s="187">
        <v>46.66</v>
      </c>
      <c r="F403" s="187">
        <v>4.07</v>
      </c>
      <c r="G403" s="186">
        <v>0.21</v>
      </c>
    </row>
    <row r="404" spans="1:7" x14ac:dyDescent="0.25">
      <c r="A404" s="187">
        <v>2022</v>
      </c>
      <c r="B404" s="186" t="s">
        <v>496</v>
      </c>
      <c r="C404" s="187">
        <v>51</v>
      </c>
      <c r="D404" s="187">
        <v>62.41</v>
      </c>
      <c r="E404" s="187">
        <v>62.29</v>
      </c>
      <c r="F404" s="187">
        <v>4.34</v>
      </c>
      <c r="G404" s="186">
        <v>0.39</v>
      </c>
    </row>
    <row r="405" spans="1:7" x14ac:dyDescent="0.25">
      <c r="A405" s="187">
        <v>2022</v>
      </c>
      <c r="B405" s="186" t="s">
        <v>496</v>
      </c>
      <c r="C405" s="187">
        <v>55</v>
      </c>
      <c r="D405" s="187">
        <v>98.48</v>
      </c>
      <c r="E405" s="187">
        <v>80.3</v>
      </c>
      <c r="F405" s="187">
        <v>5.64</v>
      </c>
      <c r="G405" s="186">
        <v>0.68</v>
      </c>
    </row>
    <row r="406" spans="1:7" x14ac:dyDescent="0.25">
      <c r="A406" s="187">
        <v>2022</v>
      </c>
      <c r="B406" s="186" t="s">
        <v>496</v>
      </c>
      <c r="C406" s="187">
        <v>32</v>
      </c>
      <c r="D406" s="187">
        <v>48.82</v>
      </c>
      <c r="E406" s="187">
        <v>41.86</v>
      </c>
      <c r="F406" s="187">
        <v>2.73</v>
      </c>
      <c r="G406" s="186">
        <v>0.52</v>
      </c>
    </row>
    <row r="407" spans="1:7" x14ac:dyDescent="0.25">
      <c r="A407" s="187">
        <v>2022</v>
      </c>
      <c r="B407" s="186" t="s">
        <v>496</v>
      </c>
      <c r="C407" s="187">
        <v>40</v>
      </c>
      <c r="D407" s="187">
        <v>80.55</v>
      </c>
      <c r="E407" s="187">
        <v>73.489999999999995</v>
      </c>
      <c r="F407" s="187">
        <v>4.2300000000000004</v>
      </c>
      <c r="G407" s="186">
        <v>0.82</v>
      </c>
    </row>
    <row r="408" spans="1:7" x14ac:dyDescent="0.25">
      <c r="A408" s="187">
        <v>2022</v>
      </c>
      <c r="B408" s="186" t="s">
        <v>496</v>
      </c>
      <c r="C408" s="187">
        <v>54</v>
      </c>
      <c r="D408" s="187">
        <v>101.01</v>
      </c>
      <c r="E408" s="187">
        <v>80.319999999999993</v>
      </c>
      <c r="F408" s="187">
        <v>5.07</v>
      </c>
      <c r="G408" s="186">
        <v>0.94</v>
      </c>
    </row>
    <row r="409" spans="1:7" x14ac:dyDescent="0.25">
      <c r="A409" s="187">
        <v>2022</v>
      </c>
      <c r="B409" s="186" t="s">
        <v>496</v>
      </c>
      <c r="C409" s="187">
        <v>47</v>
      </c>
      <c r="D409" s="187">
        <v>79.599999999999994</v>
      </c>
      <c r="E409" s="187">
        <v>79.180000000000007</v>
      </c>
      <c r="F409" s="187">
        <v>6.75</v>
      </c>
      <c r="G409" s="186">
        <v>0.51</v>
      </c>
    </row>
    <row r="410" spans="1:7" x14ac:dyDescent="0.25">
      <c r="A410" s="187">
        <v>2022</v>
      </c>
      <c r="B410" s="186" t="s">
        <v>496</v>
      </c>
      <c r="C410" s="187">
        <v>39</v>
      </c>
      <c r="D410" s="187">
        <v>90.77</v>
      </c>
      <c r="E410" s="187">
        <v>101.13</v>
      </c>
      <c r="F410" s="187">
        <v>5.07</v>
      </c>
      <c r="G410" s="186">
        <v>0.5</v>
      </c>
    </row>
    <row r="411" spans="1:7" x14ac:dyDescent="0.25">
      <c r="A411" s="187">
        <v>2022</v>
      </c>
      <c r="B411" s="186" t="s">
        <v>496</v>
      </c>
      <c r="C411" s="187">
        <v>40</v>
      </c>
      <c r="D411" s="187">
        <v>89.27</v>
      </c>
      <c r="E411" s="187">
        <v>58</v>
      </c>
      <c r="F411" s="187">
        <v>3.84</v>
      </c>
      <c r="G411" s="186">
        <v>0.54</v>
      </c>
    </row>
    <row r="412" spans="1:7" x14ac:dyDescent="0.25">
      <c r="A412" s="187">
        <v>2022</v>
      </c>
      <c r="B412" s="186" t="s">
        <v>496</v>
      </c>
      <c r="C412" s="187">
        <v>49</v>
      </c>
      <c r="D412" s="187">
        <v>81.64</v>
      </c>
      <c r="E412" s="187">
        <v>61.64</v>
      </c>
      <c r="F412" s="187">
        <v>5.28</v>
      </c>
      <c r="G412" s="186">
        <v>0.47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6556C-579F-425F-9A8C-C1CC74DCD486}">
  <dimension ref="A1:N367"/>
  <sheetViews>
    <sheetView workbookViewId="0">
      <selection activeCell="J18" sqref="J18"/>
    </sheetView>
  </sheetViews>
  <sheetFormatPr defaultColWidth="16.140625" defaultRowHeight="15" x14ac:dyDescent="0.25"/>
  <cols>
    <col min="1" max="1" width="5.28515625" bestFit="1" customWidth="1"/>
    <col min="2" max="2" width="10.42578125" bestFit="1" customWidth="1"/>
    <col min="3" max="3" width="8.85546875" bestFit="1" customWidth="1"/>
    <col min="4" max="4" width="10.42578125" bestFit="1" customWidth="1"/>
    <col min="5" max="5" width="7.5703125" bestFit="1" customWidth="1"/>
    <col min="6" max="6" width="10.85546875" bestFit="1" customWidth="1"/>
    <col min="7" max="7" width="8.5703125" style="4" customWidth="1"/>
    <col min="8" max="8" width="5.28515625" bestFit="1" customWidth="1"/>
    <col min="9" max="9" width="10.42578125" bestFit="1" customWidth="1"/>
    <col min="10" max="10" width="14.5703125" bestFit="1" customWidth="1"/>
    <col min="11" max="11" width="13.28515625" bestFit="1" customWidth="1"/>
    <col min="12" max="13" width="11.85546875" bestFit="1" customWidth="1"/>
    <col min="14" max="14" width="4.85546875" bestFit="1" customWidth="1"/>
  </cols>
  <sheetData>
    <row r="1" spans="1:14" x14ac:dyDescent="0.25">
      <c r="A1" s="136" t="s">
        <v>445</v>
      </c>
      <c r="H1" s="136" t="s">
        <v>447</v>
      </c>
    </row>
    <row r="2" spans="1:14" x14ac:dyDescent="0.25">
      <c r="A2" s="4" t="s">
        <v>38</v>
      </c>
      <c r="B2" s="4" t="s">
        <v>83</v>
      </c>
      <c r="C2" s="4" t="s">
        <v>296</v>
      </c>
      <c r="D2" s="4" t="s">
        <v>298</v>
      </c>
      <c r="E2" s="4" t="s">
        <v>307</v>
      </c>
      <c r="F2" s="4" t="s">
        <v>297</v>
      </c>
      <c r="H2" s="117" t="s">
        <v>38</v>
      </c>
      <c r="I2" s="117" t="s">
        <v>83</v>
      </c>
      <c r="J2" s="117" t="s">
        <v>308</v>
      </c>
      <c r="K2" s="117" t="s">
        <v>309</v>
      </c>
      <c r="L2" s="118" t="s">
        <v>104</v>
      </c>
      <c r="M2" s="118" t="s">
        <v>107</v>
      </c>
      <c r="N2" s="118" t="s">
        <v>310</v>
      </c>
    </row>
    <row r="3" spans="1:14" x14ac:dyDescent="0.25">
      <c r="A3" t="s">
        <v>39</v>
      </c>
      <c r="B3">
        <v>58</v>
      </c>
      <c r="C3">
        <v>17</v>
      </c>
      <c r="D3">
        <v>16</v>
      </c>
      <c r="E3">
        <f>C3-D3</f>
        <v>1</v>
      </c>
      <c r="F3">
        <v>1</v>
      </c>
      <c r="H3" s="119" t="s">
        <v>39</v>
      </c>
      <c r="I3" s="119">
        <v>58</v>
      </c>
      <c r="J3">
        <f>SUMIF(B3:B367, "58", C3:C367)</f>
        <v>512</v>
      </c>
      <c r="K3">
        <f>SUMIF(B3:B367, "58", E3:E367)</f>
        <v>60</v>
      </c>
      <c r="L3">
        <f>K3/J3</f>
        <v>0.1171875</v>
      </c>
      <c r="M3">
        <f>(COUNTIFS(B3:B367,"58",F3:F367,"0"))/N3</f>
        <v>0.52631578947368418</v>
      </c>
      <c r="N3">
        <f>COUNTIFS(B3:B367,"58",C3:C367,"&gt;0")</f>
        <v>19</v>
      </c>
    </row>
    <row r="4" spans="1:14" x14ac:dyDescent="0.25">
      <c r="A4" t="s">
        <v>39</v>
      </c>
      <c r="B4">
        <v>58</v>
      </c>
      <c r="C4">
        <v>17</v>
      </c>
      <c r="D4">
        <v>17</v>
      </c>
      <c r="E4">
        <f t="shared" ref="E4:E67" si="0">C4-D4</f>
        <v>0</v>
      </c>
      <c r="F4">
        <v>1</v>
      </c>
      <c r="H4" s="119" t="s">
        <v>39</v>
      </c>
      <c r="I4" s="119">
        <v>57</v>
      </c>
      <c r="J4" s="120">
        <f>SUMIF(B3:B367,"57", C3:C367)</f>
        <v>257</v>
      </c>
      <c r="K4">
        <f>SUMIF(B3:B367, "57", E3:E367)</f>
        <v>56</v>
      </c>
      <c r="L4">
        <f t="shared" ref="L4:L10" si="1">K4/J4</f>
        <v>0.21789883268482491</v>
      </c>
      <c r="M4">
        <f>(COUNTIFS(B3:B367,"57",F3:F367,"0"))/N4</f>
        <v>0.8</v>
      </c>
      <c r="N4">
        <f>COUNTIFS(B3:B367,"57",C3:C367,"&gt;0")</f>
        <v>10</v>
      </c>
    </row>
    <row r="5" spans="1:14" x14ac:dyDescent="0.25">
      <c r="A5" t="s">
        <v>39</v>
      </c>
      <c r="B5">
        <v>58</v>
      </c>
      <c r="C5">
        <v>3</v>
      </c>
      <c r="D5">
        <v>3</v>
      </c>
      <c r="E5">
        <f t="shared" si="0"/>
        <v>0</v>
      </c>
      <c r="F5">
        <v>1</v>
      </c>
      <c r="H5" s="119" t="s">
        <v>39</v>
      </c>
      <c r="I5" s="119" t="s">
        <v>265</v>
      </c>
      <c r="J5" s="120">
        <f>SUMIF(B3:B367,"SR1A", C3:C367)</f>
        <v>1824</v>
      </c>
      <c r="K5">
        <f>SUMIF(B3:B367, "SR1A", E3:E367)</f>
        <v>108</v>
      </c>
      <c r="L5">
        <f t="shared" si="1"/>
        <v>5.921052631578947E-2</v>
      </c>
      <c r="M5">
        <f>(COUNTIFS(B3:B367,"SR1A",F3:F367,"0"))/N5</f>
        <v>0.29166666666666669</v>
      </c>
      <c r="N5">
        <f>COUNTIFS(B3:B367,"SR1A",C3:C367,"&gt;0")</f>
        <v>48</v>
      </c>
    </row>
    <row r="6" spans="1:14" ht="23.25" customHeight="1" x14ac:dyDescent="0.25">
      <c r="A6" t="s">
        <v>39</v>
      </c>
      <c r="B6">
        <v>58</v>
      </c>
      <c r="C6">
        <v>11</v>
      </c>
      <c r="D6">
        <v>7</v>
      </c>
      <c r="E6">
        <f t="shared" si="0"/>
        <v>4</v>
      </c>
      <c r="F6">
        <v>0</v>
      </c>
      <c r="H6" s="119" t="s">
        <v>39</v>
      </c>
      <c r="I6" s="119" t="s">
        <v>271</v>
      </c>
      <c r="J6" s="120">
        <f>SUMIF(B3:B367,"Norrsundet", C3:C367)</f>
        <v>1857</v>
      </c>
      <c r="K6">
        <f>SUMIF(B3:B367, "Norrsundet", E3:E367)</f>
        <v>198</v>
      </c>
      <c r="L6">
        <f t="shared" si="1"/>
        <v>0.10662358642972536</v>
      </c>
      <c r="M6">
        <f>(COUNTIFS(B3:B367,"Norrsundet",F3:F367,"0"))/N6</f>
        <v>0.38636363636363635</v>
      </c>
      <c r="N6">
        <f>COUNTIFS(B3:B367,"Norrsundet",C3:C367,"&gt;0")</f>
        <v>44</v>
      </c>
    </row>
    <row r="7" spans="1:14" x14ac:dyDescent="0.25">
      <c r="A7" t="s">
        <v>39</v>
      </c>
      <c r="B7">
        <v>58</v>
      </c>
      <c r="C7">
        <v>21</v>
      </c>
      <c r="D7">
        <v>15</v>
      </c>
      <c r="E7">
        <f t="shared" si="0"/>
        <v>6</v>
      </c>
      <c r="F7">
        <v>0</v>
      </c>
      <c r="H7" s="119" t="s">
        <v>39</v>
      </c>
      <c r="I7" s="119" t="s">
        <v>277</v>
      </c>
      <c r="J7" s="120">
        <f>SUMIF(B3:B367,"N 26", C3:C367)</f>
        <v>1097</v>
      </c>
      <c r="K7">
        <f>SUMIF(B3:B367, "N 26", E3:E367)</f>
        <v>90</v>
      </c>
      <c r="L7">
        <f t="shared" si="1"/>
        <v>8.2041932543299903E-2</v>
      </c>
      <c r="M7">
        <f>(COUNTIFS(B3:B367,"N 26",F3:F367,"0"))/N7</f>
        <v>0.34375</v>
      </c>
      <c r="N7">
        <f>COUNTIFS(B3:B367,"N 26",C3:C367,"&gt;0")</f>
        <v>32</v>
      </c>
    </row>
    <row r="8" spans="1:14" x14ac:dyDescent="0.25">
      <c r="A8" t="s">
        <v>39</v>
      </c>
      <c r="B8">
        <v>58</v>
      </c>
      <c r="C8">
        <v>20</v>
      </c>
      <c r="D8">
        <v>17</v>
      </c>
      <c r="E8">
        <f t="shared" si="0"/>
        <v>3</v>
      </c>
      <c r="F8">
        <v>0</v>
      </c>
      <c r="H8" s="121" t="s">
        <v>39</v>
      </c>
      <c r="I8" s="121" t="s">
        <v>303</v>
      </c>
      <c r="J8" s="122">
        <f>SUMIF(B3:B367,"Brv8", C3:C367)</f>
        <v>1007</v>
      </c>
      <c r="K8" s="123">
        <f>SUMIF(B3:B367, "Brv8", E3:E367)</f>
        <v>103</v>
      </c>
      <c r="L8" s="123">
        <f t="shared" si="1"/>
        <v>0.10228401191658391</v>
      </c>
      <c r="M8" s="123">
        <f>(COUNTIFS(B3:B367,"Brv8",F3:F367,"0"))/N8</f>
        <v>0.46</v>
      </c>
      <c r="N8" s="123">
        <f>COUNTIFS(B3:B367,"Brv8",C3:C367,"&gt;0")</f>
        <v>50</v>
      </c>
    </row>
    <row r="9" spans="1:14" x14ac:dyDescent="0.25">
      <c r="A9" t="s">
        <v>39</v>
      </c>
      <c r="B9">
        <v>58</v>
      </c>
      <c r="C9">
        <v>7</v>
      </c>
      <c r="D9">
        <v>0</v>
      </c>
      <c r="E9">
        <f t="shared" si="0"/>
        <v>7</v>
      </c>
      <c r="F9">
        <v>0</v>
      </c>
      <c r="H9" s="121" t="s">
        <v>39</v>
      </c>
      <c r="I9" s="121" t="s">
        <v>302</v>
      </c>
      <c r="J9" s="122">
        <f>SUMIF(B3:B367,"Brv6", C3:C367)</f>
        <v>1203</v>
      </c>
      <c r="K9" s="123">
        <f>SUMIF(B3:B367, "Brv6", E3:E367)</f>
        <v>109</v>
      </c>
      <c r="L9" s="123">
        <f t="shared" si="1"/>
        <v>9.0606816292601824E-2</v>
      </c>
      <c r="M9" s="123">
        <f>(COUNTIFS(B3:B367,"Brv6",F3:F367,"0"))/N9</f>
        <v>0.5</v>
      </c>
      <c r="N9" s="123">
        <f>COUNTIFS(B3:B367,"Brv6",C3:C367,"&gt;0")</f>
        <v>54</v>
      </c>
    </row>
    <row r="10" spans="1:14" x14ac:dyDescent="0.25">
      <c r="A10" t="s">
        <v>39</v>
      </c>
      <c r="B10">
        <v>58</v>
      </c>
      <c r="C10">
        <v>21</v>
      </c>
      <c r="D10">
        <v>21</v>
      </c>
      <c r="E10">
        <f t="shared" si="0"/>
        <v>0</v>
      </c>
      <c r="F10">
        <v>1</v>
      </c>
      <c r="H10" s="121" t="s">
        <v>304</v>
      </c>
      <c r="I10" s="121" t="s">
        <v>305</v>
      </c>
      <c r="J10" s="122">
        <f>SUMIF(B3:B367,"Ask", C3:C367)</f>
        <v>3089</v>
      </c>
      <c r="K10" s="123">
        <f>SUMIF(B3:B367, "Ask", E3:E367)</f>
        <v>162</v>
      </c>
      <c r="L10" s="123">
        <f t="shared" si="1"/>
        <v>5.2444156685011331E-2</v>
      </c>
      <c r="M10" s="123">
        <f>(COUNTIFS(B3:B367,"Ask",F3:F367,"0"))/N10</f>
        <v>0.29629629629629628</v>
      </c>
      <c r="N10" s="123">
        <f>COUNTIFS(B3:B367,"Ask",C3:C367,"&gt;0")</f>
        <v>108</v>
      </c>
    </row>
    <row r="11" spans="1:14" x14ac:dyDescent="0.25">
      <c r="A11" t="s">
        <v>39</v>
      </c>
      <c r="B11">
        <v>58</v>
      </c>
      <c r="C11">
        <v>20</v>
      </c>
      <c r="D11">
        <v>20</v>
      </c>
      <c r="E11">
        <f t="shared" si="0"/>
        <v>0</v>
      </c>
      <c r="F11">
        <v>1</v>
      </c>
    </row>
    <row r="12" spans="1:14" x14ac:dyDescent="0.25">
      <c r="A12" t="s">
        <v>39</v>
      </c>
      <c r="B12">
        <v>58</v>
      </c>
      <c r="C12">
        <v>18</v>
      </c>
      <c r="D12">
        <v>16</v>
      </c>
      <c r="E12">
        <f t="shared" si="0"/>
        <v>2</v>
      </c>
      <c r="F12">
        <v>0</v>
      </c>
    </row>
    <row r="13" spans="1:14" x14ac:dyDescent="0.25">
      <c r="A13" t="s">
        <v>39</v>
      </c>
      <c r="B13">
        <v>58</v>
      </c>
      <c r="C13">
        <v>24</v>
      </c>
      <c r="D13">
        <v>18</v>
      </c>
      <c r="E13">
        <f t="shared" si="0"/>
        <v>6</v>
      </c>
      <c r="F13">
        <v>0</v>
      </c>
    </row>
    <row r="14" spans="1:14" x14ac:dyDescent="0.25">
      <c r="A14" t="s">
        <v>39</v>
      </c>
      <c r="B14">
        <v>58</v>
      </c>
      <c r="C14">
        <v>22</v>
      </c>
      <c r="D14">
        <v>19</v>
      </c>
      <c r="E14">
        <f t="shared" si="0"/>
        <v>3</v>
      </c>
      <c r="F14">
        <v>0</v>
      </c>
    </row>
    <row r="15" spans="1:14" x14ac:dyDescent="0.25">
      <c r="A15" t="s">
        <v>39</v>
      </c>
      <c r="B15">
        <v>58</v>
      </c>
      <c r="C15">
        <v>46</v>
      </c>
      <c r="D15">
        <v>38</v>
      </c>
      <c r="E15">
        <f t="shared" si="0"/>
        <v>8</v>
      </c>
      <c r="F15">
        <v>0</v>
      </c>
    </row>
    <row r="16" spans="1:14" x14ac:dyDescent="0.25">
      <c r="A16" t="s">
        <v>39</v>
      </c>
      <c r="B16">
        <v>58</v>
      </c>
      <c r="C16">
        <v>45</v>
      </c>
      <c r="D16">
        <v>44</v>
      </c>
      <c r="E16">
        <f t="shared" si="0"/>
        <v>1</v>
      </c>
      <c r="F16">
        <v>1</v>
      </c>
    </row>
    <row r="17" spans="1:6" x14ac:dyDescent="0.25">
      <c r="A17" t="s">
        <v>39</v>
      </c>
      <c r="B17">
        <v>58</v>
      </c>
      <c r="C17">
        <v>39</v>
      </c>
      <c r="D17">
        <v>38</v>
      </c>
      <c r="E17">
        <f t="shared" si="0"/>
        <v>1</v>
      </c>
      <c r="F17">
        <v>1</v>
      </c>
    </row>
    <row r="18" spans="1:6" x14ac:dyDescent="0.25">
      <c r="A18" t="s">
        <v>39</v>
      </c>
      <c r="B18">
        <v>58</v>
      </c>
      <c r="C18">
        <v>56</v>
      </c>
      <c r="D18">
        <v>56</v>
      </c>
      <c r="E18">
        <f t="shared" si="0"/>
        <v>0</v>
      </c>
      <c r="F18">
        <v>1</v>
      </c>
    </row>
    <row r="19" spans="1:6" x14ac:dyDescent="0.25">
      <c r="A19" t="s">
        <v>39</v>
      </c>
      <c r="B19">
        <v>58</v>
      </c>
      <c r="C19">
        <v>42</v>
      </c>
      <c r="D19">
        <v>36</v>
      </c>
      <c r="E19">
        <f t="shared" si="0"/>
        <v>6</v>
      </c>
      <c r="F19">
        <v>0</v>
      </c>
    </row>
    <row r="20" spans="1:6" x14ac:dyDescent="0.25">
      <c r="A20" t="s">
        <v>39</v>
      </c>
      <c r="B20">
        <v>58</v>
      </c>
      <c r="C20">
        <v>33</v>
      </c>
      <c r="D20">
        <v>22</v>
      </c>
      <c r="E20">
        <f t="shared" si="0"/>
        <v>11</v>
      </c>
      <c r="F20">
        <v>0</v>
      </c>
    </row>
    <row r="21" spans="1:6" x14ac:dyDescent="0.25">
      <c r="A21" t="s">
        <v>39</v>
      </c>
      <c r="B21">
        <v>58</v>
      </c>
      <c r="C21">
        <v>50</v>
      </c>
      <c r="D21">
        <v>49</v>
      </c>
      <c r="E21">
        <f t="shared" si="0"/>
        <v>1</v>
      </c>
      <c r="F21">
        <v>1</v>
      </c>
    </row>
    <row r="22" spans="1:6" x14ac:dyDescent="0.25">
      <c r="A22" t="s">
        <v>39</v>
      </c>
      <c r="B22">
        <v>57</v>
      </c>
      <c r="C22">
        <v>25</v>
      </c>
      <c r="D22">
        <v>25</v>
      </c>
      <c r="E22">
        <f t="shared" si="0"/>
        <v>0</v>
      </c>
      <c r="F22">
        <v>1</v>
      </c>
    </row>
    <row r="23" spans="1:6" x14ac:dyDescent="0.25">
      <c r="A23" t="s">
        <v>39</v>
      </c>
      <c r="B23">
        <v>57</v>
      </c>
      <c r="C23">
        <v>17</v>
      </c>
      <c r="D23">
        <v>13</v>
      </c>
      <c r="E23">
        <f t="shared" si="0"/>
        <v>4</v>
      </c>
      <c r="F23">
        <v>0</v>
      </c>
    </row>
    <row r="24" spans="1:6" x14ac:dyDescent="0.25">
      <c r="A24" t="s">
        <v>39</v>
      </c>
      <c r="B24">
        <v>57</v>
      </c>
      <c r="C24">
        <v>25</v>
      </c>
      <c r="D24">
        <v>18</v>
      </c>
      <c r="E24">
        <f t="shared" si="0"/>
        <v>7</v>
      </c>
      <c r="F24">
        <v>0</v>
      </c>
    </row>
    <row r="25" spans="1:6" x14ac:dyDescent="0.25">
      <c r="A25" t="s">
        <v>39</v>
      </c>
      <c r="B25">
        <v>57</v>
      </c>
      <c r="C25">
        <v>14</v>
      </c>
      <c r="D25">
        <v>12</v>
      </c>
      <c r="E25">
        <f t="shared" si="0"/>
        <v>2</v>
      </c>
      <c r="F25">
        <v>0</v>
      </c>
    </row>
    <row r="26" spans="1:6" x14ac:dyDescent="0.25">
      <c r="A26" t="s">
        <v>39</v>
      </c>
      <c r="B26">
        <v>57</v>
      </c>
      <c r="C26">
        <v>19</v>
      </c>
      <c r="D26">
        <v>15</v>
      </c>
      <c r="E26">
        <f t="shared" si="0"/>
        <v>4</v>
      </c>
      <c r="F26">
        <v>0</v>
      </c>
    </row>
    <row r="27" spans="1:6" x14ac:dyDescent="0.25">
      <c r="A27" t="s">
        <v>39</v>
      </c>
      <c r="B27">
        <v>57</v>
      </c>
      <c r="C27">
        <v>26</v>
      </c>
      <c r="D27">
        <v>26</v>
      </c>
      <c r="E27">
        <f t="shared" si="0"/>
        <v>0</v>
      </c>
      <c r="F27">
        <v>1</v>
      </c>
    </row>
    <row r="28" spans="1:6" x14ac:dyDescent="0.25">
      <c r="A28" t="s">
        <v>39</v>
      </c>
      <c r="B28">
        <v>57</v>
      </c>
      <c r="C28">
        <v>31</v>
      </c>
      <c r="D28">
        <v>29</v>
      </c>
      <c r="E28">
        <f t="shared" si="0"/>
        <v>2</v>
      </c>
      <c r="F28">
        <v>0</v>
      </c>
    </row>
    <row r="29" spans="1:6" x14ac:dyDescent="0.25">
      <c r="A29" t="s">
        <v>39</v>
      </c>
      <c r="B29">
        <v>57</v>
      </c>
      <c r="C29">
        <v>29</v>
      </c>
      <c r="D29">
        <v>14</v>
      </c>
      <c r="E29">
        <f t="shared" si="0"/>
        <v>15</v>
      </c>
      <c r="F29">
        <v>0</v>
      </c>
    </row>
    <row r="30" spans="1:6" x14ac:dyDescent="0.25">
      <c r="A30" t="s">
        <v>39</v>
      </c>
      <c r="B30">
        <v>57</v>
      </c>
      <c r="C30">
        <v>16</v>
      </c>
      <c r="D30">
        <v>12</v>
      </c>
      <c r="E30">
        <f t="shared" si="0"/>
        <v>4</v>
      </c>
      <c r="F30">
        <v>0</v>
      </c>
    </row>
    <row r="31" spans="1:6" x14ac:dyDescent="0.25">
      <c r="A31" t="s">
        <v>39</v>
      </c>
      <c r="B31">
        <v>57</v>
      </c>
      <c r="C31">
        <v>55</v>
      </c>
      <c r="D31">
        <v>37</v>
      </c>
      <c r="E31">
        <f t="shared" si="0"/>
        <v>18</v>
      </c>
      <c r="F31">
        <v>0</v>
      </c>
    </row>
    <row r="32" spans="1:6" x14ac:dyDescent="0.25">
      <c r="A32" t="s">
        <v>39</v>
      </c>
      <c r="B32" t="s">
        <v>265</v>
      </c>
      <c r="C32">
        <v>48</v>
      </c>
      <c r="D32">
        <v>48</v>
      </c>
      <c r="E32">
        <f t="shared" si="0"/>
        <v>0</v>
      </c>
      <c r="F32">
        <v>1</v>
      </c>
    </row>
    <row r="33" spans="1:6" x14ac:dyDescent="0.25">
      <c r="A33" t="s">
        <v>39</v>
      </c>
      <c r="B33" t="s">
        <v>265</v>
      </c>
      <c r="C33">
        <v>16</v>
      </c>
      <c r="D33">
        <v>15</v>
      </c>
      <c r="E33">
        <f t="shared" si="0"/>
        <v>1</v>
      </c>
      <c r="F33">
        <v>1</v>
      </c>
    </row>
    <row r="34" spans="1:6" x14ac:dyDescent="0.25">
      <c r="A34" t="s">
        <v>39</v>
      </c>
      <c r="B34" t="s">
        <v>265</v>
      </c>
      <c r="C34">
        <v>22</v>
      </c>
      <c r="D34">
        <v>13</v>
      </c>
      <c r="E34">
        <f t="shared" si="0"/>
        <v>9</v>
      </c>
      <c r="F34">
        <v>0</v>
      </c>
    </row>
    <row r="35" spans="1:6" x14ac:dyDescent="0.25">
      <c r="A35" t="s">
        <v>39</v>
      </c>
      <c r="B35" t="s">
        <v>265</v>
      </c>
      <c r="C35">
        <v>48</v>
      </c>
      <c r="D35">
        <v>48</v>
      </c>
      <c r="E35">
        <f t="shared" si="0"/>
        <v>0</v>
      </c>
      <c r="F35">
        <v>1</v>
      </c>
    </row>
    <row r="36" spans="1:6" x14ac:dyDescent="0.25">
      <c r="A36" t="s">
        <v>39</v>
      </c>
      <c r="B36" t="s">
        <v>265</v>
      </c>
      <c r="C36">
        <v>52</v>
      </c>
      <c r="D36">
        <v>51</v>
      </c>
      <c r="E36">
        <f t="shared" si="0"/>
        <v>1</v>
      </c>
      <c r="F36">
        <v>1</v>
      </c>
    </row>
    <row r="37" spans="1:6" x14ac:dyDescent="0.25">
      <c r="A37" t="s">
        <v>39</v>
      </c>
      <c r="B37" t="s">
        <v>265</v>
      </c>
      <c r="C37">
        <v>30</v>
      </c>
      <c r="D37">
        <v>25</v>
      </c>
      <c r="E37">
        <f t="shared" si="0"/>
        <v>5</v>
      </c>
      <c r="F37">
        <v>0</v>
      </c>
    </row>
    <row r="38" spans="1:6" x14ac:dyDescent="0.25">
      <c r="A38" t="s">
        <v>39</v>
      </c>
      <c r="B38" t="s">
        <v>265</v>
      </c>
      <c r="C38">
        <v>51</v>
      </c>
      <c r="D38">
        <v>49</v>
      </c>
      <c r="E38">
        <f t="shared" si="0"/>
        <v>2</v>
      </c>
      <c r="F38">
        <v>1</v>
      </c>
    </row>
    <row r="39" spans="1:6" x14ac:dyDescent="0.25">
      <c r="A39" t="s">
        <v>39</v>
      </c>
      <c r="B39" t="s">
        <v>265</v>
      </c>
      <c r="C39">
        <v>35</v>
      </c>
      <c r="D39">
        <v>34</v>
      </c>
      <c r="E39">
        <f t="shared" si="0"/>
        <v>1</v>
      </c>
      <c r="F39">
        <v>1</v>
      </c>
    </row>
    <row r="40" spans="1:6" x14ac:dyDescent="0.25">
      <c r="A40" t="s">
        <v>39</v>
      </c>
      <c r="B40" t="s">
        <v>265</v>
      </c>
      <c r="C40">
        <v>28</v>
      </c>
      <c r="D40">
        <v>20</v>
      </c>
      <c r="E40">
        <f t="shared" si="0"/>
        <v>8</v>
      </c>
      <c r="F40">
        <v>0</v>
      </c>
    </row>
    <row r="41" spans="1:6" x14ac:dyDescent="0.25">
      <c r="A41" t="s">
        <v>39</v>
      </c>
      <c r="B41" t="s">
        <v>265</v>
      </c>
      <c r="C41">
        <v>38</v>
      </c>
      <c r="D41">
        <v>38</v>
      </c>
      <c r="E41">
        <f t="shared" si="0"/>
        <v>0</v>
      </c>
      <c r="F41">
        <v>1</v>
      </c>
    </row>
    <row r="42" spans="1:6" x14ac:dyDescent="0.25">
      <c r="A42" t="s">
        <v>39</v>
      </c>
      <c r="B42" t="s">
        <v>265</v>
      </c>
      <c r="C42">
        <v>31</v>
      </c>
      <c r="D42">
        <v>30</v>
      </c>
      <c r="E42">
        <f t="shared" si="0"/>
        <v>1</v>
      </c>
      <c r="F42">
        <v>1</v>
      </c>
    </row>
    <row r="43" spans="1:6" x14ac:dyDescent="0.25">
      <c r="A43" t="s">
        <v>39</v>
      </c>
      <c r="B43" t="s">
        <v>265</v>
      </c>
      <c r="C43">
        <v>46</v>
      </c>
      <c r="D43">
        <v>46</v>
      </c>
      <c r="E43">
        <f t="shared" si="0"/>
        <v>0</v>
      </c>
      <c r="F43">
        <v>1</v>
      </c>
    </row>
    <row r="44" spans="1:6" x14ac:dyDescent="0.25">
      <c r="A44" t="s">
        <v>39</v>
      </c>
      <c r="B44" t="s">
        <v>265</v>
      </c>
      <c r="C44">
        <v>42</v>
      </c>
      <c r="D44">
        <v>41</v>
      </c>
      <c r="E44">
        <f t="shared" si="0"/>
        <v>1</v>
      </c>
      <c r="F44">
        <v>1</v>
      </c>
    </row>
    <row r="45" spans="1:6" x14ac:dyDescent="0.25">
      <c r="A45" t="s">
        <v>39</v>
      </c>
      <c r="B45" t="s">
        <v>265</v>
      </c>
      <c r="C45">
        <v>48</v>
      </c>
      <c r="D45">
        <v>47</v>
      </c>
      <c r="E45">
        <f t="shared" si="0"/>
        <v>1</v>
      </c>
      <c r="F45">
        <v>1</v>
      </c>
    </row>
    <row r="46" spans="1:6" x14ac:dyDescent="0.25">
      <c r="A46" t="s">
        <v>39</v>
      </c>
      <c r="B46" t="s">
        <v>265</v>
      </c>
      <c r="C46">
        <v>47</v>
      </c>
      <c r="D46">
        <v>39</v>
      </c>
      <c r="E46">
        <f t="shared" si="0"/>
        <v>8</v>
      </c>
      <c r="F46">
        <v>0</v>
      </c>
    </row>
    <row r="47" spans="1:6" x14ac:dyDescent="0.25">
      <c r="A47" t="s">
        <v>39</v>
      </c>
      <c r="B47" t="s">
        <v>265</v>
      </c>
      <c r="C47">
        <v>31</v>
      </c>
      <c r="D47">
        <v>31</v>
      </c>
      <c r="E47">
        <f t="shared" si="0"/>
        <v>0</v>
      </c>
      <c r="F47">
        <v>1</v>
      </c>
    </row>
    <row r="48" spans="1:6" x14ac:dyDescent="0.25">
      <c r="A48" t="s">
        <v>39</v>
      </c>
      <c r="B48" t="s">
        <v>265</v>
      </c>
      <c r="C48">
        <v>56</v>
      </c>
      <c r="D48">
        <v>55</v>
      </c>
      <c r="E48">
        <f t="shared" si="0"/>
        <v>1</v>
      </c>
      <c r="F48">
        <v>1</v>
      </c>
    </row>
    <row r="49" spans="1:6" x14ac:dyDescent="0.25">
      <c r="A49" t="s">
        <v>39</v>
      </c>
      <c r="B49" t="s">
        <v>265</v>
      </c>
      <c r="C49">
        <v>29</v>
      </c>
      <c r="D49">
        <v>29</v>
      </c>
      <c r="E49">
        <f t="shared" si="0"/>
        <v>0</v>
      </c>
      <c r="F49">
        <v>1</v>
      </c>
    </row>
    <row r="50" spans="1:6" x14ac:dyDescent="0.25">
      <c r="A50" t="s">
        <v>39</v>
      </c>
      <c r="B50" t="s">
        <v>265</v>
      </c>
      <c r="C50">
        <v>20</v>
      </c>
      <c r="D50">
        <v>19</v>
      </c>
      <c r="E50">
        <f t="shared" si="0"/>
        <v>1</v>
      </c>
      <c r="F50">
        <v>1</v>
      </c>
    </row>
    <row r="51" spans="1:6" x14ac:dyDescent="0.25">
      <c r="A51" t="s">
        <v>39</v>
      </c>
      <c r="B51" t="s">
        <v>265</v>
      </c>
      <c r="C51">
        <v>52</v>
      </c>
      <c r="D51">
        <v>48</v>
      </c>
      <c r="E51">
        <f t="shared" si="0"/>
        <v>4</v>
      </c>
      <c r="F51">
        <v>0</v>
      </c>
    </row>
    <row r="52" spans="1:6" x14ac:dyDescent="0.25">
      <c r="A52" t="s">
        <v>39</v>
      </c>
      <c r="B52" t="s">
        <v>265</v>
      </c>
      <c r="C52">
        <v>20</v>
      </c>
      <c r="D52">
        <v>19</v>
      </c>
      <c r="E52">
        <f t="shared" si="0"/>
        <v>1</v>
      </c>
      <c r="F52">
        <v>1</v>
      </c>
    </row>
    <row r="53" spans="1:6" x14ac:dyDescent="0.25">
      <c r="A53" t="s">
        <v>39</v>
      </c>
      <c r="B53" t="s">
        <v>265</v>
      </c>
      <c r="C53">
        <v>40</v>
      </c>
      <c r="D53">
        <v>33</v>
      </c>
      <c r="E53">
        <f t="shared" si="0"/>
        <v>7</v>
      </c>
      <c r="F53">
        <v>0</v>
      </c>
    </row>
    <row r="54" spans="1:6" x14ac:dyDescent="0.25">
      <c r="A54" t="s">
        <v>39</v>
      </c>
      <c r="B54" t="s">
        <v>265</v>
      </c>
      <c r="C54">
        <v>48</v>
      </c>
      <c r="D54">
        <v>47</v>
      </c>
      <c r="E54">
        <f t="shared" si="0"/>
        <v>1</v>
      </c>
      <c r="F54">
        <v>1</v>
      </c>
    </row>
    <row r="55" spans="1:6" x14ac:dyDescent="0.25">
      <c r="A55" t="s">
        <v>39</v>
      </c>
      <c r="B55" t="s">
        <v>265</v>
      </c>
      <c r="C55">
        <v>54</v>
      </c>
      <c r="D55">
        <v>48</v>
      </c>
      <c r="E55">
        <f t="shared" si="0"/>
        <v>6</v>
      </c>
      <c r="F55">
        <v>0</v>
      </c>
    </row>
    <row r="56" spans="1:6" x14ac:dyDescent="0.25">
      <c r="A56" t="s">
        <v>39</v>
      </c>
      <c r="B56" t="s">
        <v>265</v>
      </c>
      <c r="C56">
        <v>20</v>
      </c>
      <c r="D56">
        <v>20</v>
      </c>
      <c r="E56">
        <f t="shared" si="0"/>
        <v>0</v>
      </c>
      <c r="F56">
        <v>1</v>
      </c>
    </row>
    <row r="57" spans="1:6" x14ac:dyDescent="0.25">
      <c r="A57" t="s">
        <v>39</v>
      </c>
      <c r="B57" t="s">
        <v>265</v>
      </c>
      <c r="C57">
        <v>34</v>
      </c>
      <c r="D57">
        <v>23</v>
      </c>
      <c r="E57">
        <f t="shared" si="0"/>
        <v>11</v>
      </c>
      <c r="F57">
        <v>0</v>
      </c>
    </row>
    <row r="58" spans="1:6" x14ac:dyDescent="0.25">
      <c r="A58" t="s">
        <v>39</v>
      </c>
      <c r="B58" t="s">
        <v>265</v>
      </c>
      <c r="C58">
        <v>35</v>
      </c>
      <c r="D58">
        <v>35</v>
      </c>
      <c r="E58">
        <f t="shared" si="0"/>
        <v>0</v>
      </c>
      <c r="F58">
        <v>1</v>
      </c>
    </row>
    <row r="59" spans="1:6" x14ac:dyDescent="0.25">
      <c r="A59" t="s">
        <v>39</v>
      </c>
      <c r="B59" t="s">
        <v>265</v>
      </c>
      <c r="C59">
        <v>37</v>
      </c>
      <c r="D59">
        <v>37</v>
      </c>
      <c r="E59">
        <f t="shared" si="0"/>
        <v>0</v>
      </c>
      <c r="F59">
        <v>1</v>
      </c>
    </row>
    <row r="60" spans="1:6" x14ac:dyDescent="0.25">
      <c r="A60" t="s">
        <v>39</v>
      </c>
      <c r="B60" t="s">
        <v>265</v>
      </c>
      <c r="C60">
        <v>57</v>
      </c>
      <c r="D60">
        <v>56</v>
      </c>
      <c r="E60">
        <f t="shared" si="0"/>
        <v>1</v>
      </c>
      <c r="F60">
        <v>1</v>
      </c>
    </row>
    <row r="61" spans="1:6" x14ac:dyDescent="0.25">
      <c r="A61" t="s">
        <v>39</v>
      </c>
      <c r="B61" t="s">
        <v>265</v>
      </c>
      <c r="C61">
        <v>33</v>
      </c>
      <c r="D61">
        <v>33</v>
      </c>
      <c r="E61">
        <f t="shared" si="0"/>
        <v>0</v>
      </c>
      <c r="F61">
        <v>1</v>
      </c>
    </row>
    <row r="62" spans="1:6" x14ac:dyDescent="0.25">
      <c r="A62" t="s">
        <v>39</v>
      </c>
      <c r="B62" t="s">
        <v>265</v>
      </c>
      <c r="C62">
        <v>58</v>
      </c>
      <c r="D62">
        <v>49</v>
      </c>
      <c r="E62">
        <f t="shared" si="0"/>
        <v>9</v>
      </c>
      <c r="F62">
        <v>0</v>
      </c>
    </row>
    <row r="63" spans="1:6" x14ac:dyDescent="0.25">
      <c r="A63" t="s">
        <v>39</v>
      </c>
      <c r="B63" t="s">
        <v>265</v>
      </c>
      <c r="C63">
        <v>21</v>
      </c>
      <c r="D63">
        <v>21</v>
      </c>
      <c r="E63">
        <f t="shared" si="0"/>
        <v>0</v>
      </c>
      <c r="F63">
        <v>1</v>
      </c>
    </row>
    <row r="64" spans="1:6" x14ac:dyDescent="0.25">
      <c r="A64" t="s">
        <v>39</v>
      </c>
      <c r="B64" t="s">
        <v>265</v>
      </c>
      <c r="C64">
        <v>10</v>
      </c>
      <c r="D64">
        <v>10</v>
      </c>
      <c r="E64">
        <f t="shared" si="0"/>
        <v>0</v>
      </c>
      <c r="F64">
        <v>1</v>
      </c>
    </row>
    <row r="65" spans="1:6" x14ac:dyDescent="0.25">
      <c r="A65" t="s">
        <v>39</v>
      </c>
      <c r="B65" t="s">
        <v>265</v>
      </c>
      <c r="C65">
        <v>34</v>
      </c>
      <c r="D65">
        <v>34</v>
      </c>
      <c r="E65">
        <f t="shared" si="0"/>
        <v>0</v>
      </c>
      <c r="F65">
        <v>1</v>
      </c>
    </row>
    <row r="66" spans="1:6" x14ac:dyDescent="0.25">
      <c r="A66" t="s">
        <v>39</v>
      </c>
      <c r="B66" t="s">
        <v>265</v>
      </c>
      <c r="C66">
        <v>21</v>
      </c>
      <c r="D66">
        <v>20</v>
      </c>
      <c r="E66">
        <f t="shared" si="0"/>
        <v>1</v>
      </c>
      <c r="F66">
        <v>1</v>
      </c>
    </row>
    <row r="67" spans="1:6" x14ac:dyDescent="0.25">
      <c r="A67" t="s">
        <v>39</v>
      </c>
      <c r="B67" t="s">
        <v>265</v>
      </c>
      <c r="C67">
        <v>62</v>
      </c>
      <c r="D67">
        <v>55</v>
      </c>
      <c r="E67">
        <f t="shared" si="0"/>
        <v>7</v>
      </c>
      <c r="F67">
        <v>0</v>
      </c>
    </row>
    <row r="68" spans="1:6" x14ac:dyDescent="0.25">
      <c r="A68" t="s">
        <v>39</v>
      </c>
      <c r="B68" t="s">
        <v>265</v>
      </c>
      <c r="C68">
        <v>30</v>
      </c>
      <c r="D68">
        <v>26</v>
      </c>
      <c r="E68">
        <f t="shared" ref="E68:E131" si="2">C68-D68</f>
        <v>4</v>
      </c>
      <c r="F68">
        <v>0</v>
      </c>
    </row>
    <row r="69" spans="1:6" x14ac:dyDescent="0.25">
      <c r="A69" t="s">
        <v>39</v>
      </c>
      <c r="B69" t="s">
        <v>265</v>
      </c>
      <c r="C69">
        <v>30</v>
      </c>
      <c r="D69">
        <v>29</v>
      </c>
      <c r="E69">
        <f t="shared" si="2"/>
        <v>1</v>
      </c>
      <c r="F69">
        <v>1</v>
      </c>
    </row>
    <row r="70" spans="1:6" x14ac:dyDescent="0.25">
      <c r="A70" t="s">
        <v>39</v>
      </c>
      <c r="B70" t="s">
        <v>265</v>
      </c>
      <c r="C70">
        <v>45</v>
      </c>
      <c r="D70">
        <v>44</v>
      </c>
      <c r="E70">
        <f t="shared" si="2"/>
        <v>1</v>
      </c>
      <c r="F70">
        <v>1</v>
      </c>
    </row>
    <row r="71" spans="1:6" x14ac:dyDescent="0.25">
      <c r="A71" t="s">
        <v>39</v>
      </c>
      <c r="B71" t="s">
        <v>265</v>
      </c>
      <c r="C71">
        <v>47</v>
      </c>
      <c r="D71">
        <v>47</v>
      </c>
      <c r="E71">
        <f t="shared" si="2"/>
        <v>0</v>
      </c>
      <c r="F71">
        <v>1</v>
      </c>
    </row>
    <row r="72" spans="1:6" x14ac:dyDescent="0.25">
      <c r="A72" t="s">
        <v>39</v>
      </c>
      <c r="B72" t="s">
        <v>265</v>
      </c>
      <c r="C72">
        <v>34</v>
      </c>
      <c r="D72">
        <v>29</v>
      </c>
      <c r="E72">
        <f t="shared" si="2"/>
        <v>5</v>
      </c>
      <c r="F72">
        <v>0</v>
      </c>
    </row>
    <row r="73" spans="1:6" x14ac:dyDescent="0.25">
      <c r="A73" t="s">
        <v>39</v>
      </c>
      <c r="B73" t="s">
        <v>265</v>
      </c>
      <c r="C73">
        <v>56</v>
      </c>
      <c r="D73">
        <v>55</v>
      </c>
      <c r="E73">
        <f t="shared" si="2"/>
        <v>1</v>
      </c>
      <c r="F73">
        <v>1</v>
      </c>
    </row>
    <row r="74" spans="1:6" x14ac:dyDescent="0.25">
      <c r="A74" t="s">
        <v>39</v>
      </c>
      <c r="B74" t="s">
        <v>265</v>
      </c>
      <c r="C74">
        <v>41</v>
      </c>
      <c r="D74">
        <v>41</v>
      </c>
      <c r="E74">
        <f t="shared" si="2"/>
        <v>0</v>
      </c>
      <c r="F74">
        <v>1</v>
      </c>
    </row>
    <row r="75" spans="1:6" x14ac:dyDescent="0.25">
      <c r="A75" t="s">
        <v>39</v>
      </c>
      <c r="B75" t="s">
        <v>265</v>
      </c>
      <c r="C75">
        <v>20</v>
      </c>
      <c r="D75">
        <v>16</v>
      </c>
      <c r="E75">
        <f t="shared" si="2"/>
        <v>4</v>
      </c>
      <c r="F75">
        <v>0</v>
      </c>
    </row>
    <row r="76" spans="1:6" x14ac:dyDescent="0.25">
      <c r="A76" t="s">
        <v>39</v>
      </c>
      <c r="B76" t="s">
        <v>265</v>
      </c>
      <c r="C76">
        <v>33</v>
      </c>
      <c r="D76">
        <v>29</v>
      </c>
      <c r="E76">
        <f t="shared" si="2"/>
        <v>4</v>
      </c>
      <c r="F76">
        <v>0</v>
      </c>
    </row>
    <row r="77" spans="1:6" x14ac:dyDescent="0.25">
      <c r="A77" t="s">
        <v>39</v>
      </c>
      <c r="B77" t="s">
        <v>265</v>
      </c>
      <c r="C77">
        <v>64</v>
      </c>
      <c r="D77">
        <v>64</v>
      </c>
      <c r="E77">
        <f t="shared" si="2"/>
        <v>0</v>
      </c>
      <c r="F77">
        <v>1</v>
      </c>
    </row>
    <row r="78" spans="1:6" x14ac:dyDescent="0.25">
      <c r="A78" t="s">
        <v>39</v>
      </c>
      <c r="B78" t="s">
        <v>265</v>
      </c>
      <c r="C78">
        <v>34</v>
      </c>
      <c r="D78">
        <v>34</v>
      </c>
      <c r="E78">
        <f t="shared" si="2"/>
        <v>0</v>
      </c>
      <c r="F78">
        <v>1</v>
      </c>
    </row>
    <row r="79" spans="1:6" x14ac:dyDescent="0.25">
      <c r="A79" t="s">
        <v>39</v>
      </c>
      <c r="B79" t="s">
        <v>265</v>
      </c>
      <c r="C79">
        <v>36</v>
      </c>
      <c r="D79">
        <v>36</v>
      </c>
      <c r="E79">
        <f t="shared" si="2"/>
        <v>0</v>
      </c>
      <c r="F79">
        <v>1</v>
      </c>
    </row>
    <row r="80" spans="1:6" x14ac:dyDescent="0.25">
      <c r="A80" t="s">
        <v>39</v>
      </c>
      <c r="B80" t="s">
        <v>271</v>
      </c>
      <c r="C80">
        <v>11</v>
      </c>
      <c r="D80">
        <v>11</v>
      </c>
      <c r="E80">
        <f t="shared" si="2"/>
        <v>0</v>
      </c>
      <c r="F80">
        <v>1</v>
      </c>
    </row>
    <row r="81" spans="1:6" x14ac:dyDescent="0.25">
      <c r="A81" t="s">
        <v>39</v>
      </c>
      <c r="B81" t="s">
        <v>271</v>
      </c>
      <c r="C81">
        <v>34</v>
      </c>
      <c r="D81">
        <v>34</v>
      </c>
      <c r="E81">
        <f t="shared" si="2"/>
        <v>0</v>
      </c>
      <c r="F81">
        <v>1</v>
      </c>
    </row>
    <row r="82" spans="1:6" x14ac:dyDescent="0.25">
      <c r="A82" t="s">
        <v>39</v>
      </c>
      <c r="B82" t="s">
        <v>271</v>
      </c>
      <c r="C82">
        <v>33</v>
      </c>
      <c r="D82">
        <v>32</v>
      </c>
      <c r="E82">
        <f t="shared" si="2"/>
        <v>1</v>
      </c>
      <c r="F82">
        <v>1</v>
      </c>
    </row>
    <row r="83" spans="1:6" x14ac:dyDescent="0.25">
      <c r="A83" t="s">
        <v>39</v>
      </c>
      <c r="B83" t="s">
        <v>271</v>
      </c>
      <c r="C83">
        <v>44</v>
      </c>
      <c r="D83">
        <v>44</v>
      </c>
      <c r="E83">
        <f t="shared" si="2"/>
        <v>0</v>
      </c>
      <c r="F83">
        <v>1</v>
      </c>
    </row>
    <row r="84" spans="1:6" x14ac:dyDescent="0.25">
      <c r="A84" t="s">
        <v>39</v>
      </c>
      <c r="B84" t="s">
        <v>271</v>
      </c>
      <c r="C84">
        <v>43</v>
      </c>
      <c r="D84">
        <v>43</v>
      </c>
      <c r="E84">
        <f t="shared" si="2"/>
        <v>0</v>
      </c>
      <c r="F84">
        <v>1</v>
      </c>
    </row>
    <row r="85" spans="1:6" x14ac:dyDescent="0.25">
      <c r="A85" t="s">
        <v>39</v>
      </c>
      <c r="B85" t="s">
        <v>271</v>
      </c>
      <c r="C85">
        <v>35</v>
      </c>
      <c r="D85">
        <v>32</v>
      </c>
      <c r="E85">
        <f t="shared" si="2"/>
        <v>3</v>
      </c>
      <c r="F85">
        <v>0</v>
      </c>
    </row>
    <row r="86" spans="1:6" x14ac:dyDescent="0.25">
      <c r="A86" t="s">
        <v>39</v>
      </c>
      <c r="B86" t="s">
        <v>271</v>
      </c>
      <c r="C86">
        <v>24</v>
      </c>
      <c r="D86">
        <v>23</v>
      </c>
      <c r="E86">
        <f t="shared" si="2"/>
        <v>1</v>
      </c>
      <c r="F86">
        <v>1</v>
      </c>
    </row>
    <row r="87" spans="1:6" x14ac:dyDescent="0.25">
      <c r="A87" t="s">
        <v>39</v>
      </c>
      <c r="B87" t="s">
        <v>271</v>
      </c>
      <c r="C87">
        <v>32</v>
      </c>
      <c r="D87">
        <v>32</v>
      </c>
      <c r="E87">
        <f t="shared" si="2"/>
        <v>0</v>
      </c>
      <c r="F87">
        <v>1</v>
      </c>
    </row>
    <row r="88" spans="1:6" x14ac:dyDescent="0.25">
      <c r="A88" t="s">
        <v>39</v>
      </c>
      <c r="B88" t="s">
        <v>271</v>
      </c>
      <c r="C88">
        <v>32</v>
      </c>
      <c r="D88">
        <v>32</v>
      </c>
      <c r="E88">
        <f t="shared" si="2"/>
        <v>0</v>
      </c>
      <c r="F88">
        <v>1</v>
      </c>
    </row>
    <row r="89" spans="1:6" x14ac:dyDescent="0.25">
      <c r="A89" t="s">
        <v>39</v>
      </c>
      <c r="B89" t="s">
        <v>271</v>
      </c>
      <c r="C89">
        <v>38</v>
      </c>
      <c r="D89">
        <v>37</v>
      </c>
      <c r="E89">
        <f t="shared" si="2"/>
        <v>1</v>
      </c>
      <c r="F89">
        <v>1</v>
      </c>
    </row>
    <row r="90" spans="1:6" x14ac:dyDescent="0.25">
      <c r="A90" t="s">
        <v>39</v>
      </c>
      <c r="B90" t="s">
        <v>271</v>
      </c>
      <c r="C90">
        <v>63</v>
      </c>
      <c r="D90">
        <v>51</v>
      </c>
      <c r="E90">
        <f t="shared" si="2"/>
        <v>12</v>
      </c>
      <c r="F90">
        <v>0</v>
      </c>
    </row>
    <row r="91" spans="1:6" x14ac:dyDescent="0.25">
      <c r="A91" t="s">
        <v>39</v>
      </c>
      <c r="B91" t="s">
        <v>271</v>
      </c>
      <c r="C91">
        <v>36</v>
      </c>
      <c r="D91">
        <v>36</v>
      </c>
      <c r="E91">
        <f t="shared" si="2"/>
        <v>0</v>
      </c>
      <c r="F91">
        <v>1</v>
      </c>
    </row>
    <row r="92" spans="1:6" x14ac:dyDescent="0.25">
      <c r="A92" t="s">
        <v>39</v>
      </c>
      <c r="B92" t="s">
        <v>271</v>
      </c>
      <c r="C92">
        <v>29</v>
      </c>
      <c r="D92">
        <v>29</v>
      </c>
      <c r="E92">
        <f t="shared" si="2"/>
        <v>0</v>
      </c>
      <c r="F92">
        <v>1</v>
      </c>
    </row>
    <row r="93" spans="1:6" x14ac:dyDescent="0.25">
      <c r="A93" t="s">
        <v>39</v>
      </c>
      <c r="B93" t="s">
        <v>271</v>
      </c>
      <c r="C93">
        <v>47</v>
      </c>
      <c r="D93">
        <v>45</v>
      </c>
      <c r="E93">
        <f t="shared" si="2"/>
        <v>2</v>
      </c>
      <c r="F93">
        <v>1</v>
      </c>
    </row>
    <row r="94" spans="1:6" x14ac:dyDescent="0.25">
      <c r="A94" t="s">
        <v>39</v>
      </c>
      <c r="B94" t="s">
        <v>271</v>
      </c>
      <c r="C94">
        <v>33</v>
      </c>
      <c r="D94">
        <v>25</v>
      </c>
      <c r="E94">
        <f t="shared" si="2"/>
        <v>8</v>
      </c>
      <c r="F94">
        <v>0</v>
      </c>
    </row>
    <row r="95" spans="1:6" x14ac:dyDescent="0.25">
      <c r="A95" t="s">
        <v>39</v>
      </c>
      <c r="B95" t="s">
        <v>271</v>
      </c>
      <c r="C95">
        <v>45</v>
      </c>
      <c r="D95">
        <v>44</v>
      </c>
      <c r="E95">
        <f t="shared" si="2"/>
        <v>1</v>
      </c>
      <c r="F95">
        <v>1</v>
      </c>
    </row>
    <row r="96" spans="1:6" x14ac:dyDescent="0.25">
      <c r="A96" t="s">
        <v>39</v>
      </c>
      <c r="B96" t="s">
        <v>271</v>
      </c>
      <c r="C96">
        <v>31</v>
      </c>
      <c r="D96">
        <v>31</v>
      </c>
      <c r="E96">
        <f t="shared" si="2"/>
        <v>0</v>
      </c>
      <c r="F96">
        <v>1</v>
      </c>
    </row>
    <row r="97" spans="1:6" x14ac:dyDescent="0.25">
      <c r="A97" t="s">
        <v>39</v>
      </c>
      <c r="B97" t="s">
        <v>271</v>
      </c>
      <c r="C97">
        <v>32</v>
      </c>
      <c r="D97">
        <v>31</v>
      </c>
      <c r="E97">
        <f t="shared" si="2"/>
        <v>1</v>
      </c>
      <c r="F97">
        <v>1</v>
      </c>
    </row>
    <row r="98" spans="1:6" x14ac:dyDescent="0.25">
      <c r="A98" t="s">
        <v>39</v>
      </c>
      <c r="B98" t="s">
        <v>271</v>
      </c>
      <c r="C98">
        <v>45</v>
      </c>
      <c r="D98">
        <v>37</v>
      </c>
      <c r="E98">
        <f t="shared" si="2"/>
        <v>8</v>
      </c>
      <c r="F98">
        <v>0</v>
      </c>
    </row>
    <row r="99" spans="1:6" x14ac:dyDescent="0.25">
      <c r="A99" t="s">
        <v>39</v>
      </c>
      <c r="B99" t="s">
        <v>271</v>
      </c>
      <c r="C99">
        <v>78</v>
      </c>
      <c r="D99">
        <v>77</v>
      </c>
      <c r="E99">
        <f t="shared" si="2"/>
        <v>1</v>
      </c>
      <c r="F99">
        <v>1</v>
      </c>
    </row>
    <row r="100" spans="1:6" x14ac:dyDescent="0.25">
      <c r="A100" t="s">
        <v>39</v>
      </c>
      <c r="B100" t="s">
        <v>271</v>
      </c>
      <c r="C100">
        <v>32</v>
      </c>
      <c r="D100">
        <v>30</v>
      </c>
      <c r="E100">
        <f t="shared" si="2"/>
        <v>2</v>
      </c>
      <c r="F100">
        <v>0</v>
      </c>
    </row>
    <row r="101" spans="1:6" x14ac:dyDescent="0.25">
      <c r="A101" t="s">
        <v>39</v>
      </c>
      <c r="B101" t="s">
        <v>271</v>
      </c>
      <c r="C101">
        <v>32</v>
      </c>
      <c r="D101">
        <v>19</v>
      </c>
      <c r="E101">
        <f t="shared" si="2"/>
        <v>13</v>
      </c>
      <c r="F101">
        <v>0</v>
      </c>
    </row>
    <row r="102" spans="1:6" x14ac:dyDescent="0.25">
      <c r="A102" t="s">
        <v>39</v>
      </c>
      <c r="B102" t="s">
        <v>271</v>
      </c>
      <c r="C102">
        <v>46</v>
      </c>
      <c r="D102">
        <v>42</v>
      </c>
      <c r="E102">
        <f t="shared" si="2"/>
        <v>4</v>
      </c>
      <c r="F102">
        <v>0</v>
      </c>
    </row>
    <row r="103" spans="1:6" x14ac:dyDescent="0.25">
      <c r="A103" t="s">
        <v>39</v>
      </c>
      <c r="B103" t="s">
        <v>271</v>
      </c>
      <c r="C103">
        <v>45</v>
      </c>
      <c r="D103">
        <v>45</v>
      </c>
      <c r="E103">
        <f t="shared" si="2"/>
        <v>0</v>
      </c>
      <c r="F103">
        <v>1</v>
      </c>
    </row>
    <row r="104" spans="1:6" x14ac:dyDescent="0.25">
      <c r="A104" t="s">
        <v>39</v>
      </c>
      <c r="B104" t="s">
        <v>271</v>
      </c>
      <c r="C104">
        <v>18</v>
      </c>
      <c r="D104">
        <v>14</v>
      </c>
      <c r="E104">
        <f t="shared" si="2"/>
        <v>4</v>
      </c>
      <c r="F104">
        <v>0</v>
      </c>
    </row>
    <row r="105" spans="1:6" x14ac:dyDescent="0.25">
      <c r="A105" t="s">
        <v>39</v>
      </c>
      <c r="B105" t="s">
        <v>271</v>
      </c>
      <c r="C105">
        <v>33</v>
      </c>
      <c r="D105">
        <v>33</v>
      </c>
      <c r="E105">
        <f t="shared" si="2"/>
        <v>0</v>
      </c>
      <c r="F105">
        <v>1</v>
      </c>
    </row>
    <row r="106" spans="1:6" x14ac:dyDescent="0.25">
      <c r="A106" t="s">
        <v>39</v>
      </c>
      <c r="B106" t="s">
        <v>271</v>
      </c>
      <c r="C106">
        <v>58</v>
      </c>
      <c r="D106">
        <v>57</v>
      </c>
      <c r="E106">
        <f t="shared" si="2"/>
        <v>1</v>
      </c>
      <c r="F106">
        <v>1</v>
      </c>
    </row>
    <row r="107" spans="1:6" x14ac:dyDescent="0.25">
      <c r="A107" t="s">
        <v>39</v>
      </c>
      <c r="B107" t="s">
        <v>271</v>
      </c>
      <c r="C107">
        <v>38</v>
      </c>
      <c r="D107">
        <v>6</v>
      </c>
      <c r="E107">
        <f t="shared" si="2"/>
        <v>32</v>
      </c>
      <c r="F107">
        <v>0</v>
      </c>
    </row>
    <row r="108" spans="1:6" x14ac:dyDescent="0.25">
      <c r="A108" t="s">
        <v>39</v>
      </c>
      <c r="B108" t="s">
        <v>271</v>
      </c>
      <c r="C108">
        <v>35</v>
      </c>
      <c r="D108">
        <v>35</v>
      </c>
      <c r="E108">
        <f t="shared" si="2"/>
        <v>0</v>
      </c>
      <c r="F108">
        <v>1</v>
      </c>
    </row>
    <row r="109" spans="1:6" x14ac:dyDescent="0.25">
      <c r="A109" t="s">
        <v>39</v>
      </c>
      <c r="B109" t="s">
        <v>271</v>
      </c>
      <c r="C109">
        <v>68</v>
      </c>
      <c r="D109">
        <v>57</v>
      </c>
      <c r="E109">
        <f t="shared" si="2"/>
        <v>11</v>
      </c>
      <c r="F109">
        <v>0</v>
      </c>
    </row>
    <row r="110" spans="1:6" x14ac:dyDescent="0.25">
      <c r="A110" t="s">
        <v>39</v>
      </c>
      <c r="B110" t="s">
        <v>271</v>
      </c>
      <c r="C110">
        <v>42</v>
      </c>
      <c r="D110">
        <v>37</v>
      </c>
      <c r="E110">
        <f t="shared" si="2"/>
        <v>5</v>
      </c>
      <c r="F110">
        <v>0</v>
      </c>
    </row>
    <row r="111" spans="1:6" x14ac:dyDescent="0.25">
      <c r="A111" t="s">
        <v>39</v>
      </c>
      <c r="B111" t="s">
        <v>271</v>
      </c>
      <c r="C111">
        <v>32</v>
      </c>
      <c r="D111">
        <v>26</v>
      </c>
      <c r="E111">
        <f t="shared" si="2"/>
        <v>6</v>
      </c>
      <c r="F111">
        <v>0</v>
      </c>
    </row>
    <row r="112" spans="1:6" x14ac:dyDescent="0.25">
      <c r="A112" t="s">
        <v>39</v>
      </c>
      <c r="B112" t="s">
        <v>271</v>
      </c>
      <c r="C112">
        <v>75</v>
      </c>
      <c r="D112">
        <v>65</v>
      </c>
      <c r="E112">
        <f t="shared" si="2"/>
        <v>10</v>
      </c>
      <c r="F112">
        <v>0</v>
      </c>
    </row>
    <row r="113" spans="1:6" x14ac:dyDescent="0.25">
      <c r="A113" t="s">
        <v>39</v>
      </c>
      <c r="B113" t="s">
        <v>271</v>
      </c>
      <c r="C113">
        <v>55</v>
      </c>
      <c r="D113">
        <v>44</v>
      </c>
      <c r="E113">
        <f t="shared" si="2"/>
        <v>11</v>
      </c>
      <c r="F113">
        <v>0</v>
      </c>
    </row>
    <row r="114" spans="1:6" x14ac:dyDescent="0.25">
      <c r="A114" t="s">
        <v>39</v>
      </c>
      <c r="B114" t="s">
        <v>271</v>
      </c>
      <c r="C114">
        <v>51</v>
      </c>
      <c r="D114">
        <v>18</v>
      </c>
      <c r="E114">
        <f t="shared" si="2"/>
        <v>33</v>
      </c>
      <c r="F114">
        <v>0</v>
      </c>
    </row>
    <row r="115" spans="1:6" x14ac:dyDescent="0.25">
      <c r="A115" t="s">
        <v>39</v>
      </c>
      <c r="B115" t="s">
        <v>271</v>
      </c>
      <c r="C115">
        <v>44</v>
      </c>
      <c r="D115">
        <v>42</v>
      </c>
      <c r="E115">
        <f t="shared" si="2"/>
        <v>2</v>
      </c>
      <c r="F115">
        <v>1</v>
      </c>
    </row>
    <row r="116" spans="1:6" x14ac:dyDescent="0.25">
      <c r="A116" t="s">
        <v>39</v>
      </c>
      <c r="B116" t="s">
        <v>271</v>
      </c>
      <c r="C116">
        <v>38</v>
      </c>
      <c r="D116">
        <v>36</v>
      </c>
      <c r="E116">
        <f t="shared" si="2"/>
        <v>2</v>
      </c>
      <c r="F116">
        <v>1</v>
      </c>
    </row>
    <row r="117" spans="1:6" x14ac:dyDescent="0.25">
      <c r="A117" t="s">
        <v>39</v>
      </c>
      <c r="B117" t="s">
        <v>271</v>
      </c>
      <c r="C117">
        <v>74</v>
      </c>
      <c r="D117">
        <v>74</v>
      </c>
      <c r="E117">
        <f t="shared" si="2"/>
        <v>0</v>
      </c>
      <c r="F117">
        <v>1</v>
      </c>
    </row>
    <row r="118" spans="1:6" x14ac:dyDescent="0.25">
      <c r="A118" t="s">
        <v>39</v>
      </c>
      <c r="B118" t="s">
        <v>271</v>
      </c>
      <c r="C118">
        <v>40</v>
      </c>
      <c r="D118">
        <v>29</v>
      </c>
      <c r="E118">
        <f t="shared" si="2"/>
        <v>11</v>
      </c>
      <c r="F118">
        <v>0</v>
      </c>
    </row>
    <row r="119" spans="1:6" x14ac:dyDescent="0.25">
      <c r="A119" t="s">
        <v>39</v>
      </c>
      <c r="B119" t="s">
        <v>271</v>
      </c>
      <c r="C119">
        <v>34</v>
      </c>
      <c r="D119">
        <v>32</v>
      </c>
      <c r="E119">
        <f t="shared" si="2"/>
        <v>2</v>
      </c>
      <c r="F119">
        <v>1</v>
      </c>
    </row>
    <row r="120" spans="1:6" x14ac:dyDescent="0.25">
      <c r="A120" t="s">
        <v>39</v>
      </c>
      <c r="B120" t="s">
        <v>271</v>
      </c>
      <c r="C120">
        <v>38</v>
      </c>
      <c r="D120">
        <v>38</v>
      </c>
      <c r="E120">
        <f t="shared" si="2"/>
        <v>0</v>
      </c>
      <c r="F120">
        <v>1</v>
      </c>
    </row>
    <row r="121" spans="1:6" x14ac:dyDescent="0.25">
      <c r="A121" t="s">
        <v>39</v>
      </c>
      <c r="B121" t="s">
        <v>271</v>
      </c>
      <c r="C121">
        <v>55</v>
      </c>
      <c r="D121">
        <v>49</v>
      </c>
      <c r="E121">
        <f t="shared" si="2"/>
        <v>6</v>
      </c>
      <c r="F121">
        <v>0</v>
      </c>
    </row>
    <row r="122" spans="1:6" x14ac:dyDescent="0.25">
      <c r="A122" t="s">
        <v>39</v>
      </c>
      <c r="B122" t="s">
        <v>271</v>
      </c>
      <c r="C122">
        <v>39</v>
      </c>
      <c r="D122">
        <v>38</v>
      </c>
      <c r="E122">
        <f t="shared" si="2"/>
        <v>1</v>
      </c>
      <c r="F122">
        <v>1</v>
      </c>
    </row>
    <row r="123" spans="1:6" x14ac:dyDescent="0.25">
      <c r="A123" t="s">
        <v>39</v>
      </c>
      <c r="B123" t="s">
        <v>271</v>
      </c>
      <c r="C123">
        <v>70</v>
      </c>
      <c r="D123">
        <v>67</v>
      </c>
      <c r="E123">
        <f t="shared" si="2"/>
        <v>3</v>
      </c>
      <c r="F123">
        <v>1</v>
      </c>
    </row>
    <row r="124" spans="1:6" x14ac:dyDescent="0.25">
      <c r="A124" t="s">
        <v>39</v>
      </c>
      <c r="B124" t="s">
        <v>277</v>
      </c>
      <c r="C124">
        <v>21</v>
      </c>
      <c r="D124">
        <v>20</v>
      </c>
      <c r="E124">
        <f t="shared" si="2"/>
        <v>1</v>
      </c>
      <c r="F124">
        <v>1</v>
      </c>
    </row>
    <row r="125" spans="1:6" x14ac:dyDescent="0.25">
      <c r="A125" t="s">
        <v>39</v>
      </c>
      <c r="B125" t="s">
        <v>277</v>
      </c>
      <c r="C125">
        <v>45</v>
      </c>
      <c r="D125">
        <v>44</v>
      </c>
      <c r="E125">
        <f t="shared" si="2"/>
        <v>1</v>
      </c>
      <c r="F125">
        <v>1</v>
      </c>
    </row>
    <row r="126" spans="1:6" x14ac:dyDescent="0.25">
      <c r="A126" t="s">
        <v>39</v>
      </c>
      <c r="B126" t="s">
        <v>277</v>
      </c>
      <c r="C126">
        <v>14</v>
      </c>
      <c r="D126">
        <v>5</v>
      </c>
      <c r="E126">
        <f t="shared" si="2"/>
        <v>9</v>
      </c>
      <c r="F126">
        <v>0</v>
      </c>
    </row>
    <row r="127" spans="1:6" x14ac:dyDescent="0.25">
      <c r="A127" t="s">
        <v>39</v>
      </c>
      <c r="B127" t="s">
        <v>277</v>
      </c>
      <c r="C127">
        <v>12</v>
      </c>
      <c r="D127">
        <v>11</v>
      </c>
      <c r="E127">
        <f t="shared" si="2"/>
        <v>1</v>
      </c>
      <c r="F127">
        <v>1</v>
      </c>
    </row>
    <row r="128" spans="1:6" x14ac:dyDescent="0.25">
      <c r="A128" t="s">
        <v>39</v>
      </c>
      <c r="B128" t="s">
        <v>277</v>
      </c>
      <c r="C128">
        <v>36</v>
      </c>
      <c r="D128">
        <v>32</v>
      </c>
      <c r="E128">
        <f t="shared" si="2"/>
        <v>4</v>
      </c>
      <c r="F128">
        <v>0</v>
      </c>
    </row>
    <row r="129" spans="1:6" x14ac:dyDescent="0.25">
      <c r="A129" t="s">
        <v>39</v>
      </c>
      <c r="B129" t="s">
        <v>277</v>
      </c>
      <c r="C129">
        <v>39</v>
      </c>
      <c r="D129">
        <v>32</v>
      </c>
      <c r="E129">
        <f t="shared" si="2"/>
        <v>7</v>
      </c>
      <c r="F129">
        <v>0</v>
      </c>
    </row>
    <row r="130" spans="1:6" x14ac:dyDescent="0.25">
      <c r="A130" t="s">
        <v>39</v>
      </c>
      <c r="B130" t="s">
        <v>277</v>
      </c>
      <c r="C130">
        <v>34</v>
      </c>
      <c r="D130">
        <v>30</v>
      </c>
      <c r="E130">
        <f t="shared" si="2"/>
        <v>4</v>
      </c>
      <c r="F130">
        <v>0</v>
      </c>
    </row>
    <row r="131" spans="1:6" x14ac:dyDescent="0.25">
      <c r="A131" t="s">
        <v>39</v>
      </c>
      <c r="B131" t="s">
        <v>277</v>
      </c>
      <c r="C131">
        <v>41</v>
      </c>
      <c r="D131">
        <v>37</v>
      </c>
      <c r="E131">
        <f t="shared" si="2"/>
        <v>4</v>
      </c>
      <c r="F131">
        <v>0</v>
      </c>
    </row>
    <row r="132" spans="1:6" x14ac:dyDescent="0.25">
      <c r="A132" t="s">
        <v>39</v>
      </c>
      <c r="B132" t="s">
        <v>277</v>
      </c>
      <c r="C132">
        <v>20</v>
      </c>
      <c r="D132">
        <v>20</v>
      </c>
      <c r="E132">
        <f t="shared" ref="E132:E195" si="3">C132-D132</f>
        <v>0</v>
      </c>
      <c r="F132">
        <v>1</v>
      </c>
    </row>
    <row r="133" spans="1:6" x14ac:dyDescent="0.25">
      <c r="A133" t="s">
        <v>39</v>
      </c>
      <c r="B133" t="s">
        <v>277</v>
      </c>
      <c r="C133">
        <v>50</v>
      </c>
      <c r="D133">
        <v>50</v>
      </c>
      <c r="E133">
        <f t="shared" si="3"/>
        <v>0</v>
      </c>
      <c r="F133">
        <v>1</v>
      </c>
    </row>
    <row r="134" spans="1:6" x14ac:dyDescent="0.25">
      <c r="A134" t="s">
        <v>39</v>
      </c>
      <c r="B134" t="s">
        <v>277</v>
      </c>
      <c r="C134">
        <v>43</v>
      </c>
      <c r="D134">
        <v>37</v>
      </c>
      <c r="E134">
        <f t="shared" si="3"/>
        <v>6</v>
      </c>
      <c r="F134">
        <v>0</v>
      </c>
    </row>
    <row r="135" spans="1:6" x14ac:dyDescent="0.25">
      <c r="A135" t="s">
        <v>39</v>
      </c>
      <c r="B135" t="s">
        <v>277</v>
      </c>
      <c r="C135">
        <v>48</v>
      </c>
      <c r="D135">
        <v>42</v>
      </c>
      <c r="E135">
        <f t="shared" si="3"/>
        <v>6</v>
      </c>
      <c r="F135">
        <v>0</v>
      </c>
    </row>
    <row r="136" spans="1:6" x14ac:dyDescent="0.25">
      <c r="A136" t="s">
        <v>39</v>
      </c>
      <c r="B136" t="s">
        <v>277</v>
      </c>
      <c r="C136">
        <v>35</v>
      </c>
      <c r="D136">
        <v>35</v>
      </c>
      <c r="E136">
        <f t="shared" si="3"/>
        <v>0</v>
      </c>
      <c r="F136">
        <v>1</v>
      </c>
    </row>
    <row r="137" spans="1:6" x14ac:dyDescent="0.25">
      <c r="A137" t="s">
        <v>39</v>
      </c>
      <c r="B137" t="s">
        <v>277</v>
      </c>
      <c r="C137">
        <v>18</v>
      </c>
      <c r="D137">
        <v>18</v>
      </c>
      <c r="E137">
        <f t="shared" si="3"/>
        <v>0</v>
      </c>
      <c r="F137">
        <v>1</v>
      </c>
    </row>
    <row r="138" spans="1:6" x14ac:dyDescent="0.25">
      <c r="A138" t="s">
        <v>39</v>
      </c>
      <c r="B138" t="s">
        <v>277</v>
      </c>
      <c r="C138">
        <v>28</v>
      </c>
      <c r="D138">
        <v>28</v>
      </c>
      <c r="E138">
        <f t="shared" si="3"/>
        <v>0</v>
      </c>
      <c r="F138">
        <v>1</v>
      </c>
    </row>
    <row r="139" spans="1:6" x14ac:dyDescent="0.25">
      <c r="A139" t="s">
        <v>39</v>
      </c>
      <c r="B139" t="s">
        <v>277</v>
      </c>
      <c r="C139">
        <v>26</v>
      </c>
      <c r="D139">
        <v>25</v>
      </c>
      <c r="E139">
        <f t="shared" si="3"/>
        <v>1</v>
      </c>
      <c r="F139">
        <v>1</v>
      </c>
    </row>
    <row r="140" spans="1:6" x14ac:dyDescent="0.25">
      <c r="A140" t="s">
        <v>39</v>
      </c>
      <c r="B140" t="s">
        <v>277</v>
      </c>
      <c r="C140">
        <v>45</v>
      </c>
      <c r="D140">
        <v>44</v>
      </c>
      <c r="E140">
        <f t="shared" si="3"/>
        <v>1</v>
      </c>
      <c r="F140">
        <v>1</v>
      </c>
    </row>
    <row r="141" spans="1:6" x14ac:dyDescent="0.25">
      <c r="A141" t="s">
        <v>39</v>
      </c>
      <c r="B141" t="s">
        <v>277</v>
      </c>
      <c r="C141">
        <v>41</v>
      </c>
      <c r="D141">
        <v>41</v>
      </c>
      <c r="E141">
        <f t="shared" si="3"/>
        <v>0</v>
      </c>
      <c r="F141">
        <v>1</v>
      </c>
    </row>
    <row r="142" spans="1:6" x14ac:dyDescent="0.25">
      <c r="A142" t="s">
        <v>39</v>
      </c>
      <c r="B142" t="s">
        <v>277</v>
      </c>
      <c r="C142">
        <v>29</v>
      </c>
      <c r="D142">
        <v>29</v>
      </c>
      <c r="E142">
        <f t="shared" si="3"/>
        <v>0</v>
      </c>
      <c r="F142">
        <v>1</v>
      </c>
    </row>
    <row r="143" spans="1:6" x14ac:dyDescent="0.25">
      <c r="A143" t="s">
        <v>39</v>
      </c>
      <c r="B143" t="s">
        <v>277</v>
      </c>
      <c r="C143">
        <v>24</v>
      </c>
      <c r="D143">
        <v>24</v>
      </c>
      <c r="E143">
        <f t="shared" si="3"/>
        <v>0</v>
      </c>
      <c r="F143">
        <v>1</v>
      </c>
    </row>
    <row r="144" spans="1:6" x14ac:dyDescent="0.25">
      <c r="A144" t="s">
        <v>39</v>
      </c>
      <c r="B144" t="s">
        <v>277</v>
      </c>
      <c r="C144">
        <v>41</v>
      </c>
      <c r="D144">
        <v>41</v>
      </c>
      <c r="E144">
        <f t="shared" si="3"/>
        <v>0</v>
      </c>
      <c r="F144">
        <v>1</v>
      </c>
    </row>
    <row r="145" spans="1:6" x14ac:dyDescent="0.25">
      <c r="A145" t="s">
        <v>39</v>
      </c>
      <c r="B145" t="s">
        <v>277</v>
      </c>
      <c r="C145">
        <v>44</v>
      </c>
      <c r="D145">
        <v>41</v>
      </c>
      <c r="E145">
        <f t="shared" si="3"/>
        <v>3</v>
      </c>
      <c r="F145">
        <v>0</v>
      </c>
    </row>
    <row r="146" spans="1:6" x14ac:dyDescent="0.25">
      <c r="A146" t="s">
        <v>39</v>
      </c>
      <c r="B146" t="s">
        <v>277</v>
      </c>
      <c r="C146">
        <v>35</v>
      </c>
      <c r="D146">
        <v>31</v>
      </c>
      <c r="E146">
        <f t="shared" si="3"/>
        <v>4</v>
      </c>
      <c r="F146">
        <v>0</v>
      </c>
    </row>
    <row r="147" spans="1:6" x14ac:dyDescent="0.25">
      <c r="A147" t="s">
        <v>39</v>
      </c>
      <c r="B147" t="s">
        <v>277</v>
      </c>
      <c r="C147">
        <v>43</v>
      </c>
      <c r="D147">
        <v>43</v>
      </c>
      <c r="E147">
        <f t="shared" si="3"/>
        <v>0</v>
      </c>
      <c r="F147">
        <v>1</v>
      </c>
    </row>
    <row r="148" spans="1:6" x14ac:dyDescent="0.25">
      <c r="A148" t="s">
        <v>39</v>
      </c>
      <c r="B148" t="s">
        <v>277</v>
      </c>
      <c r="C148">
        <v>54</v>
      </c>
      <c r="D148">
        <v>51</v>
      </c>
      <c r="E148">
        <f t="shared" si="3"/>
        <v>3</v>
      </c>
      <c r="F148">
        <v>1</v>
      </c>
    </row>
    <row r="149" spans="1:6" x14ac:dyDescent="0.25">
      <c r="A149" t="s">
        <v>39</v>
      </c>
      <c r="B149" t="s">
        <v>277</v>
      </c>
      <c r="C149">
        <v>24</v>
      </c>
      <c r="D149">
        <v>0</v>
      </c>
      <c r="E149">
        <f t="shared" si="3"/>
        <v>24</v>
      </c>
      <c r="F149">
        <v>0</v>
      </c>
    </row>
    <row r="150" spans="1:6" x14ac:dyDescent="0.25">
      <c r="A150" t="s">
        <v>39</v>
      </c>
      <c r="B150" t="s">
        <v>277</v>
      </c>
      <c r="C150">
        <v>26</v>
      </c>
      <c r="D150">
        <v>26</v>
      </c>
      <c r="E150">
        <f t="shared" si="3"/>
        <v>0</v>
      </c>
      <c r="F150">
        <v>1</v>
      </c>
    </row>
    <row r="151" spans="1:6" x14ac:dyDescent="0.25">
      <c r="A151" t="s">
        <v>39</v>
      </c>
      <c r="B151" t="s">
        <v>277</v>
      </c>
      <c r="C151">
        <v>37</v>
      </c>
      <c r="D151">
        <v>36</v>
      </c>
      <c r="E151">
        <f t="shared" si="3"/>
        <v>1</v>
      </c>
      <c r="F151">
        <v>1</v>
      </c>
    </row>
    <row r="152" spans="1:6" x14ac:dyDescent="0.25">
      <c r="A152" t="s">
        <v>39</v>
      </c>
      <c r="B152" t="s">
        <v>277</v>
      </c>
      <c r="C152">
        <v>34</v>
      </c>
      <c r="D152">
        <v>33</v>
      </c>
      <c r="E152">
        <f t="shared" si="3"/>
        <v>1</v>
      </c>
      <c r="F152">
        <v>1</v>
      </c>
    </row>
    <row r="153" spans="1:6" x14ac:dyDescent="0.25">
      <c r="A153" t="s">
        <v>39</v>
      </c>
      <c r="B153" t="s">
        <v>277</v>
      </c>
      <c r="C153">
        <v>47</v>
      </c>
      <c r="D153">
        <v>46</v>
      </c>
      <c r="E153">
        <f t="shared" si="3"/>
        <v>1</v>
      </c>
      <c r="F153">
        <v>1</v>
      </c>
    </row>
    <row r="154" spans="1:6" x14ac:dyDescent="0.25">
      <c r="A154" t="s">
        <v>39</v>
      </c>
      <c r="B154" t="s">
        <v>277</v>
      </c>
      <c r="C154">
        <v>25</v>
      </c>
      <c r="D154">
        <v>17</v>
      </c>
      <c r="E154">
        <f t="shared" si="3"/>
        <v>8</v>
      </c>
      <c r="F154">
        <v>0</v>
      </c>
    </row>
    <row r="155" spans="1:6" x14ac:dyDescent="0.25">
      <c r="A155" t="s">
        <v>39</v>
      </c>
      <c r="B155" t="s">
        <v>277</v>
      </c>
      <c r="C155">
        <v>38</v>
      </c>
      <c r="D155">
        <v>38</v>
      </c>
      <c r="E155">
        <f t="shared" si="3"/>
        <v>0</v>
      </c>
      <c r="F155">
        <v>1</v>
      </c>
    </row>
    <row r="156" spans="1:6" x14ac:dyDescent="0.25">
      <c r="A156" t="s">
        <v>39</v>
      </c>
      <c r="B156" t="s">
        <v>303</v>
      </c>
      <c r="C156">
        <v>18</v>
      </c>
      <c r="D156">
        <v>11</v>
      </c>
      <c r="E156">
        <f t="shared" si="3"/>
        <v>7</v>
      </c>
      <c r="F156">
        <v>0</v>
      </c>
    </row>
    <row r="157" spans="1:6" x14ac:dyDescent="0.25">
      <c r="A157" t="s">
        <v>39</v>
      </c>
      <c r="B157" t="s">
        <v>303</v>
      </c>
      <c r="C157">
        <v>14</v>
      </c>
      <c r="D157">
        <v>14</v>
      </c>
      <c r="E157">
        <f t="shared" si="3"/>
        <v>0</v>
      </c>
      <c r="F157">
        <v>1</v>
      </c>
    </row>
    <row r="158" spans="1:6" x14ac:dyDescent="0.25">
      <c r="A158" t="s">
        <v>39</v>
      </c>
      <c r="B158" t="s">
        <v>303</v>
      </c>
      <c r="C158">
        <v>20</v>
      </c>
      <c r="D158">
        <v>19</v>
      </c>
      <c r="E158">
        <f t="shared" si="3"/>
        <v>1</v>
      </c>
      <c r="F158">
        <v>1</v>
      </c>
    </row>
    <row r="159" spans="1:6" x14ac:dyDescent="0.25">
      <c r="A159" t="s">
        <v>39</v>
      </c>
      <c r="B159" t="s">
        <v>303</v>
      </c>
      <c r="C159">
        <v>15</v>
      </c>
      <c r="D159">
        <v>10</v>
      </c>
      <c r="E159">
        <f t="shared" si="3"/>
        <v>5</v>
      </c>
      <c r="F159">
        <v>0</v>
      </c>
    </row>
    <row r="160" spans="1:6" x14ac:dyDescent="0.25">
      <c r="A160" t="s">
        <v>39</v>
      </c>
      <c r="B160" t="s">
        <v>303</v>
      </c>
      <c r="C160">
        <v>29</v>
      </c>
      <c r="D160">
        <v>28</v>
      </c>
      <c r="E160">
        <f t="shared" si="3"/>
        <v>1</v>
      </c>
      <c r="F160">
        <v>1</v>
      </c>
    </row>
    <row r="161" spans="1:6" x14ac:dyDescent="0.25">
      <c r="A161" t="s">
        <v>39</v>
      </c>
      <c r="B161" t="s">
        <v>303</v>
      </c>
      <c r="C161">
        <v>35</v>
      </c>
      <c r="D161">
        <v>35</v>
      </c>
      <c r="E161">
        <f t="shared" si="3"/>
        <v>0</v>
      </c>
      <c r="F161">
        <v>1</v>
      </c>
    </row>
    <row r="162" spans="1:6" x14ac:dyDescent="0.25">
      <c r="A162" t="s">
        <v>39</v>
      </c>
      <c r="B162" t="s">
        <v>303</v>
      </c>
      <c r="C162">
        <v>31</v>
      </c>
      <c r="D162">
        <v>29</v>
      </c>
      <c r="E162">
        <f t="shared" si="3"/>
        <v>2</v>
      </c>
      <c r="F162">
        <v>0</v>
      </c>
    </row>
    <row r="163" spans="1:6" x14ac:dyDescent="0.25">
      <c r="A163" t="s">
        <v>39</v>
      </c>
      <c r="B163" t="s">
        <v>303</v>
      </c>
      <c r="C163">
        <v>16</v>
      </c>
      <c r="D163">
        <v>11</v>
      </c>
      <c r="E163">
        <f t="shared" si="3"/>
        <v>5</v>
      </c>
      <c r="F163">
        <v>0</v>
      </c>
    </row>
    <row r="164" spans="1:6" x14ac:dyDescent="0.25">
      <c r="A164" t="s">
        <v>39</v>
      </c>
      <c r="B164" t="s">
        <v>303</v>
      </c>
      <c r="C164">
        <v>15</v>
      </c>
      <c r="D164">
        <v>8</v>
      </c>
      <c r="E164">
        <f t="shared" si="3"/>
        <v>7</v>
      </c>
      <c r="F164">
        <v>0</v>
      </c>
    </row>
    <row r="165" spans="1:6" x14ac:dyDescent="0.25">
      <c r="A165" t="s">
        <v>39</v>
      </c>
      <c r="B165" t="s">
        <v>303</v>
      </c>
      <c r="C165">
        <v>15</v>
      </c>
      <c r="D165">
        <v>14</v>
      </c>
      <c r="E165">
        <f t="shared" si="3"/>
        <v>1</v>
      </c>
      <c r="F165">
        <v>0</v>
      </c>
    </row>
    <row r="166" spans="1:6" x14ac:dyDescent="0.25">
      <c r="A166" t="s">
        <v>39</v>
      </c>
      <c r="B166" t="s">
        <v>303</v>
      </c>
      <c r="C166">
        <v>12</v>
      </c>
      <c r="D166">
        <v>11</v>
      </c>
      <c r="E166">
        <f t="shared" si="3"/>
        <v>1</v>
      </c>
      <c r="F166">
        <v>0</v>
      </c>
    </row>
    <row r="167" spans="1:6" x14ac:dyDescent="0.25">
      <c r="A167" t="s">
        <v>39</v>
      </c>
      <c r="B167" t="s">
        <v>303</v>
      </c>
      <c r="C167">
        <v>13</v>
      </c>
      <c r="D167">
        <v>12</v>
      </c>
      <c r="E167">
        <f t="shared" si="3"/>
        <v>1</v>
      </c>
      <c r="F167">
        <v>0</v>
      </c>
    </row>
    <row r="168" spans="1:6" x14ac:dyDescent="0.25">
      <c r="A168" t="s">
        <v>39</v>
      </c>
      <c r="B168" t="s">
        <v>303</v>
      </c>
      <c r="C168">
        <v>21</v>
      </c>
      <c r="D168">
        <v>20</v>
      </c>
      <c r="E168">
        <f t="shared" si="3"/>
        <v>1</v>
      </c>
      <c r="F168">
        <v>1</v>
      </c>
    </row>
    <row r="169" spans="1:6" x14ac:dyDescent="0.25">
      <c r="A169" t="s">
        <v>39</v>
      </c>
      <c r="B169" t="s">
        <v>303</v>
      </c>
      <c r="C169">
        <v>20</v>
      </c>
      <c r="D169">
        <v>16</v>
      </c>
      <c r="E169">
        <f t="shared" si="3"/>
        <v>4</v>
      </c>
      <c r="F169">
        <v>0</v>
      </c>
    </row>
    <row r="170" spans="1:6" x14ac:dyDescent="0.25">
      <c r="A170" t="s">
        <v>39</v>
      </c>
      <c r="B170" t="s">
        <v>303</v>
      </c>
      <c r="C170">
        <v>22</v>
      </c>
      <c r="D170">
        <v>21</v>
      </c>
      <c r="E170">
        <f t="shared" si="3"/>
        <v>1</v>
      </c>
      <c r="F170">
        <v>1</v>
      </c>
    </row>
    <row r="171" spans="1:6" x14ac:dyDescent="0.25">
      <c r="A171" t="s">
        <v>39</v>
      </c>
      <c r="B171" t="s">
        <v>303</v>
      </c>
      <c r="C171">
        <v>12</v>
      </c>
      <c r="D171">
        <v>8</v>
      </c>
      <c r="E171">
        <f t="shared" si="3"/>
        <v>4</v>
      </c>
      <c r="F171">
        <v>0</v>
      </c>
    </row>
    <row r="172" spans="1:6" x14ac:dyDescent="0.25">
      <c r="A172" t="s">
        <v>39</v>
      </c>
      <c r="B172" t="s">
        <v>303</v>
      </c>
      <c r="C172">
        <v>19</v>
      </c>
      <c r="D172">
        <v>18</v>
      </c>
      <c r="E172">
        <f t="shared" si="3"/>
        <v>1</v>
      </c>
      <c r="F172">
        <v>1</v>
      </c>
    </row>
    <row r="173" spans="1:6" x14ac:dyDescent="0.25">
      <c r="A173" t="s">
        <v>39</v>
      </c>
      <c r="B173" t="s">
        <v>303</v>
      </c>
      <c r="C173">
        <v>24</v>
      </c>
      <c r="D173">
        <v>24</v>
      </c>
      <c r="E173">
        <f t="shared" si="3"/>
        <v>0</v>
      </c>
      <c r="F173">
        <v>1</v>
      </c>
    </row>
    <row r="174" spans="1:6" x14ac:dyDescent="0.25">
      <c r="A174" t="s">
        <v>39</v>
      </c>
      <c r="B174" t="s">
        <v>303</v>
      </c>
      <c r="C174">
        <v>29</v>
      </c>
      <c r="D174">
        <v>29</v>
      </c>
      <c r="E174">
        <f t="shared" si="3"/>
        <v>0</v>
      </c>
      <c r="F174">
        <v>1</v>
      </c>
    </row>
    <row r="175" spans="1:6" x14ac:dyDescent="0.25">
      <c r="A175" t="s">
        <v>39</v>
      </c>
      <c r="B175" t="s">
        <v>303</v>
      </c>
      <c r="C175">
        <v>19</v>
      </c>
      <c r="D175">
        <v>18</v>
      </c>
      <c r="E175">
        <f t="shared" si="3"/>
        <v>1</v>
      </c>
      <c r="F175">
        <v>1</v>
      </c>
    </row>
    <row r="176" spans="1:6" x14ac:dyDescent="0.25">
      <c r="A176" t="s">
        <v>39</v>
      </c>
      <c r="B176" t="s">
        <v>303</v>
      </c>
      <c r="C176">
        <v>23</v>
      </c>
      <c r="D176">
        <v>19</v>
      </c>
      <c r="E176">
        <f t="shared" si="3"/>
        <v>4</v>
      </c>
      <c r="F176">
        <v>0</v>
      </c>
    </row>
    <row r="177" spans="1:6" x14ac:dyDescent="0.25">
      <c r="A177" t="s">
        <v>39</v>
      </c>
      <c r="B177" t="s">
        <v>303</v>
      </c>
      <c r="C177">
        <v>23</v>
      </c>
      <c r="D177">
        <v>23</v>
      </c>
      <c r="E177">
        <f t="shared" si="3"/>
        <v>0</v>
      </c>
      <c r="F177">
        <v>1</v>
      </c>
    </row>
    <row r="178" spans="1:6" x14ac:dyDescent="0.25">
      <c r="A178" t="s">
        <v>39</v>
      </c>
      <c r="B178" t="s">
        <v>303</v>
      </c>
      <c r="C178">
        <v>21</v>
      </c>
      <c r="D178">
        <v>21</v>
      </c>
      <c r="E178">
        <f t="shared" si="3"/>
        <v>0</v>
      </c>
      <c r="F178">
        <v>1</v>
      </c>
    </row>
    <row r="179" spans="1:6" x14ac:dyDescent="0.25">
      <c r="A179" t="s">
        <v>39</v>
      </c>
      <c r="B179" t="s">
        <v>303</v>
      </c>
      <c r="C179">
        <v>21</v>
      </c>
      <c r="D179">
        <v>21</v>
      </c>
      <c r="E179">
        <f t="shared" si="3"/>
        <v>0</v>
      </c>
      <c r="F179">
        <v>1</v>
      </c>
    </row>
    <row r="180" spans="1:6" x14ac:dyDescent="0.25">
      <c r="A180" t="s">
        <v>39</v>
      </c>
      <c r="B180" t="s">
        <v>303</v>
      </c>
      <c r="C180">
        <v>27</v>
      </c>
      <c r="D180">
        <v>24</v>
      </c>
      <c r="E180">
        <f t="shared" si="3"/>
        <v>3</v>
      </c>
      <c r="F180">
        <v>0</v>
      </c>
    </row>
    <row r="181" spans="1:6" x14ac:dyDescent="0.25">
      <c r="A181" t="s">
        <v>39</v>
      </c>
      <c r="B181" t="s">
        <v>303</v>
      </c>
      <c r="C181">
        <v>19</v>
      </c>
      <c r="D181">
        <v>19</v>
      </c>
      <c r="E181">
        <f t="shared" si="3"/>
        <v>0</v>
      </c>
      <c r="F181">
        <v>1</v>
      </c>
    </row>
    <row r="182" spans="1:6" x14ac:dyDescent="0.25">
      <c r="A182" t="s">
        <v>39</v>
      </c>
      <c r="B182" t="s">
        <v>303</v>
      </c>
      <c r="C182">
        <v>25</v>
      </c>
      <c r="D182">
        <v>19</v>
      </c>
      <c r="E182">
        <f t="shared" si="3"/>
        <v>6</v>
      </c>
      <c r="F182">
        <v>0</v>
      </c>
    </row>
    <row r="183" spans="1:6" x14ac:dyDescent="0.25">
      <c r="A183" t="s">
        <v>39</v>
      </c>
      <c r="B183" t="s">
        <v>303</v>
      </c>
      <c r="C183">
        <v>14</v>
      </c>
      <c r="D183">
        <v>13</v>
      </c>
      <c r="E183">
        <f t="shared" si="3"/>
        <v>1</v>
      </c>
      <c r="F183">
        <v>0</v>
      </c>
    </row>
    <row r="184" spans="1:6" x14ac:dyDescent="0.25">
      <c r="A184" t="s">
        <v>39</v>
      </c>
      <c r="B184" t="s">
        <v>303</v>
      </c>
      <c r="C184">
        <v>25</v>
      </c>
      <c r="D184">
        <v>25</v>
      </c>
      <c r="E184">
        <f t="shared" si="3"/>
        <v>0</v>
      </c>
      <c r="F184">
        <v>1</v>
      </c>
    </row>
    <row r="185" spans="1:6" x14ac:dyDescent="0.25">
      <c r="A185" t="s">
        <v>39</v>
      </c>
      <c r="B185" t="s">
        <v>303</v>
      </c>
      <c r="C185">
        <v>13</v>
      </c>
      <c r="D185">
        <v>13</v>
      </c>
      <c r="E185">
        <f t="shared" si="3"/>
        <v>0</v>
      </c>
      <c r="F185">
        <v>1</v>
      </c>
    </row>
    <row r="186" spans="1:6" x14ac:dyDescent="0.25">
      <c r="A186" t="s">
        <v>39</v>
      </c>
      <c r="B186" t="s">
        <v>303</v>
      </c>
      <c r="C186">
        <v>12</v>
      </c>
      <c r="D186">
        <v>12</v>
      </c>
      <c r="E186">
        <f t="shared" si="3"/>
        <v>0</v>
      </c>
      <c r="F186">
        <v>1</v>
      </c>
    </row>
    <row r="187" spans="1:6" x14ac:dyDescent="0.25">
      <c r="A187" t="s">
        <v>39</v>
      </c>
      <c r="B187" t="s">
        <v>303</v>
      </c>
      <c r="C187">
        <v>12</v>
      </c>
      <c r="D187">
        <v>9</v>
      </c>
      <c r="E187">
        <f t="shared" si="3"/>
        <v>3</v>
      </c>
      <c r="F187">
        <v>0</v>
      </c>
    </row>
    <row r="188" spans="1:6" x14ac:dyDescent="0.25">
      <c r="A188" t="s">
        <v>39</v>
      </c>
      <c r="B188" t="s">
        <v>303</v>
      </c>
      <c r="C188">
        <v>9</v>
      </c>
      <c r="D188">
        <v>8</v>
      </c>
      <c r="E188">
        <f t="shared" si="3"/>
        <v>1</v>
      </c>
      <c r="F188">
        <v>0</v>
      </c>
    </row>
    <row r="189" spans="1:6" x14ac:dyDescent="0.25">
      <c r="A189" t="s">
        <v>39</v>
      </c>
      <c r="B189" t="s">
        <v>303</v>
      </c>
      <c r="C189">
        <v>20</v>
      </c>
      <c r="D189">
        <v>18</v>
      </c>
      <c r="E189">
        <f t="shared" si="3"/>
        <v>2</v>
      </c>
      <c r="F189">
        <v>0</v>
      </c>
    </row>
    <row r="190" spans="1:6" x14ac:dyDescent="0.25">
      <c r="A190" t="s">
        <v>39</v>
      </c>
      <c r="B190" t="s">
        <v>303</v>
      </c>
      <c r="C190">
        <v>20</v>
      </c>
      <c r="D190">
        <v>19</v>
      </c>
      <c r="E190">
        <f t="shared" si="3"/>
        <v>1</v>
      </c>
      <c r="F190">
        <v>1</v>
      </c>
    </row>
    <row r="191" spans="1:6" x14ac:dyDescent="0.25">
      <c r="A191" t="s">
        <v>39</v>
      </c>
      <c r="B191" t="s">
        <v>303</v>
      </c>
      <c r="C191">
        <v>22</v>
      </c>
      <c r="D191">
        <v>18</v>
      </c>
      <c r="E191">
        <f t="shared" si="3"/>
        <v>4</v>
      </c>
      <c r="F191">
        <v>0</v>
      </c>
    </row>
    <row r="192" spans="1:6" x14ac:dyDescent="0.25">
      <c r="A192" t="s">
        <v>39</v>
      </c>
      <c r="B192" t="s">
        <v>303</v>
      </c>
      <c r="C192">
        <v>17</v>
      </c>
      <c r="D192">
        <v>16</v>
      </c>
      <c r="E192">
        <f t="shared" si="3"/>
        <v>1</v>
      </c>
      <c r="F192">
        <v>1</v>
      </c>
    </row>
    <row r="193" spans="1:6" x14ac:dyDescent="0.25">
      <c r="A193" t="s">
        <v>39</v>
      </c>
      <c r="B193" t="s">
        <v>303</v>
      </c>
      <c r="C193">
        <v>22</v>
      </c>
      <c r="D193">
        <v>16</v>
      </c>
      <c r="E193">
        <f t="shared" si="3"/>
        <v>6</v>
      </c>
      <c r="F193">
        <v>0</v>
      </c>
    </row>
    <row r="194" spans="1:6" x14ac:dyDescent="0.25">
      <c r="A194" t="s">
        <v>39</v>
      </c>
      <c r="B194" t="s">
        <v>303</v>
      </c>
      <c r="C194">
        <v>30</v>
      </c>
      <c r="D194">
        <v>30</v>
      </c>
      <c r="E194">
        <f t="shared" si="3"/>
        <v>0</v>
      </c>
      <c r="F194">
        <v>1</v>
      </c>
    </row>
    <row r="195" spans="1:6" x14ac:dyDescent="0.25">
      <c r="A195" t="s">
        <v>39</v>
      </c>
      <c r="B195" t="s">
        <v>303</v>
      </c>
      <c r="C195">
        <v>22</v>
      </c>
      <c r="D195">
        <v>22</v>
      </c>
      <c r="E195">
        <f t="shared" si="3"/>
        <v>0</v>
      </c>
      <c r="F195">
        <v>1</v>
      </c>
    </row>
    <row r="196" spans="1:6" x14ac:dyDescent="0.25">
      <c r="A196" t="s">
        <v>39</v>
      </c>
      <c r="B196" t="s">
        <v>303</v>
      </c>
      <c r="C196">
        <v>25</v>
      </c>
      <c r="D196">
        <v>21</v>
      </c>
      <c r="E196">
        <f t="shared" ref="E196:E259" si="4">C196-D196</f>
        <v>4</v>
      </c>
      <c r="F196">
        <v>0</v>
      </c>
    </row>
    <row r="197" spans="1:6" x14ac:dyDescent="0.25">
      <c r="A197" t="s">
        <v>39</v>
      </c>
      <c r="B197" t="s">
        <v>303</v>
      </c>
      <c r="C197">
        <v>21</v>
      </c>
      <c r="D197">
        <v>21</v>
      </c>
      <c r="E197">
        <f t="shared" si="4"/>
        <v>0</v>
      </c>
      <c r="F197">
        <v>1</v>
      </c>
    </row>
    <row r="198" spans="1:6" x14ac:dyDescent="0.25">
      <c r="A198" t="s">
        <v>39</v>
      </c>
      <c r="B198" t="s">
        <v>303</v>
      </c>
      <c r="C198">
        <v>28</v>
      </c>
      <c r="D198">
        <v>28</v>
      </c>
      <c r="E198">
        <f t="shared" si="4"/>
        <v>0</v>
      </c>
      <c r="F198">
        <v>1</v>
      </c>
    </row>
    <row r="199" spans="1:6" x14ac:dyDescent="0.25">
      <c r="A199" t="s">
        <v>39</v>
      </c>
      <c r="B199" t="s">
        <v>303</v>
      </c>
      <c r="C199">
        <v>25</v>
      </c>
      <c r="D199">
        <v>5</v>
      </c>
      <c r="E199">
        <f t="shared" si="4"/>
        <v>20</v>
      </c>
      <c r="F199">
        <v>0</v>
      </c>
    </row>
    <row r="200" spans="1:6" x14ac:dyDescent="0.25">
      <c r="A200" t="s">
        <v>39</v>
      </c>
      <c r="B200" t="s">
        <v>303</v>
      </c>
      <c r="C200">
        <v>15</v>
      </c>
      <c r="D200">
        <v>13</v>
      </c>
      <c r="E200">
        <f t="shared" si="4"/>
        <v>2</v>
      </c>
      <c r="F200">
        <v>0</v>
      </c>
    </row>
    <row r="201" spans="1:6" x14ac:dyDescent="0.25">
      <c r="A201" t="s">
        <v>39</v>
      </c>
      <c r="B201" t="s">
        <v>303</v>
      </c>
      <c r="C201">
        <v>21</v>
      </c>
      <c r="D201">
        <v>21</v>
      </c>
      <c r="E201">
        <f t="shared" si="4"/>
        <v>0</v>
      </c>
      <c r="F201">
        <v>1</v>
      </c>
    </row>
    <row r="202" spans="1:6" x14ac:dyDescent="0.25">
      <c r="A202" t="s">
        <v>39</v>
      </c>
      <c r="B202" t="s">
        <v>303</v>
      </c>
      <c r="C202">
        <v>21</v>
      </c>
      <c r="D202">
        <v>21</v>
      </c>
      <c r="E202">
        <f t="shared" si="4"/>
        <v>0</v>
      </c>
      <c r="F202">
        <v>1</v>
      </c>
    </row>
    <row r="203" spans="1:6" x14ac:dyDescent="0.25">
      <c r="A203" t="s">
        <v>39</v>
      </c>
      <c r="B203" t="s">
        <v>303</v>
      </c>
      <c r="C203">
        <v>21</v>
      </c>
      <c r="D203">
        <v>21</v>
      </c>
      <c r="E203">
        <f t="shared" si="4"/>
        <v>0</v>
      </c>
      <c r="F203">
        <v>1</v>
      </c>
    </row>
    <row r="204" spans="1:6" x14ac:dyDescent="0.25">
      <c r="A204" t="s">
        <v>39</v>
      </c>
      <c r="B204" t="s">
        <v>303</v>
      </c>
      <c r="C204">
        <v>21</v>
      </c>
      <c r="D204">
        <v>19</v>
      </c>
      <c r="E204">
        <f t="shared" si="4"/>
        <v>2</v>
      </c>
      <c r="F204">
        <v>0</v>
      </c>
    </row>
    <row r="205" spans="1:6" x14ac:dyDescent="0.25">
      <c r="A205" t="s">
        <v>39</v>
      </c>
      <c r="B205" t="s">
        <v>303</v>
      </c>
      <c r="C205">
        <v>13</v>
      </c>
      <c r="D205">
        <v>13</v>
      </c>
      <c r="E205">
        <f t="shared" si="4"/>
        <v>0</v>
      </c>
      <c r="F205">
        <v>1</v>
      </c>
    </row>
    <row r="206" spans="1:6" x14ac:dyDescent="0.25">
      <c r="A206" t="s">
        <v>39</v>
      </c>
      <c r="B206" t="s">
        <v>302</v>
      </c>
      <c r="C206">
        <v>20</v>
      </c>
      <c r="D206">
        <v>19</v>
      </c>
      <c r="E206">
        <f t="shared" si="4"/>
        <v>1</v>
      </c>
      <c r="F206">
        <v>1</v>
      </c>
    </row>
    <row r="207" spans="1:6" x14ac:dyDescent="0.25">
      <c r="A207" t="s">
        <v>39</v>
      </c>
      <c r="B207" t="s">
        <v>302</v>
      </c>
      <c r="C207">
        <v>21</v>
      </c>
      <c r="D207">
        <v>17</v>
      </c>
      <c r="E207">
        <f t="shared" si="4"/>
        <v>4</v>
      </c>
      <c r="F207">
        <v>0</v>
      </c>
    </row>
    <row r="208" spans="1:6" x14ac:dyDescent="0.25">
      <c r="A208" t="s">
        <v>39</v>
      </c>
      <c r="B208" t="s">
        <v>302</v>
      </c>
      <c r="C208">
        <v>24</v>
      </c>
      <c r="D208">
        <v>24</v>
      </c>
      <c r="E208">
        <f t="shared" si="4"/>
        <v>0</v>
      </c>
      <c r="F208">
        <v>1</v>
      </c>
    </row>
    <row r="209" spans="1:6" x14ac:dyDescent="0.25">
      <c r="A209" t="s">
        <v>39</v>
      </c>
      <c r="B209" t="s">
        <v>302</v>
      </c>
      <c r="C209">
        <v>6</v>
      </c>
      <c r="D209">
        <v>2</v>
      </c>
      <c r="E209">
        <f t="shared" si="4"/>
        <v>4</v>
      </c>
      <c r="F209">
        <v>0</v>
      </c>
    </row>
    <row r="210" spans="1:6" x14ac:dyDescent="0.25">
      <c r="A210" t="s">
        <v>39</v>
      </c>
      <c r="B210" t="s">
        <v>302</v>
      </c>
      <c r="C210">
        <v>17</v>
      </c>
      <c r="D210">
        <v>17</v>
      </c>
      <c r="E210">
        <f t="shared" si="4"/>
        <v>0</v>
      </c>
      <c r="F210">
        <v>1</v>
      </c>
    </row>
    <row r="211" spans="1:6" x14ac:dyDescent="0.25">
      <c r="A211" t="s">
        <v>39</v>
      </c>
      <c r="B211" t="s">
        <v>302</v>
      </c>
      <c r="C211">
        <v>15</v>
      </c>
      <c r="D211">
        <v>15</v>
      </c>
      <c r="E211">
        <f t="shared" si="4"/>
        <v>0</v>
      </c>
      <c r="F211">
        <v>1</v>
      </c>
    </row>
    <row r="212" spans="1:6" x14ac:dyDescent="0.25">
      <c r="A212" t="s">
        <v>39</v>
      </c>
      <c r="B212" t="s">
        <v>302</v>
      </c>
      <c r="C212">
        <v>26</v>
      </c>
      <c r="D212">
        <v>26</v>
      </c>
      <c r="E212">
        <f t="shared" si="4"/>
        <v>0</v>
      </c>
      <c r="F212">
        <v>1</v>
      </c>
    </row>
    <row r="213" spans="1:6" x14ac:dyDescent="0.25">
      <c r="A213" t="s">
        <v>39</v>
      </c>
      <c r="B213" t="s">
        <v>302</v>
      </c>
      <c r="C213">
        <v>31</v>
      </c>
      <c r="D213">
        <v>27</v>
      </c>
      <c r="E213">
        <f t="shared" si="4"/>
        <v>4</v>
      </c>
      <c r="F213">
        <v>0</v>
      </c>
    </row>
    <row r="214" spans="1:6" x14ac:dyDescent="0.25">
      <c r="A214" t="s">
        <v>39</v>
      </c>
      <c r="B214" t="s">
        <v>302</v>
      </c>
      <c r="C214">
        <v>31</v>
      </c>
      <c r="D214">
        <v>31</v>
      </c>
      <c r="E214">
        <f t="shared" si="4"/>
        <v>0</v>
      </c>
      <c r="F214">
        <v>1</v>
      </c>
    </row>
    <row r="215" spans="1:6" x14ac:dyDescent="0.25">
      <c r="A215" t="s">
        <v>39</v>
      </c>
      <c r="B215" t="s">
        <v>302</v>
      </c>
      <c r="C215">
        <v>27</v>
      </c>
      <c r="D215">
        <v>23</v>
      </c>
      <c r="E215">
        <f t="shared" si="4"/>
        <v>4</v>
      </c>
      <c r="F215">
        <v>0</v>
      </c>
    </row>
    <row r="216" spans="1:6" x14ac:dyDescent="0.25">
      <c r="A216" t="s">
        <v>39</v>
      </c>
      <c r="B216" t="s">
        <v>302</v>
      </c>
      <c r="C216">
        <v>17</v>
      </c>
      <c r="D216">
        <v>14</v>
      </c>
      <c r="E216">
        <f t="shared" si="4"/>
        <v>3</v>
      </c>
      <c r="F216">
        <v>0</v>
      </c>
    </row>
    <row r="217" spans="1:6" x14ac:dyDescent="0.25">
      <c r="A217" t="s">
        <v>39</v>
      </c>
      <c r="B217" t="s">
        <v>302</v>
      </c>
      <c r="C217">
        <v>26</v>
      </c>
      <c r="D217">
        <v>20</v>
      </c>
      <c r="E217">
        <f t="shared" si="4"/>
        <v>6</v>
      </c>
      <c r="F217">
        <v>0</v>
      </c>
    </row>
    <row r="218" spans="1:6" x14ac:dyDescent="0.25">
      <c r="A218" t="s">
        <v>39</v>
      </c>
      <c r="B218" t="s">
        <v>302</v>
      </c>
      <c r="C218">
        <v>14</v>
      </c>
      <c r="D218">
        <v>0</v>
      </c>
      <c r="E218">
        <f t="shared" si="4"/>
        <v>14</v>
      </c>
      <c r="F218">
        <v>0</v>
      </c>
    </row>
    <row r="219" spans="1:6" x14ac:dyDescent="0.25">
      <c r="A219" t="s">
        <v>39</v>
      </c>
      <c r="B219" t="s">
        <v>302</v>
      </c>
      <c r="C219">
        <v>13</v>
      </c>
      <c r="D219">
        <v>12</v>
      </c>
      <c r="E219">
        <f t="shared" si="4"/>
        <v>1</v>
      </c>
      <c r="F219">
        <v>0</v>
      </c>
    </row>
    <row r="220" spans="1:6" x14ac:dyDescent="0.25">
      <c r="A220" t="s">
        <v>39</v>
      </c>
      <c r="B220" t="s">
        <v>302</v>
      </c>
      <c r="C220">
        <v>16</v>
      </c>
      <c r="D220">
        <v>16</v>
      </c>
      <c r="E220">
        <f t="shared" si="4"/>
        <v>0</v>
      </c>
      <c r="F220">
        <v>1</v>
      </c>
    </row>
    <row r="221" spans="1:6" x14ac:dyDescent="0.25">
      <c r="A221" t="s">
        <v>39</v>
      </c>
      <c r="B221" t="s">
        <v>302</v>
      </c>
      <c r="C221">
        <v>12</v>
      </c>
      <c r="D221">
        <v>9</v>
      </c>
      <c r="E221">
        <f t="shared" si="4"/>
        <v>3</v>
      </c>
      <c r="F221">
        <v>0</v>
      </c>
    </row>
    <row r="222" spans="1:6" x14ac:dyDescent="0.25">
      <c r="A222" t="s">
        <v>39</v>
      </c>
      <c r="B222" t="s">
        <v>302</v>
      </c>
      <c r="C222">
        <v>2</v>
      </c>
      <c r="D222">
        <v>0</v>
      </c>
      <c r="E222">
        <f t="shared" si="4"/>
        <v>2</v>
      </c>
      <c r="F222">
        <v>0</v>
      </c>
    </row>
    <row r="223" spans="1:6" x14ac:dyDescent="0.25">
      <c r="A223" t="s">
        <v>39</v>
      </c>
      <c r="B223" t="s">
        <v>302</v>
      </c>
      <c r="C223">
        <v>20</v>
      </c>
      <c r="D223">
        <v>20</v>
      </c>
      <c r="E223">
        <f t="shared" si="4"/>
        <v>0</v>
      </c>
      <c r="F223">
        <v>1</v>
      </c>
    </row>
    <row r="224" spans="1:6" x14ac:dyDescent="0.25">
      <c r="A224" t="s">
        <v>39</v>
      </c>
      <c r="B224" t="s">
        <v>302</v>
      </c>
      <c r="C224">
        <v>30</v>
      </c>
      <c r="D224">
        <v>30</v>
      </c>
      <c r="E224">
        <f t="shared" si="4"/>
        <v>0</v>
      </c>
      <c r="F224">
        <v>1</v>
      </c>
    </row>
    <row r="225" spans="1:6" x14ac:dyDescent="0.25">
      <c r="A225" t="s">
        <v>39</v>
      </c>
      <c r="B225" t="s">
        <v>302</v>
      </c>
      <c r="C225">
        <v>21</v>
      </c>
      <c r="D225">
        <v>19</v>
      </c>
      <c r="E225">
        <f t="shared" si="4"/>
        <v>2</v>
      </c>
      <c r="F225">
        <v>0</v>
      </c>
    </row>
    <row r="226" spans="1:6" x14ac:dyDescent="0.25">
      <c r="A226" t="s">
        <v>39</v>
      </c>
      <c r="B226" t="s">
        <v>302</v>
      </c>
      <c r="C226">
        <v>26</v>
      </c>
      <c r="D226">
        <v>25</v>
      </c>
      <c r="E226">
        <f t="shared" si="4"/>
        <v>1</v>
      </c>
      <c r="F226">
        <v>1</v>
      </c>
    </row>
    <row r="227" spans="1:6" x14ac:dyDescent="0.25">
      <c r="A227" t="s">
        <v>39</v>
      </c>
      <c r="B227" t="s">
        <v>302</v>
      </c>
      <c r="C227">
        <v>30</v>
      </c>
      <c r="D227">
        <v>29</v>
      </c>
      <c r="E227">
        <f t="shared" si="4"/>
        <v>1</v>
      </c>
      <c r="F227">
        <v>1</v>
      </c>
    </row>
    <row r="228" spans="1:6" x14ac:dyDescent="0.25">
      <c r="A228" t="s">
        <v>39</v>
      </c>
      <c r="B228" t="s">
        <v>302</v>
      </c>
      <c r="C228">
        <v>19</v>
      </c>
      <c r="D228">
        <v>19</v>
      </c>
      <c r="E228">
        <f t="shared" si="4"/>
        <v>0</v>
      </c>
      <c r="F228">
        <v>1</v>
      </c>
    </row>
    <row r="229" spans="1:6" x14ac:dyDescent="0.25">
      <c r="A229" t="s">
        <v>39</v>
      </c>
      <c r="B229" t="s">
        <v>302</v>
      </c>
      <c r="C229">
        <v>30</v>
      </c>
      <c r="D229">
        <v>28</v>
      </c>
      <c r="E229">
        <f t="shared" si="4"/>
        <v>2</v>
      </c>
      <c r="F229">
        <v>0</v>
      </c>
    </row>
    <row r="230" spans="1:6" x14ac:dyDescent="0.25">
      <c r="A230" t="s">
        <v>39</v>
      </c>
      <c r="B230" t="s">
        <v>302</v>
      </c>
      <c r="C230">
        <v>16</v>
      </c>
      <c r="D230">
        <v>16</v>
      </c>
      <c r="E230">
        <f t="shared" si="4"/>
        <v>0</v>
      </c>
      <c r="F230">
        <v>1</v>
      </c>
    </row>
    <row r="231" spans="1:6" x14ac:dyDescent="0.25">
      <c r="A231" t="s">
        <v>39</v>
      </c>
      <c r="B231" t="s">
        <v>302</v>
      </c>
      <c r="C231">
        <v>32</v>
      </c>
      <c r="D231">
        <v>32</v>
      </c>
      <c r="E231">
        <f t="shared" si="4"/>
        <v>0</v>
      </c>
      <c r="F231">
        <v>1</v>
      </c>
    </row>
    <row r="232" spans="1:6" x14ac:dyDescent="0.25">
      <c r="A232" t="s">
        <v>39</v>
      </c>
      <c r="B232" t="s">
        <v>302</v>
      </c>
      <c r="C232">
        <v>24</v>
      </c>
      <c r="D232">
        <v>23</v>
      </c>
      <c r="E232">
        <f t="shared" si="4"/>
        <v>1</v>
      </c>
      <c r="F232">
        <v>1</v>
      </c>
    </row>
    <row r="233" spans="1:6" x14ac:dyDescent="0.25">
      <c r="A233" t="s">
        <v>39</v>
      </c>
      <c r="B233" t="s">
        <v>302</v>
      </c>
      <c r="C233">
        <v>18</v>
      </c>
      <c r="D233">
        <v>14</v>
      </c>
      <c r="E233">
        <f t="shared" si="4"/>
        <v>4</v>
      </c>
      <c r="F233">
        <v>0</v>
      </c>
    </row>
    <row r="234" spans="1:6" x14ac:dyDescent="0.25">
      <c r="A234" t="s">
        <v>39</v>
      </c>
      <c r="B234" t="s">
        <v>302</v>
      </c>
      <c r="C234">
        <v>15</v>
      </c>
      <c r="D234">
        <v>14</v>
      </c>
      <c r="E234">
        <f t="shared" si="4"/>
        <v>1</v>
      </c>
      <c r="F234">
        <v>0</v>
      </c>
    </row>
    <row r="235" spans="1:6" x14ac:dyDescent="0.25">
      <c r="A235" t="s">
        <v>39</v>
      </c>
      <c r="B235" t="s">
        <v>302</v>
      </c>
      <c r="C235">
        <v>28</v>
      </c>
      <c r="D235">
        <v>20</v>
      </c>
      <c r="E235">
        <f t="shared" si="4"/>
        <v>8</v>
      </c>
      <c r="F235">
        <v>0</v>
      </c>
    </row>
    <row r="236" spans="1:6" x14ac:dyDescent="0.25">
      <c r="A236" t="s">
        <v>39</v>
      </c>
      <c r="B236" t="s">
        <v>302</v>
      </c>
      <c r="C236">
        <v>24</v>
      </c>
      <c r="D236">
        <v>20</v>
      </c>
      <c r="E236">
        <f t="shared" si="4"/>
        <v>4</v>
      </c>
      <c r="F236">
        <v>0</v>
      </c>
    </row>
    <row r="237" spans="1:6" x14ac:dyDescent="0.25">
      <c r="A237" t="s">
        <v>39</v>
      </c>
      <c r="B237" t="s">
        <v>302</v>
      </c>
      <c r="C237">
        <v>19</v>
      </c>
      <c r="D237">
        <v>15</v>
      </c>
      <c r="E237">
        <f t="shared" si="4"/>
        <v>4</v>
      </c>
      <c r="F237">
        <v>0</v>
      </c>
    </row>
    <row r="238" spans="1:6" x14ac:dyDescent="0.25">
      <c r="A238" t="s">
        <v>39</v>
      </c>
      <c r="B238" t="s">
        <v>302</v>
      </c>
      <c r="C238">
        <v>26</v>
      </c>
      <c r="D238">
        <v>22</v>
      </c>
      <c r="E238">
        <f t="shared" si="4"/>
        <v>4</v>
      </c>
      <c r="F238">
        <v>0</v>
      </c>
    </row>
    <row r="239" spans="1:6" x14ac:dyDescent="0.25">
      <c r="A239" t="s">
        <v>39</v>
      </c>
      <c r="B239" t="s">
        <v>302</v>
      </c>
      <c r="C239">
        <v>26</v>
      </c>
      <c r="D239">
        <v>26</v>
      </c>
      <c r="E239">
        <f t="shared" si="4"/>
        <v>0</v>
      </c>
      <c r="F239">
        <v>1</v>
      </c>
    </row>
    <row r="240" spans="1:6" x14ac:dyDescent="0.25">
      <c r="A240" t="s">
        <v>39</v>
      </c>
      <c r="B240" t="s">
        <v>302</v>
      </c>
      <c r="C240">
        <v>15</v>
      </c>
      <c r="D240">
        <v>15</v>
      </c>
      <c r="E240">
        <f t="shared" si="4"/>
        <v>0</v>
      </c>
      <c r="F240">
        <v>1</v>
      </c>
    </row>
    <row r="241" spans="1:6" x14ac:dyDescent="0.25">
      <c r="A241" t="s">
        <v>39</v>
      </c>
      <c r="B241" t="s">
        <v>302</v>
      </c>
      <c r="C241">
        <v>29</v>
      </c>
      <c r="D241">
        <v>26</v>
      </c>
      <c r="E241">
        <f t="shared" si="4"/>
        <v>3</v>
      </c>
      <c r="F241">
        <v>0</v>
      </c>
    </row>
    <row r="242" spans="1:6" x14ac:dyDescent="0.25">
      <c r="A242" t="s">
        <v>39</v>
      </c>
      <c r="B242" t="s">
        <v>302</v>
      </c>
      <c r="C242">
        <v>21</v>
      </c>
      <c r="D242">
        <v>19</v>
      </c>
      <c r="E242">
        <f t="shared" si="4"/>
        <v>2</v>
      </c>
      <c r="F242">
        <v>0</v>
      </c>
    </row>
    <row r="243" spans="1:6" x14ac:dyDescent="0.25">
      <c r="A243" t="s">
        <v>39</v>
      </c>
      <c r="B243" t="s">
        <v>302</v>
      </c>
      <c r="C243">
        <v>26</v>
      </c>
      <c r="D243">
        <v>26</v>
      </c>
      <c r="E243">
        <f t="shared" si="4"/>
        <v>0</v>
      </c>
      <c r="F243">
        <v>1</v>
      </c>
    </row>
    <row r="244" spans="1:6" x14ac:dyDescent="0.25">
      <c r="A244" t="s">
        <v>39</v>
      </c>
      <c r="B244" t="s">
        <v>302</v>
      </c>
      <c r="C244">
        <v>31</v>
      </c>
      <c r="D244">
        <v>27</v>
      </c>
      <c r="E244">
        <f t="shared" si="4"/>
        <v>4</v>
      </c>
      <c r="F244">
        <v>0</v>
      </c>
    </row>
    <row r="245" spans="1:6" x14ac:dyDescent="0.25">
      <c r="A245" t="s">
        <v>39</v>
      </c>
      <c r="B245" t="s">
        <v>302</v>
      </c>
      <c r="C245">
        <v>22</v>
      </c>
      <c r="D245">
        <v>22</v>
      </c>
      <c r="E245">
        <f t="shared" si="4"/>
        <v>0</v>
      </c>
      <c r="F245">
        <v>1</v>
      </c>
    </row>
    <row r="246" spans="1:6" x14ac:dyDescent="0.25">
      <c r="A246" t="s">
        <v>39</v>
      </c>
      <c r="B246" t="s">
        <v>302</v>
      </c>
      <c r="C246">
        <v>17</v>
      </c>
      <c r="D246">
        <v>17</v>
      </c>
      <c r="E246">
        <f t="shared" si="4"/>
        <v>0</v>
      </c>
      <c r="F246">
        <v>1</v>
      </c>
    </row>
    <row r="247" spans="1:6" x14ac:dyDescent="0.25">
      <c r="A247" t="s">
        <v>39</v>
      </c>
      <c r="B247" t="s">
        <v>302</v>
      </c>
      <c r="C247">
        <v>25</v>
      </c>
      <c r="D247">
        <v>23</v>
      </c>
      <c r="E247">
        <f t="shared" si="4"/>
        <v>2</v>
      </c>
      <c r="F247">
        <v>0</v>
      </c>
    </row>
    <row r="248" spans="1:6" x14ac:dyDescent="0.25">
      <c r="A248" t="s">
        <v>39</v>
      </c>
      <c r="B248" t="s">
        <v>302</v>
      </c>
      <c r="C248">
        <v>32</v>
      </c>
      <c r="D248">
        <v>27</v>
      </c>
      <c r="E248">
        <f t="shared" si="4"/>
        <v>5</v>
      </c>
      <c r="F248">
        <v>0</v>
      </c>
    </row>
    <row r="249" spans="1:6" x14ac:dyDescent="0.25">
      <c r="A249" t="s">
        <v>39</v>
      </c>
      <c r="B249" t="s">
        <v>302</v>
      </c>
      <c r="C249">
        <v>26</v>
      </c>
      <c r="D249">
        <v>26</v>
      </c>
      <c r="E249">
        <f t="shared" si="4"/>
        <v>0</v>
      </c>
      <c r="F249">
        <v>1</v>
      </c>
    </row>
    <row r="250" spans="1:6" x14ac:dyDescent="0.25">
      <c r="A250" t="s">
        <v>39</v>
      </c>
      <c r="B250" t="s">
        <v>302</v>
      </c>
      <c r="C250">
        <v>22</v>
      </c>
      <c r="D250">
        <v>22</v>
      </c>
      <c r="E250">
        <f t="shared" si="4"/>
        <v>0</v>
      </c>
      <c r="F250">
        <v>1</v>
      </c>
    </row>
    <row r="251" spans="1:6" x14ac:dyDescent="0.25">
      <c r="A251" t="s">
        <v>39</v>
      </c>
      <c r="B251" t="s">
        <v>302</v>
      </c>
      <c r="C251">
        <v>21</v>
      </c>
      <c r="D251">
        <v>21</v>
      </c>
      <c r="E251">
        <f t="shared" si="4"/>
        <v>0</v>
      </c>
      <c r="F251">
        <v>1</v>
      </c>
    </row>
    <row r="252" spans="1:6" x14ac:dyDescent="0.25">
      <c r="A252" t="s">
        <v>39</v>
      </c>
      <c r="B252" t="s">
        <v>302</v>
      </c>
      <c r="C252">
        <v>31</v>
      </c>
      <c r="D252">
        <v>31</v>
      </c>
      <c r="E252">
        <f t="shared" si="4"/>
        <v>0</v>
      </c>
      <c r="F252">
        <v>1</v>
      </c>
    </row>
    <row r="253" spans="1:6" x14ac:dyDescent="0.25">
      <c r="A253" t="s">
        <v>39</v>
      </c>
      <c r="B253" t="s">
        <v>302</v>
      </c>
      <c r="C253">
        <v>31</v>
      </c>
      <c r="D253">
        <v>29</v>
      </c>
      <c r="E253">
        <f t="shared" si="4"/>
        <v>2</v>
      </c>
      <c r="F253">
        <v>0</v>
      </c>
    </row>
    <row r="254" spans="1:6" x14ac:dyDescent="0.25">
      <c r="A254" t="s">
        <v>39</v>
      </c>
      <c r="B254" t="s">
        <v>302</v>
      </c>
      <c r="C254">
        <v>30</v>
      </c>
      <c r="D254">
        <v>29</v>
      </c>
      <c r="E254">
        <f t="shared" si="4"/>
        <v>1</v>
      </c>
      <c r="F254">
        <v>1</v>
      </c>
    </row>
    <row r="255" spans="1:6" x14ac:dyDescent="0.25">
      <c r="A255" t="s">
        <v>39</v>
      </c>
      <c r="B255" t="s">
        <v>302</v>
      </c>
      <c r="C255">
        <v>30</v>
      </c>
      <c r="D255">
        <v>29</v>
      </c>
      <c r="E255">
        <f t="shared" si="4"/>
        <v>1</v>
      </c>
      <c r="F255">
        <v>1</v>
      </c>
    </row>
    <row r="256" spans="1:6" x14ac:dyDescent="0.25">
      <c r="A256" t="s">
        <v>39</v>
      </c>
      <c r="B256" t="s">
        <v>302</v>
      </c>
      <c r="C256">
        <v>10</v>
      </c>
      <c r="D256">
        <v>8</v>
      </c>
      <c r="E256">
        <f t="shared" si="4"/>
        <v>2</v>
      </c>
      <c r="F256">
        <v>0</v>
      </c>
    </row>
    <row r="257" spans="1:6" x14ac:dyDescent="0.25">
      <c r="A257" t="s">
        <v>39</v>
      </c>
      <c r="B257" t="s">
        <v>302</v>
      </c>
      <c r="C257">
        <v>14</v>
      </c>
      <c r="D257">
        <v>9</v>
      </c>
      <c r="E257">
        <f t="shared" si="4"/>
        <v>5</v>
      </c>
      <c r="F257">
        <v>0</v>
      </c>
    </row>
    <row r="258" spans="1:6" x14ac:dyDescent="0.25">
      <c r="A258" t="s">
        <v>39</v>
      </c>
      <c r="B258" t="s">
        <v>302</v>
      </c>
      <c r="C258">
        <v>31</v>
      </c>
      <c r="D258">
        <v>30</v>
      </c>
      <c r="E258">
        <f t="shared" si="4"/>
        <v>1</v>
      </c>
      <c r="F258">
        <v>1</v>
      </c>
    </row>
    <row r="259" spans="1:6" x14ac:dyDescent="0.25">
      <c r="A259" t="s">
        <v>39</v>
      </c>
      <c r="B259" t="s">
        <v>302</v>
      </c>
      <c r="C259">
        <v>17</v>
      </c>
      <c r="D259">
        <v>14</v>
      </c>
      <c r="E259">
        <f t="shared" si="4"/>
        <v>3</v>
      </c>
      <c r="F259">
        <v>0</v>
      </c>
    </row>
    <row r="260" spans="1:6" x14ac:dyDescent="0.25">
      <c r="A260" t="s">
        <v>304</v>
      </c>
      <c r="B260" t="s">
        <v>305</v>
      </c>
      <c r="C260">
        <v>8</v>
      </c>
      <c r="D260">
        <v>7</v>
      </c>
      <c r="E260">
        <f t="shared" ref="E260:E323" si="5">C260-D260</f>
        <v>1</v>
      </c>
      <c r="F260">
        <v>0</v>
      </c>
    </row>
    <row r="261" spans="1:6" x14ac:dyDescent="0.25">
      <c r="A261" t="s">
        <v>304</v>
      </c>
      <c r="B261" t="s">
        <v>305</v>
      </c>
      <c r="C261">
        <v>1</v>
      </c>
      <c r="D261">
        <v>1</v>
      </c>
      <c r="E261">
        <f t="shared" si="5"/>
        <v>0</v>
      </c>
      <c r="F261">
        <v>1</v>
      </c>
    </row>
    <row r="262" spans="1:6" x14ac:dyDescent="0.25">
      <c r="A262" t="s">
        <v>304</v>
      </c>
      <c r="B262" t="s">
        <v>305</v>
      </c>
      <c r="C262">
        <v>28</v>
      </c>
      <c r="D262">
        <v>24</v>
      </c>
      <c r="E262">
        <f t="shared" si="5"/>
        <v>4</v>
      </c>
      <c r="F262">
        <v>0</v>
      </c>
    </row>
    <row r="263" spans="1:6" x14ac:dyDescent="0.25">
      <c r="A263" t="s">
        <v>304</v>
      </c>
      <c r="B263" t="s">
        <v>305</v>
      </c>
      <c r="C263">
        <v>25</v>
      </c>
      <c r="D263">
        <v>25</v>
      </c>
      <c r="E263">
        <f t="shared" si="5"/>
        <v>0</v>
      </c>
      <c r="F263">
        <v>1</v>
      </c>
    </row>
    <row r="264" spans="1:6" x14ac:dyDescent="0.25">
      <c r="A264" t="s">
        <v>304</v>
      </c>
      <c r="B264" t="s">
        <v>305</v>
      </c>
      <c r="C264">
        <v>24</v>
      </c>
      <c r="D264">
        <v>24</v>
      </c>
      <c r="E264">
        <f t="shared" si="5"/>
        <v>0</v>
      </c>
      <c r="F264">
        <v>1</v>
      </c>
    </row>
    <row r="265" spans="1:6" x14ac:dyDescent="0.25">
      <c r="A265" t="s">
        <v>304</v>
      </c>
      <c r="B265" t="s">
        <v>305</v>
      </c>
      <c r="C265">
        <v>17</v>
      </c>
      <c r="D265">
        <v>17</v>
      </c>
      <c r="E265">
        <f t="shared" si="5"/>
        <v>0</v>
      </c>
      <c r="F265">
        <v>1</v>
      </c>
    </row>
    <row r="266" spans="1:6" x14ac:dyDescent="0.25">
      <c r="A266" t="s">
        <v>304</v>
      </c>
      <c r="B266" t="s">
        <v>305</v>
      </c>
      <c r="C266">
        <v>20</v>
      </c>
      <c r="D266">
        <v>20</v>
      </c>
      <c r="E266">
        <f t="shared" si="5"/>
        <v>0</v>
      </c>
      <c r="F266">
        <v>1</v>
      </c>
    </row>
    <row r="267" spans="1:6" x14ac:dyDescent="0.25">
      <c r="A267" t="s">
        <v>304</v>
      </c>
      <c r="B267" t="s">
        <v>305</v>
      </c>
      <c r="C267">
        <v>52</v>
      </c>
      <c r="D267">
        <v>52</v>
      </c>
      <c r="E267">
        <f t="shared" si="5"/>
        <v>0</v>
      </c>
      <c r="F267">
        <v>1</v>
      </c>
    </row>
    <row r="268" spans="1:6" x14ac:dyDescent="0.25">
      <c r="A268" t="s">
        <v>304</v>
      </c>
      <c r="B268" t="s">
        <v>305</v>
      </c>
      <c r="C268">
        <v>31</v>
      </c>
      <c r="D268">
        <v>31</v>
      </c>
      <c r="E268">
        <f t="shared" si="5"/>
        <v>0</v>
      </c>
      <c r="F268">
        <v>1</v>
      </c>
    </row>
    <row r="269" spans="1:6" x14ac:dyDescent="0.25">
      <c r="A269" t="s">
        <v>304</v>
      </c>
      <c r="B269" t="s">
        <v>305</v>
      </c>
      <c r="C269">
        <v>53</v>
      </c>
      <c r="D269">
        <v>53</v>
      </c>
      <c r="E269">
        <f t="shared" si="5"/>
        <v>0</v>
      </c>
      <c r="F269">
        <v>1</v>
      </c>
    </row>
    <row r="270" spans="1:6" x14ac:dyDescent="0.25">
      <c r="A270" t="s">
        <v>304</v>
      </c>
      <c r="B270" t="s">
        <v>305</v>
      </c>
      <c r="C270">
        <v>50</v>
      </c>
      <c r="D270">
        <v>48</v>
      </c>
      <c r="E270">
        <f t="shared" si="5"/>
        <v>2</v>
      </c>
      <c r="F270">
        <v>1</v>
      </c>
    </row>
    <row r="271" spans="1:6" x14ac:dyDescent="0.25">
      <c r="A271" t="s">
        <v>304</v>
      </c>
      <c r="B271" t="s">
        <v>305</v>
      </c>
      <c r="C271">
        <v>46</v>
      </c>
      <c r="D271">
        <v>45</v>
      </c>
      <c r="E271">
        <f t="shared" si="5"/>
        <v>1</v>
      </c>
      <c r="F271">
        <v>1</v>
      </c>
    </row>
    <row r="272" spans="1:6" x14ac:dyDescent="0.25">
      <c r="A272" t="s">
        <v>304</v>
      </c>
      <c r="B272" t="s">
        <v>305</v>
      </c>
      <c r="C272">
        <v>27</v>
      </c>
      <c r="D272">
        <v>27</v>
      </c>
      <c r="E272">
        <f t="shared" si="5"/>
        <v>0</v>
      </c>
      <c r="F272">
        <v>1</v>
      </c>
    </row>
    <row r="273" spans="1:6" x14ac:dyDescent="0.25">
      <c r="A273" t="s">
        <v>304</v>
      </c>
      <c r="B273" t="s">
        <v>305</v>
      </c>
      <c r="C273">
        <v>36</v>
      </c>
      <c r="D273">
        <v>36</v>
      </c>
      <c r="E273">
        <f t="shared" si="5"/>
        <v>0</v>
      </c>
      <c r="F273">
        <v>1</v>
      </c>
    </row>
    <row r="274" spans="1:6" x14ac:dyDescent="0.25">
      <c r="A274" t="s">
        <v>304</v>
      </c>
      <c r="B274" t="s">
        <v>305</v>
      </c>
      <c r="C274">
        <v>20</v>
      </c>
      <c r="D274">
        <v>20</v>
      </c>
      <c r="E274">
        <f t="shared" si="5"/>
        <v>0</v>
      </c>
      <c r="F274">
        <v>1</v>
      </c>
    </row>
    <row r="275" spans="1:6" x14ac:dyDescent="0.25">
      <c r="A275" t="s">
        <v>304</v>
      </c>
      <c r="B275" t="s">
        <v>305</v>
      </c>
      <c r="C275">
        <v>36</v>
      </c>
      <c r="D275">
        <v>36</v>
      </c>
      <c r="E275">
        <f t="shared" si="5"/>
        <v>0</v>
      </c>
      <c r="F275">
        <v>1</v>
      </c>
    </row>
    <row r="276" spans="1:6" x14ac:dyDescent="0.25">
      <c r="A276" t="s">
        <v>304</v>
      </c>
      <c r="B276" t="s">
        <v>305</v>
      </c>
      <c r="C276">
        <v>25</v>
      </c>
      <c r="D276">
        <v>18</v>
      </c>
      <c r="E276">
        <f t="shared" si="5"/>
        <v>7</v>
      </c>
      <c r="F276">
        <v>0</v>
      </c>
    </row>
    <row r="277" spans="1:6" x14ac:dyDescent="0.25">
      <c r="A277" t="s">
        <v>304</v>
      </c>
      <c r="B277" t="s">
        <v>305</v>
      </c>
      <c r="C277">
        <v>25</v>
      </c>
      <c r="D277">
        <v>25</v>
      </c>
      <c r="E277">
        <f t="shared" si="5"/>
        <v>0</v>
      </c>
      <c r="F277">
        <v>1</v>
      </c>
    </row>
    <row r="278" spans="1:6" x14ac:dyDescent="0.25">
      <c r="A278" t="s">
        <v>304</v>
      </c>
      <c r="B278" t="s">
        <v>305</v>
      </c>
      <c r="C278">
        <v>44</v>
      </c>
      <c r="D278">
        <v>43</v>
      </c>
      <c r="E278">
        <f t="shared" si="5"/>
        <v>1</v>
      </c>
      <c r="F278">
        <v>1</v>
      </c>
    </row>
    <row r="279" spans="1:6" x14ac:dyDescent="0.25">
      <c r="A279" t="s">
        <v>304</v>
      </c>
      <c r="B279" t="s">
        <v>305</v>
      </c>
      <c r="C279">
        <v>22</v>
      </c>
      <c r="D279">
        <v>22</v>
      </c>
      <c r="E279">
        <f t="shared" si="5"/>
        <v>0</v>
      </c>
      <c r="F279">
        <v>1</v>
      </c>
    </row>
    <row r="280" spans="1:6" x14ac:dyDescent="0.25">
      <c r="A280" t="s">
        <v>304</v>
      </c>
      <c r="B280" t="s">
        <v>305</v>
      </c>
      <c r="C280">
        <v>19</v>
      </c>
      <c r="D280">
        <v>17</v>
      </c>
      <c r="E280">
        <f t="shared" si="5"/>
        <v>2</v>
      </c>
      <c r="F280">
        <v>0</v>
      </c>
    </row>
    <row r="281" spans="1:6" x14ac:dyDescent="0.25">
      <c r="A281" t="s">
        <v>304</v>
      </c>
      <c r="B281" t="s">
        <v>305</v>
      </c>
      <c r="C281">
        <v>49</v>
      </c>
      <c r="D281">
        <v>49</v>
      </c>
      <c r="E281">
        <f t="shared" si="5"/>
        <v>0</v>
      </c>
      <c r="F281">
        <v>1</v>
      </c>
    </row>
    <row r="282" spans="1:6" x14ac:dyDescent="0.25">
      <c r="A282" t="s">
        <v>304</v>
      </c>
      <c r="B282" t="s">
        <v>305</v>
      </c>
      <c r="C282">
        <v>32</v>
      </c>
      <c r="D282">
        <v>28</v>
      </c>
      <c r="E282">
        <f t="shared" si="5"/>
        <v>4</v>
      </c>
      <c r="F282">
        <v>0</v>
      </c>
    </row>
    <row r="283" spans="1:6" x14ac:dyDescent="0.25">
      <c r="A283" t="s">
        <v>304</v>
      </c>
      <c r="B283" t="s">
        <v>305</v>
      </c>
      <c r="C283">
        <v>53</v>
      </c>
      <c r="D283">
        <v>44</v>
      </c>
      <c r="E283">
        <f t="shared" si="5"/>
        <v>9</v>
      </c>
      <c r="F283">
        <v>0</v>
      </c>
    </row>
    <row r="284" spans="1:6" x14ac:dyDescent="0.25">
      <c r="A284" t="s">
        <v>304</v>
      </c>
      <c r="B284" t="s">
        <v>305</v>
      </c>
      <c r="C284">
        <v>61</v>
      </c>
      <c r="D284">
        <v>57</v>
      </c>
      <c r="E284">
        <f t="shared" si="5"/>
        <v>4</v>
      </c>
      <c r="F284">
        <v>0</v>
      </c>
    </row>
    <row r="285" spans="1:6" x14ac:dyDescent="0.25">
      <c r="A285" t="s">
        <v>304</v>
      </c>
      <c r="B285" t="s">
        <v>305</v>
      </c>
      <c r="C285">
        <v>53</v>
      </c>
      <c r="D285">
        <v>50</v>
      </c>
      <c r="E285">
        <f t="shared" si="5"/>
        <v>3</v>
      </c>
      <c r="F285">
        <v>1</v>
      </c>
    </row>
    <row r="286" spans="1:6" x14ac:dyDescent="0.25">
      <c r="A286" t="s">
        <v>304</v>
      </c>
      <c r="B286" t="s">
        <v>305</v>
      </c>
      <c r="C286">
        <v>50</v>
      </c>
      <c r="D286">
        <v>44</v>
      </c>
      <c r="E286">
        <f t="shared" si="5"/>
        <v>6</v>
      </c>
      <c r="F286">
        <v>0</v>
      </c>
    </row>
    <row r="287" spans="1:6" x14ac:dyDescent="0.25">
      <c r="A287" t="s">
        <v>304</v>
      </c>
      <c r="B287" t="s">
        <v>305</v>
      </c>
      <c r="C287">
        <v>47</v>
      </c>
      <c r="D287">
        <v>47</v>
      </c>
      <c r="E287">
        <f t="shared" si="5"/>
        <v>0</v>
      </c>
      <c r="F287">
        <v>1</v>
      </c>
    </row>
    <row r="288" spans="1:6" x14ac:dyDescent="0.25">
      <c r="A288" t="s">
        <v>304</v>
      </c>
      <c r="B288" t="s">
        <v>305</v>
      </c>
      <c r="C288">
        <v>36</v>
      </c>
      <c r="D288">
        <v>36</v>
      </c>
      <c r="E288">
        <f t="shared" si="5"/>
        <v>0</v>
      </c>
      <c r="F288">
        <v>1</v>
      </c>
    </row>
    <row r="289" spans="1:6" x14ac:dyDescent="0.25">
      <c r="A289" t="s">
        <v>304</v>
      </c>
      <c r="B289" t="s">
        <v>305</v>
      </c>
      <c r="C289">
        <v>43</v>
      </c>
      <c r="D289">
        <v>40</v>
      </c>
      <c r="E289">
        <f t="shared" si="5"/>
        <v>3</v>
      </c>
      <c r="F289">
        <v>0</v>
      </c>
    </row>
    <row r="290" spans="1:6" x14ac:dyDescent="0.25">
      <c r="A290" t="s">
        <v>304</v>
      </c>
      <c r="B290" t="s">
        <v>305</v>
      </c>
      <c r="C290">
        <v>44</v>
      </c>
      <c r="D290">
        <v>44</v>
      </c>
      <c r="E290">
        <f t="shared" si="5"/>
        <v>0</v>
      </c>
      <c r="F290">
        <v>1</v>
      </c>
    </row>
    <row r="291" spans="1:6" x14ac:dyDescent="0.25">
      <c r="A291" t="s">
        <v>304</v>
      </c>
      <c r="B291" t="s">
        <v>305</v>
      </c>
      <c r="C291">
        <v>47</v>
      </c>
      <c r="D291">
        <v>45</v>
      </c>
      <c r="E291">
        <f t="shared" si="5"/>
        <v>2</v>
      </c>
      <c r="F291">
        <v>1</v>
      </c>
    </row>
    <row r="292" spans="1:6" x14ac:dyDescent="0.25">
      <c r="A292" t="s">
        <v>304</v>
      </c>
      <c r="B292" t="s">
        <v>305</v>
      </c>
      <c r="C292">
        <v>52</v>
      </c>
      <c r="D292">
        <v>52</v>
      </c>
      <c r="E292">
        <f t="shared" si="5"/>
        <v>0</v>
      </c>
      <c r="F292">
        <v>1</v>
      </c>
    </row>
    <row r="293" spans="1:6" x14ac:dyDescent="0.25">
      <c r="A293" t="s">
        <v>304</v>
      </c>
      <c r="B293" t="s">
        <v>305</v>
      </c>
      <c r="C293">
        <v>52</v>
      </c>
      <c r="D293">
        <v>52</v>
      </c>
      <c r="E293">
        <f t="shared" si="5"/>
        <v>0</v>
      </c>
      <c r="F293">
        <v>1</v>
      </c>
    </row>
    <row r="294" spans="1:6" x14ac:dyDescent="0.25">
      <c r="A294" t="s">
        <v>304</v>
      </c>
      <c r="B294" t="s">
        <v>305</v>
      </c>
      <c r="C294">
        <v>41</v>
      </c>
      <c r="D294">
        <v>40</v>
      </c>
      <c r="E294">
        <f t="shared" si="5"/>
        <v>1</v>
      </c>
      <c r="F294">
        <v>1</v>
      </c>
    </row>
    <row r="295" spans="1:6" x14ac:dyDescent="0.25">
      <c r="A295" t="s">
        <v>304</v>
      </c>
      <c r="B295" t="s">
        <v>305</v>
      </c>
      <c r="C295">
        <v>47</v>
      </c>
      <c r="D295">
        <v>46</v>
      </c>
      <c r="E295">
        <f t="shared" si="5"/>
        <v>1</v>
      </c>
      <c r="F295">
        <v>1</v>
      </c>
    </row>
    <row r="296" spans="1:6" x14ac:dyDescent="0.25">
      <c r="A296" t="s">
        <v>304</v>
      </c>
      <c r="B296" t="s">
        <v>305</v>
      </c>
      <c r="C296">
        <v>48</v>
      </c>
      <c r="D296">
        <v>48</v>
      </c>
      <c r="E296">
        <f t="shared" si="5"/>
        <v>0</v>
      </c>
      <c r="F296">
        <v>1</v>
      </c>
    </row>
    <row r="297" spans="1:6" x14ac:dyDescent="0.25">
      <c r="A297" t="s">
        <v>304</v>
      </c>
      <c r="B297" t="s">
        <v>305</v>
      </c>
      <c r="C297">
        <v>50</v>
      </c>
      <c r="D297">
        <v>49</v>
      </c>
      <c r="E297">
        <f t="shared" si="5"/>
        <v>1</v>
      </c>
      <c r="F297">
        <v>1</v>
      </c>
    </row>
    <row r="298" spans="1:6" x14ac:dyDescent="0.25">
      <c r="A298" t="s">
        <v>304</v>
      </c>
      <c r="B298" t="s">
        <v>305</v>
      </c>
      <c r="C298">
        <v>41</v>
      </c>
      <c r="D298">
        <v>41</v>
      </c>
      <c r="E298">
        <f t="shared" si="5"/>
        <v>0</v>
      </c>
      <c r="F298">
        <v>1</v>
      </c>
    </row>
    <row r="299" spans="1:6" x14ac:dyDescent="0.25">
      <c r="A299" t="s">
        <v>304</v>
      </c>
      <c r="B299" t="s">
        <v>305</v>
      </c>
      <c r="C299">
        <v>40</v>
      </c>
      <c r="D299">
        <v>38</v>
      </c>
      <c r="E299">
        <f t="shared" si="5"/>
        <v>2</v>
      </c>
      <c r="F299">
        <v>1</v>
      </c>
    </row>
    <row r="300" spans="1:6" x14ac:dyDescent="0.25">
      <c r="A300" t="s">
        <v>304</v>
      </c>
      <c r="B300" t="s">
        <v>305</v>
      </c>
      <c r="C300">
        <v>39</v>
      </c>
      <c r="D300">
        <v>35</v>
      </c>
      <c r="E300">
        <f t="shared" si="5"/>
        <v>4</v>
      </c>
      <c r="F300">
        <v>0</v>
      </c>
    </row>
    <row r="301" spans="1:6" x14ac:dyDescent="0.25">
      <c r="A301" t="s">
        <v>304</v>
      </c>
      <c r="B301" t="s">
        <v>305</v>
      </c>
      <c r="C301">
        <v>15</v>
      </c>
      <c r="D301">
        <v>13</v>
      </c>
      <c r="E301">
        <f t="shared" si="5"/>
        <v>2</v>
      </c>
      <c r="F301">
        <v>0</v>
      </c>
    </row>
    <row r="302" spans="1:6" x14ac:dyDescent="0.25">
      <c r="A302" t="s">
        <v>304</v>
      </c>
      <c r="B302" t="s">
        <v>305</v>
      </c>
      <c r="C302">
        <v>15</v>
      </c>
      <c r="D302">
        <v>9</v>
      </c>
      <c r="E302">
        <f t="shared" si="5"/>
        <v>6</v>
      </c>
      <c r="F302">
        <v>0</v>
      </c>
    </row>
    <row r="303" spans="1:6" x14ac:dyDescent="0.25">
      <c r="A303" t="s">
        <v>304</v>
      </c>
      <c r="B303" t="s">
        <v>305</v>
      </c>
      <c r="C303">
        <v>24</v>
      </c>
      <c r="D303">
        <v>0</v>
      </c>
      <c r="E303">
        <f t="shared" si="5"/>
        <v>24</v>
      </c>
      <c r="F303">
        <v>0</v>
      </c>
    </row>
    <row r="304" spans="1:6" x14ac:dyDescent="0.25">
      <c r="A304" t="s">
        <v>304</v>
      </c>
      <c r="B304" t="s">
        <v>305</v>
      </c>
      <c r="C304">
        <v>38</v>
      </c>
      <c r="D304">
        <v>35</v>
      </c>
      <c r="E304">
        <f t="shared" si="5"/>
        <v>3</v>
      </c>
      <c r="F304">
        <v>0</v>
      </c>
    </row>
    <row r="305" spans="1:6" x14ac:dyDescent="0.25">
      <c r="A305" t="s">
        <v>304</v>
      </c>
      <c r="B305" t="s">
        <v>305</v>
      </c>
      <c r="C305">
        <v>32</v>
      </c>
      <c r="D305">
        <v>30</v>
      </c>
      <c r="E305">
        <f t="shared" si="5"/>
        <v>2</v>
      </c>
      <c r="F305">
        <v>0</v>
      </c>
    </row>
    <row r="306" spans="1:6" x14ac:dyDescent="0.25">
      <c r="A306" t="s">
        <v>304</v>
      </c>
      <c r="B306" t="s">
        <v>305</v>
      </c>
      <c r="C306">
        <v>26</v>
      </c>
      <c r="D306">
        <v>26</v>
      </c>
      <c r="E306">
        <f t="shared" si="5"/>
        <v>0</v>
      </c>
      <c r="F306">
        <v>1</v>
      </c>
    </row>
    <row r="307" spans="1:6" x14ac:dyDescent="0.25">
      <c r="A307" t="s">
        <v>304</v>
      </c>
      <c r="B307" t="s">
        <v>305</v>
      </c>
      <c r="C307">
        <v>21</v>
      </c>
      <c r="D307">
        <v>20</v>
      </c>
      <c r="E307">
        <f t="shared" si="5"/>
        <v>1</v>
      </c>
      <c r="F307">
        <v>1</v>
      </c>
    </row>
    <row r="308" spans="1:6" x14ac:dyDescent="0.25">
      <c r="A308" t="s">
        <v>304</v>
      </c>
      <c r="B308" t="s">
        <v>305</v>
      </c>
      <c r="C308">
        <v>19</v>
      </c>
      <c r="D308">
        <v>12</v>
      </c>
      <c r="E308">
        <f t="shared" si="5"/>
        <v>7</v>
      </c>
      <c r="F308">
        <v>0</v>
      </c>
    </row>
    <row r="309" spans="1:6" x14ac:dyDescent="0.25">
      <c r="A309" t="s">
        <v>304</v>
      </c>
      <c r="B309" t="s">
        <v>305</v>
      </c>
      <c r="C309">
        <v>29</v>
      </c>
      <c r="D309">
        <v>28</v>
      </c>
      <c r="E309">
        <f t="shared" si="5"/>
        <v>1</v>
      </c>
      <c r="F309">
        <v>1</v>
      </c>
    </row>
    <row r="310" spans="1:6" x14ac:dyDescent="0.25">
      <c r="A310" t="s">
        <v>304</v>
      </c>
      <c r="B310" t="s">
        <v>305</v>
      </c>
      <c r="C310">
        <v>26</v>
      </c>
      <c r="D310">
        <v>23</v>
      </c>
      <c r="E310">
        <f t="shared" si="5"/>
        <v>3</v>
      </c>
      <c r="F310">
        <v>0</v>
      </c>
    </row>
    <row r="311" spans="1:6" x14ac:dyDescent="0.25">
      <c r="A311" t="s">
        <v>304</v>
      </c>
      <c r="B311" t="s">
        <v>305</v>
      </c>
      <c r="C311">
        <v>30</v>
      </c>
      <c r="D311">
        <v>30</v>
      </c>
      <c r="E311">
        <f t="shared" si="5"/>
        <v>0</v>
      </c>
      <c r="F311">
        <v>1</v>
      </c>
    </row>
    <row r="312" spans="1:6" x14ac:dyDescent="0.25">
      <c r="A312" t="s">
        <v>304</v>
      </c>
      <c r="B312" t="s">
        <v>305</v>
      </c>
      <c r="C312">
        <v>38</v>
      </c>
      <c r="D312">
        <v>38</v>
      </c>
      <c r="E312">
        <f t="shared" si="5"/>
        <v>0</v>
      </c>
      <c r="F312">
        <v>1</v>
      </c>
    </row>
    <row r="313" spans="1:6" x14ac:dyDescent="0.25">
      <c r="A313" t="s">
        <v>304</v>
      </c>
      <c r="B313" t="s">
        <v>305</v>
      </c>
      <c r="C313">
        <v>11</v>
      </c>
      <c r="D313">
        <v>10</v>
      </c>
      <c r="E313">
        <f t="shared" si="5"/>
        <v>1</v>
      </c>
      <c r="F313">
        <v>0</v>
      </c>
    </row>
    <row r="314" spans="1:6" x14ac:dyDescent="0.25">
      <c r="A314" t="s">
        <v>304</v>
      </c>
      <c r="B314" t="s">
        <v>305</v>
      </c>
      <c r="C314">
        <v>31</v>
      </c>
      <c r="D314">
        <v>30</v>
      </c>
      <c r="E314">
        <f t="shared" si="5"/>
        <v>1</v>
      </c>
      <c r="F314">
        <v>1</v>
      </c>
    </row>
    <row r="315" spans="1:6" x14ac:dyDescent="0.25">
      <c r="A315" t="s">
        <v>304</v>
      </c>
      <c r="B315" t="s">
        <v>305</v>
      </c>
      <c r="C315">
        <v>37</v>
      </c>
      <c r="D315">
        <v>37</v>
      </c>
      <c r="E315">
        <f t="shared" si="5"/>
        <v>0</v>
      </c>
      <c r="F315">
        <v>1</v>
      </c>
    </row>
    <row r="316" spans="1:6" x14ac:dyDescent="0.25">
      <c r="A316" t="s">
        <v>304</v>
      </c>
      <c r="B316" t="s">
        <v>305</v>
      </c>
      <c r="C316">
        <v>39</v>
      </c>
      <c r="D316">
        <v>34</v>
      </c>
      <c r="E316">
        <f t="shared" si="5"/>
        <v>5</v>
      </c>
      <c r="F316">
        <v>0</v>
      </c>
    </row>
    <row r="317" spans="1:6" x14ac:dyDescent="0.25">
      <c r="A317" t="s">
        <v>304</v>
      </c>
      <c r="B317" t="s">
        <v>305</v>
      </c>
      <c r="C317">
        <v>24</v>
      </c>
      <c r="D317">
        <v>24</v>
      </c>
      <c r="E317">
        <f t="shared" si="5"/>
        <v>0</v>
      </c>
      <c r="F317">
        <v>1</v>
      </c>
    </row>
    <row r="318" spans="1:6" x14ac:dyDescent="0.25">
      <c r="A318" t="s">
        <v>304</v>
      </c>
      <c r="B318" t="s">
        <v>305</v>
      </c>
      <c r="C318">
        <v>38</v>
      </c>
      <c r="D318">
        <v>37</v>
      </c>
      <c r="E318">
        <f t="shared" si="5"/>
        <v>1</v>
      </c>
      <c r="F318">
        <v>1</v>
      </c>
    </row>
    <row r="319" spans="1:6" x14ac:dyDescent="0.25">
      <c r="A319" t="s">
        <v>304</v>
      </c>
      <c r="B319" t="s">
        <v>305</v>
      </c>
      <c r="C319">
        <v>33</v>
      </c>
      <c r="D319">
        <v>33</v>
      </c>
      <c r="E319">
        <f t="shared" si="5"/>
        <v>0</v>
      </c>
      <c r="F319">
        <v>1</v>
      </c>
    </row>
    <row r="320" spans="1:6" x14ac:dyDescent="0.25">
      <c r="A320" t="s">
        <v>304</v>
      </c>
      <c r="B320" t="s">
        <v>305</v>
      </c>
      <c r="C320">
        <v>27</v>
      </c>
      <c r="D320">
        <v>24</v>
      </c>
      <c r="E320">
        <f t="shared" si="5"/>
        <v>3</v>
      </c>
      <c r="F320">
        <v>0</v>
      </c>
    </row>
    <row r="321" spans="1:6" x14ac:dyDescent="0.25">
      <c r="A321" t="s">
        <v>304</v>
      </c>
      <c r="B321" t="s">
        <v>305</v>
      </c>
      <c r="C321">
        <v>50</v>
      </c>
      <c r="D321">
        <v>50</v>
      </c>
      <c r="E321">
        <f t="shared" si="5"/>
        <v>0</v>
      </c>
      <c r="F321">
        <v>1</v>
      </c>
    </row>
    <row r="322" spans="1:6" x14ac:dyDescent="0.25">
      <c r="A322" t="s">
        <v>304</v>
      </c>
      <c r="B322" t="s">
        <v>305</v>
      </c>
      <c r="C322">
        <v>41</v>
      </c>
      <c r="D322">
        <v>39</v>
      </c>
      <c r="E322">
        <f t="shared" si="5"/>
        <v>2</v>
      </c>
      <c r="F322">
        <v>1</v>
      </c>
    </row>
    <row r="323" spans="1:6" x14ac:dyDescent="0.25">
      <c r="A323" t="s">
        <v>304</v>
      </c>
      <c r="B323" t="s">
        <v>305</v>
      </c>
      <c r="C323">
        <v>31</v>
      </c>
      <c r="D323">
        <v>30</v>
      </c>
      <c r="E323">
        <f t="shared" si="5"/>
        <v>1</v>
      </c>
      <c r="F323">
        <v>1</v>
      </c>
    </row>
    <row r="324" spans="1:6" x14ac:dyDescent="0.25">
      <c r="A324" t="s">
        <v>304</v>
      </c>
      <c r="B324" t="s">
        <v>305</v>
      </c>
      <c r="C324">
        <v>16</v>
      </c>
      <c r="D324">
        <v>16</v>
      </c>
      <c r="E324">
        <f t="shared" ref="E324:E367" si="6">C324-D324</f>
        <v>0</v>
      </c>
      <c r="F324">
        <v>1</v>
      </c>
    </row>
    <row r="325" spans="1:6" x14ac:dyDescent="0.25">
      <c r="A325" t="s">
        <v>304</v>
      </c>
      <c r="B325" t="s">
        <v>305</v>
      </c>
      <c r="C325">
        <v>22</v>
      </c>
      <c r="D325">
        <v>22</v>
      </c>
      <c r="E325">
        <f t="shared" si="6"/>
        <v>0</v>
      </c>
      <c r="F325">
        <v>1</v>
      </c>
    </row>
    <row r="326" spans="1:6" x14ac:dyDescent="0.25">
      <c r="A326" t="s">
        <v>304</v>
      </c>
      <c r="B326" t="s">
        <v>305</v>
      </c>
      <c r="C326">
        <v>34</v>
      </c>
      <c r="D326">
        <v>34</v>
      </c>
      <c r="E326">
        <f t="shared" si="6"/>
        <v>0</v>
      </c>
      <c r="F326">
        <v>1</v>
      </c>
    </row>
    <row r="327" spans="1:6" x14ac:dyDescent="0.25">
      <c r="A327" t="s">
        <v>304</v>
      </c>
      <c r="B327" t="s">
        <v>305</v>
      </c>
      <c r="C327">
        <v>31</v>
      </c>
      <c r="D327">
        <v>31</v>
      </c>
      <c r="E327">
        <f t="shared" si="6"/>
        <v>0</v>
      </c>
      <c r="F327">
        <v>1</v>
      </c>
    </row>
    <row r="328" spans="1:6" x14ac:dyDescent="0.25">
      <c r="A328" t="s">
        <v>304</v>
      </c>
      <c r="B328" t="s">
        <v>305</v>
      </c>
      <c r="C328">
        <v>7</v>
      </c>
      <c r="D328">
        <v>7</v>
      </c>
      <c r="E328">
        <f t="shared" si="6"/>
        <v>0</v>
      </c>
      <c r="F328">
        <v>1</v>
      </c>
    </row>
    <row r="329" spans="1:6" x14ac:dyDescent="0.25">
      <c r="A329" t="s">
        <v>304</v>
      </c>
      <c r="B329" t="s">
        <v>305</v>
      </c>
      <c r="C329">
        <v>1</v>
      </c>
      <c r="D329">
        <v>1</v>
      </c>
      <c r="E329">
        <f t="shared" si="6"/>
        <v>0</v>
      </c>
      <c r="F329">
        <v>1</v>
      </c>
    </row>
    <row r="330" spans="1:6" x14ac:dyDescent="0.25">
      <c r="A330" t="s">
        <v>304</v>
      </c>
      <c r="B330" t="s">
        <v>305</v>
      </c>
      <c r="C330">
        <v>1</v>
      </c>
      <c r="D330">
        <v>0</v>
      </c>
      <c r="E330">
        <f t="shared" si="6"/>
        <v>1</v>
      </c>
      <c r="F330">
        <v>0</v>
      </c>
    </row>
    <row r="331" spans="1:6" x14ac:dyDescent="0.25">
      <c r="A331" t="s">
        <v>304</v>
      </c>
      <c r="B331" t="s">
        <v>305</v>
      </c>
      <c r="C331">
        <v>6</v>
      </c>
      <c r="D331">
        <v>4</v>
      </c>
      <c r="E331">
        <f t="shared" si="6"/>
        <v>2</v>
      </c>
      <c r="F331">
        <v>0</v>
      </c>
    </row>
    <row r="332" spans="1:6" x14ac:dyDescent="0.25">
      <c r="A332" t="s">
        <v>304</v>
      </c>
      <c r="B332" t="s">
        <v>305</v>
      </c>
      <c r="C332">
        <v>13</v>
      </c>
      <c r="D332">
        <v>13</v>
      </c>
      <c r="E332">
        <f t="shared" si="6"/>
        <v>0</v>
      </c>
      <c r="F332">
        <v>1</v>
      </c>
    </row>
    <row r="333" spans="1:6" x14ac:dyDescent="0.25">
      <c r="A333" t="s">
        <v>304</v>
      </c>
      <c r="B333" t="s">
        <v>305</v>
      </c>
      <c r="C333">
        <v>18</v>
      </c>
      <c r="D333">
        <v>18</v>
      </c>
      <c r="E333">
        <f t="shared" si="6"/>
        <v>0</v>
      </c>
      <c r="F333">
        <v>1</v>
      </c>
    </row>
    <row r="334" spans="1:6" x14ac:dyDescent="0.25">
      <c r="A334" t="s">
        <v>304</v>
      </c>
      <c r="B334" t="s">
        <v>305</v>
      </c>
      <c r="C334">
        <v>15</v>
      </c>
      <c r="D334">
        <v>13</v>
      </c>
      <c r="E334">
        <f t="shared" si="6"/>
        <v>2</v>
      </c>
      <c r="F334">
        <v>0</v>
      </c>
    </row>
    <row r="335" spans="1:6" x14ac:dyDescent="0.25">
      <c r="A335" t="s">
        <v>304</v>
      </c>
      <c r="B335" t="s">
        <v>305</v>
      </c>
      <c r="C335">
        <v>18</v>
      </c>
      <c r="D335">
        <v>18</v>
      </c>
      <c r="E335">
        <f t="shared" si="6"/>
        <v>0</v>
      </c>
      <c r="F335">
        <v>1</v>
      </c>
    </row>
    <row r="336" spans="1:6" x14ac:dyDescent="0.25">
      <c r="A336" t="s">
        <v>304</v>
      </c>
      <c r="B336" t="s">
        <v>305</v>
      </c>
      <c r="C336">
        <v>11</v>
      </c>
      <c r="D336">
        <v>9</v>
      </c>
      <c r="E336">
        <f t="shared" si="6"/>
        <v>2</v>
      </c>
      <c r="F336">
        <v>0</v>
      </c>
    </row>
    <row r="337" spans="1:6" x14ac:dyDescent="0.25">
      <c r="A337" t="s">
        <v>304</v>
      </c>
      <c r="B337" t="s">
        <v>305</v>
      </c>
      <c r="C337">
        <v>16</v>
      </c>
      <c r="D337">
        <v>16</v>
      </c>
      <c r="E337">
        <f t="shared" si="6"/>
        <v>0</v>
      </c>
      <c r="F337">
        <v>1</v>
      </c>
    </row>
    <row r="338" spans="1:6" x14ac:dyDescent="0.25">
      <c r="A338" t="s">
        <v>304</v>
      </c>
      <c r="B338" t="s">
        <v>305</v>
      </c>
      <c r="C338">
        <v>14</v>
      </c>
      <c r="D338">
        <v>14</v>
      </c>
      <c r="E338">
        <f t="shared" si="6"/>
        <v>0</v>
      </c>
      <c r="F338">
        <v>1</v>
      </c>
    </row>
    <row r="339" spans="1:6" x14ac:dyDescent="0.25">
      <c r="A339" t="s">
        <v>304</v>
      </c>
      <c r="B339" t="s">
        <v>305</v>
      </c>
      <c r="C339">
        <v>9</v>
      </c>
      <c r="D339">
        <v>9</v>
      </c>
      <c r="E339">
        <f t="shared" si="6"/>
        <v>0</v>
      </c>
      <c r="F339">
        <v>1</v>
      </c>
    </row>
    <row r="340" spans="1:6" x14ac:dyDescent="0.25">
      <c r="A340" t="s">
        <v>304</v>
      </c>
      <c r="B340" t="s">
        <v>305</v>
      </c>
      <c r="C340">
        <v>19</v>
      </c>
      <c r="D340">
        <v>19</v>
      </c>
      <c r="E340">
        <f t="shared" si="6"/>
        <v>0</v>
      </c>
      <c r="F340">
        <v>1</v>
      </c>
    </row>
    <row r="341" spans="1:6" x14ac:dyDescent="0.25">
      <c r="A341" t="s">
        <v>304</v>
      </c>
      <c r="B341" t="s">
        <v>305</v>
      </c>
      <c r="C341">
        <v>14</v>
      </c>
      <c r="D341">
        <v>14</v>
      </c>
      <c r="E341">
        <f t="shared" si="6"/>
        <v>0</v>
      </c>
      <c r="F341">
        <v>1</v>
      </c>
    </row>
    <row r="342" spans="1:6" x14ac:dyDescent="0.25">
      <c r="A342" t="s">
        <v>304</v>
      </c>
      <c r="B342" t="s">
        <v>305</v>
      </c>
      <c r="C342">
        <v>21</v>
      </c>
      <c r="D342">
        <v>21</v>
      </c>
      <c r="E342">
        <f t="shared" si="6"/>
        <v>0</v>
      </c>
      <c r="F342">
        <v>1</v>
      </c>
    </row>
    <row r="343" spans="1:6" x14ac:dyDescent="0.25">
      <c r="A343" t="s">
        <v>304</v>
      </c>
      <c r="B343" t="s">
        <v>305</v>
      </c>
      <c r="C343">
        <v>18</v>
      </c>
      <c r="D343">
        <v>18</v>
      </c>
      <c r="E343">
        <f t="shared" si="6"/>
        <v>0</v>
      </c>
      <c r="F343">
        <v>1</v>
      </c>
    </row>
    <row r="344" spans="1:6" x14ac:dyDescent="0.25">
      <c r="A344" t="s">
        <v>304</v>
      </c>
      <c r="B344" t="s">
        <v>305</v>
      </c>
      <c r="C344">
        <v>18</v>
      </c>
      <c r="D344">
        <v>15</v>
      </c>
      <c r="E344">
        <f t="shared" si="6"/>
        <v>3</v>
      </c>
      <c r="F344">
        <v>0</v>
      </c>
    </row>
    <row r="345" spans="1:6" x14ac:dyDescent="0.25">
      <c r="A345" t="s">
        <v>304</v>
      </c>
      <c r="B345" t="s">
        <v>305</v>
      </c>
      <c r="C345">
        <v>19</v>
      </c>
      <c r="D345">
        <v>15</v>
      </c>
      <c r="E345">
        <f t="shared" si="6"/>
        <v>4</v>
      </c>
      <c r="F345">
        <v>0</v>
      </c>
    </row>
    <row r="346" spans="1:6" x14ac:dyDescent="0.25">
      <c r="A346" t="s">
        <v>304</v>
      </c>
      <c r="B346" t="s">
        <v>305</v>
      </c>
      <c r="C346">
        <v>30</v>
      </c>
      <c r="D346">
        <v>30</v>
      </c>
      <c r="E346">
        <f t="shared" si="6"/>
        <v>0</v>
      </c>
      <c r="F346">
        <v>1</v>
      </c>
    </row>
    <row r="347" spans="1:6" x14ac:dyDescent="0.25">
      <c r="A347" t="s">
        <v>304</v>
      </c>
      <c r="B347" t="s">
        <v>305</v>
      </c>
      <c r="C347">
        <v>13</v>
      </c>
      <c r="D347">
        <v>12</v>
      </c>
      <c r="E347">
        <f t="shared" si="6"/>
        <v>1</v>
      </c>
      <c r="F347">
        <v>0</v>
      </c>
    </row>
    <row r="348" spans="1:6" x14ac:dyDescent="0.25">
      <c r="A348" t="s">
        <v>304</v>
      </c>
      <c r="B348" t="s">
        <v>305</v>
      </c>
      <c r="C348">
        <v>20</v>
      </c>
      <c r="D348">
        <v>18</v>
      </c>
      <c r="E348">
        <f t="shared" si="6"/>
        <v>2</v>
      </c>
      <c r="F348">
        <v>0</v>
      </c>
    </row>
    <row r="349" spans="1:6" x14ac:dyDescent="0.25">
      <c r="A349" t="s">
        <v>304</v>
      </c>
      <c r="B349" t="s">
        <v>305</v>
      </c>
      <c r="C349">
        <v>22</v>
      </c>
      <c r="D349">
        <v>16</v>
      </c>
      <c r="E349">
        <f t="shared" si="6"/>
        <v>6</v>
      </c>
      <c r="F349">
        <v>0</v>
      </c>
    </row>
    <row r="350" spans="1:6" x14ac:dyDescent="0.25">
      <c r="A350" t="s">
        <v>304</v>
      </c>
      <c r="B350" t="s">
        <v>305</v>
      </c>
      <c r="C350">
        <v>22</v>
      </c>
      <c r="D350">
        <v>15</v>
      </c>
      <c r="E350">
        <f t="shared" si="6"/>
        <v>7</v>
      </c>
      <c r="F350">
        <v>0</v>
      </c>
    </row>
    <row r="351" spans="1:6" x14ac:dyDescent="0.25">
      <c r="A351" t="s">
        <v>304</v>
      </c>
      <c r="B351" t="s">
        <v>305</v>
      </c>
      <c r="C351">
        <v>28</v>
      </c>
      <c r="D351">
        <v>28</v>
      </c>
      <c r="E351">
        <f t="shared" si="6"/>
        <v>0</v>
      </c>
      <c r="F351">
        <v>1</v>
      </c>
    </row>
    <row r="352" spans="1:6" x14ac:dyDescent="0.25">
      <c r="A352" t="s">
        <v>304</v>
      </c>
      <c r="B352" t="s">
        <v>305</v>
      </c>
      <c r="C352">
        <v>17</v>
      </c>
      <c r="D352">
        <v>17</v>
      </c>
      <c r="E352">
        <f t="shared" si="6"/>
        <v>0</v>
      </c>
      <c r="F352">
        <v>1</v>
      </c>
    </row>
    <row r="353" spans="1:6" x14ac:dyDescent="0.25">
      <c r="A353" t="s">
        <v>304</v>
      </c>
      <c r="B353" t="s">
        <v>305</v>
      </c>
      <c r="C353">
        <v>24</v>
      </c>
      <c r="D353">
        <v>23</v>
      </c>
      <c r="E353">
        <f t="shared" si="6"/>
        <v>1</v>
      </c>
      <c r="F353">
        <v>1</v>
      </c>
    </row>
    <row r="354" spans="1:6" x14ac:dyDescent="0.25">
      <c r="A354" t="s">
        <v>304</v>
      </c>
      <c r="B354" t="s">
        <v>305</v>
      </c>
      <c r="C354">
        <v>26</v>
      </c>
      <c r="D354">
        <v>26</v>
      </c>
      <c r="E354">
        <f t="shared" si="6"/>
        <v>0</v>
      </c>
      <c r="F354">
        <v>1</v>
      </c>
    </row>
    <row r="355" spans="1:6" x14ac:dyDescent="0.25">
      <c r="A355" t="s">
        <v>304</v>
      </c>
      <c r="B355" t="s">
        <v>305</v>
      </c>
      <c r="C355">
        <v>13</v>
      </c>
      <c r="D355">
        <v>10</v>
      </c>
      <c r="E355">
        <f t="shared" si="6"/>
        <v>3</v>
      </c>
      <c r="F355">
        <v>0</v>
      </c>
    </row>
    <row r="356" spans="1:6" x14ac:dyDescent="0.25">
      <c r="A356" t="s">
        <v>304</v>
      </c>
      <c r="B356" t="s">
        <v>305</v>
      </c>
      <c r="C356">
        <v>27</v>
      </c>
      <c r="D356">
        <v>27</v>
      </c>
      <c r="E356">
        <f t="shared" si="6"/>
        <v>0</v>
      </c>
      <c r="F356">
        <v>1</v>
      </c>
    </row>
    <row r="357" spans="1:6" x14ac:dyDescent="0.25">
      <c r="A357" t="s">
        <v>304</v>
      </c>
      <c r="B357" t="s">
        <v>305</v>
      </c>
      <c r="C357">
        <v>22</v>
      </c>
      <c r="D357">
        <v>20</v>
      </c>
      <c r="E357">
        <f t="shared" si="6"/>
        <v>2</v>
      </c>
      <c r="F357">
        <v>0</v>
      </c>
    </row>
    <row r="358" spans="1:6" x14ac:dyDescent="0.25">
      <c r="A358" t="s">
        <v>304</v>
      </c>
      <c r="B358" t="s">
        <v>305</v>
      </c>
      <c r="C358">
        <v>29</v>
      </c>
      <c r="D358">
        <v>28</v>
      </c>
      <c r="E358">
        <f t="shared" si="6"/>
        <v>1</v>
      </c>
      <c r="F358">
        <v>1</v>
      </c>
    </row>
    <row r="359" spans="1:6" x14ac:dyDescent="0.25">
      <c r="A359" t="s">
        <v>304</v>
      </c>
      <c r="B359" t="s">
        <v>305</v>
      </c>
      <c r="C359">
        <v>24</v>
      </c>
      <c r="D359">
        <v>23</v>
      </c>
      <c r="E359">
        <f t="shared" si="6"/>
        <v>1</v>
      </c>
      <c r="F359">
        <v>1</v>
      </c>
    </row>
    <row r="360" spans="1:6" x14ac:dyDescent="0.25">
      <c r="A360" t="s">
        <v>304</v>
      </c>
      <c r="B360" t="s">
        <v>305</v>
      </c>
      <c r="C360">
        <v>32</v>
      </c>
      <c r="D360">
        <v>32</v>
      </c>
      <c r="E360">
        <f t="shared" si="6"/>
        <v>0</v>
      </c>
      <c r="F360">
        <v>1</v>
      </c>
    </row>
    <row r="361" spans="1:6" x14ac:dyDescent="0.25">
      <c r="A361" t="s">
        <v>304</v>
      </c>
      <c r="B361" t="s">
        <v>305</v>
      </c>
      <c r="C361">
        <v>25</v>
      </c>
      <c r="D361">
        <v>25</v>
      </c>
      <c r="E361">
        <f t="shared" si="6"/>
        <v>0</v>
      </c>
      <c r="F361">
        <v>1</v>
      </c>
    </row>
    <row r="362" spans="1:6" x14ac:dyDescent="0.25">
      <c r="A362" t="s">
        <v>304</v>
      </c>
      <c r="B362" t="s">
        <v>305</v>
      </c>
      <c r="C362">
        <v>19</v>
      </c>
      <c r="D362">
        <v>18</v>
      </c>
      <c r="E362">
        <f t="shared" si="6"/>
        <v>1</v>
      </c>
      <c r="F362">
        <v>1</v>
      </c>
    </row>
    <row r="363" spans="1:6" x14ac:dyDescent="0.25">
      <c r="A363" t="s">
        <v>304</v>
      </c>
      <c r="B363" t="s">
        <v>305</v>
      </c>
      <c r="C363">
        <v>26</v>
      </c>
      <c r="D363">
        <v>25</v>
      </c>
      <c r="E363">
        <f t="shared" si="6"/>
        <v>1</v>
      </c>
      <c r="F363">
        <v>1</v>
      </c>
    </row>
    <row r="364" spans="1:6" x14ac:dyDescent="0.25">
      <c r="A364" t="s">
        <v>304</v>
      </c>
      <c r="B364" t="s">
        <v>305</v>
      </c>
      <c r="C364">
        <v>22</v>
      </c>
      <c r="D364">
        <v>21</v>
      </c>
      <c r="E364">
        <f t="shared" si="6"/>
        <v>1</v>
      </c>
      <c r="F364">
        <v>1</v>
      </c>
    </row>
    <row r="365" spans="1:6" x14ac:dyDescent="0.25">
      <c r="A365" t="s">
        <v>304</v>
      </c>
      <c r="B365" t="s">
        <v>305</v>
      </c>
      <c r="C365">
        <v>44</v>
      </c>
      <c r="D365">
        <v>44</v>
      </c>
      <c r="E365">
        <f t="shared" si="6"/>
        <v>0</v>
      </c>
      <c r="F365">
        <v>1</v>
      </c>
    </row>
    <row r="366" spans="1:6" x14ac:dyDescent="0.25">
      <c r="A366" t="s">
        <v>304</v>
      </c>
      <c r="B366" t="s">
        <v>305</v>
      </c>
      <c r="C366">
        <v>28</v>
      </c>
      <c r="D366">
        <v>28</v>
      </c>
      <c r="E366">
        <f t="shared" si="6"/>
        <v>0</v>
      </c>
      <c r="F366">
        <v>1</v>
      </c>
    </row>
    <row r="367" spans="1:6" x14ac:dyDescent="0.25">
      <c r="A367" t="s">
        <v>304</v>
      </c>
      <c r="B367" t="s">
        <v>305</v>
      </c>
      <c r="C367">
        <v>26</v>
      </c>
      <c r="D367">
        <v>26</v>
      </c>
      <c r="E367">
        <f t="shared" si="6"/>
        <v>0</v>
      </c>
      <c r="F367">
        <v>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DEB9C-454C-4059-B7E4-F7156E57B00D}">
  <dimension ref="A1:U93"/>
  <sheetViews>
    <sheetView workbookViewId="0">
      <selection activeCell="J14" sqref="J14"/>
    </sheetView>
  </sheetViews>
  <sheetFormatPr defaultRowHeight="15" x14ac:dyDescent="0.25"/>
  <cols>
    <col min="1" max="1" width="9.140625" style="171"/>
    <col min="3" max="3" width="10.28515625" customWidth="1"/>
    <col min="5" max="5" width="12.5703125" customWidth="1"/>
    <col min="6" max="6" width="13.42578125" customWidth="1"/>
    <col min="9" max="9" width="16.140625" customWidth="1"/>
    <col min="13" max="13" width="11.5703125" customWidth="1"/>
    <col min="16" max="16" width="11" customWidth="1"/>
    <col min="17" max="17" width="15.28515625" customWidth="1"/>
    <col min="18" max="18" width="14.7109375" customWidth="1"/>
    <col min="19" max="19" width="19.140625" customWidth="1"/>
    <col min="20" max="20" width="18.7109375" customWidth="1"/>
    <col min="21" max="21" width="18.140625" customWidth="1"/>
  </cols>
  <sheetData>
    <row r="1" spans="1:21" x14ac:dyDescent="0.25">
      <c r="B1" s="136" t="s">
        <v>658</v>
      </c>
      <c r="H1" s="4"/>
      <c r="I1" s="136" t="s">
        <v>665</v>
      </c>
      <c r="P1" s="136" t="s">
        <v>457</v>
      </c>
    </row>
    <row r="2" spans="1:21" x14ac:dyDescent="0.25">
      <c r="A2" s="138" t="s">
        <v>35</v>
      </c>
      <c r="B2" s="138" t="s">
        <v>83</v>
      </c>
      <c r="C2" s="138" t="s">
        <v>108</v>
      </c>
      <c r="D2" s="138" t="s">
        <v>112</v>
      </c>
      <c r="E2" s="138" t="s">
        <v>111</v>
      </c>
      <c r="F2" s="138" t="s">
        <v>449</v>
      </c>
      <c r="G2" s="138" t="s">
        <v>100</v>
      </c>
      <c r="I2" s="117" t="s">
        <v>83</v>
      </c>
      <c r="J2" s="126" t="str">
        <f>C2</f>
        <v>RNA/DNA</v>
      </c>
      <c r="K2" s="141" t="str">
        <f>D2</f>
        <v>TBARS</v>
      </c>
      <c r="L2" s="141" t="str">
        <f>E2</f>
        <v>ORAC</v>
      </c>
      <c r="M2" s="141" t="str">
        <f>F2</f>
        <v>ORAC/TBARS</v>
      </c>
      <c r="N2" s="141" t="str">
        <f>G2</f>
        <v>AChE</v>
      </c>
      <c r="P2" s="138" t="s">
        <v>83</v>
      </c>
      <c r="Q2" s="138" t="s">
        <v>452</v>
      </c>
      <c r="R2" s="138" t="s">
        <v>453</v>
      </c>
      <c r="S2" s="138" t="s">
        <v>454</v>
      </c>
      <c r="T2" s="138" t="s">
        <v>455</v>
      </c>
      <c r="U2" s="138" t="s">
        <v>456</v>
      </c>
    </row>
    <row r="3" spans="1:21" x14ac:dyDescent="0.25">
      <c r="A3" s="171">
        <v>2018</v>
      </c>
      <c r="B3" s="139" t="s">
        <v>303</v>
      </c>
      <c r="C3" s="140">
        <v>3.3123949330000002</v>
      </c>
      <c r="D3" s="140">
        <v>0.50955544100000005</v>
      </c>
      <c r="E3" s="140">
        <v>0.24850423699999999</v>
      </c>
      <c r="F3" s="140">
        <v>0.48768832000000001</v>
      </c>
      <c r="G3" s="140">
        <v>17.876489710000001</v>
      </c>
      <c r="I3" s="119">
        <v>58</v>
      </c>
      <c r="J3" cm="1">
        <f t="array" ref="J3">PERCENTILE(IF(B3:B93="SU58",C3:C93),0.1)</f>
        <v>1.2588775335</v>
      </c>
      <c r="K3" cm="1">
        <f t="array" ref="K3">PERCENTILE(IF(B$3:B$93="SU58",D$3:D$93),0.9)</f>
        <v>1.1533571561999998</v>
      </c>
      <c r="L3" cm="1">
        <f t="array" ref="L3">PERCENTILE(IF($B$3:$B$93="SU58",E$3:E$93),0.9)</f>
        <v>0.21020442519999999</v>
      </c>
      <c r="M3" cm="1">
        <f t="array" ref="M3">PERCENTILE(IF($B$3:$B$93="SU58",F$3:F$93),0.9)</f>
        <v>0.25692382829999999</v>
      </c>
      <c r="N3" cm="1">
        <f t="array" ref="N3">PERCENTILE(IF($B$3:$B$93="SU58",G$3:G$93),0.1)</f>
        <v>14.951106139</v>
      </c>
      <c r="P3" s="139" t="s">
        <v>305</v>
      </c>
      <c r="Q3" s="140">
        <v>10</v>
      </c>
      <c r="R3" s="140">
        <v>10</v>
      </c>
      <c r="S3" s="140">
        <v>10</v>
      </c>
      <c r="T3" s="140">
        <v>10</v>
      </c>
      <c r="U3" s="140">
        <v>10</v>
      </c>
    </row>
    <row r="4" spans="1:21" x14ac:dyDescent="0.25">
      <c r="A4" s="171">
        <v>2018</v>
      </c>
      <c r="B4" s="139" t="s">
        <v>303</v>
      </c>
      <c r="C4" s="140">
        <v>1.5803901170000001</v>
      </c>
      <c r="D4" s="140">
        <v>0.87432490100000004</v>
      </c>
      <c r="E4" s="140">
        <v>0.21571611800000001</v>
      </c>
      <c r="F4" s="140">
        <v>0.24672306399999999</v>
      </c>
      <c r="G4" s="140">
        <v>19.412222539999998</v>
      </c>
      <c r="I4" s="119">
        <v>57</v>
      </c>
      <c r="J4" cm="1">
        <f t="array" ref="J4">PERCENTILE(IF(B3:B93="SU57",C3:C93),0.1)</f>
        <v>1.9091465911999999</v>
      </c>
      <c r="K4" cm="1">
        <f t="array" ref="K4">PERCENTILE(IF(B$3:B$93="SU57",D$3:D$93),0.9)</f>
        <v>0.93865922560000004</v>
      </c>
      <c r="L4" cm="1">
        <f t="array" ref="L4">PERCENTILE(IF(B$3:B$93="SU57",E$3:E$93),0.9)</f>
        <v>0.16984529780000002</v>
      </c>
      <c r="M4" cm="1">
        <f t="array" ref="M4">PERCENTILE(IF(B$3:B$93="SU57",F$3:F$93),0.9)</f>
        <v>0.23790375279999998</v>
      </c>
      <c r="N4" cm="1">
        <f t="array" ref="N4">PERCENTILE(IF(B$3:B$93="SU57",G$3:G$93),0.1)</f>
        <v>14.214816526</v>
      </c>
      <c r="P4" s="139" t="s">
        <v>302</v>
      </c>
      <c r="Q4" s="140">
        <v>12</v>
      </c>
      <c r="R4" s="140">
        <v>12</v>
      </c>
      <c r="S4" s="140">
        <v>12</v>
      </c>
      <c r="T4" s="140">
        <v>12</v>
      </c>
      <c r="U4" s="140">
        <v>12</v>
      </c>
    </row>
    <row r="5" spans="1:21" x14ac:dyDescent="0.25">
      <c r="A5" s="171">
        <v>2018</v>
      </c>
      <c r="B5" s="139" t="s">
        <v>303</v>
      </c>
      <c r="C5" s="140">
        <v>1.00037318</v>
      </c>
      <c r="D5" s="140">
        <v>1.0416952900000001</v>
      </c>
      <c r="E5" s="140">
        <v>0.240872474</v>
      </c>
      <c r="F5" s="140">
        <v>0.23123122099999999</v>
      </c>
      <c r="G5" s="140">
        <v>29.046287670000002</v>
      </c>
      <c r="I5" s="119" t="s">
        <v>265</v>
      </c>
      <c r="J5" cm="1">
        <f t="array" ref="J5">PERCENTILE(IF(B$3:B$93="SR1A",C$3:C$93),0.1)</f>
        <v>2.3935700980999997</v>
      </c>
      <c r="K5" cm="1">
        <f t="array" ref="K5">PERCENTILE(IF(B$3:B$93="SR1A",D$3:D$93),0.9)</f>
        <v>0.49296449979999996</v>
      </c>
      <c r="L5" cm="1">
        <f t="array" ref="L5">PERCENTILE(IF(B$3:B$93="SR1A",E$3:E$93),0.9)</f>
        <v>0.19574457110000001</v>
      </c>
      <c r="M5" cm="1">
        <f t="array" ref="M5">PERCENTILE(IF(B$3:B$93="SR1A",F$3:F$93),0.9)</f>
        <v>0.6100941232999999</v>
      </c>
      <c r="N5" cm="1">
        <f t="array" ref="N5">PERCENTILE(IF(B$3:B$93="SR1A",G$3:G$93),0.1)</f>
        <v>12.170142095000001</v>
      </c>
      <c r="P5" s="139" t="s">
        <v>303</v>
      </c>
      <c r="Q5" s="140">
        <v>10</v>
      </c>
      <c r="R5" s="140">
        <v>10</v>
      </c>
      <c r="S5" s="140">
        <v>10</v>
      </c>
      <c r="T5" s="140">
        <v>10</v>
      </c>
      <c r="U5" s="140">
        <v>10</v>
      </c>
    </row>
    <row r="6" spans="1:21" x14ac:dyDescent="0.25">
      <c r="A6" s="171">
        <v>2018</v>
      </c>
      <c r="B6" s="139" t="s">
        <v>303</v>
      </c>
      <c r="C6" s="140">
        <v>5.5678896360000003</v>
      </c>
      <c r="D6" s="140">
        <v>0.66909721600000005</v>
      </c>
      <c r="E6" s="140">
        <v>0.17738727400000001</v>
      </c>
      <c r="F6" s="140">
        <v>0.26511435100000003</v>
      </c>
      <c r="G6" s="140">
        <v>16.520382290000001</v>
      </c>
      <c r="I6" s="119" t="s">
        <v>271</v>
      </c>
      <c r="J6" cm="1">
        <f t="array" ref="J6">PERCENTILE(IF(B$3:B$93="Nrr",C$3:C$93),0.1)</f>
        <v>0.99369814460000006</v>
      </c>
      <c r="K6" cm="1">
        <f t="array" ref="K6">PERCENTILE(IF(B$3:B$93="Nrr",D$3:D$93),0.9)</f>
        <v>0.97364382709999997</v>
      </c>
      <c r="L6" cm="1">
        <f t="array" ref="L6">PERCENTILE(IF(B$3:B$93="Nrr",E$3:E$93),0.9)</f>
        <v>0.2306248222</v>
      </c>
      <c r="M6" cm="1">
        <f t="array" ref="M6">PERCENTILE(IF(B$3:B$93="Nrr",F$3:F$93),0.9)</f>
        <v>0.33685548069999999</v>
      </c>
      <c r="N6" cm="1">
        <f t="array" ref="N6">PERCENTILE(IF(B$3:B$93="Nrr",G$3:G$93),0.1)</f>
        <v>12.865443105999999</v>
      </c>
      <c r="P6" s="119" t="s">
        <v>277</v>
      </c>
      <c r="Q6" s="140">
        <v>10</v>
      </c>
      <c r="R6" s="140">
        <v>10</v>
      </c>
      <c r="S6" s="140">
        <v>10</v>
      </c>
      <c r="T6" s="140">
        <v>10</v>
      </c>
      <c r="U6" s="140">
        <v>10</v>
      </c>
    </row>
    <row r="7" spans="1:21" ht="14.45" customHeight="1" x14ac:dyDescent="0.25">
      <c r="A7" s="171">
        <v>2018</v>
      </c>
      <c r="B7" s="139" t="s">
        <v>303</v>
      </c>
      <c r="C7" s="140">
        <v>2.248843006</v>
      </c>
      <c r="D7" s="140">
        <v>0.45619444599999998</v>
      </c>
      <c r="E7" s="140">
        <v>0.25634149699999997</v>
      </c>
      <c r="F7" s="140">
        <v>0.56191279599999999</v>
      </c>
      <c r="G7" s="140">
        <v>20.430816570000001</v>
      </c>
      <c r="I7" s="119" t="s">
        <v>277</v>
      </c>
      <c r="J7" cm="1">
        <f t="array" ref="J7">PERCENTILE(IF(B$3:B$93="N26",C$3:C$93),0.1)</f>
        <v>1.9215595647999999</v>
      </c>
      <c r="K7" cm="1">
        <f t="array" ref="K7">PERCENTILE(IF(B$3:B$93="N26",D$3:D$93),0.9)</f>
        <v>0.49418894089999998</v>
      </c>
      <c r="L7" cm="1">
        <f t="array" ref="L7">PERCENTILE(IF(B$3:B$93="N26",E$3:E$93),0.9)</f>
        <v>0.19918564249999998</v>
      </c>
      <c r="M7" cm="1">
        <f t="array" ref="M7">PERCENTILE(IF(B$3:B$93="N26",F$3:F$93),0.9)</f>
        <v>0.64263233119999985</v>
      </c>
      <c r="N7" cm="1">
        <f t="array" ref="N7">PERCENTILE(IF(B$3:B$93="N26",G$3:G$93),0.1)</f>
        <v>12.100062703999999</v>
      </c>
      <c r="P7" s="119" t="s">
        <v>271</v>
      </c>
      <c r="Q7" s="140">
        <v>10</v>
      </c>
      <c r="R7" s="140">
        <v>10</v>
      </c>
      <c r="S7" s="140">
        <v>10</v>
      </c>
      <c r="T7" s="140">
        <v>10</v>
      </c>
      <c r="U7" s="140">
        <v>10</v>
      </c>
    </row>
    <row r="8" spans="1:21" x14ac:dyDescent="0.25">
      <c r="A8" s="171">
        <v>2018</v>
      </c>
      <c r="B8" s="139" t="s">
        <v>299</v>
      </c>
      <c r="C8" s="140">
        <v>3.4980304580000001</v>
      </c>
      <c r="D8" s="140">
        <v>0.95558847000000002</v>
      </c>
      <c r="E8" s="140">
        <v>0.132132043</v>
      </c>
      <c r="F8" s="140">
        <v>0.138272957</v>
      </c>
      <c r="G8" s="140">
        <v>21.919217079999999</v>
      </c>
      <c r="P8" s="139" t="s">
        <v>451</v>
      </c>
      <c r="Q8" s="140">
        <v>5</v>
      </c>
      <c r="R8" s="140">
        <v>5</v>
      </c>
      <c r="S8" s="140">
        <v>5</v>
      </c>
      <c r="T8" s="140">
        <v>5</v>
      </c>
      <c r="U8" s="140">
        <v>5</v>
      </c>
    </row>
    <row r="9" spans="1:21" x14ac:dyDescent="0.25">
      <c r="A9" s="171">
        <v>2018</v>
      </c>
      <c r="B9" s="139" t="s">
        <v>299</v>
      </c>
      <c r="C9" s="140">
        <v>3.44950906</v>
      </c>
      <c r="D9" s="140">
        <v>0.78793080400000004</v>
      </c>
      <c r="E9" s="140">
        <v>0.15263870299999999</v>
      </c>
      <c r="F9" s="140">
        <v>0.193720948</v>
      </c>
      <c r="G9" s="140">
        <v>13.77576891</v>
      </c>
      <c r="P9" s="139" t="s">
        <v>265</v>
      </c>
      <c r="Q9" s="140">
        <v>10</v>
      </c>
      <c r="R9" s="140">
        <v>10</v>
      </c>
      <c r="S9" s="140">
        <v>10</v>
      </c>
      <c r="T9" s="140">
        <v>10</v>
      </c>
      <c r="U9" s="140">
        <v>10</v>
      </c>
    </row>
    <row r="10" spans="1:21" x14ac:dyDescent="0.25">
      <c r="A10" s="171">
        <v>2018</v>
      </c>
      <c r="B10" s="139" t="s">
        <v>299</v>
      </c>
      <c r="C10" s="140">
        <v>3.1520306040000001</v>
      </c>
      <c r="D10" s="140">
        <v>0.63738263299999998</v>
      </c>
      <c r="E10" s="140">
        <v>0.170409955</v>
      </c>
      <c r="F10" s="140">
        <v>0.26735895599999998</v>
      </c>
      <c r="G10" s="140">
        <v>14.87338795</v>
      </c>
      <c r="P10" s="119">
        <v>57</v>
      </c>
      <c r="Q10" s="140">
        <v>5</v>
      </c>
      <c r="R10" s="140">
        <v>5</v>
      </c>
      <c r="S10" s="140">
        <v>5</v>
      </c>
      <c r="T10" s="140">
        <v>5</v>
      </c>
      <c r="U10" s="140">
        <v>5</v>
      </c>
    </row>
    <row r="11" spans="1:21" x14ac:dyDescent="0.25">
      <c r="A11" s="171">
        <v>2018</v>
      </c>
      <c r="B11" s="139" t="s">
        <v>299</v>
      </c>
      <c r="C11" s="140">
        <v>2.5419399199999999</v>
      </c>
      <c r="D11" s="140">
        <v>0.91326535900000005</v>
      </c>
      <c r="E11" s="140">
        <v>0.16899831200000001</v>
      </c>
      <c r="F11" s="140">
        <v>0.18504841999999999</v>
      </c>
      <c r="G11" s="140">
        <v>24.669689429999998</v>
      </c>
      <c r="I11" s="119"/>
      <c r="P11" s="119">
        <v>58</v>
      </c>
      <c r="Q11" s="140">
        <v>10</v>
      </c>
      <c r="R11" s="140">
        <v>10</v>
      </c>
      <c r="S11" s="140">
        <v>10</v>
      </c>
      <c r="T11" s="140">
        <v>10</v>
      </c>
      <c r="U11" s="140">
        <v>10</v>
      </c>
    </row>
    <row r="12" spans="1:21" x14ac:dyDescent="0.25">
      <c r="A12" s="171">
        <v>2018</v>
      </c>
      <c r="B12" s="139" t="s">
        <v>299</v>
      </c>
      <c r="C12" s="140">
        <v>1.487284372</v>
      </c>
      <c r="D12" s="140">
        <v>0.83336619199999995</v>
      </c>
      <c r="E12" s="140">
        <v>0.152327031</v>
      </c>
      <c r="F12" s="140">
        <v>0.18278522999999999</v>
      </c>
      <c r="G12" s="140">
        <v>22.061772959999999</v>
      </c>
      <c r="I12" s="119"/>
      <c r="P12" s="139" t="s">
        <v>450</v>
      </c>
      <c r="Q12" s="140">
        <v>9</v>
      </c>
      <c r="R12" s="140">
        <v>9</v>
      </c>
      <c r="S12" s="140">
        <v>9</v>
      </c>
      <c r="T12" s="140">
        <v>9</v>
      </c>
      <c r="U12" s="140">
        <v>9</v>
      </c>
    </row>
    <row r="13" spans="1:21" x14ac:dyDescent="0.25">
      <c r="A13" s="171">
        <v>2018</v>
      </c>
      <c r="B13" s="139" t="s">
        <v>301</v>
      </c>
      <c r="C13" s="140">
        <v>3.4028224909999998</v>
      </c>
      <c r="D13" s="140">
        <v>1.3520425890000001</v>
      </c>
      <c r="E13" s="140">
        <v>0.19660159099999999</v>
      </c>
      <c r="F13" s="140">
        <v>0.14541079800000001</v>
      </c>
      <c r="G13" s="140">
        <v>16.135624050000001</v>
      </c>
      <c r="I13" s="119"/>
    </row>
    <row r="14" spans="1:21" x14ac:dyDescent="0.25">
      <c r="A14" s="171">
        <v>2018</v>
      </c>
      <c r="B14" s="139" t="s">
        <v>301</v>
      </c>
      <c r="C14" s="140">
        <v>2.8982785519999998</v>
      </c>
      <c r="D14" s="140">
        <v>0.88719540799999996</v>
      </c>
      <c r="E14" s="140">
        <v>0.181560149</v>
      </c>
      <c r="F14" s="140">
        <v>0.20464505</v>
      </c>
      <c r="G14" s="140">
        <v>16.552487660000001</v>
      </c>
      <c r="I14" s="119"/>
    </row>
    <row r="15" spans="1:21" x14ac:dyDescent="0.25">
      <c r="A15" s="171">
        <v>2018</v>
      </c>
      <c r="B15" s="139" t="s">
        <v>301</v>
      </c>
      <c r="C15" s="140">
        <v>5.6135552430000004</v>
      </c>
      <c r="D15" s="140">
        <v>0.993177168</v>
      </c>
      <c r="E15" s="140">
        <v>0.18362524899999999</v>
      </c>
      <c r="F15" s="140">
        <v>0.18488669999999999</v>
      </c>
      <c r="G15" s="140">
        <v>14.975989800000001</v>
      </c>
    </row>
    <row r="16" spans="1:21" x14ac:dyDescent="0.25">
      <c r="A16" s="171">
        <v>2018</v>
      </c>
      <c r="B16" s="139" t="s">
        <v>301</v>
      </c>
      <c r="C16" s="140">
        <v>0.83809007099999999</v>
      </c>
      <c r="D16" s="140">
        <v>0.84470811499999998</v>
      </c>
      <c r="E16" s="140">
        <v>0.16969742400000001</v>
      </c>
      <c r="F16" s="140">
        <v>0.20089474800000001</v>
      </c>
      <c r="G16" s="140">
        <v>16.84344244</v>
      </c>
    </row>
    <row r="17" spans="1:7" x14ac:dyDescent="0.25">
      <c r="A17" s="171">
        <v>2018</v>
      </c>
      <c r="B17" s="139" t="s">
        <v>301</v>
      </c>
      <c r="C17" s="140">
        <v>2.5961715769999998</v>
      </c>
      <c r="D17" s="140">
        <v>1.131280997</v>
      </c>
      <c r="E17" s="140">
        <v>0.19262159400000001</v>
      </c>
      <c r="F17" s="140">
        <v>0.17026856700000001</v>
      </c>
      <c r="G17" s="140">
        <v>19.28453434</v>
      </c>
    </row>
    <row r="18" spans="1:7" x14ac:dyDescent="0.25">
      <c r="A18" s="171">
        <v>2018</v>
      </c>
      <c r="B18" s="139" t="s">
        <v>301</v>
      </c>
      <c r="C18" s="140">
        <v>5.00532544</v>
      </c>
      <c r="D18" s="140">
        <v>1.0304395310000001</v>
      </c>
      <c r="E18" s="140">
        <v>0.18476456699999999</v>
      </c>
      <c r="F18" s="140">
        <v>0.17930656</v>
      </c>
      <c r="G18" s="140">
        <v>19.990119199999999</v>
      </c>
    </row>
    <row r="19" spans="1:7" x14ac:dyDescent="0.25">
      <c r="A19" s="171">
        <v>2018</v>
      </c>
      <c r="B19" s="139" t="s">
        <v>301</v>
      </c>
      <c r="C19" s="140">
        <v>6.2976088570000002</v>
      </c>
      <c r="D19" s="140">
        <v>0.76865472899999998</v>
      </c>
      <c r="E19" s="140">
        <v>0.19748095399999999</v>
      </c>
      <c r="F19" s="140">
        <v>0.25691763299999998</v>
      </c>
      <c r="G19" s="140">
        <v>16.128805280000002</v>
      </c>
    </row>
    <row r="20" spans="1:7" x14ac:dyDescent="0.25">
      <c r="A20" s="171">
        <v>2018</v>
      </c>
      <c r="B20" s="139" t="s">
        <v>301</v>
      </c>
      <c r="C20" s="140">
        <v>1.3056316960000001</v>
      </c>
      <c r="D20" s="140">
        <v>0.87737729099999995</v>
      </c>
      <c r="E20" s="140">
        <v>0.20672142099999999</v>
      </c>
      <c r="F20" s="140">
        <v>0.23561291500000001</v>
      </c>
      <c r="G20" s="140">
        <v>24.413927040000001</v>
      </c>
    </row>
    <row r="21" spans="1:7" x14ac:dyDescent="0.25">
      <c r="A21" s="171">
        <v>2018</v>
      </c>
      <c r="B21" s="139" t="s">
        <v>301</v>
      </c>
      <c r="C21" s="140">
        <v>2.621142495</v>
      </c>
      <c r="D21" s="140">
        <v>0.93996362300000003</v>
      </c>
      <c r="E21" s="140">
        <v>0.24155146299999999</v>
      </c>
      <c r="F21" s="140">
        <v>0.25697958599999998</v>
      </c>
      <c r="G21" s="140">
        <v>19.121683440000002</v>
      </c>
    </row>
    <row r="22" spans="1:7" x14ac:dyDescent="0.25">
      <c r="A22" s="171">
        <v>2018</v>
      </c>
      <c r="B22" s="139" t="s">
        <v>301</v>
      </c>
      <c r="C22" s="140">
        <v>6.872666691</v>
      </c>
      <c r="D22" s="140">
        <v>0.982096148</v>
      </c>
      <c r="E22" s="140">
        <v>0.17945035400000001</v>
      </c>
      <c r="F22" s="140">
        <v>0.182721778</v>
      </c>
      <c r="G22" s="140">
        <v>14.727153189999999</v>
      </c>
    </row>
    <row r="23" spans="1:7" x14ac:dyDescent="0.25">
      <c r="A23" s="171">
        <v>2018</v>
      </c>
      <c r="B23" s="139" t="s">
        <v>303</v>
      </c>
      <c r="C23" s="140">
        <v>3.3698217480000001</v>
      </c>
      <c r="D23" s="140">
        <v>0.775192561</v>
      </c>
      <c r="E23" s="140">
        <v>0.28988075800000002</v>
      </c>
      <c r="F23" s="140">
        <v>0.37394677500000001</v>
      </c>
      <c r="G23" s="140">
        <v>28.331466970000001</v>
      </c>
    </row>
    <row r="24" spans="1:7" x14ac:dyDescent="0.25">
      <c r="A24" s="171">
        <v>2018</v>
      </c>
      <c r="B24" s="139" t="s">
        <v>303</v>
      </c>
      <c r="C24" s="140">
        <v>2.018972459</v>
      </c>
      <c r="D24" s="140">
        <v>0.60996939299999997</v>
      </c>
      <c r="E24" s="140">
        <v>0.18868473599999999</v>
      </c>
      <c r="F24" s="140">
        <v>0.30933475999999999</v>
      </c>
      <c r="G24" s="140">
        <v>15.955216610000001</v>
      </c>
    </row>
    <row r="25" spans="1:7" x14ac:dyDescent="0.25">
      <c r="A25" s="171">
        <v>2018</v>
      </c>
      <c r="B25" s="139" t="s">
        <v>303</v>
      </c>
      <c r="C25" s="140">
        <v>1.2767876250000001</v>
      </c>
      <c r="D25" s="140">
        <v>0.89465039000000002</v>
      </c>
      <c r="E25" s="140">
        <v>0.17206078699999999</v>
      </c>
      <c r="F25" s="140">
        <v>0.19232181600000001</v>
      </c>
      <c r="G25" s="140">
        <v>21.938640370000002</v>
      </c>
    </row>
    <row r="26" spans="1:7" x14ac:dyDescent="0.25">
      <c r="A26" s="171">
        <v>2018</v>
      </c>
      <c r="B26" s="139" t="s">
        <v>303</v>
      </c>
      <c r="C26" s="140">
        <v>2.3180152729999999</v>
      </c>
      <c r="D26" s="140">
        <v>0.50239601499999997</v>
      </c>
      <c r="E26" s="140">
        <v>0.21093811400000001</v>
      </c>
      <c r="F26" s="140">
        <v>0.41986422600000001</v>
      </c>
      <c r="G26" s="140">
        <v>21.81987852</v>
      </c>
    </row>
    <row r="27" spans="1:7" x14ac:dyDescent="0.25">
      <c r="A27" s="171">
        <v>2018</v>
      </c>
      <c r="B27" s="139" t="s">
        <v>303</v>
      </c>
      <c r="C27" s="140">
        <v>1.6109532150000001</v>
      </c>
      <c r="D27" s="140">
        <v>0.58388112000000003</v>
      </c>
      <c r="E27" s="140">
        <v>0.217428706</v>
      </c>
      <c r="F27" s="140">
        <v>0.37238523099999998</v>
      </c>
      <c r="G27" s="140">
        <v>13.410251150000001</v>
      </c>
    </row>
    <row r="28" spans="1:7" x14ac:dyDescent="0.25">
      <c r="A28" s="171">
        <v>2018</v>
      </c>
      <c r="B28" s="139" t="s">
        <v>265</v>
      </c>
      <c r="C28" s="140">
        <v>13.219073659999999</v>
      </c>
      <c r="D28" s="140">
        <v>0.33293916499999998</v>
      </c>
      <c r="E28" s="140">
        <v>0.18667784700000001</v>
      </c>
      <c r="F28" s="140">
        <v>0.56069656700000003</v>
      </c>
      <c r="G28" s="140">
        <v>12.0605207</v>
      </c>
    </row>
    <row r="29" spans="1:7" x14ac:dyDescent="0.25">
      <c r="A29" s="171">
        <v>2018</v>
      </c>
      <c r="B29" s="139" t="s">
        <v>265</v>
      </c>
      <c r="C29" s="140">
        <v>1.975508201</v>
      </c>
      <c r="D29" s="140">
        <v>0.46760915400000003</v>
      </c>
      <c r="E29" s="140">
        <v>0.15604525499999999</v>
      </c>
      <c r="F29" s="140">
        <v>0.33370872699999998</v>
      </c>
      <c r="G29" s="140">
        <v>12.18232225</v>
      </c>
    </row>
    <row r="30" spans="1:7" x14ac:dyDescent="0.25">
      <c r="A30" s="171">
        <v>2018</v>
      </c>
      <c r="B30" s="139" t="s">
        <v>265</v>
      </c>
      <c r="C30" s="140">
        <v>8.4788529770000007</v>
      </c>
      <c r="D30" s="140">
        <v>0.32881663900000002</v>
      </c>
      <c r="E30" s="140">
        <v>0.19273653600000001</v>
      </c>
      <c r="F30" s="140">
        <v>0.586152016</v>
      </c>
      <c r="G30" s="140">
        <v>20.588002530000001</v>
      </c>
    </row>
    <row r="31" spans="1:7" x14ac:dyDescent="0.25">
      <c r="A31" s="171">
        <v>2018</v>
      </c>
      <c r="B31" s="139" t="s">
        <v>265</v>
      </c>
      <c r="C31" s="140">
        <v>12.56842236</v>
      </c>
      <c r="D31" s="140">
        <v>0.41460074400000002</v>
      </c>
      <c r="E31" s="140">
        <v>0.15380255800000001</v>
      </c>
      <c r="F31" s="140">
        <v>0.37096546499999999</v>
      </c>
      <c r="G31" s="140">
        <v>16.352988839999998</v>
      </c>
    </row>
    <row r="32" spans="1:7" x14ac:dyDescent="0.25">
      <c r="A32" s="171">
        <v>2018</v>
      </c>
      <c r="B32" s="139" t="s">
        <v>265</v>
      </c>
      <c r="C32" s="140">
        <v>11.395683200000001</v>
      </c>
      <c r="D32" s="140">
        <v>0.39143515400000001</v>
      </c>
      <c r="E32" s="140">
        <v>0.19448406500000001</v>
      </c>
      <c r="F32" s="140">
        <v>0.49684874400000001</v>
      </c>
      <c r="G32" s="140">
        <v>15.55432268</v>
      </c>
    </row>
    <row r="33" spans="1:7" x14ac:dyDescent="0.25">
      <c r="A33" s="171">
        <v>2018</v>
      </c>
      <c r="B33" s="139" t="s">
        <v>265</v>
      </c>
      <c r="C33" s="140">
        <v>8.2960393579999998</v>
      </c>
      <c r="D33" s="140">
        <v>0.32601420599999997</v>
      </c>
      <c r="E33" s="140">
        <v>0.178449002</v>
      </c>
      <c r="F33" s="140">
        <v>0.547365726</v>
      </c>
      <c r="G33" s="140">
        <v>15.384759519999999</v>
      </c>
    </row>
    <row r="34" spans="1:7" x14ac:dyDescent="0.25">
      <c r="A34" s="171">
        <v>2018</v>
      </c>
      <c r="B34" s="139" t="s">
        <v>265</v>
      </c>
      <c r="C34" s="140">
        <v>2.4400214199999999</v>
      </c>
      <c r="D34" s="140">
        <v>0.29994414800000002</v>
      </c>
      <c r="E34" s="140">
        <v>0.179847804</v>
      </c>
      <c r="F34" s="140">
        <v>0.59960431199999997</v>
      </c>
      <c r="G34" s="140">
        <v>17.34615646</v>
      </c>
    </row>
    <row r="35" spans="1:7" x14ac:dyDescent="0.25">
      <c r="A35" s="171">
        <v>2018</v>
      </c>
      <c r="B35" s="139" t="s">
        <v>265</v>
      </c>
      <c r="C35" s="140">
        <v>3.7732540960000001</v>
      </c>
      <c r="D35" s="140">
        <v>0.232317934</v>
      </c>
      <c r="E35" s="140">
        <v>0.163668548</v>
      </c>
      <c r="F35" s="140">
        <v>0.70450242500000004</v>
      </c>
      <c r="G35" s="140">
        <v>14.40819385</v>
      </c>
    </row>
    <row r="36" spans="1:7" x14ac:dyDescent="0.25">
      <c r="A36" s="171">
        <v>2018</v>
      </c>
      <c r="B36" s="139" t="s">
        <v>265</v>
      </c>
      <c r="C36" s="140">
        <v>7.523542387</v>
      </c>
      <c r="D36" s="140">
        <v>0.472214305</v>
      </c>
      <c r="E36" s="140">
        <v>0.17249330600000001</v>
      </c>
      <c r="F36" s="140">
        <v>0.36528606600000002</v>
      </c>
      <c r="G36" s="140">
        <v>12.77745414</v>
      </c>
    </row>
    <row r="37" spans="1:7" x14ac:dyDescent="0.25">
      <c r="A37" s="171">
        <v>2018</v>
      </c>
      <c r="B37" s="139" t="s">
        <v>265</v>
      </c>
      <c r="C37" s="140">
        <v>9.0978229630000005</v>
      </c>
      <c r="D37" s="140">
        <v>0.67971625300000005</v>
      </c>
      <c r="E37" s="140">
        <v>0.20708912600000001</v>
      </c>
      <c r="F37" s="140">
        <v>0.30466996299999999</v>
      </c>
      <c r="G37" s="140">
        <v>14.1286746</v>
      </c>
    </row>
    <row r="38" spans="1:7" x14ac:dyDescent="0.25">
      <c r="A38" s="171">
        <v>2018</v>
      </c>
      <c r="B38" s="139" t="s">
        <v>302</v>
      </c>
      <c r="C38" s="140">
        <v>2.6971512930000001</v>
      </c>
      <c r="D38" s="140">
        <v>0.97478818899999997</v>
      </c>
      <c r="E38" s="140">
        <v>0.20119452800000001</v>
      </c>
      <c r="F38" s="140">
        <v>0.206398201</v>
      </c>
      <c r="G38" s="140">
        <v>15.713947810000001</v>
      </c>
    </row>
    <row r="39" spans="1:7" x14ac:dyDescent="0.25">
      <c r="A39" s="171">
        <v>2018</v>
      </c>
      <c r="B39" s="139" t="s">
        <v>302</v>
      </c>
      <c r="C39" s="140">
        <v>1.8299988709999999</v>
      </c>
      <c r="D39" s="140">
        <v>0.57131068900000004</v>
      </c>
      <c r="E39" s="140">
        <v>0.17045095800000001</v>
      </c>
      <c r="F39" s="140">
        <v>0.29835072400000001</v>
      </c>
      <c r="G39" s="140">
        <v>15.318716630000001</v>
      </c>
    </row>
    <row r="40" spans="1:7" x14ac:dyDescent="0.25">
      <c r="A40" s="171">
        <v>2018</v>
      </c>
      <c r="B40" s="139" t="s">
        <v>302</v>
      </c>
      <c r="C40" s="140">
        <v>1.0435729010000001</v>
      </c>
      <c r="D40" s="140">
        <v>0.93172982100000001</v>
      </c>
      <c r="E40" s="140">
        <v>0.18156389100000001</v>
      </c>
      <c r="F40" s="140">
        <v>0.19486753300000001</v>
      </c>
      <c r="G40" s="140">
        <v>17.5847096</v>
      </c>
    </row>
    <row r="41" spans="1:7" x14ac:dyDescent="0.25">
      <c r="A41" s="171">
        <v>2018</v>
      </c>
      <c r="B41" s="139" t="s">
        <v>302</v>
      </c>
      <c r="C41" s="140">
        <v>2.4937966440000001</v>
      </c>
      <c r="D41" s="140">
        <v>1.1796357829999999</v>
      </c>
      <c r="E41" s="140">
        <v>0.23595176200000001</v>
      </c>
      <c r="F41" s="140">
        <v>0.200020858</v>
      </c>
      <c r="G41" s="140">
        <v>24.550331570000001</v>
      </c>
    </row>
    <row r="42" spans="1:7" x14ac:dyDescent="0.25">
      <c r="A42" s="171">
        <v>2018</v>
      </c>
      <c r="B42" s="139" t="s">
        <v>306</v>
      </c>
      <c r="C42" s="140">
        <v>4.7093435469999996</v>
      </c>
      <c r="D42" s="140">
        <v>0.48889418899999998</v>
      </c>
      <c r="E42" s="140">
        <v>0.179074962</v>
      </c>
      <c r="F42" s="140">
        <v>0.36628572399999998</v>
      </c>
      <c r="G42" s="140">
        <v>11.466155929999999</v>
      </c>
    </row>
    <row r="43" spans="1:7" x14ac:dyDescent="0.25">
      <c r="A43" s="171">
        <v>2018</v>
      </c>
      <c r="B43" s="139" t="s">
        <v>302</v>
      </c>
      <c r="C43" s="140">
        <v>4.6044164429999999</v>
      </c>
      <c r="D43" s="140">
        <v>0.89079006100000002</v>
      </c>
      <c r="E43" s="140">
        <v>0.164342824</v>
      </c>
      <c r="F43" s="140">
        <v>0.184491084</v>
      </c>
      <c r="G43" s="140">
        <v>13.350485320000001</v>
      </c>
    </row>
    <row r="44" spans="1:7" x14ac:dyDescent="0.25">
      <c r="A44" s="171">
        <v>2018</v>
      </c>
      <c r="B44" s="139" t="s">
        <v>306</v>
      </c>
      <c r="C44" s="140">
        <v>5.5154133449999998</v>
      </c>
      <c r="D44" s="140">
        <v>0.26318050100000001</v>
      </c>
      <c r="E44" s="140">
        <v>0.13129400399999999</v>
      </c>
      <c r="F44" s="140">
        <v>0.49887436000000002</v>
      </c>
      <c r="G44" s="140">
        <v>13.99566381</v>
      </c>
    </row>
    <row r="45" spans="1:7" x14ac:dyDescent="0.25">
      <c r="A45" s="171">
        <v>2018</v>
      </c>
      <c r="B45" s="139" t="s">
        <v>306</v>
      </c>
      <c r="C45" s="140">
        <v>10.05268482</v>
      </c>
      <c r="D45" s="140">
        <v>0.30062987200000002</v>
      </c>
      <c r="E45" s="140">
        <v>0.18692910500000001</v>
      </c>
      <c r="F45" s="140">
        <v>0.62179151899999996</v>
      </c>
      <c r="G45" s="140">
        <v>13.833261719999999</v>
      </c>
    </row>
    <row r="46" spans="1:7" x14ac:dyDescent="0.25">
      <c r="A46" s="171">
        <v>2018</v>
      </c>
      <c r="B46" s="139" t="s">
        <v>306</v>
      </c>
      <c r="C46" s="140">
        <v>2.9515383659999999</v>
      </c>
      <c r="D46" s="140">
        <v>0.27201700299999998</v>
      </c>
      <c r="E46" s="140">
        <v>0.225828419</v>
      </c>
      <c r="F46" s="140">
        <v>0.83019964099999999</v>
      </c>
      <c r="G46" s="140">
        <v>12.67249026</v>
      </c>
    </row>
    <row r="47" spans="1:7" x14ac:dyDescent="0.25">
      <c r="A47" s="171">
        <v>2018</v>
      </c>
      <c r="B47" s="139" t="s">
        <v>306</v>
      </c>
      <c r="C47" s="140">
        <v>6.3651827269999997</v>
      </c>
      <c r="D47" s="140">
        <v>0.46251603000000002</v>
      </c>
      <c r="E47" s="140">
        <v>0.17484129200000001</v>
      </c>
      <c r="F47" s="140">
        <v>0.37802212299999999</v>
      </c>
      <c r="G47" s="140">
        <v>19.400880619999999</v>
      </c>
    </row>
    <row r="48" spans="1:7" x14ac:dyDescent="0.25">
      <c r="A48" s="171">
        <v>2018</v>
      </c>
      <c r="B48" s="139" t="s">
        <v>306</v>
      </c>
      <c r="C48" s="140">
        <v>5.38089452</v>
      </c>
      <c r="D48" s="140">
        <v>0.54184170799999998</v>
      </c>
      <c r="E48" s="140">
        <v>0.196225334</v>
      </c>
      <c r="F48" s="140">
        <v>0.36214512599999998</v>
      </c>
      <c r="G48" s="140">
        <v>14.60292046</v>
      </c>
    </row>
    <row r="49" spans="1:7" x14ac:dyDescent="0.25">
      <c r="A49" s="171">
        <v>2018</v>
      </c>
      <c r="B49" s="139" t="s">
        <v>306</v>
      </c>
      <c r="C49" s="140">
        <v>9.1159357589999992</v>
      </c>
      <c r="D49" s="140">
        <v>0.35031470999999997</v>
      </c>
      <c r="E49" s="140">
        <v>0.161960412</v>
      </c>
      <c r="F49" s="140">
        <v>0.46232832299999999</v>
      </c>
      <c r="G49" s="140">
        <v>12.63326659</v>
      </c>
    </row>
    <row r="50" spans="1:7" x14ac:dyDescent="0.25">
      <c r="A50" s="171">
        <v>2018</v>
      </c>
      <c r="B50" s="139" t="s">
        <v>306</v>
      </c>
      <c r="C50" s="140">
        <v>7.5238497710000001</v>
      </c>
      <c r="D50" s="140">
        <v>0.32493140399999998</v>
      </c>
      <c r="E50" s="140">
        <v>0.16197261800000001</v>
      </c>
      <c r="F50" s="140">
        <v>0.4984825</v>
      </c>
      <c r="G50" s="140">
        <v>15.1278743</v>
      </c>
    </row>
    <row r="51" spans="1:7" x14ac:dyDescent="0.25">
      <c r="A51" s="171">
        <v>2018</v>
      </c>
      <c r="B51" s="139" t="s">
        <v>302</v>
      </c>
      <c r="C51" s="140">
        <v>2.978880492</v>
      </c>
      <c r="D51" s="140">
        <v>0.43896030000000003</v>
      </c>
      <c r="E51" s="140">
        <v>0.23621157500000001</v>
      </c>
      <c r="F51" s="140">
        <v>0.53811603299999999</v>
      </c>
      <c r="G51" s="140">
        <v>21.498371339999998</v>
      </c>
    </row>
    <row r="52" spans="1:7" x14ac:dyDescent="0.25">
      <c r="A52" s="171">
        <v>2018</v>
      </c>
      <c r="B52" s="139" t="s">
        <v>306</v>
      </c>
      <c r="C52" s="140">
        <v>1.9232019979999999</v>
      </c>
      <c r="D52" s="140">
        <v>0.47296552600000002</v>
      </c>
      <c r="E52" s="140">
        <v>0.19497893299999999</v>
      </c>
      <c r="F52" s="140">
        <v>0.41224766299999999</v>
      </c>
      <c r="G52" s="140">
        <v>16.34234292</v>
      </c>
    </row>
    <row r="53" spans="1:7" x14ac:dyDescent="0.25">
      <c r="A53" s="171">
        <v>2018</v>
      </c>
      <c r="B53" s="139" t="s">
        <v>306</v>
      </c>
      <c r="C53" s="140">
        <v>1.906777666</v>
      </c>
      <c r="D53" s="140">
        <v>0.413838294</v>
      </c>
      <c r="E53" s="140">
        <v>0.18027835</v>
      </c>
      <c r="F53" s="140">
        <v>0.43562510399999999</v>
      </c>
      <c r="G53" s="140">
        <v>12.17049679</v>
      </c>
    </row>
    <row r="54" spans="1:7" x14ac:dyDescent="0.25">
      <c r="A54" s="171">
        <v>2018</v>
      </c>
      <c r="B54" s="139" t="s">
        <v>302</v>
      </c>
      <c r="C54" s="140">
        <v>3.906964168</v>
      </c>
      <c r="D54" s="140">
        <v>0.82559792600000004</v>
      </c>
      <c r="E54" s="140">
        <v>0.22096052799999999</v>
      </c>
      <c r="F54" s="140">
        <v>0.267636971</v>
      </c>
      <c r="G54" s="140">
        <v>21.890547260000002</v>
      </c>
    </row>
    <row r="55" spans="1:7" x14ac:dyDescent="0.25">
      <c r="A55" s="171">
        <v>2018</v>
      </c>
      <c r="B55" s="139" t="s">
        <v>302</v>
      </c>
      <c r="C55" s="140">
        <v>1.575434008</v>
      </c>
      <c r="D55" s="140">
        <v>0.506145171</v>
      </c>
      <c r="E55" s="140">
        <v>0.20249983399999999</v>
      </c>
      <c r="F55" s="140">
        <v>0.40008251700000003</v>
      </c>
      <c r="G55" s="140">
        <v>17.64868603</v>
      </c>
    </row>
    <row r="56" spans="1:7" x14ac:dyDescent="0.25">
      <c r="A56" s="171">
        <v>2018</v>
      </c>
      <c r="B56" s="139" t="s">
        <v>302</v>
      </c>
      <c r="C56" s="140">
        <v>3.683111384</v>
      </c>
      <c r="D56" s="140">
        <v>0.65421015699999996</v>
      </c>
      <c r="E56" s="140">
        <v>0.23016293700000001</v>
      </c>
      <c r="F56" s="140">
        <v>0.351818042</v>
      </c>
      <c r="G56" s="140">
        <v>19.119911989999999</v>
      </c>
    </row>
    <row r="57" spans="1:7" x14ac:dyDescent="0.25">
      <c r="A57" s="171">
        <v>2018</v>
      </c>
      <c r="B57" s="139" t="s">
        <v>302</v>
      </c>
      <c r="C57" s="140">
        <v>1.8480454319999999</v>
      </c>
      <c r="D57" s="140">
        <v>0.90555370499999999</v>
      </c>
      <c r="E57" s="140">
        <v>0.23693470699999999</v>
      </c>
      <c r="F57" s="140">
        <v>0.26164622300000001</v>
      </c>
      <c r="G57" s="140">
        <v>24.2261998</v>
      </c>
    </row>
    <row r="58" spans="1:7" x14ac:dyDescent="0.25">
      <c r="A58" s="171">
        <v>2018</v>
      </c>
      <c r="B58" s="139" t="s">
        <v>302</v>
      </c>
      <c r="C58" s="140">
        <v>2.1814369500000002</v>
      </c>
      <c r="D58" s="140">
        <v>0.86877448499999999</v>
      </c>
      <c r="E58" s="140">
        <v>0.32143873499999998</v>
      </c>
      <c r="F58" s="140">
        <v>0.36999099400000002</v>
      </c>
      <c r="G58" s="140">
        <v>20.181405900000001</v>
      </c>
    </row>
    <row r="59" spans="1:7" x14ac:dyDescent="0.25">
      <c r="A59" s="171">
        <v>2018</v>
      </c>
      <c r="B59" s="139" t="s">
        <v>302</v>
      </c>
      <c r="C59" s="140">
        <v>3.5473580010000001</v>
      </c>
      <c r="D59" s="140">
        <v>0.58696081300000003</v>
      </c>
      <c r="E59" s="140">
        <v>0.27211069300000001</v>
      </c>
      <c r="F59" s="140">
        <v>0.46359260499999999</v>
      </c>
      <c r="G59" s="140">
        <v>23.727351160000001</v>
      </c>
    </row>
    <row r="60" spans="1:7" x14ac:dyDescent="0.25">
      <c r="A60" s="171">
        <v>2018</v>
      </c>
      <c r="B60" s="139" t="s">
        <v>450</v>
      </c>
      <c r="C60" s="140">
        <v>6.1221365749999999</v>
      </c>
      <c r="D60" s="140">
        <v>0.235686549</v>
      </c>
      <c r="E60" s="140">
        <v>0.160232021</v>
      </c>
      <c r="F60" s="140">
        <v>0.67985221200000001</v>
      </c>
      <c r="G60" s="140">
        <v>11.95066521</v>
      </c>
    </row>
    <row r="61" spans="1:7" x14ac:dyDescent="0.25">
      <c r="A61" s="171">
        <v>2018</v>
      </c>
      <c r="B61" s="139" t="s">
        <v>450</v>
      </c>
      <c r="C61" s="140">
        <v>2.179207736</v>
      </c>
      <c r="D61" s="140">
        <v>0.24437668000000001</v>
      </c>
      <c r="E61" s="140">
        <v>0.16603832900000001</v>
      </c>
      <c r="F61" s="140">
        <v>0.67943606000000001</v>
      </c>
      <c r="G61" s="140">
        <v>10.09199868</v>
      </c>
    </row>
    <row r="62" spans="1:7" x14ac:dyDescent="0.25">
      <c r="A62" s="171">
        <v>2018</v>
      </c>
      <c r="B62" s="139" t="s">
        <v>450</v>
      </c>
      <c r="C62" s="140">
        <v>3.2737079649999998</v>
      </c>
      <c r="D62" s="140">
        <v>0.366767589</v>
      </c>
      <c r="E62" s="140">
        <v>0.17280510700000001</v>
      </c>
      <c r="F62" s="140">
        <v>0.47115697400000001</v>
      </c>
      <c r="G62" s="140">
        <v>14.09616492</v>
      </c>
    </row>
    <row r="63" spans="1:7" x14ac:dyDescent="0.25">
      <c r="A63" s="171">
        <v>2018</v>
      </c>
      <c r="B63" s="139" t="s">
        <v>450</v>
      </c>
      <c r="C63" s="140">
        <v>9.3650254480000008</v>
      </c>
      <c r="D63" s="140">
        <v>0.39141652999999998</v>
      </c>
      <c r="E63" s="140">
        <v>0.17999288099999999</v>
      </c>
      <c r="F63" s="140">
        <v>0.45984997300000002</v>
      </c>
      <c r="G63" s="140">
        <v>16.07062522</v>
      </c>
    </row>
    <row r="64" spans="1:7" x14ac:dyDescent="0.25">
      <c r="A64" s="171">
        <v>2018</v>
      </c>
      <c r="B64" s="139" t="s">
        <v>450</v>
      </c>
      <c r="C64" s="140">
        <v>1.804820815</v>
      </c>
      <c r="D64" s="140">
        <v>0.34259791299999998</v>
      </c>
      <c r="E64" s="140">
        <v>0.143445762</v>
      </c>
      <c r="F64" s="140">
        <v>0.41870004500000002</v>
      </c>
      <c r="G64" s="140">
        <v>18.187830689999998</v>
      </c>
    </row>
    <row r="65" spans="1:7" x14ac:dyDescent="0.25">
      <c r="A65" s="171">
        <v>2018</v>
      </c>
      <c r="B65" s="139" t="s">
        <v>450</v>
      </c>
      <c r="C65" s="140">
        <v>7.5148201129999999</v>
      </c>
      <c r="D65" s="140">
        <v>0.37330598599999998</v>
      </c>
      <c r="E65" s="140">
        <v>0.139971334</v>
      </c>
      <c r="F65" s="140">
        <v>0.37495068199999998</v>
      </c>
      <c r="G65" s="140">
        <v>11.86358253</v>
      </c>
    </row>
    <row r="66" spans="1:7" x14ac:dyDescent="0.25">
      <c r="A66" s="171">
        <v>2018</v>
      </c>
      <c r="B66" s="139" t="s">
        <v>450</v>
      </c>
      <c r="C66" s="140">
        <v>7.8660610709999998</v>
      </c>
      <c r="D66" s="140">
        <v>0.38202866600000002</v>
      </c>
      <c r="E66" s="140">
        <v>0.17412755999999999</v>
      </c>
      <c r="F66" s="140">
        <v>0.45579710699999998</v>
      </c>
      <c r="G66" s="140">
        <v>10.38337321</v>
      </c>
    </row>
    <row r="67" spans="1:7" x14ac:dyDescent="0.25">
      <c r="A67" s="171">
        <v>2018</v>
      </c>
      <c r="B67" s="139" t="s">
        <v>450</v>
      </c>
      <c r="C67" s="140">
        <v>3.8889817419999999</v>
      </c>
      <c r="D67" s="140">
        <v>0.328236951</v>
      </c>
      <c r="E67" s="140">
        <v>0.16852564</v>
      </c>
      <c r="F67" s="140">
        <v>0.513426779</v>
      </c>
      <c r="G67" s="140">
        <v>12.94635501</v>
      </c>
    </row>
    <row r="68" spans="1:7" x14ac:dyDescent="0.25">
      <c r="A68" s="171">
        <v>2018</v>
      </c>
      <c r="B68" s="139" t="s">
        <v>450</v>
      </c>
      <c r="C68" s="140">
        <v>2.3884992810000001</v>
      </c>
      <c r="D68" s="140">
        <v>0.28473712600000001</v>
      </c>
      <c r="E68" s="140">
        <v>0.180103505</v>
      </c>
      <c r="F68" s="140">
        <v>0.63252554100000002</v>
      </c>
      <c r="G68" s="140">
        <v>16.952430870000001</v>
      </c>
    </row>
    <row r="69" spans="1:7" x14ac:dyDescent="0.25">
      <c r="A69" s="171">
        <v>2018</v>
      </c>
      <c r="B69" s="139" t="s">
        <v>305</v>
      </c>
      <c r="C69" s="140">
        <v>3.200824329</v>
      </c>
      <c r="D69" s="140">
        <v>0.30179661600000002</v>
      </c>
      <c r="E69" s="140">
        <v>0.21836135700000001</v>
      </c>
      <c r="F69" s="140">
        <v>0.72353812200000001</v>
      </c>
      <c r="G69" s="140">
        <v>14.34037094</v>
      </c>
    </row>
    <row r="70" spans="1:7" x14ac:dyDescent="0.25">
      <c r="A70" s="171">
        <v>2018</v>
      </c>
      <c r="B70" s="139" t="s">
        <v>305</v>
      </c>
      <c r="C70" s="140">
        <v>1.4864639399999999</v>
      </c>
      <c r="D70" s="140">
        <v>0.26881940700000001</v>
      </c>
      <c r="E70" s="140">
        <v>0.21539562100000001</v>
      </c>
      <c r="F70" s="140">
        <v>0.80126514299999996</v>
      </c>
      <c r="G70" s="140">
        <v>22.065362929999999</v>
      </c>
    </row>
    <row r="71" spans="1:7" x14ac:dyDescent="0.25">
      <c r="A71" s="171">
        <v>2018</v>
      </c>
      <c r="B71" s="139" t="s">
        <v>305</v>
      </c>
      <c r="C71" s="140">
        <v>3.2741402879999999</v>
      </c>
      <c r="D71" s="140">
        <v>0.39039542399999999</v>
      </c>
      <c r="E71" s="140">
        <v>0.19371142299999999</v>
      </c>
      <c r="F71" s="140">
        <v>0.49619286200000001</v>
      </c>
      <c r="G71" s="140">
        <v>16.938814560000001</v>
      </c>
    </row>
    <row r="72" spans="1:7" x14ac:dyDescent="0.25">
      <c r="A72" s="171">
        <v>2018</v>
      </c>
      <c r="B72" s="139" t="s">
        <v>305</v>
      </c>
      <c r="C72" s="140">
        <v>2.439809731</v>
      </c>
      <c r="D72" s="140">
        <v>0.38072146200000001</v>
      </c>
      <c r="E72" s="140">
        <v>0.15170244799999999</v>
      </c>
      <c r="F72" s="140">
        <v>0.39846045800000002</v>
      </c>
      <c r="G72" s="140">
        <v>15.67042679</v>
      </c>
    </row>
    <row r="73" spans="1:7" x14ac:dyDescent="0.25">
      <c r="A73" s="171">
        <v>2018</v>
      </c>
      <c r="B73" s="139" t="s">
        <v>305</v>
      </c>
      <c r="C73" s="140">
        <v>0.89256158299999999</v>
      </c>
      <c r="D73" s="140">
        <v>0.26229723399999999</v>
      </c>
      <c r="E73" s="140">
        <v>0.16190147599999999</v>
      </c>
      <c r="F73" s="140">
        <v>0.61724431400000002</v>
      </c>
      <c r="G73" s="140">
        <v>23.53532684</v>
      </c>
    </row>
    <row r="74" spans="1:7" x14ac:dyDescent="0.25">
      <c r="A74" s="171">
        <v>2018</v>
      </c>
      <c r="B74" s="139" t="s">
        <v>305</v>
      </c>
      <c r="C74" s="140">
        <v>3.0243053739999999</v>
      </c>
      <c r="D74" s="140">
        <v>0.34465396999999998</v>
      </c>
      <c r="E74" s="140">
        <v>0.17259290399999999</v>
      </c>
      <c r="F74" s="140">
        <v>0.50077155500000003</v>
      </c>
      <c r="G74" s="140">
        <v>15.44103097</v>
      </c>
    </row>
    <row r="75" spans="1:7" x14ac:dyDescent="0.25">
      <c r="A75" s="171">
        <v>2018</v>
      </c>
      <c r="B75" s="139" t="s">
        <v>305</v>
      </c>
      <c r="C75" s="140">
        <v>1.585735509</v>
      </c>
      <c r="D75" s="140">
        <v>0.21873183299999999</v>
      </c>
      <c r="E75" s="140">
        <v>0.17054852700000001</v>
      </c>
      <c r="F75" s="140">
        <v>0.77971516399999996</v>
      </c>
      <c r="G75" s="140">
        <v>16.107561239999999</v>
      </c>
    </row>
    <row r="76" spans="1:7" x14ac:dyDescent="0.25">
      <c r="A76" s="171">
        <v>2018</v>
      </c>
      <c r="B76" s="139" t="s">
        <v>305</v>
      </c>
      <c r="C76" s="140">
        <v>3.9610934659999999</v>
      </c>
      <c r="D76" s="140">
        <v>0.23076433499999999</v>
      </c>
      <c r="E76" s="140">
        <v>0.21446126900000001</v>
      </c>
      <c r="F76" s="140">
        <v>0.92935188099999999</v>
      </c>
      <c r="G76" s="140">
        <v>18.165544709999999</v>
      </c>
    </row>
    <row r="77" spans="1:7" x14ac:dyDescent="0.25">
      <c r="A77" s="171">
        <v>2018</v>
      </c>
      <c r="B77" s="139" t="s">
        <v>305</v>
      </c>
      <c r="C77" s="140">
        <v>2.8865110980000002</v>
      </c>
      <c r="D77" s="140">
        <v>0.20060372500000001</v>
      </c>
      <c r="E77" s="140">
        <v>0.206739954</v>
      </c>
      <c r="F77" s="140">
        <v>1.0305888059999999</v>
      </c>
      <c r="G77" s="140">
        <v>19.75247251</v>
      </c>
    </row>
    <row r="78" spans="1:7" x14ac:dyDescent="0.25">
      <c r="A78" s="171">
        <v>2018</v>
      </c>
      <c r="B78" s="139" t="s">
        <v>305</v>
      </c>
      <c r="C78" s="140">
        <v>1.9380352890000001</v>
      </c>
      <c r="D78" s="140">
        <v>0.31206831800000001</v>
      </c>
      <c r="E78" s="140">
        <v>0.17466099400000001</v>
      </c>
      <c r="F78" s="140">
        <v>0.55968832499999999</v>
      </c>
      <c r="G78" s="140">
        <v>20.613255240000001</v>
      </c>
    </row>
    <row r="79" spans="1:7" x14ac:dyDescent="0.25">
      <c r="A79" s="171">
        <v>2018</v>
      </c>
      <c r="B79" s="139" t="s">
        <v>300</v>
      </c>
      <c r="C79" s="140">
        <v>1.778644135</v>
      </c>
      <c r="D79" s="140">
        <v>1.028699933</v>
      </c>
      <c r="E79" s="140">
        <v>0.16923275900000001</v>
      </c>
      <c r="F79" s="140">
        <v>0.164511296</v>
      </c>
      <c r="G79" s="140">
        <v>21.362653689999998</v>
      </c>
    </row>
    <row r="80" spans="1:7" x14ac:dyDescent="0.25">
      <c r="A80" s="171">
        <v>2018</v>
      </c>
      <c r="B80" s="139" t="s">
        <v>300</v>
      </c>
      <c r="C80" s="140">
        <v>4.2290335040000002</v>
      </c>
      <c r="D80" s="140">
        <v>0.84682598899999995</v>
      </c>
      <c r="E80" s="140">
        <v>0.144905956</v>
      </c>
      <c r="F80" s="140">
        <v>0.171116566</v>
      </c>
      <c r="G80" s="140">
        <v>12.46696195</v>
      </c>
    </row>
    <row r="81" spans="1:7" x14ac:dyDescent="0.25">
      <c r="A81" s="171">
        <v>2018</v>
      </c>
      <c r="B81" s="139" t="s">
        <v>300</v>
      </c>
      <c r="C81" s="140">
        <v>7.4533696330000003</v>
      </c>
      <c r="D81" s="140">
        <v>0.95048010199999999</v>
      </c>
      <c r="E81" s="140">
        <v>0.150286155</v>
      </c>
      <c r="F81" s="140">
        <v>0.15811604500000001</v>
      </c>
      <c r="G81" s="140">
        <v>12.909718789999999</v>
      </c>
    </row>
    <row r="82" spans="1:7" x14ac:dyDescent="0.25">
      <c r="A82" s="171">
        <v>2018</v>
      </c>
      <c r="B82" s="139" t="s">
        <v>300</v>
      </c>
      <c r="C82" s="140">
        <v>0.90576653900000004</v>
      </c>
      <c r="D82" s="140">
        <v>0.63289270799999997</v>
      </c>
      <c r="E82" s="140">
        <v>0.243640633</v>
      </c>
      <c r="F82" s="140">
        <v>0.38496356500000001</v>
      </c>
      <c r="G82" s="140">
        <v>16.183550889999999</v>
      </c>
    </row>
    <row r="83" spans="1:7" x14ac:dyDescent="0.25">
      <c r="A83" s="171">
        <v>2018</v>
      </c>
      <c r="B83" s="139" t="s">
        <v>300</v>
      </c>
      <c r="C83" s="140">
        <v>2.449483388</v>
      </c>
      <c r="D83" s="140">
        <v>0.96752648200000002</v>
      </c>
      <c r="E83" s="140">
        <v>0.183667845</v>
      </c>
      <c r="F83" s="140">
        <v>0.18983237</v>
      </c>
      <c r="G83" s="140">
        <v>15.63981407</v>
      </c>
    </row>
    <row r="84" spans="1:7" x14ac:dyDescent="0.25">
      <c r="A84" s="171">
        <v>2018</v>
      </c>
      <c r="B84" s="139" t="s">
        <v>300</v>
      </c>
      <c r="C84" s="140">
        <v>9.9684872339999995</v>
      </c>
      <c r="D84" s="140">
        <v>0.67569689799999999</v>
      </c>
      <c r="E84" s="140">
        <v>0.224000372</v>
      </c>
      <c r="F84" s="140">
        <v>0.33151013800000001</v>
      </c>
      <c r="G84" s="140">
        <v>25.352414639999999</v>
      </c>
    </row>
    <row r="85" spans="1:7" x14ac:dyDescent="0.25">
      <c r="A85" s="171">
        <v>2018</v>
      </c>
      <c r="B85" s="139" t="s">
        <v>300</v>
      </c>
      <c r="C85" s="140">
        <v>7.2153758960000003</v>
      </c>
      <c r="D85" s="140">
        <v>0.83772194</v>
      </c>
      <c r="E85" s="140">
        <v>0.221327249</v>
      </c>
      <c r="F85" s="140">
        <v>0.26420132800000001</v>
      </c>
      <c r="G85" s="140">
        <v>18.865681779999999</v>
      </c>
    </row>
    <row r="86" spans="1:7" x14ac:dyDescent="0.25">
      <c r="A86" s="171">
        <v>2018</v>
      </c>
      <c r="B86" s="139" t="s">
        <v>300</v>
      </c>
      <c r="C86" s="140">
        <v>1.0034683230000001</v>
      </c>
      <c r="D86" s="140">
        <v>0.87364528699999999</v>
      </c>
      <c r="E86" s="140">
        <v>0.21899582500000001</v>
      </c>
      <c r="F86" s="140">
        <v>0.25066904000000001</v>
      </c>
      <c r="G86" s="140">
        <v>18.432725479999998</v>
      </c>
    </row>
    <row r="87" spans="1:7" x14ac:dyDescent="0.25">
      <c r="A87" s="171">
        <v>2018</v>
      </c>
      <c r="B87" s="139" t="s">
        <v>300</v>
      </c>
      <c r="C87" s="140">
        <v>3.575355541</v>
      </c>
      <c r="D87" s="140">
        <v>0.74330781899999998</v>
      </c>
      <c r="E87" s="140">
        <v>0.213921472</v>
      </c>
      <c r="F87" s="140">
        <v>0.28779661299999998</v>
      </c>
      <c r="G87" s="140">
        <v>26.900104259999999</v>
      </c>
    </row>
    <row r="88" spans="1:7" x14ac:dyDescent="0.25">
      <c r="A88" s="171">
        <v>2018</v>
      </c>
      <c r="B88" s="139" t="s">
        <v>300</v>
      </c>
      <c r="C88" s="140">
        <v>4.0986060799999997</v>
      </c>
      <c r="D88" s="140">
        <v>0.79320578900000005</v>
      </c>
      <c r="E88" s="140">
        <v>0.229178621</v>
      </c>
      <c r="F88" s="140">
        <v>0.28892706600000001</v>
      </c>
      <c r="G88" s="140">
        <v>20.21511696</v>
      </c>
    </row>
    <row r="89" spans="1:7" x14ac:dyDescent="0.25">
      <c r="A89" s="171">
        <v>2018</v>
      </c>
      <c r="B89" s="139" t="s">
        <v>451</v>
      </c>
      <c r="C89" s="140">
        <v>9.3098217329999997</v>
      </c>
      <c r="D89" s="140">
        <v>0.346368434</v>
      </c>
      <c r="E89" s="140">
        <v>0.16174996699999999</v>
      </c>
      <c r="F89" s="140">
        <v>0.466988187</v>
      </c>
      <c r="G89" s="140">
        <v>13.0144587</v>
      </c>
    </row>
    <row r="90" spans="1:7" x14ac:dyDescent="0.25">
      <c r="A90" s="171">
        <v>2018</v>
      </c>
      <c r="B90" s="139" t="s">
        <v>451</v>
      </c>
      <c r="C90" s="140">
        <v>6.3979368030000003</v>
      </c>
      <c r="D90" s="140">
        <v>0.357991636</v>
      </c>
      <c r="E90" s="140">
        <v>0.20164615699999999</v>
      </c>
      <c r="F90" s="140">
        <v>0.56327058100000005</v>
      </c>
      <c r="G90" s="140">
        <v>18.99897021</v>
      </c>
    </row>
    <row r="91" spans="1:7" x14ac:dyDescent="0.25">
      <c r="A91" s="171">
        <v>2018</v>
      </c>
      <c r="B91" s="139" t="s">
        <v>451</v>
      </c>
      <c r="C91" s="140">
        <v>6.3990390960000001</v>
      </c>
      <c r="D91" s="140">
        <v>0.37570750400000003</v>
      </c>
      <c r="E91" s="140">
        <v>0.219862049</v>
      </c>
      <c r="F91" s="140">
        <v>0.58519472400000005</v>
      </c>
      <c r="G91" s="140">
        <v>11.40273988</v>
      </c>
    </row>
    <row r="92" spans="1:7" x14ac:dyDescent="0.25">
      <c r="A92" s="171">
        <v>2018</v>
      </c>
      <c r="B92" s="139" t="s">
        <v>451</v>
      </c>
      <c r="C92" s="140">
        <v>1.048393259</v>
      </c>
      <c r="D92" s="140">
        <v>0.327313409</v>
      </c>
      <c r="E92" s="140">
        <v>0.154551354</v>
      </c>
      <c r="F92" s="140">
        <v>0.47218155299999998</v>
      </c>
      <c r="G92" s="140">
        <v>13.962231389999999</v>
      </c>
    </row>
    <row r="93" spans="1:7" x14ac:dyDescent="0.25">
      <c r="A93" s="171">
        <v>2018</v>
      </c>
      <c r="B93" s="139" t="s">
        <v>451</v>
      </c>
      <c r="C93" s="140">
        <v>8.5517373509999999</v>
      </c>
      <c r="D93" s="140">
        <v>0.49217331199999997</v>
      </c>
      <c r="E93" s="140">
        <v>0.20538571799999999</v>
      </c>
      <c r="F93" s="140">
        <v>0.417303647</v>
      </c>
      <c r="G93" s="140">
        <v>19.120543949999998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FD72B-CFB8-4CD3-981C-58A6162DD2ED}">
  <dimension ref="A1:AF122"/>
  <sheetViews>
    <sheetView workbookViewId="0">
      <selection activeCell="V18" sqref="V18"/>
    </sheetView>
  </sheetViews>
  <sheetFormatPr defaultColWidth="17.5703125" defaultRowHeight="15" x14ac:dyDescent="0.25"/>
  <cols>
    <col min="1" max="1" width="6.42578125" bestFit="1" customWidth="1"/>
    <col min="2" max="2" width="14.140625" bestFit="1" customWidth="1"/>
    <col min="3" max="3" width="6.85546875" bestFit="1" customWidth="1"/>
    <col min="4" max="4" width="3.5703125" bestFit="1" customWidth="1"/>
    <col min="5" max="5" width="4.42578125" bestFit="1" customWidth="1"/>
    <col min="6" max="6" width="5.42578125" bestFit="1" customWidth="1"/>
    <col min="7" max="7" width="4.42578125" bestFit="1" customWidth="1"/>
    <col min="8" max="8" width="5.5703125" bestFit="1" customWidth="1"/>
    <col min="9" max="9" width="7.42578125" bestFit="1" customWidth="1"/>
    <col min="10" max="12" width="5.42578125" bestFit="1" customWidth="1"/>
    <col min="13" max="13" width="7.85546875" style="4" customWidth="1"/>
    <col min="15" max="15" width="8.5703125" customWidth="1"/>
    <col min="16" max="16" width="9.140625" customWidth="1"/>
    <col min="17" max="17" width="5.140625" customWidth="1"/>
    <col min="18" max="18" width="6.5703125" customWidth="1"/>
    <col min="19" max="19" width="7.42578125" customWidth="1"/>
    <col min="20" max="20" width="8.85546875" customWidth="1"/>
    <col min="21" max="22" width="9.140625" customWidth="1"/>
    <col min="23" max="24" width="8.42578125" customWidth="1"/>
    <col min="25" max="26" width="9.140625" customWidth="1"/>
    <col min="27" max="29" width="8.85546875" customWidth="1"/>
    <col min="30" max="30" width="9.140625" customWidth="1"/>
    <col min="31" max="31" width="8" customWidth="1"/>
    <col min="32" max="32" width="9.5703125" customWidth="1"/>
  </cols>
  <sheetData>
    <row r="1" spans="1:32" x14ac:dyDescent="0.25">
      <c r="A1" s="136" t="s">
        <v>445</v>
      </c>
      <c r="N1" s="136" t="s">
        <v>446</v>
      </c>
    </row>
    <row r="2" spans="1:32" x14ac:dyDescent="0.25">
      <c r="A2" s="126" t="s">
        <v>311</v>
      </c>
      <c r="B2" s="126" t="s">
        <v>312</v>
      </c>
      <c r="C2" s="126" t="s">
        <v>313</v>
      </c>
      <c r="D2" s="126" t="s">
        <v>219</v>
      </c>
      <c r="E2" s="126" t="s">
        <v>188</v>
      </c>
      <c r="F2" s="126" t="s">
        <v>209</v>
      </c>
      <c r="G2" s="126" t="s">
        <v>223</v>
      </c>
      <c r="H2" s="126" t="s">
        <v>179</v>
      </c>
      <c r="I2" s="126" t="s">
        <v>314</v>
      </c>
      <c r="J2" s="126" t="s">
        <v>196</v>
      </c>
      <c r="K2" s="126" t="s">
        <v>229</v>
      </c>
      <c r="L2" s="126" t="s">
        <v>100</v>
      </c>
      <c r="N2" s="117" t="s">
        <v>83</v>
      </c>
      <c r="O2" s="126" t="s">
        <v>313</v>
      </c>
      <c r="P2" s="126" t="s">
        <v>219</v>
      </c>
      <c r="Q2" s="126" t="s">
        <v>188</v>
      </c>
      <c r="R2" s="126" t="s">
        <v>437</v>
      </c>
      <c r="S2" s="131" t="s">
        <v>209</v>
      </c>
      <c r="T2" s="131" t="s">
        <v>438</v>
      </c>
      <c r="U2" s="131" t="s">
        <v>223</v>
      </c>
      <c r="V2" s="131" t="s">
        <v>440</v>
      </c>
      <c r="W2" s="131" t="s">
        <v>179</v>
      </c>
      <c r="X2" s="131" t="s">
        <v>441</v>
      </c>
      <c r="Y2" s="131" t="s">
        <v>314</v>
      </c>
      <c r="Z2" s="131" t="s">
        <v>442</v>
      </c>
      <c r="AA2" s="126" t="s">
        <v>196</v>
      </c>
      <c r="AB2" s="126" t="s">
        <v>443</v>
      </c>
      <c r="AC2" s="126" t="s">
        <v>229</v>
      </c>
      <c r="AD2" s="126" t="s">
        <v>444</v>
      </c>
      <c r="AE2" s="126" t="s">
        <v>100</v>
      </c>
      <c r="AF2" s="126" t="s">
        <v>439</v>
      </c>
    </row>
    <row r="3" spans="1:32" ht="30" x14ac:dyDescent="0.25">
      <c r="A3" s="127" t="s">
        <v>315</v>
      </c>
      <c r="B3" s="127" t="s">
        <v>240</v>
      </c>
      <c r="C3" s="127" t="s">
        <v>135</v>
      </c>
      <c r="D3" s="127" t="s">
        <v>316</v>
      </c>
      <c r="E3" s="128">
        <v>11.6</v>
      </c>
      <c r="F3" s="128">
        <v>4.5999999999999996</v>
      </c>
      <c r="G3" s="128">
        <v>1.44</v>
      </c>
      <c r="H3" s="128">
        <v>124</v>
      </c>
      <c r="I3" s="129"/>
      <c r="J3" s="128">
        <v>0.122</v>
      </c>
      <c r="K3" s="128">
        <v>130.4</v>
      </c>
      <c r="L3" s="128">
        <v>28.25</v>
      </c>
      <c r="N3" s="127" t="s">
        <v>240</v>
      </c>
      <c r="O3" s="3" t="str">
        <f>Species!C6</f>
        <v>Pefl</v>
      </c>
      <c r="P3" t="str">
        <f>Sex!A2</f>
        <v>Females</v>
      </c>
      <c r="S3" cm="1">
        <f t="array" ref="S3">PERCENTILE(IF((B3:B122="Skellefteå hamn")*(D3:D122="F"),F3:F122),0.1)</f>
        <v>2.91</v>
      </c>
      <c r="T3">
        <f>COUNTIFS(B3:B122,"Skellefteå hamn", D3:D122,"F",F3:F122,"&gt;0")</f>
        <v>20</v>
      </c>
      <c r="U3" cm="1">
        <f t="array" ref="U3">PERCENTILE(IF((B3:B122="Skellefteå hamn")*(D3:D122="F"),G3:G122),0.1)</f>
        <v>1.4079999999999999</v>
      </c>
      <c r="V3">
        <f>COUNTIFS(B3:B122,"Skellefteå hamn", D3:D122,"F",G3:G122,"&gt;0")</f>
        <v>20</v>
      </c>
      <c r="W3" cm="1">
        <f t="array" ref="W3">PERCENTILE(IF((B3:B122="Skellefteå hamn")*(D3:D122="F"),H3:H122),0.9)</f>
        <v>324.3</v>
      </c>
      <c r="X3">
        <f>COUNTIFS(B3:B122,"Skellefteå hamn", D3:D122,"F",H3:H122,"&gt;0")</f>
        <v>20</v>
      </c>
    </row>
    <row r="4" spans="1:32" ht="30" x14ac:dyDescent="0.25">
      <c r="A4" s="127" t="s">
        <v>317</v>
      </c>
      <c r="B4" s="127" t="s">
        <v>240</v>
      </c>
      <c r="C4" s="127" t="s">
        <v>135</v>
      </c>
      <c r="D4" s="127" t="s">
        <v>316</v>
      </c>
      <c r="E4" s="128">
        <v>5.4</v>
      </c>
      <c r="F4" s="128">
        <v>3.78</v>
      </c>
      <c r="G4" s="128">
        <v>1.85</v>
      </c>
      <c r="H4" s="128">
        <v>241</v>
      </c>
      <c r="I4" s="129"/>
      <c r="J4" s="128">
        <v>0.126</v>
      </c>
      <c r="K4" s="128">
        <v>214.2</v>
      </c>
      <c r="L4" s="128">
        <v>27.13</v>
      </c>
      <c r="N4" s="127" t="s">
        <v>240</v>
      </c>
      <c r="O4" s="130" t="str">
        <f>Species!C6</f>
        <v>Pefl</v>
      </c>
      <c r="P4" t="str">
        <f>Sex!A5</f>
        <v>Males</v>
      </c>
      <c r="S4" cm="1">
        <f t="array" ref="S4">PERCENTILE(IF((B3:B122="Skellefteå hamn")*(D3:D122="M"),F3:F122),0.1)</f>
        <v>4.4359999999999999</v>
      </c>
      <c r="T4">
        <f>COUNTIFS(B3:B122,"Skellefteå hamn", D3:D122,"M",F3:F122,"&gt;0")</f>
        <v>9</v>
      </c>
      <c r="U4" cm="1">
        <f t="array" ref="U4">PERCENTILE(IF((B3:B122="Skellefteå hamn")*(D3:D122="M"),G3:G122),0.1)</f>
        <v>0.98</v>
      </c>
      <c r="V4">
        <f>COUNTIFS(B3:B122,"Skellefteå hamn", D3:D122,"M",G3:G122,"&gt;0")</f>
        <v>9</v>
      </c>
      <c r="W4" cm="1">
        <f t="array" ref="W4">PERCENTILE(IF((B3:B122="Skellefteå hamn")*(D3:D122="M"),H3:H122),0.9)</f>
        <v>535.59999999999991</v>
      </c>
      <c r="X4">
        <f>COUNTIFS(B3:B122,"Skellefteå hamn", D3:D122,"M",H3:H122,"&gt;0")</f>
        <v>9</v>
      </c>
      <c r="Y4" cm="1">
        <f t="array" ref="Y4">PERCENTILE(IF((B3:B122="Skellefteå hamn")*(D3:D122="M"),I3:I122),0.9)</f>
        <v>0.49199999999999988</v>
      </c>
      <c r="Z4">
        <f>COUNTIFS(B3:B122,"Skellefteå hamn", D3:D122,"M",I3:I122,"&gt;0")</f>
        <v>8</v>
      </c>
    </row>
    <row r="5" spans="1:32" ht="30" x14ac:dyDescent="0.25">
      <c r="A5" s="127" t="s">
        <v>318</v>
      </c>
      <c r="B5" s="127" t="s">
        <v>240</v>
      </c>
      <c r="C5" s="127" t="s">
        <v>135</v>
      </c>
      <c r="D5" s="127" t="s">
        <v>316</v>
      </c>
      <c r="E5" s="128">
        <v>10.6</v>
      </c>
      <c r="F5" s="128">
        <v>4.47</v>
      </c>
      <c r="G5" s="128">
        <v>2.52</v>
      </c>
      <c r="H5" s="128">
        <v>345</v>
      </c>
      <c r="I5" s="128">
        <v>1109.72</v>
      </c>
      <c r="J5" s="128">
        <v>0.161</v>
      </c>
      <c r="K5" s="128">
        <v>169.9</v>
      </c>
      <c r="L5" s="128">
        <v>21.35</v>
      </c>
      <c r="N5" s="127" t="s">
        <v>240</v>
      </c>
      <c r="O5" s="130" t="str">
        <f>Species!C6</f>
        <v>Pefl</v>
      </c>
      <c r="P5" t="str">
        <f>Sex!A6</f>
        <v>Mixed</v>
      </c>
      <c r="Q5" cm="1">
        <f t="array" ref="Q5">PERCENTILE(IF(B3:B122="Skellefteå hamn",E3:E122),0.9)</f>
        <v>15.860000000000001</v>
      </c>
      <c r="R5">
        <f>COUNTIFS(B3:B122,"Skellefteå hamn",E3:E122,"&gt;0")</f>
        <v>27</v>
      </c>
      <c r="AA5" cm="1">
        <f t="array" ref="AA5">PERCENTILE(IF(B3:B122="Skellefteå hamn",J3:J122),0.9)</f>
        <v>0.1636</v>
      </c>
      <c r="AB5">
        <f>COUNTIFS(B3:B122,"Skellefteå hamn",J3:J122,"&gt;0")</f>
        <v>29</v>
      </c>
      <c r="AC5" cm="1">
        <f t="array" ref="AC5">PERCENTILE(IF(B3:B122="Skellefteå hamn",K3:K122),0.9)</f>
        <v>192.56</v>
      </c>
      <c r="AD5">
        <f>COUNTIFS(B3:B122,"Skellefteå hamn",K3:K122,"&gt;0")</f>
        <v>29</v>
      </c>
      <c r="AE5" cm="1">
        <f t="array" ref="AE5">PERCENTILE(IF(B3:B122="Skellefteå hamn",L3:L122),0.1)</f>
        <v>17.498000000000001</v>
      </c>
      <c r="AF5">
        <f>COUNTIFS(B3:B122,"Skellefteå hamn",L3:L122,"&gt;0")</f>
        <v>29</v>
      </c>
    </row>
    <row r="6" spans="1:32" ht="30" x14ac:dyDescent="0.25">
      <c r="A6" s="127" t="s">
        <v>319</v>
      </c>
      <c r="B6" s="127" t="s">
        <v>240</v>
      </c>
      <c r="C6" s="127" t="s">
        <v>135</v>
      </c>
      <c r="D6" s="127" t="s">
        <v>316</v>
      </c>
      <c r="E6" s="129"/>
      <c r="F6" s="128">
        <v>5.1100000000000003</v>
      </c>
      <c r="G6" s="128">
        <v>1.92</v>
      </c>
      <c r="H6" s="128">
        <v>126</v>
      </c>
      <c r="I6" s="128">
        <v>1445.94</v>
      </c>
      <c r="J6" s="128">
        <v>0.14399999999999999</v>
      </c>
      <c r="K6" s="128">
        <v>129.6</v>
      </c>
      <c r="L6" s="128">
        <v>31.18</v>
      </c>
      <c r="N6" s="119" t="s">
        <v>241</v>
      </c>
      <c r="O6" s="130" t="s">
        <v>292</v>
      </c>
      <c r="P6" s="3" t="s">
        <v>233</v>
      </c>
      <c r="S6" cm="1">
        <f t="array" ref="S6">PERCENTILE(IF((B3:B122="Holmöarna")*(D3:D122="F"),F3:F122),0.1)</f>
        <v>3.1480000000000001</v>
      </c>
      <c r="T6">
        <f>COUNTIFS(B3:B122,"Holmöarna", D3:D122,"F",F3:F122,"&gt;0")</f>
        <v>20</v>
      </c>
      <c r="U6" cm="1">
        <f t="array" ref="U6">PERCENTILE(IF((B3:B122="Holmöarna")*(D3:D122="F"),G3:G122),0.1)</f>
        <v>1.4550000000000001</v>
      </c>
      <c r="V6">
        <f>COUNTIFS(B3:B122,"Holmöarna", D3:D122,"F",G3:G122,"&gt;0")</f>
        <v>20</v>
      </c>
      <c r="W6" cm="1">
        <f t="array" ref="W6">PERCENTILE(IF((B3:B122="Holmöarna")*(D3:D122="F"),H3:H122),0.9)</f>
        <v>225.10000000000008</v>
      </c>
      <c r="X6">
        <f>COUNTIFS(B3:B122,"Holmöarna", D3:D122,"F",H3:H122,"&gt;0")</f>
        <v>20</v>
      </c>
    </row>
    <row r="7" spans="1:32" ht="30" x14ac:dyDescent="0.25">
      <c r="A7" s="127" t="s">
        <v>320</v>
      </c>
      <c r="B7" s="127" t="s">
        <v>240</v>
      </c>
      <c r="C7" s="127" t="s">
        <v>135</v>
      </c>
      <c r="D7" s="127" t="s">
        <v>316</v>
      </c>
      <c r="E7" s="128">
        <v>3</v>
      </c>
      <c r="F7" s="128">
        <v>5.01</v>
      </c>
      <c r="G7" s="128">
        <v>1.81</v>
      </c>
      <c r="H7" s="128">
        <v>188</v>
      </c>
      <c r="I7" s="129"/>
      <c r="J7" s="128">
        <v>0.13</v>
      </c>
      <c r="K7" s="128">
        <v>120.3</v>
      </c>
      <c r="L7" s="128">
        <v>17.760000000000002</v>
      </c>
      <c r="N7" s="119" t="s">
        <v>241</v>
      </c>
      <c r="O7" s="130" t="s">
        <v>292</v>
      </c>
      <c r="P7" s="3" t="s">
        <v>234</v>
      </c>
      <c r="S7" cm="1">
        <f t="array" ref="S7">PERCENTILE(IF((B3:B122="Holmöarna")*(D3:D122="M"),F3:F122),0.1)</f>
        <v>5.0219999999999994</v>
      </c>
      <c r="T7">
        <f>COUNTIFS(B3:B122,"Holmöarna", D3:D122,"M",F3:F122,"&gt;0")</f>
        <v>10</v>
      </c>
      <c r="U7" cm="1">
        <f t="array" ref="U7">PERCENTILE(IF((B3:B122="Holmöarna")*(D3:D122="M"),G3:G122),0.1)</f>
        <v>1.319</v>
      </c>
      <c r="V7">
        <f>COUNTIFS(B3:B122,"Holmöarna", D3:D122,"M",G3:G122,"&gt;0")</f>
        <v>10</v>
      </c>
      <c r="W7" cm="1">
        <f t="array" ref="W7">PERCENTILE(IF((B3:B122="Holmöarna")*(D3:D122="M"),H3:H122),0.9)</f>
        <v>302.09999999999997</v>
      </c>
      <c r="X7">
        <f>COUNTIFS(B3:B122,"Holmöarna", D3:D122,"M",H3:H122,"&gt;0")</f>
        <v>10</v>
      </c>
      <c r="Y7" cm="1">
        <f t="array" ref="Y7">PERCENTILE(IF((B3:B122="Holmöarna")*(D3:D122="M"),I3:I122),0.9)</f>
        <v>0.64200000000000002</v>
      </c>
      <c r="Z7">
        <f>COUNTIFS(B3:B122,"Holmöarna", D3:D122,"M",I3:I122,"&gt;0")</f>
        <v>8</v>
      </c>
    </row>
    <row r="8" spans="1:32" ht="30" x14ac:dyDescent="0.25">
      <c r="A8" s="127" t="s">
        <v>321</v>
      </c>
      <c r="B8" s="127" t="s">
        <v>240</v>
      </c>
      <c r="C8" s="127" t="s">
        <v>135</v>
      </c>
      <c r="D8" s="127" t="s">
        <v>316</v>
      </c>
      <c r="E8" s="128">
        <v>11.7</v>
      </c>
      <c r="F8" s="128">
        <v>4.5199999999999996</v>
      </c>
      <c r="G8" s="128">
        <v>1.89</v>
      </c>
      <c r="H8" s="128">
        <v>233</v>
      </c>
      <c r="I8" s="128">
        <v>1594.93</v>
      </c>
      <c r="J8" s="128">
        <v>0.107</v>
      </c>
      <c r="K8" s="128">
        <v>146.19999999999999</v>
      </c>
      <c r="L8" s="128">
        <v>26.12</v>
      </c>
      <c r="N8" s="119" t="s">
        <v>241</v>
      </c>
      <c r="O8" s="3" t="s">
        <v>292</v>
      </c>
      <c r="P8" s="3" t="s">
        <v>235</v>
      </c>
      <c r="Q8" cm="1">
        <f t="array" ref="Q8">PERCENTILE(IF(B3:B122="Holmöarna",E3:E122),0.9)</f>
        <v>6.6900000000000013</v>
      </c>
      <c r="R8">
        <f>COUNTIFS(B3:B122,"Holmöarna",E3:E122,"&gt;0")</f>
        <v>30</v>
      </c>
      <c r="AA8" cm="1">
        <f t="array" ref="AA8">PERCENTILE(IF(B3:B122="Holmöarna",J3:J122),0.9)</f>
        <v>0.16650000000000001</v>
      </c>
      <c r="AB8">
        <f>COUNTIFS(B3:B122,"Holmöarna",J3:J122,"&gt;0")</f>
        <v>30</v>
      </c>
      <c r="AC8" cm="1">
        <f t="array" ref="AC8">PERCENTILE(IF(B3:B122="Holmöarna",K3:K122),0.9)</f>
        <v>252.31</v>
      </c>
      <c r="AD8">
        <f>COUNTIFS(B3:B122,"Holmöarna",K3:K122,"&gt;0")</f>
        <v>29</v>
      </c>
      <c r="AE8" cm="1">
        <f t="array" ref="AE8">PERCENTILE(IF(B3:B122="Holmöarna",L3:L122),0.1)</f>
        <v>15.547000000000001</v>
      </c>
      <c r="AF8">
        <f>COUNTIFS(B3:B122,"Holmöarna",L3:L122,"&gt;0")</f>
        <v>30</v>
      </c>
    </row>
    <row r="9" spans="1:32" ht="30" x14ac:dyDescent="0.25">
      <c r="A9" s="127" t="s">
        <v>322</v>
      </c>
      <c r="B9" s="127" t="s">
        <v>240</v>
      </c>
      <c r="C9" s="127" t="s">
        <v>135</v>
      </c>
      <c r="D9" s="127" t="s">
        <v>316</v>
      </c>
      <c r="E9" s="128">
        <v>8.1</v>
      </c>
      <c r="F9" s="128">
        <v>3.2</v>
      </c>
      <c r="G9" s="128">
        <v>2.5499999999999998</v>
      </c>
      <c r="H9" s="128">
        <v>327</v>
      </c>
      <c r="I9" s="128">
        <v>1889.55</v>
      </c>
      <c r="J9" s="128">
        <v>0.122</v>
      </c>
      <c r="K9" s="128">
        <v>113.4</v>
      </c>
      <c r="L9" s="128">
        <v>20.91</v>
      </c>
      <c r="N9" s="119" t="s">
        <v>242</v>
      </c>
      <c r="O9" s="130" t="s">
        <v>292</v>
      </c>
      <c r="P9" s="3" t="s">
        <v>233</v>
      </c>
      <c r="S9" cm="1">
        <f t="array" ref="S9">PERCENTILE(IF((B3:B122="Sundsvall")*(D3:D122="F"),F3:F122),0.1)</f>
        <v>0.62</v>
      </c>
      <c r="T9">
        <f>COUNTIFS(B3:B122,"Sundsvall", D3:D122,"F",F3:F122,"&gt;0")</f>
        <v>21</v>
      </c>
      <c r="U9" cm="1">
        <f t="array" ref="U9">PERCENTILE(IF((B3:B122="Sundsvall")*(D3:D122="F"),G3:G122),0.1)</f>
        <v>1.18</v>
      </c>
      <c r="V9">
        <f>COUNTIFS(B3:B122,"Sundsvall", D3:D122,"F",G3:G122,"&gt;0")</f>
        <v>21</v>
      </c>
      <c r="W9" cm="1">
        <f t="array" ref="W9">PERCENTILE(IF((B3:B122="Sundsvall")*(D3:D122="F"),H3:H122),0.9)</f>
        <v>699</v>
      </c>
      <c r="X9">
        <f>COUNTIFS(B3:B122,"Sundsvall", D3:D122,"F",H3:H122,"&gt;0")</f>
        <v>21</v>
      </c>
    </row>
    <row r="10" spans="1:32" ht="30" x14ac:dyDescent="0.25">
      <c r="A10" s="127" t="s">
        <v>323</v>
      </c>
      <c r="B10" s="127" t="s">
        <v>240</v>
      </c>
      <c r="C10" s="127" t="s">
        <v>135</v>
      </c>
      <c r="D10" s="127" t="s">
        <v>324</v>
      </c>
      <c r="E10" s="128">
        <v>17.5</v>
      </c>
      <c r="F10" s="128">
        <v>7.84</v>
      </c>
      <c r="G10" s="128">
        <v>1.1299999999999999</v>
      </c>
      <c r="H10" s="128">
        <v>386</v>
      </c>
      <c r="I10" s="128">
        <v>0.45</v>
      </c>
      <c r="J10" s="128">
        <v>0.14499999999999999</v>
      </c>
      <c r="K10" s="128">
        <v>147.9</v>
      </c>
      <c r="L10" s="128">
        <v>18.77</v>
      </c>
      <c r="N10" s="119" t="s">
        <v>242</v>
      </c>
      <c r="O10" s="130" t="s">
        <v>292</v>
      </c>
      <c r="P10" s="3" t="s">
        <v>234</v>
      </c>
      <c r="S10" cm="1">
        <f t="array" ref="S10">PERCENTILE(IF((B3:B122="Sundsvall")*(D3:D122="M"),F3:F122),0.1)</f>
        <v>2.911</v>
      </c>
      <c r="T10">
        <f>COUNTIFS(B3:B122,"Sundsvall", D3:D122,"M",F3:F122,"&gt;0")</f>
        <v>10</v>
      </c>
      <c r="U10" cm="1">
        <f t="array" ref="U10">PERCENTILE(IF((B3:B122="Sundsvall")*(D3:D122="M"),G3:G122),0.1)</f>
        <v>1.2930000000000001</v>
      </c>
      <c r="V10">
        <f>COUNTIFS(B3:B122,"Sundsvall", D3:D122,"M",G3:G122,"&gt;0")</f>
        <v>10</v>
      </c>
      <c r="W10" cm="1">
        <f t="array" ref="W10">PERCENTILE(IF((B3:B122="Sundsvall")*(D3:D122="M"),H3:H122),0.9)</f>
        <v>733.59999999999991</v>
      </c>
      <c r="X10">
        <f>COUNTIFS(B3:B122,"Sundsvall", D3:D122,"M",H3:H122,"&gt;0")</f>
        <v>9</v>
      </c>
      <c r="Y10" cm="1">
        <f t="array" ref="Y10">PERCENTILE(IF((B3:B122="Sundsvall")*(D3:D122="M"),I3:I122),0.9)</f>
        <v>0.81800000000000006</v>
      </c>
      <c r="Z10">
        <f>COUNTIFS(B3:B122,"Sundsvall", D3:D122,"M",I3:I122,"&gt;0")</f>
        <v>6</v>
      </c>
    </row>
    <row r="11" spans="1:32" ht="30" x14ac:dyDescent="0.25">
      <c r="A11" s="127" t="s">
        <v>325</v>
      </c>
      <c r="B11" s="127" t="s">
        <v>240</v>
      </c>
      <c r="C11" s="127" t="s">
        <v>135</v>
      </c>
      <c r="D11" s="127" t="s">
        <v>316</v>
      </c>
      <c r="E11" s="128">
        <v>7</v>
      </c>
      <c r="F11" s="128">
        <v>3.75</v>
      </c>
      <c r="G11" s="128">
        <v>1.8</v>
      </c>
      <c r="H11" s="128">
        <v>284</v>
      </c>
      <c r="I11" s="128">
        <v>1440.49</v>
      </c>
      <c r="J11" s="128">
        <v>0.16700000000000001</v>
      </c>
      <c r="K11" s="128">
        <v>168.2</v>
      </c>
      <c r="L11" s="128">
        <v>20.46</v>
      </c>
      <c r="N11" s="119" t="s">
        <v>242</v>
      </c>
      <c r="O11" s="3" t="s">
        <v>292</v>
      </c>
      <c r="P11" s="3" t="s">
        <v>235</v>
      </c>
      <c r="Q11" cm="1">
        <f t="array" ref="Q11">PERCENTILE(IF(B3:B122="Sundsvall",E3:E122),0.9)</f>
        <v>8.5</v>
      </c>
      <c r="R11">
        <f>COUNTIFS(B3:B122,"Sundsvall",E3:E122,"&gt;0")</f>
        <v>31</v>
      </c>
      <c r="AA11" cm="1">
        <f t="array" ref="AA11">PERCENTILE(IF(B3:B122="Sundsvall",J3:J122),0.9)</f>
        <v>0.16600000000000001</v>
      </c>
      <c r="AB11">
        <f>COUNTIFS(B3:B122,"Sundsvall",J3:J122,"&gt;0")</f>
        <v>31</v>
      </c>
      <c r="AC11" cm="1">
        <f t="array" ref="AC11">PERCENTILE(IF(B3:B122="Sundsvall",K3:K122),0.9)</f>
        <v>222.7</v>
      </c>
      <c r="AD11">
        <f>COUNTIFS(B3:B122,"Sundsvall",K3:K122,"&gt;0")</f>
        <v>31</v>
      </c>
      <c r="AE11" cm="1">
        <f t="array" ref="AE11">PERCENTILE(IF(B3:B122="Sundsvall",L3:L122),0.1)</f>
        <v>17.34</v>
      </c>
      <c r="AF11">
        <f>COUNTIFS(B3:B122,"Sundsvall",L3:L122,"&gt;0")</f>
        <v>31</v>
      </c>
    </row>
    <row r="12" spans="1:32" ht="30" x14ac:dyDescent="0.25">
      <c r="A12" s="127" t="s">
        <v>326</v>
      </c>
      <c r="B12" s="127" t="s">
        <v>240</v>
      </c>
      <c r="C12" s="127" t="s">
        <v>135</v>
      </c>
      <c r="D12" s="127" t="s">
        <v>316</v>
      </c>
      <c r="E12" s="128">
        <v>14.8</v>
      </c>
      <c r="F12" s="128">
        <v>3.64</v>
      </c>
      <c r="G12" s="128">
        <v>1.64</v>
      </c>
      <c r="H12" s="128">
        <v>141</v>
      </c>
      <c r="I12" s="128">
        <v>1653.06</v>
      </c>
      <c r="J12" s="128">
        <v>0.10299999999999999</v>
      </c>
      <c r="K12" s="128">
        <v>137.69999999999999</v>
      </c>
      <c r="L12" s="128">
        <v>25.13</v>
      </c>
      <c r="N12" s="119" t="s">
        <v>271</v>
      </c>
      <c r="O12" s="130" t="s">
        <v>292</v>
      </c>
      <c r="P12" s="3" t="s">
        <v>233</v>
      </c>
      <c r="S12" cm="1">
        <f t="array" ref="S12">PERCENTILE(IF((B3:B122="Norrsundet")*(D3:D122="F"),F3:F122),0.1)</f>
        <v>2.855</v>
      </c>
      <c r="T12">
        <f>COUNTIFS(B3:B122,"Sundsvall", D3:D122,"F",F3:F122,"&gt;0")</f>
        <v>21</v>
      </c>
      <c r="U12" cm="1">
        <f t="array" ref="U12">PERCENTILE(IF((B3:B122="Norrsundet")*(D3:D122="F"),G3:G122),0.1)</f>
        <v>1.3320000000000001</v>
      </c>
      <c r="V12">
        <f>COUNTIFS(B3:B122,"Norrsundet", D3:D122,"F",G3:G122,"&gt;0")</f>
        <v>20</v>
      </c>
      <c r="W12" cm="1">
        <f t="array" ref="W12">PERCENTILE(IF((B3:B122="Norrsundet")*(D3:D122="F"),H3:H122),0.9)</f>
        <v>308.3</v>
      </c>
      <c r="X12">
        <f>COUNTIFS(B3:B122,"Norrsundet", D3:D122,"F",H3:H122,"&gt;0")</f>
        <v>20</v>
      </c>
    </row>
    <row r="13" spans="1:32" ht="30" x14ac:dyDescent="0.25">
      <c r="A13" s="127" t="s">
        <v>327</v>
      </c>
      <c r="B13" s="127" t="s">
        <v>240</v>
      </c>
      <c r="C13" s="127" t="s">
        <v>135</v>
      </c>
      <c r="D13" s="127" t="s">
        <v>316</v>
      </c>
      <c r="E13" s="128">
        <v>3.3</v>
      </c>
      <c r="F13" s="128">
        <v>4.8</v>
      </c>
      <c r="G13" s="128">
        <v>1.46</v>
      </c>
      <c r="H13" s="128">
        <v>130</v>
      </c>
      <c r="I13" s="128">
        <v>1828.28</v>
      </c>
      <c r="J13" s="128">
        <v>0.14399999999999999</v>
      </c>
      <c r="K13" s="128">
        <v>163.30000000000001</v>
      </c>
      <c r="L13" s="128">
        <v>20.2</v>
      </c>
      <c r="N13" s="119" t="s">
        <v>271</v>
      </c>
      <c r="O13" s="130" t="s">
        <v>292</v>
      </c>
      <c r="P13" s="3" t="s">
        <v>234</v>
      </c>
      <c r="S13" cm="1">
        <f t="array" ref="S13">PERCENTILE(IF((B3:B122="Norrsundet")*(D3:D122="M"),F3:F122),0.1)</f>
        <v>5.7489999999999997</v>
      </c>
      <c r="T13">
        <f>COUNTIFS(B3:B122,"Sundsvall", D3:D122,"M",F3:F122,"&gt;0")</f>
        <v>10</v>
      </c>
      <c r="U13" cm="1">
        <f t="array" ref="U13">PERCENTILE(IF((B3:B122="Norrsundet")*(D3:D122="M"),G3:G122),0.1)</f>
        <v>0.88500000000000001</v>
      </c>
      <c r="V13">
        <f>COUNTIFS(B3:B122,"Norrsundet", D3:D122,"M",G3:G122,"&gt;0")</f>
        <v>10</v>
      </c>
      <c r="W13" cm="1">
        <f t="array" ref="W13">PERCENTILE(IF((B3:B122="Norrsundet")*(D3:D122="M"),H3:H122),0.9)</f>
        <v>426.89999999999992</v>
      </c>
      <c r="X13">
        <f>COUNTIFS(B3:B122,"Norrsundet", D3:D122,"M",H3:H122,"&gt;0")</f>
        <v>10</v>
      </c>
      <c r="Y13" cm="1">
        <f t="array" ref="Y13">PERCENTILE(IF((B3:B122="Norrsundet")*(D3:D122="M"),I3:I122),0.9)</f>
        <v>0.69299999999999995</v>
      </c>
      <c r="Z13">
        <f>COUNTIFS(B3:B122,"Norrsundet", D3:D122,"M",I3:I122,"&gt;0")</f>
        <v>10</v>
      </c>
    </row>
    <row r="14" spans="1:32" ht="30" x14ac:dyDescent="0.25">
      <c r="A14" s="127" t="s">
        <v>328</v>
      </c>
      <c r="B14" s="127" t="s">
        <v>240</v>
      </c>
      <c r="C14" s="127" t="s">
        <v>135</v>
      </c>
      <c r="D14" s="127" t="s">
        <v>316</v>
      </c>
      <c r="E14" s="128">
        <v>17.399999999999999</v>
      </c>
      <c r="F14" s="128">
        <v>3.41</v>
      </c>
      <c r="G14" s="128">
        <v>1.63</v>
      </c>
      <c r="H14" s="128">
        <v>295</v>
      </c>
      <c r="I14" s="128">
        <v>1993.77</v>
      </c>
      <c r="J14" s="128">
        <v>0.14299999999999999</v>
      </c>
      <c r="K14" s="128">
        <v>133.9</v>
      </c>
      <c r="L14" s="128">
        <v>27.07</v>
      </c>
      <c r="N14" s="119" t="s">
        <v>271</v>
      </c>
      <c r="O14" s="3" t="s">
        <v>292</v>
      </c>
      <c r="P14" s="3" t="s">
        <v>235</v>
      </c>
      <c r="Q14" cm="1">
        <f t="array" ref="Q14">PERCENTILE(IF(B3:B122="Norrsundet",E3:E122),0.9)</f>
        <v>6.870000000000001</v>
      </c>
      <c r="R14">
        <f>COUNTIFS(B3:B122,"Norrsundet",E3:E122,"&gt;0")</f>
        <v>30</v>
      </c>
      <c r="AA14" cm="1">
        <f t="array" ref="AA14">PERCENTILE(IF(B3:B122="Norrsundet",J3:J122),0.9)</f>
        <v>0.15820000000000001</v>
      </c>
      <c r="AB14">
        <f>COUNTIFS(B3:B122,"Norrsundet",J3:J122,"&gt;0")</f>
        <v>30</v>
      </c>
      <c r="AC14" cm="1">
        <f t="array" ref="AC14">PERCENTILE(IF(B3:B122="Norrsundet",K3:K122),0.9)</f>
        <v>242.45000000000002</v>
      </c>
      <c r="AD14">
        <f>COUNTIFS(B3:B122,"Norrsundet",K3:K122,"&gt;0")</f>
        <v>30</v>
      </c>
      <c r="AE14" cm="1">
        <f t="array" ref="AE14">PERCENTILE(IF(B3:B122="Norrsundet",L3:L122),0.1)</f>
        <v>16.527000000000001</v>
      </c>
      <c r="AF14">
        <f>COUNTIFS(B3:B122,"Norrsundet",L3:L122,"&gt;0")</f>
        <v>28</v>
      </c>
    </row>
    <row r="15" spans="1:32" ht="30" x14ac:dyDescent="0.25">
      <c r="A15" s="127" t="s">
        <v>329</v>
      </c>
      <c r="B15" s="127" t="s">
        <v>240</v>
      </c>
      <c r="C15" s="127" t="s">
        <v>135</v>
      </c>
      <c r="D15" s="127" t="s">
        <v>324</v>
      </c>
      <c r="E15" s="128">
        <v>10.6</v>
      </c>
      <c r="F15" s="128">
        <v>8.2899999999999991</v>
      </c>
      <c r="G15" s="128">
        <v>1.37</v>
      </c>
      <c r="H15" s="128">
        <v>373</v>
      </c>
      <c r="I15" s="128">
        <v>0.4</v>
      </c>
      <c r="J15" s="128">
        <v>0.16300000000000001</v>
      </c>
      <c r="K15" s="128">
        <v>191.5</v>
      </c>
      <c r="L15" s="128">
        <v>25.01</v>
      </c>
    </row>
    <row r="16" spans="1:32" ht="30" x14ac:dyDescent="0.25">
      <c r="A16" s="127" t="s">
        <v>330</v>
      </c>
      <c r="B16" s="127" t="s">
        <v>240</v>
      </c>
      <c r="C16" s="127" t="s">
        <v>135</v>
      </c>
      <c r="D16" s="127" t="s">
        <v>324</v>
      </c>
      <c r="E16" s="128">
        <v>8.6999999999999993</v>
      </c>
      <c r="F16" s="128">
        <v>7.86</v>
      </c>
      <c r="G16" s="128">
        <v>0.98</v>
      </c>
      <c r="H16" s="128">
        <v>433</v>
      </c>
      <c r="I16" s="128">
        <v>0.46</v>
      </c>
      <c r="J16" s="128">
        <v>0.14899999999999999</v>
      </c>
      <c r="K16" s="128">
        <v>150</v>
      </c>
      <c r="L16" s="128">
        <v>26.95</v>
      </c>
    </row>
    <row r="17" spans="1:12" ht="30" x14ac:dyDescent="0.25">
      <c r="A17" s="127" t="s">
        <v>331</v>
      </c>
      <c r="B17" s="127" t="s">
        <v>240</v>
      </c>
      <c r="C17" s="127" t="s">
        <v>135</v>
      </c>
      <c r="D17" s="127" t="s">
        <v>316</v>
      </c>
      <c r="E17" s="128">
        <v>9.6</v>
      </c>
      <c r="F17" s="128">
        <v>3.06</v>
      </c>
      <c r="G17" s="128">
        <v>1.61</v>
      </c>
      <c r="H17" s="128">
        <v>140</v>
      </c>
      <c r="I17" s="129"/>
      <c r="J17" s="128">
        <v>0.14899999999999999</v>
      </c>
      <c r="K17" s="128">
        <v>224.3</v>
      </c>
      <c r="L17" s="128">
        <v>19.809999999999999</v>
      </c>
    </row>
    <row r="18" spans="1:12" ht="30" x14ac:dyDescent="0.25">
      <c r="A18" s="127" t="s">
        <v>332</v>
      </c>
      <c r="B18" s="127" t="s">
        <v>240</v>
      </c>
      <c r="C18" s="127" t="s">
        <v>135</v>
      </c>
      <c r="D18" s="127" t="s">
        <v>316</v>
      </c>
      <c r="E18" s="128">
        <v>8.8000000000000007</v>
      </c>
      <c r="F18" s="128">
        <v>3.78</v>
      </c>
      <c r="G18" s="128">
        <v>2.0099999999999998</v>
      </c>
      <c r="H18" s="128">
        <v>288</v>
      </c>
      <c r="I18" s="129"/>
      <c r="J18" s="128">
        <v>0.13300000000000001</v>
      </c>
      <c r="K18" s="128">
        <v>117.4</v>
      </c>
      <c r="L18" s="128">
        <v>31.78</v>
      </c>
    </row>
    <row r="19" spans="1:12" ht="30" x14ac:dyDescent="0.25">
      <c r="A19" s="127" t="s">
        <v>333</v>
      </c>
      <c r="B19" s="127" t="s">
        <v>240</v>
      </c>
      <c r="C19" s="127" t="s">
        <v>135</v>
      </c>
      <c r="D19" s="127" t="s">
        <v>316</v>
      </c>
      <c r="E19" s="128">
        <v>7.8</v>
      </c>
      <c r="F19" s="128">
        <v>2.5499999999999998</v>
      </c>
      <c r="G19" s="128">
        <v>1.67</v>
      </c>
      <c r="H19" s="128">
        <v>140</v>
      </c>
      <c r="I19" s="129"/>
      <c r="J19" s="128">
        <v>0.156</v>
      </c>
      <c r="K19" s="128">
        <v>160.19999999999999</v>
      </c>
      <c r="L19" s="128">
        <v>25.22</v>
      </c>
    </row>
    <row r="20" spans="1:12" ht="30" x14ac:dyDescent="0.25">
      <c r="A20" s="127" t="s">
        <v>334</v>
      </c>
      <c r="B20" s="127" t="s">
        <v>240</v>
      </c>
      <c r="C20" s="127" t="s">
        <v>135</v>
      </c>
      <c r="D20" s="127" t="s">
        <v>316</v>
      </c>
      <c r="E20" s="128">
        <v>6.4</v>
      </c>
      <c r="F20" s="128">
        <v>2.95</v>
      </c>
      <c r="G20" s="128">
        <v>1.86</v>
      </c>
      <c r="H20" s="128">
        <v>279</v>
      </c>
      <c r="I20" s="129"/>
      <c r="J20" s="128">
        <v>0.153</v>
      </c>
      <c r="K20" s="128">
        <v>140.4</v>
      </c>
      <c r="L20" s="128">
        <v>21.43</v>
      </c>
    </row>
    <row r="21" spans="1:12" ht="30" x14ac:dyDescent="0.25">
      <c r="A21" s="127" t="s">
        <v>335</v>
      </c>
      <c r="B21" s="127" t="s">
        <v>240</v>
      </c>
      <c r="C21" s="127" t="s">
        <v>135</v>
      </c>
      <c r="D21" s="127" t="s">
        <v>316</v>
      </c>
      <c r="E21" s="128">
        <v>4.9000000000000004</v>
      </c>
      <c r="F21" s="128">
        <v>4</v>
      </c>
      <c r="G21" s="128">
        <v>1.48</v>
      </c>
      <c r="H21" s="128">
        <v>147</v>
      </c>
      <c r="I21" s="129"/>
      <c r="J21" s="128">
        <v>0.14499999999999999</v>
      </c>
      <c r="K21" s="128">
        <v>158.19999999999999</v>
      </c>
      <c r="L21" s="128">
        <v>26.71</v>
      </c>
    </row>
    <row r="22" spans="1:12" ht="30" x14ac:dyDescent="0.25">
      <c r="A22" s="127" t="s">
        <v>336</v>
      </c>
      <c r="B22" s="127" t="s">
        <v>240</v>
      </c>
      <c r="C22" s="127" t="s">
        <v>135</v>
      </c>
      <c r="D22" s="127" t="s">
        <v>316</v>
      </c>
      <c r="E22" s="128">
        <v>9.1</v>
      </c>
      <c r="F22" s="128">
        <v>3.77</v>
      </c>
      <c r="G22" s="128">
        <v>1.3</v>
      </c>
      <c r="H22" s="128">
        <v>212</v>
      </c>
      <c r="I22" s="129"/>
      <c r="J22" s="128">
        <v>0.13800000000000001</v>
      </c>
      <c r="K22" s="128">
        <v>161.30000000000001</v>
      </c>
      <c r="L22" s="128">
        <v>39.44</v>
      </c>
    </row>
    <row r="23" spans="1:12" ht="30" x14ac:dyDescent="0.25">
      <c r="A23" s="127" t="s">
        <v>337</v>
      </c>
      <c r="B23" s="127" t="s">
        <v>240</v>
      </c>
      <c r="C23" s="127" t="s">
        <v>135</v>
      </c>
      <c r="D23" s="127" t="s">
        <v>316</v>
      </c>
      <c r="E23" s="128">
        <v>13.1</v>
      </c>
      <c r="F23" s="128">
        <v>2.96</v>
      </c>
      <c r="G23" s="128">
        <v>1.28</v>
      </c>
      <c r="H23" s="128">
        <v>163</v>
      </c>
      <c r="I23" s="129"/>
      <c r="J23" s="128">
        <v>0.161</v>
      </c>
      <c r="K23" s="128">
        <v>126.7</v>
      </c>
      <c r="L23" s="128">
        <v>22.8</v>
      </c>
    </row>
    <row r="24" spans="1:12" ht="30" x14ac:dyDescent="0.25">
      <c r="A24" s="127" t="s">
        <v>338</v>
      </c>
      <c r="B24" s="127" t="s">
        <v>240</v>
      </c>
      <c r="C24" s="127" t="s">
        <v>135</v>
      </c>
      <c r="D24" s="127" t="s">
        <v>324</v>
      </c>
      <c r="E24" s="128">
        <v>15.8</v>
      </c>
      <c r="F24" s="128">
        <v>4.54</v>
      </c>
      <c r="G24" s="128">
        <v>1</v>
      </c>
      <c r="H24" s="128">
        <v>499</v>
      </c>
      <c r="I24" s="129"/>
      <c r="J24" s="128">
        <v>0.14199999999999999</v>
      </c>
      <c r="K24" s="128">
        <v>109.6</v>
      </c>
      <c r="L24" s="128">
        <v>30.25</v>
      </c>
    </row>
    <row r="25" spans="1:12" ht="30" x14ac:dyDescent="0.25">
      <c r="A25" s="127" t="s">
        <v>339</v>
      </c>
      <c r="B25" s="127" t="s">
        <v>240</v>
      </c>
      <c r="C25" s="127" t="s">
        <v>135</v>
      </c>
      <c r="D25" s="127" t="s">
        <v>316</v>
      </c>
      <c r="E25" s="129"/>
      <c r="F25" s="128">
        <v>2.4700000000000002</v>
      </c>
      <c r="G25" s="128">
        <v>1.86</v>
      </c>
      <c r="H25" s="128">
        <v>324</v>
      </c>
      <c r="I25" s="129"/>
      <c r="J25" s="128">
        <v>0.109</v>
      </c>
      <c r="K25" s="128">
        <v>71.099999999999994</v>
      </c>
      <c r="L25" s="128">
        <v>27.85</v>
      </c>
    </row>
    <row r="26" spans="1:12" ht="30" x14ac:dyDescent="0.25">
      <c r="A26" s="127" t="s">
        <v>340</v>
      </c>
      <c r="B26" s="127" t="s">
        <v>240</v>
      </c>
      <c r="C26" s="127" t="s">
        <v>135</v>
      </c>
      <c r="D26" s="127" t="s">
        <v>316</v>
      </c>
      <c r="E26" s="128">
        <v>15.3</v>
      </c>
      <c r="F26" s="128">
        <v>3.53</v>
      </c>
      <c r="G26" s="128">
        <v>1.42</v>
      </c>
      <c r="H26" s="128">
        <v>302</v>
      </c>
      <c r="I26" s="129"/>
      <c r="J26" s="128">
        <v>0.17199999999999999</v>
      </c>
      <c r="K26" s="128">
        <v>137.69999999999999</v>
      </c>
      <c r="L26" s="128">
        <v>16.45</v>
      </c>
    </row>
    <row r="27" spans="1:12" ht="30" x14ac:dyDescent="0.25">
      <c r="A27" s="127" t="s">
        <v>341</v>
      </c>
      <c r="B27" s="127" t="s">
        <v>240</v>
      </c>
      <c r="C27" s="127" t="s">
        <v>135</v>
      </c>
      <c r="D27" s="127" t="s">
        <v>324</v>
      </c>
      <c r="E27" s="128">
        <v>10.7</v>
      </c>
      <c r="F27" s="128">
        <v>4.0199999999999996</v>
      </c>
      <c r="G27" s="128">
        <v>1.61</v>
      </c>
      <c r="H27" s="128">
        <v>389</v>
      </c>
      <c r="I27" s="128">
        <v>0.05</v>
      </c>
      <c r="J27" s="128">
        <v>0.126</v>
      </c>
      <c r="K27" s="128">
        <v>196.8</v>
      </c>
      <c r="L27" s="128">
        <v>24.12</v>
      </c>
    </row>
    <row r="28" spans="1:12" ht="30" x14ac:dyDescent="0.25">
      <c r="A28" s="127" t="s">
        <v>342</v>
      </c>
      <c r="B28" s="127" t="s">
        <v>240</v>
      </c>
      <c r="C28" s="127" t="s">
        <v>135</v>
      </c>
      <c r="D28" s="127" t="s">
        <v>324</v>
      </c>
      <c r="E28" s="128">
        <v>12.5</v>
      </c>
      <c r="F28" s="128">
        <v>7.22</v>
      </c>
      <c r="G28" s="128">
        <v>1.34</v>
      </c>
      <c r="H28" s="128">
        <v>682</v>
      </c>
      <c r="I28" s="128">
        <v>0.62</v>
      </c>
      <c r="J28" s="128">
        <v>0.155</v>
      </c>
      <c r="K28" s="128">
        <v>135.4</v>
      </c>
      <c r="L28" s="128">
        <v>21.34</v>
      </c>
    </row>
    <row r="29" spans="1:12" ht="30" x14ac:dyDescent="0.25">
      <c r="A29" s="127" t="s">
        <v>343</v>
      </c>
      <c r="B29" s="127" t="s">
        <v>240</v>
      </c>
      <c r="C29" s="127" t="s">
        <v>135</v>
      </c>
      <c r="D29" s="127" t="s">
        <v>324</v>
      </c>
      <c r="E29" s="128">
        <v>8.4</v>
      </c>
      <c r="F29" s="128">
        <v>5.05</v>
      </c>
      <c r="G29" s="128">
        <v>1.3</v>
      </c>
      <c r="H29" s="128">
        <v>268</v>
      </c>
      <c r="I29" s="128">
        <v>0.28000000000000003</v>
      </c>
      <c r="J29" s="128">
        <v>0.16600000000000001</v>
      </c>
      <c r="K29" s="128">
        <v>153.5</v>
      </c>
      <c r="L29" s="128">
        <v>16.16</v>
      </c>
    </row>
    <row r="30" spans="1:12" ht="30" x14ac:dyDescent="0.25">
      <c r="A30" s="127" t="s">
        <v>344</v>
      </c>
      <c r="B30" s="127" t="s">
        <v>240</v>
      </c>
      <c r="C30" s="127" t="s">
        <v>135</v>
      </c>
      <c r="D30" s="127" t="s">
        <v>324</v>
      </c>
      <c r="E30" s="128">
        <v>16.100000000000001</v>
      </c>
      <c r="F30" s="128">
        <v>6.32</v>
      </c>
      <c r="G30" s="128">
        <v>0.98</v>
      </c>
      <c r="H30" s="128">
        <v>496</v>
      </c>
      <c r="I30" s="128">
        <v>0.25</v>
      </c>
      <c r="J30" s="128">
        <v>0.109</v>
      </c>
      <c r="K30" s="128">
        <v>83.1</v>
      </c>
      <c r="L30" s="128">
        <v>33.07</v>
      </c>
    </row>
    <row r="31" spans="1:12" ht="30" x14ac:dyDescent="0.25">
      <c r="A31" s="127" t="s">
        <v>345</v>
      </c>
      <c r="B31" s="127" t="s">
        <v>240</v>
      </c>
      <c r="C31" s="127" t="s">
        <v>135</v>
      </c>
      <c r="D31" s="127" t="s">
        <v>324</v>
      </c>
      <c r="E31" s="128">
        <v>5.7</v>
      </c>
      <c r="F31" s="128">
        <v>5</v>
      </c>
      <c r="G31" s="128">
        <v>1.33</v>
      </c>
      <c r="H31" s="128">
        <v>379</v>
      </c>
      <c r="I31" s="128">
        <v>0.23</v>
      </c>
      <c r="J31" s="128">
        <v>0.14099999999999999</v>
      </c>
      <c r="K31" s="128">
        <v>151.5</v>
      </c>
      <c r="L31" s="128">
        <v>14.77</v>
      </c>
    </row>
    <row r="32" spans="1:12" x14ac:dyDescent="0.25">
      <c r="A32" s="127" t="s">
        <v>346</v>
      </c>
      <c r="B32" s="127" t="s">
        <v>241</v>
      </c>
      <c r="C32" s="127" t="s">
        <v>135</v>
      </c>
      <c r="D32" s="127" t="s">
        <v>324</v>
      </c>
      <c r="E32" s="128">
        <v>5.6</v>
      </c>
      <c r="F32" s="128">
        <v>9.0500000000000007</v>
      </c>
      <c r="G32" s="128">
        <v>1.4</v>
      </c>
      <c r="H32" s="128">
        <v>168</v>
      </c>
      <c r="I32" s="128">
        <v>0.56000000000000005</v>
      </c>
      <c r="J32" s="128">
        <v>0.14599999999999999</v>
      </c>
      <c r="K32" s="128">
        <v>163.1</v>
      </c>
      <c r="L32" s="128">
        <v>17.47</v>
      </c>
    </row>
    <row r="33" spans="1:12" x14ac:dyDescent="0.25">
      <c r="A33" s="127" t="s">
        <v>347</v>
      </c>
      <c r="B33" s="127" t="s">
        <v>241</v>
      </c>
      <c r="C33" s="127" t="s">
        <v>135</v>
      </c>
      <c r="D33" s="127" t="s">
        <v>316</v>
      </c>
      <c r="E33" s="128">
        <v>3.9</v>
      </c>
      <c r="F33" s="128">
        <v>4.84</v>
      </c>
      <c r="G33" s="128">
        <v>1.47</v>
      </c>
      <c r="H33" s="128">
        <v>75</v>
      </c>
      <c r="I33" s="129"/>
      <c r="J33" s="128">
        <v>0.11799999999999999</v>
      </c>
      <c r="K33" s="128">
        <v>229.8</v>
      </c>
      <c r="L33" s="128">
        <v>23.62</v>
      </c>
    </row>
    <row r="34" spans="1:12" x14ac:dyDescent="0.25">
      <c r="A34" s="127" t="s">
        <v>348</v>
      </c>
      <c r="B34" s="127" t="s">
        <v>241</v>
      </c>
      <c r="C34" s="127" t="s">
        <v>135</v>
      </c>
      <c r="D34" s="127" t="s">
        <v>316</v>
      </c>
      <c r="E34" s="128">
        <v>4.4000000000000004</v>
      </c>
      <c r="F34" s="128">
        <v>5.4</v>
      </c>
      <c r="G34" s="128">
        <v>1.91</v>
      </c>
      <c r="H34" s="128">
        <v>192</v>
      </c>
      <c r="I34" s="128">
        <v>1302.8</v>
      </c>
      <c r="J34" s="128">
        <v>0.161</v>
      </c>
      <c r="K34" s="128">
        <v>142.4</v>
      </c>
      <c r="L34" s="128">
        <v>22.41</v>
      </c>
    </row>
    <row r="35" spans="1:12" x14ac:dyDescent="0.25">
      <c r="A35" s="127" t="s">
        <v>349</v>
      </c>
      <c r="B35" s="127" t="s">
        <v>241</v>
      </c>
      <c r="C35" s="127" t="s">
        <v>135</v>
      </c>
      <c r="D35" s="127" t="s">
        <v>316</v>
      </c>
      <c r="E35" s="128">
        <v>4.3</v>
      </c>
      <c r="F35" s="128">
        <v>4.93</v>
      </c>
      <c r="G35" s="128">
        <v>1.78</v>
      </c>
      <c r="H35" s="128">
        <v>111</v>
      </c>
      <c r="I35" s="128">
        <v>1424.6</v>
      </c>
      <c r="J35" s="128">
        <v>0.126</v>
      </c>
      <c r="K35" s="128">
        <v>204.4</v>
      </c>
      <c r="L35" s="128">
        <v>20.77</v>
      </c>
    </row>
    <row r="36" spans="1:12" x14ac:dyDescent="0.25">
      <c r="A36" s="127" t="s">
        <v>350</v>
      </c>
      <c r="B36" s="127" t="s">
        <v>241</v>
      </c>
      <c r="C36" s="127" t="s">
        <v>135</v>
      </c>
      <c r="D36" s="127" t="s">
        <v>324</v>
      </c>
      <c r="E36" s="128">
        <v>4.3</v>
      </c>
      <c r="F36" s="128">
        <v>8.84</v>
      </c>
      <c r="G36" s="128">
        <v>1.41</v>
      </c>
      <c r="H36" s="128">
        <v>162</v>
      </c>
      <c r="I36" s="128">
        <v>0.19</v>
      </c>
      <c r="J36" s="128">
        <v>0.13700000000000001</v>
      </c>
      <c r="K36" s="128">
        <v>251.2</v>
      </c>
      <c r="L36" s="128">
        <v>28.49</v>
      </c>
    </row>
    <row r="37" spans="1:12" x14ac:dyDescent="0.25">
      <c r="A37" s="127" t="s">
        <v>351</v>
      </c>
      <c r="B37" s="127" t="s">
        <v>241</v>
      </c>
      <c r="C37" s="127" t="s">
        <v>135</v>
      </c>
      <c r="D37" s="127" t="s">
        <v>316</v>
      </c>
      <c r="E37" s="128">
        <v>5.2</v>
      </c>
      <c r="F37" s="128">
        <v>4.3499999999999996</v>
      </c>
      <c r="G37" s="128">
        <v>1.86</v>
      </c>
      <c r="H37" s="128">
        <v>105</v>
      </c>
      <c r="I37" s="128">
        <v>1464.29</v>
      </c>
      <c r="J37" s="128">
        <v>0.126</v>
      </c>
      <c r="K37" s="128">
        <v>285.39999999999998</v>
      </c>
      <c r="L37" s="128">
        <v>24</v>
      </c>
    </row>
    <row r="38" spans="1:12" x14ac:dyDescent="0.25">
      <c r="A38" s="127" t="s">
        <v>352</v>
      </c>
      <c r="B38" s="127" t="s">
        <v>241</v>
      </c>
      <c r="C38" s="127" t="s">
        <v>135</v>
      </c>
      <c r="D38" s="127" t="s">
        <v>316</v>
      </c>
      <c r="E38" s="128">
        <v>6.6</v>
      </c>
      <c r="F38" s="128">
        <v>4.6100000000000003</v>
      </c>
      <c r="G38" s="128">
        <v>1.46</v>
      </c>
      <c r="H38" s="128">
        <v>162</v>
      </c>
      <c r="I38" s="128">
        <v>978.31</v>
      </c>
      <c r="J38" s="128">
        <v>0.129</v>
      </c>
      <c r="K38" s="128">
        <v>91.8</v>
      </c>
      <c r="L38" s="128">
        <v>22.19</v>
      </c>
    </row>
    <row r="39" spans="1:12" x14ac:dyDescent="0.25">
      <c r="A39" s="127" t="s">
        <v>353</v>
      </c>
      <c r="B39" s="127" t="s">
        <v>241</v>
      </c>
      <c r="C39" s="127" t="s">
        <v>135</v>
      </c>
      <c r="D39" s="127" t="s">
        <v>316</v>
      </c>
      <c r="E39" s="128">
        <v>3.9</v>
      </c>
      <c r="F39" s="128">
        <v>3.13</v>
      </c>
      <c r="G39" s="128">
        <v>1.83</v>
      </c>
      <c r="H39" s="128">
        <v>219</v>
      </c>
      <c r="I39" s="128">
        <v>1467.95</v>
      </c>
      <c r="J39" s="128">
        <v>0.17299999999999999</v>
      </c>
      <c r="K39" s="129"/>
      <c r="L39" s="128">
        <v>21.55</v>
      </c>
    </row>
    <row r="40" spans="1:12" x14ac:dyDescent="0.25">
      <c r="A40" s="127" t="s">
        <v>354</v>
      </c>
      <c r="B40" s="127" t="s">
        <v>241</v>
      </c>
      <c r="C40" s="127" t="s">
        <v>135</v>
      </c>
      <c r="D40" s="127" t="s">
        <v>316</v>
      </c>
      <c r="E40" s="128">
        <v>3.5</v>
      </c>
      <c r="F40" s="128">
        <v>3.7</v>
      </c>
      <c r="G40" s="128">
        <v>1.91</v>
      </c>
      <c r="H40" s="128">
        <v>318</v>
      </c>
      <c r="I40" s="129"/>
      <c r="J40" s="128">
        <v>0.152</v>
      </c>
      <c r="K40" s="128">
        <v>122.6</v>
      </c>
      <c r="L40" s="128">
        <v>16.8</v>
      </c>
    </row>
    <row r="41" spans="1:12" x14ac:dyDescent="0.25">
      <c r="A41" s="127" t="s">
        <v>355</v>
      </c>
      <c r="B41" s="127" t="s">
        <v>241</v>
      </c>
      <c r="C41" s="127" t="s">
        <v>135</v>
      </c>
      <c r="D41" s="127" t="s">
        <v>316</v>
      </c>
      <c r="E41" s="128">
        <v>4.3</v>
      </c>
      <c r="F41" s="128">
        <v>5.42</v>
      </c>
      <c r="G41" s="128">
        <v>1.63</v>
      </c>
      <c r="H41" s="128">
        <v>148</v>
      </c>
      <c r="I41" s="128">
        <v>1074.28</v>
      </c>
      <c r="J41" s="128">
        <v>0.13500000000000001</v>
      </c>
      <c r="K41" s="128">
        <v>204.9</v>
      </c>
      <c r="L41" s="128">
        <v>28.49</v>
      </c>
    </row>
    <row r="42" spans="1:12" x14ac:dyDescent="0.25">
      <c r="A42" s="127" t="s">
        <v>356</v>
      </c>
      <c r="B42" s="127" t="s">
        <v>241</v>
      </c>
      <c r="C42" s="127" t="s">
        <v>135</v>
      </c>
      <c r="D42" s="127" t="s">
        <v>316</v>
      </c>
      <c r="E42" s="128">
        <v>3.5</v>
      </c>
      <c r="F42" s="128">
        <v>4.84</v>
      </c>
      <c r="G42" s="128">
        <v>2.19</v>
      </c>
      <c r="H42" s="128">
        <v>102</v>
      </c>
      <c r="I42" s="128">
        <v>1790.28</v>
      </c>
      <c r="J42" s="128">
        <v>0.112</v>
      </c>
      <c r="K42" s="128">
        <v>238.5</v>
      </c>
      <c r="L42" s="128">
        <v>21.14</v>
      </c>
    </row>
    <row r="43" spans="1:12" x14ac:dyDescent="0.25">
      <c r="A43" s="127" t="s">
        <v>357</v>
      </c>
      <c r="B43" s="127" t="s">
        <v>241</v>
      </c>
      <c r="C43" s="127" t="s">
        <v>135</v>
      </c>
      <c r="D43" s="127" t="s">
        <v>324</v>
      </c>
      <c r="E43" s="128">
        <v>4.2</v>
      </c>
      <c r="F43" s="128">
        <v>8.1</v>
      </c>
      <c r="G43" s="128">
        <v>1.79</v>
      </c>
      <c r="H43" s="128">
        <v>132</v>
      </c>
      <c r="I43" s="129"/>
      <c r="J43" s="128">
        <v>0.115</v>
      </c>
      <c r="K43" s="128">
        <v>185.9</v>
      </c>
      <c r="L43" s="128">
        <v>13.14</v>
      </c>
    </row>
    <row r="44" spans="1:12" x14ac:dyDescent="0.25">
      <c r="A44" s="127" t="s">
        <v>358</v>
      </c>
      <c r="B44" s="127" t="s">
        <v>241</v>
      </c>
      <c r="C44" s="127" t="s">
        <v>135</v>
      </c>
      <c r="D44" s="127" t="s">
        <v>324</v>
      </c>
      <c r="E44" s="128">
        <v>4.7</v>
      </c>
      <c r="F44" s="128">
        <v>11.51</v>
      </c>
      <c r="G44" s="128">
        <v>1.32</v>
      </c>
      <c r="H44" s="128">
        <v>184</v>
      </c>
      <c r="I44" s="129"/>
      <c r="J44" s="128">
        <v>0.121</v>
      </c>
      <c r="K44" s="128">
        <v>143</v>
      </c>
      <c r="L44" s="128">
        <v>33.83</v>
      </c>
    </row>
    <row r="45" spans="1:12" x14ac:dyDescent="0.25">
      <c r="A45" s="127" t="s">
        <v>359</v>
      </c>
      <c r="B45" s="127" t="s">
        <v>241</v>
      </c>
      <c r="C45" s="127" t="s">
        <v>135</v>
      </c>
      <c r="D45" s="127" t="s">
        <v>324</v>
      </c>
      <c r="E45" s="128">
        <v>5.0999999999999996</v>
      </c>
      <c r="F45" s="128">
        <v>9.0399999999999991</v>
      </c>
      <c r="G45" s="128">
        <v>1.41</v>
      </c>
      <c r="H45" s="128">
        <v>191</v>
      </c>
      <c r="I45" s="128">
        <v>0.75</v>
      </c>
      <c r="J45" s="128">
        <v>0.154</v>
      </c>
      <c r="K45" s="128">
        <v>204.2</v>
      </c>
      <c r="L45" s="128">
        <v>28.5</v>
      </c>
    </row>
    <row r="46" spans="1:12" x14ac:dyDescent="0.25">
      <c r="A46" s="127" t="s">
        <v>360</v>
      </c>
      <c r="B46" s="127" t="s">
        <v>241</v>
      </c>
      <c r="C46" s="127" t="s">
        <v>135</v>
      </c>
      <c r="D46" s="127" t="s">
        <v>324</v>
      </c>
      <c r="E46" s="128">
        <v>5.4</v>
      </c>
      <c r="F46" s="128">
        <v>9.43</v>
      </c>
      <c r="G46" s="128">
        <v>1.36</v>
      </c>
      <c r="H46" s="128">
        <v>429</v>
      </c>
      <c r="I46" s="128">
        <v>0.63</v>
      </c>
      <c r="J46" s="128">
        <v>0.16300000000000001</v>
      </c>
      <c r="K46" s="128">
        <v>241.2</v>
      </c>
      <c r="L46" s="128">
        <v>23.82</v>
      </c>
    </row>
    <row r="47" spans="1:12" x14ac:dyDescent="0.25">
      <c r="A47" s="127" t="s">
        <v>361</v>
      </c>
      <c r="B47" s="127" t="s">
        <v>241</v>
      </c>
      <c r="C47" s="127" t="s">
        <v>135</v>
      </c>
      <c r="D47" s="127" t="s">
        <v>316</v>
      </c>
      <c r="E47" s="128">
        <v>4.5</v>
      </c>
      <c r="F47" s="128">
        <v>3.71</v>
      </c>
      <c r="G47" s="128">
        <v>1.68</v>
      </c>
      <c r="H47" s="128">
        <v>87</v>
      </c>
      <c r="I47" s="128">
        <v>1228.26</v>
      </c>
      <c r="J47" s="128">
        <v>0.128</v>
      </c>
      <c r="K47" s="128">
        <v>129.4</v>
      </c>
      <c r="L47" s="128">
        <v>15.78</v>
      </c>
    </row>
    <row r="48" spans="1:12" x14ac:dyDescent="0.25">
      <c r="A48" s="127" t="s">
        <v>362</v>
      </c>
      <c r="B48" s="127" t="s">
        <v>241</v>
      </c>
      <c r="C48" s="127" t="s">
        <v>135</v>
      </c>
      <c r="D48" s="127" t="s">
        <v>324</v>
      </c>
      <c r="E48" s="128">
        <v>4.4000000000000004</v>
      </c>
      <c r="F48" s="128">
        <v>10.29</v>
      </c>
      <c r="G48" s="128">
        <v>1.36</v>
      </c>
      <c r="H48" s="128">
        <v>177</v>
      </c>
      <c r="I48" s="128">
        <v>0.31</v>
      </c>
      <c r="J48" s="128">
        <v>0.13500000000000001</v>
      </c>
      <c r="K48" s="128">
        <v>128.6</v>
      </c>
      <c r="L48" s="128">
        <v>25.25</v>
      </c>
    </row>
    <row r="49" spans="1:12" x14ac:dyDescent="0.25">
      <c r="A49" s="127" t="s">
        <v>363</v>
      </c>
      <c r="B49" s="127" t="s">
        <v>241</v>
      </c>
      <c r="C49" s="127" t="s">
        <v>135</v>
      </c>
      <c r="D49" s="127" t="s">
        <v>324</v>
      </c>
      <c r="E49" s="128">
        <v>5.3</v>
      </c>
      <c r="F49" s="128">
        <v>5.27</v>
      </c>
      <c r="G49" s="128">
        <v>1.67</v>
      </c>
      <c r="H49" s="128">
        <v>288</v>
      </c>
      <c r="I49" s="128">
        <v>0.16</v>
      </c>
      <c r="J49" s="128">
        <v>0.216</v>
      </c>
      <c r="K49" s="128">
        <v>222</v>
      </c>
      <c r="L49" s="128">
        <v>19.18</v>
      </c>
    </row>
    <row r="50" spans="1:12" x14ac:dyDescent="0.25">
      <c r="A50" s="127" t="s">
        <v>364</v>
      </c>
      <c r="B50" s="127" t="s">
        <v>241</v>
      </c>
      <c r="C50" s="127" t="s">
        <v>135</v>
      </c>
      <c r="D50" s="127" t="s">
        <v>316</v>
      </c>
      <c r="E50" s="128">
        <v>4.8</v>
      </c>
      <c r="F50" s="128">
        <v>3.68</v>
      </c>
      <c r="G50" s="128">
        <v>2.2000000000000002</v>
      </c>
      <c r="H50" s="128">
        <v>50</v>
      </c>
      <c r="I50" s="129"/>
      <c r="J50" s="128">
        <v>0.122</v>
      </c>
      <c r="K50" s="128">
        <v>161.1</v>
      </c>
      <c r="L50" s="128">
        <v>34.090000000000003</v>
      </c>
    </row>
    <row r="51" spans="1:12" x14ac:dyDescent="0.25">
      <c r="A51" s="127" t="s">
        <v>365</v>
      </c>
      <c r="B51" s="127" t="s">
        <v>241</v>
      </c>
      <c r="C51" s="127" t="s">
        <v>135</v>
      </c>
      <c r="D51" s="127" t="s">
        <v>324</v>
      </c>
      <c r="E51" s="128">
        <v>4.7</v>
      </c>
      <c r="F51" s="128">
        <v>7.01</v>
      </c>
      <c r="G51" s="128">
        <v>1.31</v>
      </c>
      <c r="H51" s="128">
        <v>205</v>
      </c>
      <c r="I51" s="128">
        <v>0.51</v>
      </c>
      <c r="J51" s="128">
        <v>0.16600000000000001</v>
      </c>
      <c r="K51" s="128">
        <v>164.3</v>
      </c>
      <c r="L51" s="128">
        <v>22.39</v>
      </c>
    </row>
    <row r="52" spans="1:12" x14ac:dyDescent="0.25">
      <c r="A52" s="127" t="s">
        <v>366</v>
      </c>
      <c r="B52" s="127" t="s">
        <v>241</v>
      </c>
      <c r="C52" s="127" t="s">
        <v>135</v>
      </c>
      <c r="D52" s="127" t="s">
        <v>324</v>
      </c>
      <c r="E52" s="128">
        <v>4.9000000000000004</v>
      </c>
      <c r="F52" s="128">
        <v>2.79</v>
      </c>
      <c r="G52" s="128">
        <v>1.48</v>
      </c>
      <c r="H52" s="128">
        <v>145</v>
      </c>
      <c r="I52" s="128">
        <v>0.24</v>
      </c>
      <c r="J52" s="128">
        <v>0.17100000000000001</v>
      </c>
      <c r="K52" s="128">
        <v>267.39999999999998</v>
      </c>
      <c r="L52" s="128">
        <v>16.79</v>
      </c>
    </row>
    <row r="53" spans="1:12" x14ac:dyDescent="0.25">
      <c r="A53" s="127" t="s">
        <v>367</v>
      </c>
      <c r="B53" s="127" t="s">
        <v>241</v>
      </c>
      <c r="C53" s="127" t="s">
        <v>135</v>
      </c>
      <c r="D53" s="127" t="s">
        <v>316</v>
      </c>
      <c r="E53" s="128">
        <v>3.8</v>
      </c>
      <c r="F53" s="128">
        <v>3.42</v>
      </c>
      <c r="G53" s="128">
        <v>2.19</v>
      </c>
      <c r="H53" s="128">
        <v>159</v>
      </c>
      <c r="I53" s="129"/>
      <c r="J53" s="128">
        <v>0.161</v>
      </c>
      <c r="K53" s="128">
        <v>156.19999999999999</v>
      </c>
      <c r="L53" s="128">
        <v>13.45</v>
      </c>
    </row>
    <row r="54" spans="1:12" x14ac:dyDescent="0.25">
      <c r="A54" s="127" t="s">
        <v>368</v>
      </c>
      <c r="B54" s="127" t="s">
        <v>241</v>
      </c>
      <c r="C54" s="127" t="s">
        <v>135</v>
      </c>
      <c r="D54" s="127" t="s">
        <v>316</v>
      </c>
      <c r="E54" s="128">
        <v>5.7</v>
      </c>
      <c r="F54" s="128">
        <v>3.24</v>
      </c>
      <c r="G54" s="128">
        <v>1.6</v>
      </c>
      <c r="H54" s="128">
        <v>153</v>
      </c>
      <c r="I54" s="129"/>
      <c r="J54" s="128">
        <v>0.126</v>
      </c>
      <c r="K54" s="128">
        <v>219.4</v>
      </c>
      <c r="L54" s="128">
        <v>22.7</v>
      </c>
    </row>
    <row r="55" spans="1:12" x14ac:dyDescent="0.25">
      <c r="A55" s="127" t="s">
        <v>369</v>
      </c>
      <c r="B55" s="127" t="s">
        <v>241</v>
      </c>
      <c r="C55" s="127" t="s">
        <v>135</v>
      </c>
      <c r="D55" s="127" t="s">
        <v>316</v>
      </c>
      <c r="E55" s="128">
        <v>4.9000000000000004</v>
      </c>
      <c r="F55" s="128">
        <v>3.72</v>
      </c>
      <c r="G55" s="128">
        <v>1.94</v>
      </c>
      <c r="H55" s="128">
        <v>164</v>
      </c>
      <c r="I55" s="129"/>
      <c r="J55" s="128">
        <v>0.14099999999999999</v>
      </c>
      <c r="K55" s="128">
        <v>135.9</v>
      </c>
      <c r="L55" s="128">
        <v>24.57</v>
      </c>
    </row>
    <row r="56" spans="1:12" x14ac:dyDescent="0.25">
      <c r="A56" s="127" t="s">
        <v>370</v>
      </c>
      <c r="B56" s="127" t="s">
        <v>241</v>
      </c>
      <c r="C56" s="127" t="s">
        <v>135</v>
      </c>
      <c r="D56" s="127" t="s">
        <v>316</v>
      </c>
      <c r="E56" s="128">
        <v>7.5</v>
      </c>
      <c r="F56" s="128">
        <v>5.35</v>
      </c>
      <c r="G56" s="128">
        <v>1.63</v>
      </c>
      <c r="H56" s="128">
        <v>198</v>
      </c>
      <c r="I56" s="129"/>
      <c r="J56" s="128">
        <v>0.14099999999999999</v>
      </c>
      <c r="K56" s="128">
        <v>192.4</v>
      </c>
      <c r="L56" s="128">
        <v>25.67</v>
      </c>
    </row>
    <row r="57" spans="1:12" x14ac:dyDescent="0.25">
      <c r="A57" s="127" t="s">
        <v>371</v>
      </c>
      <c r="B57" s="127" t="s">
        <v>241</v>
      </c>
      <c r="C57" s="127" t="s">
        <v>135</v>
      </c>
      <c r="D57" s="127" t="s">
        <v>316</v>
      </c>
      <c r="E57" s="128">
        <v>5.9</v>
      </c>
      <c r="F57" s="128">
        <v>3.51</v>
      </c>
      <c r="G57" s="128">
        <v>1.34</v>
      </c>
      <c r="H57" s="128">
        <v>200</v>
      </c>
      <c r="I57" s="129"/>
      <c r="J57" s="128">
        <v>0.11899999999999999</v>
      </c>
      <c r="K57" s="128">
        <v>101.1</v>
      </c>
      <c r="L57" s="128">
        <v>10.55</v>
      </c>
    </row>
    <row r="58" spans="1:12" x14ac:dyDescent="0.25">
      <c r="A58" s="127" t="s">
        <v>372</v>
      </c>
      <c r="B58" s="127" t="s">
        <v>241</v>
      </c>
      <c r="C58" s="127" t="s">
        <v>135</v>
      </c>
      <c r="D58" s="127" t="s">
        <v>316</v>
      </c>
      <c r="E58" s="128">
        <v>9</v>
      </c>
      <c r="F58" s="128">
        <v>2.2599999999999998</v>
      </c>
      <c r="G58" s="128">
        <v>1.41</v>
      </c>
      <c r="H58" s="128">
        <v>280</v>
      </c>
      <c r="I58" s="129"/>
      <c r="J58" s="128">
        <v>0.11600000000000001</v>
      </c>
      <c r="K58" s="128">
        <v>124</v>
      </c>
      <c r="L58" s="128">
        <v>22.17</v>
      </c>
    </row>
    <row r="59" spans="1:12" x14ac:dyDescent="0.25">
      <c r="A59" s="127" t="s">
        <v>373</v>
      </c>
      <c r="B59" s="127" t="s">
        <v>241</v>
      </c>
      <c r="C59" s="127" t="s">
        <v>135</v>
      </c>
      <c r="D59" s="127" t="s">
        <v>316</v>
      </c>
      <c r="E59" s="128">
        <v>7.7</v>
      </c>
      <c r="F59" s="128">
        <v>4.96</v>
      </c>
      <c r="G59" s="128">
        <v>1.48</v>
      </c>
      <c r="H59" s="128">
        <v>144</v>
      </c>
      <c r="I59" s="129"/>
      <c r="J59" s="128">
        <v>0.13600000000000001</v>
      </c>
      <c r="K59" s="128">
        <v>240.8</v>
      </c>
      <c r="L59" s="128">
        <v>27.22</v>
      </c>
    </row>
    <row r="60" spans="1:12" x14ac:dyDescent="0.25">
      <c r="A60" s="127" t="s">
        <v>374</v>
      </c>
      <c r="B60" s="127" t="s">
        <v>241</v>
      </c>
      <c r="C60" s="127" t="s">
        <v>135</v>
      </c>
      <c r="D60" s="127" t="s">
        <v>316</v>
      </c>
      <c r="E60" s="128">
        <v>4</v>
      </c>
      <c r="F60" s="128">
        <v>3.15</v>
      </c>
      <c r="G60" s="128">
        <v>1.76</v>
      </c>
      <c r="H60" s="128">
        <v>162</v>
      </c>
      <c r="I60" s="129"/>
      <c r="J60" s="128">
        <v>0.13200000000000001</v>
      </c>
      <c r="K60" s="128">
        <v>108.3</v>
      </c>
      <c r="L60" s="128">
        <v>21.61</v>
      </c>
    </row>
    <row r="61" spans="1:12" x14ac:dyDescent="0.25">
      <c r="A61" s="127" t="s">
        <v>375</v>
      </c>
      <c r="B61" s="127" t="s">
        <v>241</v>
      </c>
      <c r="C61" s="127" t="s">
        <v>135</v>
      </c>
      <c r="D61" s="127" t="s">
        <v>316</v>
      </c>
      <c r="E61" s="128">
        <v>6</v>
      </c>
      <c r="F61" s="128">
        <v>5.66</v>
      </c>
      <c r="G61" s="128">
        <v>1.6</v>
      </c>
      <c r="H61" s="128">
        <v>150</v>
      </c>
      <c r="I61" s="129"/>
      <c r="J61" s="128">
        <v>0.13900000000000001</v>
      </c>
      <c r="K61" s="128">
        <v>262.3</v>
      </c>
      <c r="L61" s="128">
        <v>25.77</v>
      </c>
    </row>
    <row r="62" spans="1:12" x14ac:dyDescent="0.25">
      <c r="A62" s="127" t="s">
        <v>376</v>
      </c>
      <c r="B62" s="127" t="s">
        <v>242</v>
      </c>
      <c r="C62" s="127" t="s">
        <v>135</v>
      </c>
      <c r="D62" s="127" t="s">
        <v>324</v>
      </c>
      <c r="E62" s="128">
        <v>3.9</v>
      </c>
      <c r="F62" s="128">
        <v>5.74</v>
      </c>
      <c r="G62" s="128">
        <v>1.58</v>
      </c>
      <c r="H62" s="128">
        <v>289</v>
      </c>
      <c r="I62" s="128">
        <v>0.26</v>
      </c>
      <c r="J62" s="128">
        <v>0.105</v>
      </c>
      <c r="K62" s="128">
        <v>104.2</v>
      </c>
      <c r="L62" s="128">
        <v>20.93</v>
      </c>
    </row>
    <row r="63" spans="1:12" x14ac:dyDescent="0.25">
      <c r="A63" s="127" t="s">
        <v>377</v>
      </c>
      <c r="B63" s="127" t="s">
        <v>242</v>
      </c>
      <c r="C63" s="127" t="s">
        <v>135</v>
      </c>
      <c r="D63" s="127" t="s">
        <v>316</v>
      </c>
      <c r="E63" s="128">
        <v>4.3</v>
      </c>
      <c r="F63" s="128">
        <v>5.09</v>
      </c>
      <c r="G63" s="128">
        <v>2.77</v>
      </c>
      <c r="H63" s="128">
        <v>417</v>
      </c>
      <c r="I63" s="128">
        <v>1368.75</v>
      </c>
      <c r="J63" s="128">
        <v>0.122</v>
      </c>
      <c r="K63" s="128">
        <v>160.6</v>
      </c>
      <c r="L63" s="128">
        <v>21.36</v>
      </c>
    </row>
    <row r="64" spans="1:12" x14ac:dyDescent="0.25">
      <c r="A64" s="127" t="s">
        <v>378</v>
      </c>
      <c r="B64" s="127" t="s">
        <v>242</v>
      </c>
      <c r="C64" s="127" t="s">
        <v>135</v>
      </c>
      <c r="D64" s="127" t="s">
        <v>316</v>
      </c>
      <c r="E64" s="128">
        <v>4.3</v>
      </c>
      <c r="F64" s="128">
        <v>1.92</v>
      </c>
      <c r="G64" s="128">
        <v>2.3199999999999998</v>
      </c>
      <c r="H64" s="128">
        <v>609</v>
      </c>
      <c r="I64" s="129"/>
      <c r="J64" s="128">
        <v>0.14000000000000001</v>
      </c>
      <c r="K64" s="128">
        <v>222.7</v>
      </c>
      <c r="L64" s="128">
        <v>12.04</v>
      </c>
    </row>
    <row r="65" spans="1:12" x14ac:dyDescent="0.25">
      <c r="A65" s="127" t="s">
        <v>379</v>
      </c>
      <c r="B65" s="127" t="s">
        <v>242</v>
      </c>
      <c r="C65" s="127" t="s">
        <v>135</v>
      </c>
      <c r="D65" s="127" t="s">
        <v>316</v>
      </c>
      <c r="E65" s="128">
        <v>4.9000000000000004</v>
      </c>
      <c r="F65" s="128">
        <v>4.74</v>
      </c>
      <c r="G65" s="128">
        <v>2.1</v>
      </c>
      <c r="H65" s="128">
        <v>318</v>
      </c>
      <c r="I65" s="128">
        <v>1048.44</v>
      </c>
      <c r="J65" s="128">
        <v>0.11799999999999999</v>
      </c>
      <c r="K65" s="128">
        <v>181</v>
      </c>
      <c r="L65" s="128">
        <v>19.920000000000002</v>
      </c>
    </row>
    <row r="66" spans="1:12" x14ac:dyDescent="0.25">
      <c r="A66" s="127" t="s">
        <v>380</v>
      </c>
      <c r="B66" s="127" t="s">
        <v>242</v>
      </c>
      <c r="C66" s="127" t="s">
        <v>135</v>
      </c>
      <c r="D66" s="127" t="s">
        <v>316</v>
      </c>
      <c r="E66" s="128">
        <v>4.2</v>
      </c>
      <c r="F66" s="128">
        <v>2.41</v>
      </c>
      <c r="G66" s="128">
        <v>1.53</v>
      </c>
      <c r="H66" s="128">
        <v>399</v>
      </c>
      <c r="I66" s="129"/>
      <c r="J66" s="128">
        <v>0.125</v>
      </c>
      <c r="K66" s="128">
        <v>194.6</v>
      </c>
      <c r="L66" s="128">
        <v>12.22</v>
      </c>
    </row>
    <row r="67" spans="1:12" x14ac:dyDescent="0.25">
      <c r="A67" s="127" t="s">
        <v>381</v>
      </c>
      <c r="B67" s="127" t="s">
        <v>242</v>
      </c>
      <c r="C67" s="127" t="s">
        <v>135</v>
      </c>
      <c r="D67" s="127" t="s">
        <v>316</v>
      </c>
      <c r="E67" s="128">
        <v>5.2</v>
      </c>
      <c r="F67" s="128">
        <v>3.01</v>
      </c>
      <c r="G67" s="128">
        <v>1.77</v>
      </c>
      <c r="H67" s="128">
        <v>355</v>
      </c>
      <c r="I67" s="129"/>
      <c r="J67" s="128">
        <v>0.121</v>
      </c>
      <c r="K67" s="128">
        <v>171</v>
      </c>
      <c r="L67" s="128">
        <v>20.190000000000001</v>
      </c>
    </row>
    <row r="68" spans="1:12" x14ac:dyDescent="0.25">
      <c r="A68" s="127" t="s">
        <v>382</v>
      </c>
      <c r="B68" s="127" t="s">
        <v>242</v>
      </c>
      <c r="C68" s="127" t="s">
        <v>135</v>
      </c>
      <c r="D68" s="127" t="s">
        <v>316</v>
      </c>
      <c r="E68" s="128">
        <v>5.3</v>
      </c>
      <c r="F68" s="128">
        <v>2.78</v>
      </c>
      <c r="G68" s="128">
        <v>2.13</v>
      </c>
      <c r="H68" s="128">
        <v>406</v>
      </c>
      <c r="I68" s="128">
        <v>1043.48</v>
      </c>
      <c r="J68" s="128">
        <v>0.155</v>
      </c>
      <c r="K68" s="128">
        <v>149.19999999999999</v>
      </c>
      <c r="L68" s="128">
        <v>17.34</v>
      </c>
    </row>
    <row r="69" spans="1:12" x14ac:dyDescent="0.25">
      <c r="A69" s="127" t="s">
        <v>383</v>
      </c>
      <c r="B69" s="127" t="s">
        <v>242</v>
      </c>
      <c r="C69" s="127" t="s">
        <v>135</v>
      </c>
      <c r="D69" s="127" t="s">
        <v>316</v>
      </c>
      <c r="E69" s="128">
        <v>5.0999999999999996</v>
      </c>
      <c r="F69" s="128">
        <v>0.65</v>
      </c>
      <c r="G69" s="128">
        <v>1.18</v>
      </c>
      <c r="H69" s="128">
        <v>705</v>
      </c>
      <c r="I69" s="129"/>
      <c r="J69" s="128">
        <v>0.187</v>
      </c>
      <c r="K69" s="128">
        <v>217.2</v>
      </c>
      <c r="L69" s="128">
        <v>22.96</v>
      </c>
    </row>
    <row r="70" spans="1:12" x14ac:dyDescent="0.25">
      <c r="A70" s="127" t="s">
        <v>384</v>
      </c>
      <c r="B70" s="127" t="s">
        <v>242</v>
      </c>
      <c r="C70" s="127" t="s">
        <v>135</v>
      </c>
      <c r="D70" s="127" t="s">
        <v>316</v>
      </c>
      <c r="E70" s="128">
        <v>4.9000000000000004</v>
      </c>
      <c r="F70" s="128">
        <v>3.45</v>
      </c>
      <c r="G70" s="128">
        <v>1.56</v>
      </c>
      <c r="H70" s="128">
        <v>346</v>
      </c>
      <c r="I70" s="128">
        <v>1064.73</v>
      </c>
      <c r="J70" s="128">
        <v>0.10299999999999999</v>
      </c>
      <c r="K70" s="128">
        <v>161.1</v>
      </c>
      <c r="L70" s="128">
        <v>11.26</v>
      </c>
    </row>
    <row r="71" spans="1:12" x14ac:dyDescent="0.25">
      <c r="A71" s="127" t="s">
        <v>385</v>
      </c>
      <c r="B71" s="127" t="s">
        <v>242</v>
      </c>
      <c r="C71" s="127" t="s">
        <v>135</v>
      </c>
      <c r="D71" s="127" t="s">
        <v>316</v>
      </c>
      <c r="E71" s="128">
        <v>5.3</v>
      </c>
      <c r="F71" s="128">
        <v>2.79</v>
      </c>
      <c r="G71" s="128">
        <v>2.39</v>
      </c>
      <c r="H71" s="128">
        <v>370</v>
      </c>
      <c r="I71" s="128">
        <v>358.94</v>
      </c>
      <c r="J71" s="128">
        <v>0.16800000000000001</v>
      </c>
      <c r="K71" s="128">
        <v>200</v>
      </c>
      <c r="L71" s="128">
        <v>19.02</v>
      </c>
    </row>
    <row r="72" spans="1:12" x14ac:dyDescent="0.25">
      <c r="A72" s="127" t="s">
        <v>386</v>
      </c>
      <c r="B72" s="127" t="s">
        <v>242</v>
      </c>
      <c r="C72" s="127" t="s">
        <v>135</v>
      </c>
      <c r="D72" s="127" t="s">
        <v>324</v>
      </c>
      <c r="E72" s="128">
        <v>4.5</v>
      </c>
      <c r="F72" s="128">
        <v>6.49</v>
      </c>
      <c r="G72" s="128">
        <v>1.99</v>
      </c>
      <c r="H72" s="128">
        <v>285</v>
      </c>
      <c r="I72" s="128">
        <v>0.22</v>
      </c>
      <c r="J72" s="128">
        <v>0.12</v>
      </c>
      <c r="K72" s="128">
        <v>109.4</v>
      </c>
      <c r="L72" s="128">
        <v>23.65</v>
      </c>
    </row>
    <row r="73" spans="1:12" x14ac:dyDescent="0.25">
      <c r="A73" s="127" t="s">
        <v>387</v>
      </c>
      <c r="B73" s="127" t="s">
        <v>242</v>
      </c>
      <c r="C73" s="127" t="s">
        <v>135</v>
      </c>
      <c r="D73" s="127" t="s">
        <v>316</v>
      </c>
      <c r="E73" s="128">
        <v>6.1</v>
      </c>
      <c r="F73" s="128">
        <v>1.58</v>
      </c>
      <c r="G73" s="128">
        <v>1.52</v>
      </c>
      <c r="H73" s="128">
        <v>764</v>
      </c>
      <c r="I73" s="128">
        <v>47.5</v>
      </c>
      <c r="J73" s="128">
        <v>0.13200000000000001</v>
      </c>
      <c r="K73" s="128">
        <v>185.4</v>
      </c>
      <c r="L73" s="128">
        <v>27.96</v>
      </c>
    </row>
    <row r="74" spans="1:12" x14ac:dyDescent="0.25">
      <c r="A74" s="127" t="s">
        <v>388</v>
      </c>
      <c r="B74" s="127" t="s">
        <v>242</v>
      </c>
      <c r="C74" s="127" t="s">
        <v>135</v>
      </c>
      <c r="D74" s="127" t="s">
        <v>324</v>
      </c>
      <c r="E74" s="128">
        <v>5.7</v>
      </c>
      <c r="F74" s="128">
        <v>5.0199999999999996</v>
      </c>
      <c r="G74" s="128">
        <v>1.54</v>
      </c>
      <c r="H74" s="129"/>
      <c r="I74" s="128">
        <v>0.89</v>
      </c>
      <c r="J74" s="128">
        <v>0.155</v>
      </c>
      <c r="K74" s="128">
        <v>216.4</v>
      </c>
      <c r="L74" s="128">
        <v>31.45</v>
      </c>
    </row>
    <row r="75" spans="1:12" x14ac:dyDescent="0.25">
      <c r="A75" s="127" t="s">
        <v>389</v>
      </c>
      <c r="B75" s="127" t="s">
        <v>242</v>
      </c>
      <c r="C75" s="127" t="s">
        <v>135</v>
      </c>
      <c r="D75" s="127" t="s">
        <v>316</v>
      </c>
      <c r="E75" s="128">
        <v>5.6</v>
      </c>
      <c r="F75" s="128">
        <v>1.9</v>
      </c>
      <c r="G75" s="128">
        <v>1.87</v>
      </c>
      <c r="H75" s="128">
        <v>556</v>
      </c>
      <c r="I75" s="128">
        <v>74.930000000000007</v>
      </c>
      <c r="J75" s="128">
        <v>0.151</v>
      </c>
      <c r="K75" s="128">
        <v>152.80000000000001</v>
      </c>
      <c r="L75" s="128">
        <v>27.04</v>
      </c>
    </row>
    <row r="76" spans="1:12" x14ac:dyDescent="0.25">
      <c r="A76" s="127" t="s">
        <v>390</v>
      </c>
      <c r="B76" s="127" t="s">
        <v>242</v>
      </c>
      <c r="C76" s="127" t="s">
        <v>135</v>
      </c>
      <c r="D76" s="127" t="s">
        <v>316</v>
      </c>
      <c r="E76" s="128">
        <v>7.2</v>
      </c>
      <c r="F76" s="128">
        <v>0.52</v>
      </c>
      <c r="G76" s="128">
        <v>1.33</v>
      </c>
      <c r="H76" s="128">
        <v>515</v>
      </c>
      <c r="I76" s="129"/>
      <c r="J76" s="128">
        <v>0.152</v>
      </c>
      <c r="K76" s="128">
        <v>199.2</v>
      </c>
      <c r="L76" s="128">
        <v>18.690000000000001</v>
      </c>
    </row>
    <row r="77" spans="1:12" x14ac:dyDescent="0.25">
      <c r="A77" s="127" t="s">
        <v>391</v>
      </c>
      <c r="B77" s="127" t="s">
        <v>242</v>
      </c>
      <c r="C77" s="127" t="s">
        <v>135</v>
      </c>
      <c r="D77" s="127" t="s">
        <v>324</v>
      </c>
      <c r="E77" s="128">
        <v>6.9</v>
      </c>
      <c r="F77" s="128">
        <v>7.36</v>
      </c>
      <c r="G77" s="128">
        <v>1.23</v>
      </c>
      <c r="H77" s="128">
        <v>719</v>
      </c>
      <c r="I77" s="129"/>
      <c r="J77" s="128">
        <v>0.13100000000000001</v>
      </c>
      <c r="K77" s="128">
        <v>178.8</v>
      </c>
      <c r="L77" s="128">
        <v>25.42</v>
      </c>
    </row>
    <row r="78" spans="1:12" x14ac:dyDescent="0.25">
      <c r="A78" s="127" t="s">
        <v>392</v>
      </c>
      <c r="B78" s="127" t="s">
        <v>242</v>
      </c>
      <c r="C78" s="127" t="s">
        <v>135</v>
      </c>
      <c r="D78" s="127" t="s">
        <v>316</v>
      </c>
      <c r="E78" s="128">
        <v>6</v>
      </c>
      <c r="F78" s="128">
        <v>1.5</v>
      </c>
      <c r="G78" s="128">
        <v>1.5</v>
      </c>
      <c r="H78" s="128">
        <v>569</v>
      </c>
      <c r="I78" s="128">
        <v>72.010000000000005</v>
      </c>
      <c r="J78" s="128">
        <v>0.14699999999999999</v>
      </c>
      <c r="K78" s="128">
        <v>215.3</v>
      </c>
      <c r="L78" s="128">
        <v>22.65</v>
      </c>
    </row>
    <row r="79" spans="1:12" x14ac:dyDescent="0.25">
      <c r="A79" s="127" t="s">
        <v>393</v>
      </c>
      <c r="B79" s="127" t="s">
        <v>242</v>
      </c>
      <c r="C79" s="127" t="s">
        <v>135</v>
      </c>
      <c r="D79" s="127" t="s">
        <v>324</v>
      </c>
      <c r="E79" s="128">
        <v>6.7</v>
      </c>
      <c r="F79" s="128">
        <v>7.88</v>
      </c>
      <c r="G79" s="128">
        <v>1.81</v>
      </c>
      <c r="H79" s="128">
        <v>411</v>
      </c>
      <c r="I79" s="128">
        <v>0.17</v>
      </c>
      <c r="J79" s="128">
        <v>0.14899999999999999</v>
      </c>
      <c r="K79" s="128">
        <v>179.6</v>
      </c>
      <c r="L79" s="128">
        <v>40.01</v>
      </c>
    </row>
    <row r="80" spans="1:12" x14ac:dyDescent="0.25">
      <c r="A80" s="127" t="s">
        <v>394</v>
      </c>
      <c r="B80" s="127" t="s">
        <v>242</v>
      </c>
      <c r="C80" s="127" t="s">
        <v>135</v>
      </c>
      <c r="D80" s="127" t="s">
        <v>316</v>
      </c>
      <c r="E80" s="128">
        <v>8.5</v>
      </c>
      <c r="F80" s="128">
        <v>0.77</v>
      </c>
      <c r="G80" s="128">
        <v>1.49</v>
      </c>
      <c r="H80" s="128">
        <v>543</v>
      </c>
      <c r="I80" s="129"/>
      <c r="J80" s="128">
        <v>0.152</v>
      </c>
      <c r="K80" s="128">
        <v>257.2</v>
      </c>
      <c r="L80" s="128">
        <v>27.88</v>
      </c>
    </row>
    <row r="81" spans="1:12" x14ac:dyDescent="0.25">
      <c r="A81" s="127" t="s">
        <v>395</v>
      </c>
      <c r="B81" s="127" t="s">
        <v>242</v>
      </c>
      <c r="C81" s="127" t="s">
        <v>135</v>
      </c>
      <c r="D81" s="127" t="s">
        <v>324</v>
      </c>
      <c r="E81" s="128">
        <v>8.1999999999999993</v>
      </c>
      <c r="F81" s="128">
        <v>5.93</v>
      </c>
      <c r="G81" s="128">
        <v>1.31</v>
      </c>
      <c r="H81" s="128">
        <v>514</v>
      </c>
      <c r="I81" s="129"/>
      <c r="J81" s="128">
        <v>0.14599999999999999</v>
      </c>
      <c r="K81" s="128">
        <v>142.19999999999999</v>
      </c>
      <c r="L81" s="128">
        <v>24.18</v>
      </c>
    </row>
    <row r="82" spans="1:12" x14ac:dyDescent="0.25">
      <c r="A82" s="127" t="s">
        <v>396</v>
      </c>
      <c r="B82" s="127" t="s">
        <v>242</v>
      </c>
      <c r="C82" s="127" t="s">
        <v>135</v>
      </c>
      <c r="D82" s="127" t="s">
        <v>316</v>
      </c>
      <c r="E82" s="128">
        <v>7.2</v>
      </c>
      <c r="F82" s="128">
        <v>0.62</v>
      </c>
      <c r="G82" s="128">
        <v>1.19</v>
      </c>
      <c r="H82" s="128">
        <v>507</v>
      </c>
      <c r="I82" s="129"/>
      <c r="J82" s="128">
        <v>0.17399999999999999</v>
      </c>
      <c r="K82" s="128">
        <v>174.9</v>
      </c>
      <c r="L82" s="128">
        <v>29.7</v>
      </c>
    </row>
    <row r="83" spans="1:12" x14ac:dyDescent="0.25">
      <c r="A83" s="127" t="s">
        <v>397</v>
      </c>
      <c r="B83" s="127" t="s">
        <v>242</v>
      </c>
      <c r="C83" s="127" t="s">
        <v>135</v>
      </c>
      <c r="D83" s="127" t="s">
        <v>316</v>
      </c>
      <c r="E83" s="128">
        <v>7.1</v>
      </c>
      <c r="F83" s="128">
        <v>1.66</v>
      </c>
      <c r="G83" s="128">
        <v>1.96</v>
      </c>
      <c r="H83" s="128">
        <v>547</v>
      </c>
      <c r="I83" s="129"/>
      <c r="J83" s="128">
        <v>0.154</v>
      </c>
      <c r="K83" s="128">
        <v>163.5</v>
      </c>
      <c r="L83" s="128">
        <v>28.55</v>
      </c>
    </row>
    <row r="84" spans="1:12" x14ac:dyDescent="0.25">
      <c r="A84" s="127" t="s">
        <v>398</v>
      </c>
      <c r="B84" s="127" t="s">
        <v>242</v>
      </c>
      <c r="C84" s="127" t="s">
        <v>135</v>
      </c>
      <c r="D84" s="127" t="s">
        <v>316</v>
      </c>
      <c r="E84" s="128">
        <v>6</v>
      </c>
      <c r="F84" s="128">
        <v>0.65</v>
      </c>
      <c r="G84" s="128">
        <v>1.91</v>
      </c>
      <c r="H84" s="128">
        <v>305</v>
      </c>
      <c r="I84" s="129"/>
      <c r="J84" s="128">
        <v>0.16500000000000001</v>
      </c>
      <c r="K84" s="128">
        <v>176.3</v>
      </c>
      <c r="L84" s="128">
        <v>25.09</v>
      </c>
    </row>
    <row r="85" spans="1:12" x14ac:dyDescent="0.25">
      <c r="A85" s="127" t="s">
        <v>399</v>
      </c>
      <c r="B85" s="127" t="s">
        <v>242</v>
      </c>
      <c r="C85" s="127" t="s">
        <v>135</v>
      </c>
      <c r="D85" s="127" t="s">
        <v>324</v>
      </c>
      <c r="E85" s="128">
        <v>8.1999999999999993</v>
      </c>
      <c r="F85" s="128">
        <v>2.4700000000000002</v>
      </c>
      <c r="G85" s="128">
        <v>1.46</v>
      </c>
      <c r="H85" s="128">
        <v>575</v>
      </c>
      <c r="I85" s="129"/>
      <c r="J85" s="128">
        <v>0.13900000000000001</v>
      </c>
      <c r="K85" s="128">
        <v>199.2</v>
      </c>
      <c r="L85" s="128">
        <v>19.100000000000001</v>
      </c>
    </row>
    <row r="86" spans="1:12" x14ac:dyDescent="0.25">
      <c r="A86" s="127" t="s">
        <v>400</v>
      </c>
      <c r="B86" s="127" t="s">
        <v>242</v>
      </c>
      <c r="C86" s="127" t="s">
        <v>135</v>
      </c>
      <c r="D86" s="127" t="s">
        <v>324</v>
      </c>
      <c r="E86" s="128">
        <v>9.1</v>
      </c>
      <c r="F86" s="128">
        <v>2.96</v>
      </c>
      <c r="G86" s="128">
        <v>1.3</v>
      </c>
      <c r="H86" s="128">
        <v>244</v>
      </c>
      <c r="I86" s="129"/>
      <c r="J86" s="128">
        <v>0.14799999999999999</v>
      </c>
      <c r="K86" s="128">
        <v>179.6</v>
      </c>
      <c r="L86" s="128">
        <v>53.69</v>
      </c>
    </row>
    <row r="87" spans="1:12" x14ac:dyDescent="0.25">
      <c r="A87" s="127" t="s">
        <v>401</v>
      </c>
      <c r="B87" s="127" t="s">
        <v>242</v>
      </c>
      <c r="C87" s="127" t="s">
        <v>135</v>
      </c>
      <c r="D87" s="127" t="s">
        <v>324</v>
      </c>
      <c r="E87" s="128">
        <v>8.3000000000000007</v>
      </c>
      <c r="F87" s="128">
        <v>6.08</v>
      </c>
      <c r="G87" s="128">
        <v>1.76</v>
      </c>
      <c r="H87" s="128">
        <v>865</v>
      </c>
      <c r="I87" s="128">
        <v>0.81</v>
      </c>
      <c r="J87" s="128">
        <v>0.154</v>
      </c>
      <c r="K87" s="128">
        <v>231.9</v>
      </c>
      <c r="L87" s="128">
        <v>21.28</v>
      </c>
    </row>
    <row r="88" spans="1:12" x14ac:dyDescent="0.25">
      <c r="A88" s="127" t="s">
        <v>402</v>
      </c>
      <c r="B88" s="127" t="s">
        <v>242</v>
      </c>
      <c r="C88" s="127" t="s">
        <v>135</v>
      </c>
      <c r="D88" s="127" t="s">
        <v>316</v>
      </c>
      <c r="E88" s="128">
        <v>5.7</v>
      </c>
      <c r="F88" s="128">
        <v>0.68</v>
      </c>
      <c r="G88" s="128">
        <v>1.05</v>
      </c>
      <c r="H88" s="128">
        <v>658</v>
      </c>
      <c r="I88" s="129"/>
      <c r="J88" s="128">
        <v>0.112</v>
      </c>
      <c r="K88" s="128">
        <v>120.2</v>
      </c>
      <c r="L88" s="128">
        <v>23.77</v>
      </c>
    </row>
    <row r="89" spans="1:12" x14ac:dyDescent="0.25">
      <c r="A89" s="127" t="s">
        <v>403</v>
      </c>
      <c r="B89" s="127" t="s">
        <v>242</v>
      </c>
      <c r="C89" s="127" t="s">
        <v>135</v>
      </c>
      <c r="D89" s="127" t="s">
        <v>316</v>
      </c>
      <c r="E89" s="128">
        <v>12.8</v>
      </c>
      <c r="F89" s="128">
        <v>3.74</v>
      </c>
      <c r="G89" s="128">
        <v>1.49</v>
      </c>
      <c r="H89" s="128">
        <v>444</v>
      </c>
      <c r="I89" s="129"/>
      <c r="J89" s="128">
        <v>0.122</v>
      </c>
      <c r="K89" s="128">
        <v>112.2</v>
      </c>
      <c r="L89" s="128">
        <v>21.55</v>
      </c>
    </row>
    <row r="90" spans="1:12" x14ac:dyDescent="0.25">
      <c r="A90" s="127" t="s">
        <v>404</v>
      </c>
      <c r="B90" s="127" t="s">
        <v>242</v>
      </c>
      <c r="C90" s="127" t="s">
        <v>135</v>
      </c>
      <c r="D90" s="127" t="s">
        <v>316</v>
      </c>
      <c r="E90" s="128">
        <v>7.7</v>
      </c>
      <c r="F90" s="128">
        <v>1.74</v>
      </c>
      <c r="G90" s="128">
        <v>1.1599999999999999</v>
      </c>
      <c r="H90" s="128">
        <v>495</v>
      </c>
      <c r="I90" s="129"/>
      <c r="J90" s="128">
        <v>0.151</v>
      </c>
      <c r="K90" s="128">
        <v>314</v>
      </c>
      <c r="L90" s="128">
        <v>30.99</v>
      </c>
    </row>
    <row r="91" spans="1:12" x14ac:dyDescent="0.25">
      <c r="A91" s="127" t="s">
        <v>405</v>
      </c>
      <c r="B91" s="127" t="s">
        <v>242</v>
      </c>
      <c r="C91" s="127" t="s">
        <v>135</v>
      </c>
      <c r="D91" s="127" t="s">
        <v>324</v>
      </c>
      <c r="E91" s="128">
        <v>6.4</v>
      </c>
      <c r="F91" s="128">
        <v>6.11</v>
      </c>
      <c r="G91" s="128">
        <v>1.54</v>
      </c>
      <c r="H91" s="128">
        <v>548</v>
      </c>
      <c r="I91" s="128">
        <v>0.55000000000000004</v>
      </c>
      <c r="J91" s="128">
        <v>0.151</v>
      </c>
      <c r="K91" s="128">
        <v>200.8</v>
      </c>
      <c r="L91" s="128">
        <v>29.19</v>
      </c>
    </row>
    <row r="92" spans="1:12" x14ac:dyDescent="0.25">
      <c r="A92" s="127" t="s">
        <v>406</v>
      </c>
      <c r="B92" s="127" t="s">
        <v>242</v>
      </c>
      <c r="C92" s="127" t="s">
        <v>135</v>
      </c>
      <c r="D92" s="127" t="s">
        <v>316</v>
      </c>
      <c r="E92" s="128">
        <v>12.1</v>
      </c>
      <c r="F92" s="128">
        <v>0.45</v>
      </c>
      <c r="G92" s="128">
        <v>1.97</v>
      </c>
      <c r="H92" s="128">
        <v>699</v>
      </c>
      <c r="I92" s="129"/>
      <c r="J92" s="128">
        <v>0.16600000000000001</v>
      </c>
      <c r="K92" s="128">
        <v>145</v>
      </c>
      <c r="L92" s="128">
        <v>35.6</v>
      </c>
    </row>
    <row r="93" spans="1:12" x14ac:dyDescent="0.25">
      <c r="A93" s="127" t="s">
        <v>407</v>
      </c>
      <c r="B93" s="127" t="s">
        <v>271</v>
      </c>
      <c r="C93" s="127" t="s">
        <v>135</v>
      </c>
      <c r="D93" s="127" t="s">
        <v>316</v>
      </c>
      <c r="E93" s="128">
        <v>6.5</v>
      </c>
      <c r="F93" s="128">
        <v>3.63</v>
      </c>
      <c r="G93" s="128">
        <v>2.06</v>
      </c>
      <c r="H93" s="128">
        <v>200</v>
      </c>
      <c r="I93" s="128">
        <v>1111.9100000000001</v>
      </c>
      <c r="J93" s="128">
        <v>0.108</v>
      </c>
      <c r="K93" s="128">
        <v>170.4</v>
      </c>
      <c r="L93" s="128">
        <v>26.67</v>
      </c>
    </row>
    <row r="94" spans="1:12" x14ac:dyDescent="0.25">
      <c r="A94" s="127" t="s">
        <v>408</v>
      </c>
      <c r="B94" s="127" t="s">
        <v>271</v>
      </c>
      <c r="C94" s="127" t="s">
        <v>135</v>
      </c>
      <c r="D94" s="127" t="s">
        <v>316</v>
      </c>
      <c r="E94" s="128">
        <v>4.0999999999999996</v>
      </c>
      <c r="F94" s="128">
        <v>3.12</v>
      </c>
      <c r="G94" s="128">
        <v>1.4</v>
      </c>
      <c r="H94" s="128">
        <v>160</v>
      </c>
      <c r="I94" s="128">
        <v>1353.26</v>
      </c>
      <c r="J94" s="128">
        <v>0.121</v>
      </c>
      <c r="K94" s="128">
        <v>162.19999999999999</v>
      </c>
      <c r="L94" s="128">
        <v>17.579999999999998</v>
      </c>
    </row>
    <row r="95" spans="1:12" x14ac:dyDescent="0.25">
      <c r="A95" s="127" t="s">
        <v>409</v>
      </c>
      <c r="B95" s="127" t="s">
        <v>271</v>
      </c>
      <c r="C95" s="127" t="s">
        <v>135</v>
      </c>
      <c r="D95" s="127" t="s">
        <v>316</v>
      </c>
      <c r="E95" s="128">
        <v>4.8</v>
      </c>
      <c r="F95" s="128">
        <v>3.85</v>
      </c>
      <c r="G95" s="128">
        <v>1.54</v>
      </c>
      <c r="H95" s="128">
        <v>219</v>
      </c>
      <c r="I95" s="128">
        <v>1065.2</v>
      </c>
      <c r="J95" s="128">
        <v>0.121</v>
      </c>
      <c r="K95" s="128">
        <v>149</v>
      </c>
      <c r="L95" s="128">
        <v>30.84</v>
      </c>
    </row>
    <row r="96" spans="1:12" x14ac:dyDescent="0.25">
      <c r="A96" s="127" t="s">
        <v>410</v>
      </c>
      <c r="B96" s="127" t="s">
        <v>271</v>
      </c>
      <c r="C96" s="127" t="s">
        <v>135</v>
      </c>
      <c r="D96" s="127" t="s">
        <v>316</v>
      </c>
      <c r="E96" s="128">
        <v>4.2</v>
      </c>
      <c r="F96" s="128">
        <v>2.86</v>
      </c>
      <c r="G96" s="128">
        <v>1.26</v>
      </c>
      <c r="H96" s="128">
        <v>256</v>
      </c>
      <c r="I96" s="128">
        <v>1134</v>
      </c>
      <c r="J96" s="128">
        <v>0.13500000000000001</v>
      </c>
      <c r="K96" s="128">
        <v>182.1</v>
      </c>
      <c r="L96" s="128">
        <v>25.31</v>
      </c>
    </row>
    <row r="97" spans="1:12" x14ac:dyDescent="0.25">
      <c r="A97" s="127" t="s">
        <v>411</v>
      </c>
      <c r="B97" s="127" t="s">
        <v>271</v>
      </c>
      <c r="C97" s="127" t="s">
        <v>135</v>
      </c>
      <c r="D97" s="127" t="s">
        <v>316</v>
      </c>
      <c r="E97" s="128">
        <v>4.3</v>
      </c>
      <c r="F97" s="128">
        <v>3.45</v>
      </c>
      <c r="G97" s="128">
        <v>1.54</v>
      </c>
      <c r="H97" s="128">
        <v>216</v>
      </c>
      <c r="I97" s="128">
        <v>1275.94</v>
      </c>
      <c r="J97" s="128">
        <v>0.12</v>
      </c>
      <c r="K97" s="128">
        <v>155.69999999999999</v>
      </c>
      <c r="L97" s="128">
        <v>18.3</v>
      </c>
    </row>
    <row r="98" spans="1:12" x14ac:dyDescent="0.25">
      <c r="A98" s="127" t="s">
        <v>412</v>
      </c>
      <c r="B98" s="127" t="s">
        <v>271</v>
      </c>
      <c r="C98" s="127" t="s">
        <v>135</v>
      </c>
      <c r="D98" s="127" t="s">
        <v>324</v>
      </c>
      <c r="E98" s="128">
        <v>5.2</v>
      </c>
      <c r="F98" s="128">
        <v>5.75</v>
      </c>
      <c r="G98" s="128">
        <v>0.89</v>
      </c>
      <c r="H98" s="128">
        <v>375</v>
      </c>
      <c r="I98" s="128">
        <v>0.72</v>
      </c>
      <c r="J98" s="128">
        <v>0.16200000000000001</v>
      </c>
      <c r="K98" s="128">
        <v>229.8</v>
      </c>
      <c r="L98" s="128">
        <v>26.23</v>
      </c>
    </row>
    <row r="99" spans="1:12" x14ac:dyDescent="0.25">
      <c r="A99" s="127" t="s">
        <v>413</v>
      </c>
      <c r="B99" s="127" t="s">
        <v>271</v>
      </c>
      <c r="C99" s="127" t="s">
        <v>135</v>
      </c>
      <c r="D99" s="127" t="s">
        <v>316</v>
      </c>
      <c r="E99" s="128">
        <v>4.4000000000000004</v>
      </c>
      <c r="F99" s="128">
        <v>3.04</v>
      </c>
      <c r="G99" s="128">
        <v>1.7</v>
      </c>
      <c r="H99" s="128">
        <v>145</v>
      </c>
      <c r="I99" s="128">
        <v>1569.85</v>
      </c>
      <c r="J99" s="128">
        <v>0.15</v>
      </c>
      <c r="K99" s="128">
        <v>219.9</v>
      </c>
      <c r="L99" s="128">
        <v>17.89</v>
      </c>
    </row>
    <row r="100" spans="1:12" x14ac:dyDescent="0.25">
      <c r="A100" s="127" t="s">
        <v>414</v>
      </c>
      <c r="B100" s="127" t="s">
        <v>271</v>
      </c>
      <c r="C100" s="127" t="s">
        <v>135</v>
      </c>
      <c r="D100" s="127" t="s">
        <v>324</v>
      </c>
      <c r="E100" s="128">
        <v>4.7</v>
      </c>
      <c r="F100" s="128">
        <v>6.19</v>
      </c>
      <c r="G100" s="128">
        <v>1.18</v>
      </c>
      <c r="H100" s="128">
        <v>285</v>
      </c>
      <c r="I100" s="128">
        <v>0.5</v>
      </c>
      <c r="J100" s="128">
        <v>0.156</v>
      </c>
      <c r="K100" s="128">
        <v>233.7</v>
      </c>
      <c r="L100" s="129"/>
    </row>
    <row r="101" spans="1:12" x14ac:dyDescent="0.25">
      <c r="A101" s="127" t="s">
        <v>415</v>
      </c>
      <c r="B101" s="127" t="s">
        <v>271</v>
      </c>
      <c r="C101" s="127" t="s">
        <v>135</v>
      </c>
      <c r="D101" s="127" t="s">
        <v>316</v>
      </c>
      <c r="E101" s="128">
        <v>4.3</v>
      </c>
      <c r="F101" s="128">
        <v>3.55</v>
      </c>
      <c r="G101" s="128">
        <v>1.36</v>
      </c>
      <c r="H101" s="128">
        <v>329</v>
      </c>
      <c r="I101" s="128">
        <v>1464.29</v>
      </c>
      <c r="J101" s="128">
        <v>0.11</v>
      </c>
      <c r="K101" s="128">
        <v>164.5</v>
      </c>
      <c r="L101" s="128">
        <v>30.29</v>
      </c>
    </row>
    <row r="102" spans="1:12" x14ac:dyDescent="0.25">
      <c r="A102" s="127" t="s">
        <v>416</v>
      </c>
      <c r="B102" s="127" t="s">
        <v>271</v>
      </c>
      <c r="C102" s="127" t="s">
        <v>135</v>
      </c>
      <c r="D102" s="127" t="s">
        <v>316</v>
      </c>
      <c r="E102" s="128">
        <v>6.5</v>
      </c>
      <c r="F102" s="128">
        <v>3.27</v>
      </c>
      <c r="G102" s="128">
        <v>1.53</v>
      </c>
      <c r="H102" s="128">
        <v>330</v>
      </c>
      <c r="I102" s="128">
        <v>1615.54</v>
      </c>
      <c r="J102" s="128">
        <v>0.16500000000000001</v>
      </c>
      <c r="K102" s="128">
        <v>177.7</v>
      </c>
      <c r="L102" s="128">
        <v>21.14</v>
      </c>
    </row>
    <row r="103" spans="1:12" x14ac:dyDescent="0.25">
      <c r="A103" s="127" t="s">
        <v>417</v>
      </c>
      <c r="B103" s="127" t="s">
        <v>271</v>
      </c>
      <c r="C103" s="127" t="s">
        <v>135</v>
      </c>
      <c r="D103" s="127" t="s">
        <v>316</v>
      </c>
      <c r="E103" s="128">
        <v>5.4</v>
      </c>
      <c r="F103" s="128">
        <v>3.6</v>
      </c>
      <c r="G103" s="128">
        <v>1.78</v>
      </c>
      <c r="H103" s="128">
        <v>244</v>
      </c>
      <c r="I103" s="129"/>
      <c r="J103" s="128">
        <v>0.13600000000000001</v>
      </c>
      <c r="K103" s="128">
        <v>196.2</v>
      </c>
      <c r="L103" s="128">
        <v>31.47</v>
      </c>
    </row>
    <row r="104" spans="1:12" x14ac:dyDescent="0.25">
      <c r="A104" s="127" t="s">
        <v>418</v>
      </c>
      <c r="B104" s="127" t="s">
        <v>271</v>
      </c>
      <c r="C104" s="127" t="s">
        <v>135</v>
      </c>
      <c r="D104" s="127" t="s">
        <v>316</v>
      </c>
      <c r="E104" s="128">
        <v>4.9000000000000004</v>
      </c>
      <c r="F104" s="128">
        <v>2.76</v>
      </c>
      <c r="G104" s="128">
        <v>1.19</v>
      </c>
      <c r="H104" s="128">
        <v>137</v>
      </c>
      <c r="I104" s="129"/>
      <c r="J104" s="128">
        <v>0.13700000000000001</v>
      </c>
      <c r="K104" s="128">
        <v>162.1</v>
      </c>
      <c r="L104" s="128">
        <v>30.31</v>
      </c>
    </row>
    <row r="105" spans="1:12" x14ac:dyDescent="0.25">
      <c r="A105" s="127" t="s">
        <v>419</v>
      </c>
      <c r="B105" s="127" t="s">
        <v>271</v>
      </c>
      <c r="C105" s="127" t="s">
        <v>135</v>
      </c>
      <c r="D105" s="127" t="s">
        <v>324</v>
      </c>
      <c r="E105" s="128">
        <v>5</v>
      </c>
      <c r="F105" s="128">
        <v>6.73</v>
      </c>
      <c r="G105" s="128">
        <v>0.84</v>
      </c>
      <c r="H105" s="128">
        <v>302</v>
      </c>
      <c r="I105" s="128">
        <v>0.69</v>
      </c>
      <c r="J105" s="128">
        <v>0.14599999999999999</v>
      </c>
      <c r="K105" s="128">
        <v>243.8</v>
      </c>
      <c r="L105" s="128">
        <v>21.88</v>
      </c>
    </row>
    <row r="106" spans="1:12" x14ac:dyDescent="0.25">
      <c r="A106" s="127" t="s">
        <v>420</v>
      </c>
      <c r="B106" s="127" t="s">
        <v>271</v>
      </c>
      <c r="C106" s="127" t="s">
        <v>135</v>
      </c>
      <c r="D106" s="127" t="s">
        <v>316</v>
      </c>
      <c r="E106" s="128">
        <v>5.8</v>
      </c>
      <c r="F106" s="128">
        <v>3.55</v>
      </c>
      <c r="G106" s="128">
        <v>1.45</v>
      </c>
      <c r="H106" s="128">
        <v>193</v>
      </c>
      <c r="I106" s="129"/>
      <c r="J106" s="128">
        <v>0.129</v>
      </c>
      <c r="K106" s="128">
        <v>227.8</v>
      </c>
      <c r="L106" s="128">
        <v>29.43</v>
      </c>
    </row>
    <row r="107" spans="1:12" x14ac:dyDescent="0.25">
      <c r="A107" s="127" t="s">
        <v>421</v>
      </c>
      <c r="B107" s="127" t="s">
        <v>271</v>
      </c>
      <c r="C107" s="127" t="s">
        <v>135</v>
      </c>
      <c r="D107" s="127" t="s">
        <v>324</v>
      </c>
      <c r="E107" s="128">
        <v>6</v>
      </c>
      <c r="F107" s="128">
        <v>8.59</v>
      </c>
      <c r="G107" s="128">
        <v>1.36</v>
      </c>
      <c r="H107" s="128">
        <v>250</v>
      </c>
      <c r="I107" s="128">
        <v>0.41</v>
      </c>
      <c r="J107" s="128">
        <v>0.151</v>
      </c>
      <c r="K107" s="128">
        <v>191.7</v>
      </c>
      <c r="L107" s="128">
        <v>28.25</v>
      </c>
    </row>
    <row r="108" spans="1:12" x14ac:dyDescent="0.25">
      <c r="A108" s="127" t="s">
        <v>422</v>
      </c>
      <c r="B108" s="127" t="s">
        <v>271</v>
      </c>
      <c r="C108" s="127" t="s">
        <v>135</v>
      </c>
      <c r="D108" s="127" t="s">
        <v>316</v>
      </c>
      <c r="E108" s="128">
        <v>6.8</v>
      </c>
      <c r="F108" s="128">
        <v>3.32</v>
      </c>
      <c r="G108" s="128">
        <v>1.36</v>
      </c>
      <c r="H108" s="128">
        <v>306</v>
      </c>
      <c r="I108" s="129"/>
      <c r="J108" s="128">
        <v>0.13400000000000001</v>
      </c>
      <c r="K108" s="128">
        <v>110.7</v>
      </c>
      <c r="L108" s="128">
        <v>15.6</v>
      </c>
    </row>
    <row r="109" spans="1:12" x14ac:dyDescent="0.25">
      <c r="A109" s="127" t="s">
        <v>423</v>
      </c>
      <c r="B109" s="127" t="s">
        <v>271</v>
      </c>
      <c r="C109" s="127" t="s">
        <v>135</v>
      </c>
      <c r="D109" s="127" t="s">
        <v>324</v>
      </c>
      <c r="E109" s="128">
        <v>6.5</v>
      </c>
      <c r="F109" s="128">
        <v>7.43</v>
      </c>
      <c r="G109" s="128">
        <v>1.5</v>
      </c>
      <c r="H109" s="128">
        <v>275</v>
      </c>
      <c r="I109" s="128">
        <v>0.16</v>
      </c>
      <c r="J109" s="128">
        <v>0.158</v>
      </c>
      <c r="K109" s="128">
        <v>174</v>
      </c>
      <c r="L109" s="128">
        <v>26.84</v>
      </c>
    </row>
    <row r="110" spans="1:12" x14ac:dyDescent="0.25">
      <c r="A110" s="127" t="s">
        <v>424</v>
      </c>
      <c r="B110" s="127" t="s">
        <v>271</v>
      </c>
      <c r="C110" s="127" t="s">
        <v>135</v>
      </c>
      <c r="D110" s="127" t="s">
        <v>316</v>
      </c>
      <c r="E110" s="128">
        <v>7.7</v>
      </c>
      <c r="F110" s="128">
        <v>3.7</v>
      </c>
      <c r="G110" s="128">
        <v>1.54</v>
      </c>
      <c r="H110" s="128">
        <v>187</v>
      </c>
      <c r="I110" s="129"/>
      <c r="J110" s="128">
        <v>0.11799999999999999</v>
      </c>
      <c r="K110" s="128">
        <v>188.5</v>
      </c>
      <c r="L110" s="128">
        <v>26.44</v>
      </c>
    </row>
    <row r="111" spans="1:12" x14ac:dyDescent="0.25">
      <c r="A111" s="127" t="s">
        <v>425</v>
      </c>
      <c r="B111" s="127" t="s">
        <v>271</v>
      </c>
      <c r="C111" s="127" t="s">
        <v>135</v>
      </c>
      <c r="D111" s="127" t="s">
        <v>316</v>
      </c>
      <c r="E111" s="128">
        <v>5.8</v>
      </c>
      <c r="F111" s="128">
        <v>3.48</v>
      </c>
      <c r="G111" s="128">
        <v>1.57</v>
      </c>
      <c r="H111" s="128">
        <v>183</v>
      </c>
      <c r="I111" s="129"/>
      <c r="J111" s="128">
        <v>0.104</v>
      </c>
      <c r="K111" s="128">
        <v>161.69999999999999</v>
      </c>
      <c r="L111" s="128">
        <v>26.18</v>
      </c>
    </row>
    <row r="112" spans="1:12" x14ac:dyDescent="0.25">
      <c r="A112" s="127" t="s">
        <v>426</v>
      </c>
      <c r="B112" s="127" t="s">
        <v>271</v>
      </c>
      <c r="C112" s="127" t="s">
        <v>135</v>
      </c>
      <c r="D112" s="127" t="s">
        <v>316</v>
      </c>
      <c r="E112" s="128">
        <v>6.8</v>
      </c>
      <c r="F112" s="128">
        <v>4.1399999999999997</v>
      </c>
      <c r="G112" s="128">
        <v>1.43</v>
      </c>
      <c r="H112" s="128">
        <v>256</v>
      </c>
      <c r="I112" s="129"/>
      <c r="J112" s="128">
        <v>0.123</v>
      </c>
      <c r="K112" s="128">
        <v>183.8</v>
      </c>
      <c r="L112" s="128">
        <v>22.45</v>
      </c>
    </row>
    <row r="113" spans="1:12" x14ac:dyDescent="0.25">
      <c r="A113" s="127" t="s">
        <v>427</v>
      </c>
      <c r="B113" s="127" t="s">
        <v>271</v>
      </c>
      <c r="C113" s="127" t="s">
        <v>135</v>
      </c>
      <c r="D113" s="127" t="s">
        <v>324</v>
      </c>
      <c r="E113" s="128">
        <v>7.5</v>
      </c>
      <c r="F113" s="128">
        <v>5.74</v>
      </c>
      <c r="G113" s="128">
        <v>1.1299999999999999</v>
      </c>
      <c r="H113" s="128">
        <v>260</v>
      </c>
      <c r="I113" s="128">
        <v>0.28000000000000003</v>
      </c>
      <c r="J113" s="128">
        <v>0.115</v>
      </c>
      <c r="K113" s="128">
        <v>247.3</v>
      </c>
      <c r="L113" s="128">
        <v>17.07</v>
      </c>
    </row>
    <row r="114" spans="1:12" x14ac:dyDescent="0.25">
      <c r="A114" s="127" t="s">
        <v>428</v>
      </c>
      <c r="B114" s="127" t="s">
        <v>271</v>
      </c>
      <c r="C114" s="127" t="s">
        <v>135</v>
      </c>
      <c r="D114" s="127" t="s">
        <v>316</v>
      </c>
      <c r="E114" s="128">
        <v>6.1</v>
      </c>
      <c r="F114" s="128">
        <v>5.21</v>
      </c>
      <c r="G114" s="128">
        <v>1.54</v>
      </c>
      <c r="H114" s="128">
        <v>199</v>
      </c>
      <c r="I114" s="129"/>
      <c r="J114" s="128">
        <v>9.2999999999999999E-2</v>
      </c>
      <c r="K114" s="128">
        <v>219.4</v>
      </c>
      <c r="L114" s="128">
        <v>29.98</v>
      </c>
    </row>
    <row r="115" spans="1:12" x14ac:dyDescent="0.25">
      <c r="A115" s="127" t="s">
        <v>429</v>
      </c>
      <c r="B115" s="127" t="s">
        <v>271</v>
      </c>
      <c r="C115" s="127" t="s">
        <v>135</v>
      </c>
      <c r="D115" s="127" t="s">
        <v>324</v>
      </c>
      <c r="E115" s="128">
        <v>4.9000000000000004</v>
      </c>
      <c r="F115" s="128">
        <v>6.57</v>
      </c>
      <c r="G115" s="128">
        <v>1.23</v>
      </c>
      <c r="H115" s="128">
        <v>407</v>
      </c>
      <c r="I115" s="128">
        <v>0.23</v>
      </c>
      <c r="J115" s="128">
        <v>0.11700000000000001</v>
      </c>
      <c r="K115" s="128">
        <v>318.2</v>
      </c>
      <c r="L115" s="128">
        <v>16.63</v>
      </c>
    </row>
    <row r="116" spans="1:12" x14ac:dyDescent="0.25">
      <c r="A116" s="127" t="s">
        <v>430</v>
      </c>
      <c r="B116" s="127" t="s">
        <v>271</v>
      </c>
      <c r="C116" s="127" t="s">
        <v>135</v>
      </c>
      <c r="D116" s="127" t="s">
        <v>316</v>
      </c>
      <c r="E116" s="128">
        <v>6.8</v>
      </c>
      <c r="F116" s="128">
        <v>3.66</v>
      </c>
      <c r="G116" s="128">
        <v>1.37</v>
      </c>
      <c r="H116" s="128">
        <v>276</v>
      </c>
      <c r="I116" s="129"/>
      <c r="J116" s="128">
        <v>0.123</v>
      </c>
      <c r="K116" s="128">
        <v>137.4</v>
      </c>
      <c r="L116" s="128">
        <v>26.75</v>
      </c>
    </row>
    <row r="117" spans="1:12" x14ac:dyDescent="0.25">
      <c r="A117" s="127" t="s">
        <v>431</v>
      </c>
      <c r="B117" s="127" t="s">
        <v>271</v>
      </c>
      <c r="C117" s="127" t="s">
        <v>135</v>
      </c>
      <c r="D117" s="127" t="s">
        <v>316</v>
      </c>
      <c r="E117" s="128">
        <v>7.8</v>
      </c>
      <c r="F117" s="128">
        <v>4.58</v>
      </c>
      <c r="G117" s="128">
        <v>1.34</v>
      </c>
      <c r="H117" s="128">
        <v>192</v>
      </c>
      <c r="I117" s="129"/>
      <c r="J117" s="128">
        <v>0.127</v>
      </c>
      <c r="K117" s="128">
        <v>121.2</v>
      </c>
      <c r="L117" s="129"/>
    </row>
    <row r="118" spans="1:12" x14ac:dyDescent="0.25">
      <c r="A118" s="127" t="s">
        <v>432</v>
      </c>
      <c r="B118" s="127" t="s">
        <v>271</v>
      </c>
      <c r="C118" s="127" t="s">
        <v>135</v>
      </c>
      <c r="D118" s="127" t="s">
        <v>324</v>
      </c>
      <c r="E118" s="128">
        <v>4.4000000000000004</v>
      </c>
      <c r="F118" s="128">
        <v>7.75</v>
      </c>
      <c r="G118" s="128">
        <v>1.07</v>
      </c>
      <c r="H118" s="128">
        <v>294</v>
      </c>
      <c r="I118" s="128">
        <v>0.6</v>
      </c>
      <c r="J118" s="128">
        <v>0.115</v>
      </c>
      <c r="K118" s="128">
        <v>223.9</v>
      </c>
      <c r="L118" s="128">
        <v>23.44</v>
      </c>
    </row>
    <row r="119" spans="1:12" x14ac:dyDescent="0.25">
      <c r="A119" s="127" t="s">
        <v>433</v>
      </c>
      <c r="B119" s="127" t="s">
        <v>271</v>
      </c>
      <c r="C119" s="127" t="s">
        <v>135</v>
      </c>
      <c r="D119" s="127" t="s">
        <v>324</v>
      </c>
      <c r="E119" s="128">
        <v>5.2</v>
      </c>
      <c r="F119" s="128">
        <v>9.6999999999999993</v>
      </c>
      <c r="G119" s="128">
        <v>1.21</v>
      </c>
      <c r="H119" s="128">
        <v>324</v>
      </c>
      <c r="I119" s="128">
        <v>0.28000000000000003</v>
      </c>
      <c r="J119" s="128">
        <v>0.16</v>
      </c>
      <c r="K119" s="128">
        <v>242.3</v>
      </c>
      <c r="L119" s="128">
        <v>19.649999999999999</v>
      </c>
    </row>
    <row r="120" spans="1:12" x14ac:dyDescent="0.25">
      <c r="A120" s="127" t="s">
        <v>434</v>
      </c>
      <c r="B120" s="127" t="s">
        <v>271</v>
      </c>
      <c r="C120" s="127" t="s">
        <v>135</v>
      </c>
      <c r="D120" s="127" t="s">
        <v>324</v>
      </c>
      <c r="E120" s="128">
        <v>5.4</v>
      </c>
      <c r="F120" s="128">
        <v>7.03</v>
      </c>
      <c r="G120" s="128">
        <v>1.41</v>
      </c>
      <c r="H120" s="128">
        <v>606</v>
      </c>
      <c r="I120" s="128">
        <v>0.3</v>
      </c>
      <c r="J120" s="128">
        <v>0.15</v>
      </c>
      <c r="K120" s="128">
        <v>237.2</v>
      </c>
      <c r="L120" s="128">
        <v>31.66</v>
      </c>
    </row>
    <row r="121" spans="1:12" x14ac:dyDescent="0.25">
      <c r="A121" s="127" t="s">
        <v>435</v>
      </c>
      <c r="B121" s="127" t="s">
        <v>271</v>
      </c>
      <c r="C121" s="127" t="s">
        <v>135</v>
      </c>
      <c r="D121" s="127" t="s">
        <v>316</v>
      </c>
      <c r="E121" s="128">
        <v>6.6</v>
      </c>
      <c r="F121" s="128">
        <v>2.81</v>
      </c>
      <c r="G121" s="128">
        <v>1.65</v>
      </c>
      <c r="H121" s="128">
        <v>160</v>
      </c>
      <c r="I121" s="129"/>
      <c r="J121" s="128">
        <v>0.115</v>
      </c>
      <c r="K121" s="128">
        <v>119.1</v>
      </c>
      <c r="L121" s="128">
        <v>29.67</v>
      </c>
    </row>
    <row r="122" spans="1:12" x14ac:dyDescent="0.25">
      <c r="A122" s="127" t="s">
        <v>436</v>
      </c>
      <c r="B122" s="127" t="s">
        <v>271</v>
      </c>
      <c r="C122" s="127" t="s">
        <v>135</v>
      </c>
      <c r="D122" s="127" t="s">
        <v>316</v>
      </c>
      <c r="E122" s="128">
        <v>6.8</v>
      </c>
      <c r="F122" s="128">
        <v>3.43</v>
      </c>
      <c r="G122" s="128">
        <v>1.55</v>
      </c>
      <c r="H122" s="128">
        <v>109</v>
      </c>
      <c r="I122" s="129"/>
      <c r="J122" s="128">
        <v>0.11</v>
      </c>
      <c r="K122" s="128">
        <v>195.1</v>
      </c>
      <c r="L122" s="128">
        <v>24.19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F82C17EC86B3B4DA663BE2B22EB372F" ma:contentTypeVersion="0" ma:contentTypeDescription="Create a new document." ma:contentTypeScope="" ma:versionID="45d745e9cda6fa8d017df158d8fd7a4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4CD61C5-36D5-4F65-94FE-038C2FB50B7C}">
  <ds:schemaRefs>
    <ds:schemaRef ds:uri="http://schemas.microsoft.com/sharepoint/v3/contenttype/forms"/>
  </ds:schemaRefs>
</ds:datastoreItem>
</file>

<file path=customXml/itemProps2.xml><?xml version="1.0" encoding="utf-8"?>
<ds:datastoreItem xmlns:ds="http://schemas.openxmlformats.org/officeDocument/2006/customXml" ds:itemID="{F5E1ED48-6B45-48AD-86AC-72C67BDAC9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3F2D7EA4-837A-489D-9E64-F9890C0E5751}">
  <ds:schemaRefs>
    <ds:schemaRef ds:uri="http://purl.org/dc/dcmitype/"/>
    <ds:schemaRef ds:uri="http://schemas.microsoft.com/office/2006/documentManagement/types"/>
    <ds:schemaRef ds:uri="http://purl.org/dc/elements/1.1/"/>
    <ds:schemaRef ds:uri="http://www.w3.org/XML/1998/namespace"/>
    <ds:schemaRef ds:uri="http://schemas.microsoft.com/office/infopath/2007/PartnerControls"/>
    <ds:schemaRef ds:uri="http://schemas.openxmlformats.org/package/2006/metadata/core-properties"/>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readme</vt:lpstr>
      <vt:lpstr>Stations</vt:lpstr>
      <vt:lpstr>Assessment Units</vt:lpstr>
      <vt:lpstr>Species</vt:lpstr>
      <vt:lpstr>Sex</vt:lpstr>
      <vt:lpstr>Tissues</vt:lpstr>
      <vt:lpstr>BE rationale</vt:lpstr>
      <vt:lpstr>TV</vt:lpstr>
      <vt:lpstr>GoR_Assessment</vt:lpstr>
      <vt:lpstr>BS_Assessment</vt:lpstr>
      <vt:lpstr>GoR_BAC exceedance</vt:lpstr>
      <vt:lpstr>BS_BAC exceedance</vt:lpstr>
      <vt:lpstr>BoS Data summary</vt:lpstr>
      <vt:lpstr>GoR Data summary</vt:lpstr>
      <vt:lpstr>GoR Data_PE, PF</vt:lpstr>
      <vt:lpstr>GoR Raw Data_Ma_Biomarkers</vt:lpstr>
      <vt:lpstr>GoR Raw Data_Mb_Biomarkers</vt:lpstr>
      <vt:lpstr>GoR Raw Data_Poro_Biomarkers</vt:lpstr>
      <vt:lpstr>BoS Raw Data_PE, PF</vt:lpstr>
      <vt:lpstr>BoS Raw Data_Ma_Biomarkers</vt:lpstr>
      <vt:lpstr>BoS Raw Data_FishBiomarkers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Matias L</dc:creator>
  <cp:lastModifiedBy>Elena.Gorokhova</cp:lastModifiedBy>
  <dcterms:created xsi:type="dcterms:W3CDTF">2017-03-23T16:34:59Z</dcterms:created>
  <dcterms:modified xsi:type="dcterms:W3CDTF">2025-02-11T13:19:28Z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0x0101003F82C17EC86B3B4DA663BE2B22EB372F</vt:lpwstr>
  </property>
</Properties>
</file>