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ealei/Coding/pyEDITH/tests/validation_tests_battery/"/>
    </mc:Choice>
  </mc:AlternateContent>
  <xr:revisionPtr revIDLastSave="0" documentId="13_ncr:1_{31C1B23A-2D75-0940-8479-628136ACFD6C}" xr6:coauthVersionLast="47" xr6:coauthVersionMax="47" xr10:uidLastSave="{00000000-0000-0000-0000-000000000000}"/>
  <bookViews>
    <workbookView xWindow="0" yWindow="760" windowWidth="30240" windowHeight="18880" activeTab="2" xr2:uid="{00000000-000D-0000-FFFF-FFFF00000000}"/>
  </bookViews>
  <sheets>
    <sheet name="About" sheetId="1" r:id="rId1"/>
    <sheet name="HIP 32439 (Detection)" sheetId="2" r:id="rId2"/>
    <sheet name="HIP 77052 (Detection)" sheetId="3" r:id="rId3"/>
    <sheet name="HIP 79672 (Detection)" sheetId="4" r:id="rId4"/>
    <sheet name="HIP 26779 (Detection)" sheetId="5" r:id="rId5"/>
    <sheet name="HIP 113283 (Detec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0" i="5" l="1"/>
  <c r="N63" i="6"/>
  <c r="M63" i="6"/>
  <c r="L63" i="6"/>
  <c r="K63" i="6"/>
  <c r="J63" i="6"/>
  <c r="H63" i="6"/>
  <c r="G63" i="6"/>
  <c r="F63" i="6"/>
  <c r="E63" i="6"/>
  <c r="D63" i="6"/>
  <c r="N62" i="6"/>
  <c r="M62" i="6"/>
  <c r="L62" i="6"/>
  <c r="K62" i="6"/>
  <c r="J62" i="6"/>
  <c r="H62" i="6"/>
  <c r="G62" i="6"/>
  <c r="F62" i="6"/>
  <c r="E62" i="6"/>
  <c r="D62" i="6"/>
  <c r="N53" i="6"/>
  <c r="M53" i="6"/>
  <c r="K53" i="6"/>
  <c r="J53" i="6"/>
  <c r="H53" i="6"/>
  <c r="G53" i="6"/>
  <c r="E53" i="6"/>
  <c r="D53" i="6"/>
  <c r="N51" i="6"/>
  <c r="M51" i="6"/>
  <c r="K51" i="6"/>
  <c r="J51" i="6"/>
  <c r="H51" i="6"/>
  <c r="G51" i="6"/>
  <c r="E51" i="6"/>
  <c r="D51" i="6"/>
  <c r="F40" i="6"/>
  <c r="F53" i="6" s="1"/>
  <c r="F38" i="6"/>
  <c r="F32" i="6"/>
  <c r="F33" i="6" s="1"/>
  <c r="L27" i="6"/>
  <c r="F27" i="6"/>
  <c r="L24" i="6"/>
  <c r="F24" i="6"/>
  <c r="L18" i="6"/>
  <c r="F18" i="6"/>
  <c r="L13" i="6"/>
  <c r="L53" i="6" s="1"/>
  <c r="F13" i="6"/>
  <c r="N63" i="5"/>
  <c r="M63" i="5"/>
  <c r="L63" i="5"/>
  <c r="K63" i="5"/>
  <c r="J63" i="5"/>
  <c r="H63" i="5"/>
  <c r="G63" i="5"/>
  <c r="F63" i="5"/>
  <c r="E63" i="5"/>
  <c r="D63" i="5"/>
  <c r="N62" i="5"/>
  <c r="M62" i="5"/>
  <c r="L62" i="5"/>
  <c r="K62" i="5"/>
  <c r="J62" i="5"/>
  <c r="H62" i="5"/>
  <c r="G62" i="5"/>
  <c r="F62" i="5"/>
  <c r="E62" i="5"/>
  <c r="D62" i="5"/>
  <c r="N53" i="5"/>
  <c r="M53" i="5"/>
  <c r="K53" i="5"/>
  <c r="J53" i="5"/>
  <c r="H53" i="5"/>
  <c r="G53" i="5"/>
  <c r="E53" i="5"/>
  <c r="D53" i="5"/>
  <c r="N51" i="5"/>
  <c r="M51" i="5"/>
  <c r="K51" i="5"/>
  <c r="J51" i="5"/>
  <c r="H51" i="5"/>
  <c r="G51" i="5"/>
  <c r="E51" i="5"/>
  <c r="D51" i="5"/>
  <c r="F38" i="5"/>
  <c r="P32" i="5"/>
  <c r="O32" i="5"/>
  <c r="F32" i="5"/>
  <c r="F33" i="5" s="1"/>
  <c r="F51" i="5" s="1"/>
  <c r="L27" i="5"/>
  <c r="F27" i="5"/>
  <c r="L24" i="5"/>
  <c r="F24" i="5"/>
  <c r="L18" i="5"/>
  <c r="F18" i="5"/>
  <c r="L13" i="5"/>
  <c r="L53" i="5" s="1"/>
  <c r="F13" i="5"/>
  <c r="Q8" i="5"/>
  <c r="P8" i="5"/>
  <c r="O8" i="5"/>
  <c r="D67" i="4"/>
  <c r="N63" i="4"/>
  <c r="M63" i="4"/>
  <c r="L63" i="4"/>
  <c r="K63" i="4"/>
  <c r="J63" i="4"/>
  <c r="H63" i="4"/>
  <c r="G63" i="4"/>
  <c r="F63" i="4"/>
  <c r="E63" i="4"/>
  <c r="D63" i="4"/>
  <c r="N62" i="4"/>
  <c r="M62" i="4"/>
  <c r="L62" i="4"/>
  <c r="K62" i="4"/>
  <c r="J62" i="4"/>
  <c r="H62" i="4"/>
  <c r="G62" i="4"/>
  <c r="F62" i="4"/>
  <c r="E62" i="4"/>
  <c r="D62" i="4"/>
  <c r="N53" i="4"/>
  <c r="M53" i="4"/>
  <c r="K53" i="4"/>
  <c r="J53" i="4"/>
  <c r="H53" i="4"/>
  <c r="G53" i="4"/>
  <c r="E53" i="4"/>
  <c r="D53" i="4"/>
  <c r="N51" i="4"/>
  <c r="M51" i="4"/>
  <c r="K51" i="4"/>
  <c r="J51" i="4"/>
  <c r="H51" i="4"/>
  <c r="G51" i="4"/>
  <c r="E51" i="4"/>
  <c r="D51" i="4"/>
  <c r="F40" i="4"/>
  <c r="F38" i="4"/>
  <c r="P32" i="4"/>
  <c r="O32" i="4"/>
  <c r="F32" i="4"/>
  <c r="F33" i="4" s="1"/>
  <c r="L27" i="4"/>
  <c r="F27" i="4"/>
  <c r="L24" i="4"/>
  <c r="F24" i="4"/>
  <c r="L18" i="4"/>
  <c r="F18" i="4"/>
  <c r="L13" i="4"/>
  <c r="F13" i="4"/>
  <c r="L64" i="3"/>
  <c r="K64" i="3"/>
  <c r="J64" i="3"/>
  <c r="F64" i="3"/>
  <c r="E64" i="3"/>
  <c r="D64" i="3"/>
  <c r="M63" i="3"/>
  <c r="N57" i="3"/>
  <c r="N63" i="3" s="1"/>
  <c r="M57" i="3"/>
  <c r="M64" i="3" s="1"/>
  <c r="L57" i="3"/>
  <c r="L63" i="3" s="1"/>
  <c r="K57" i="3"/>
  <c r="K63" i="3" s="1"/>
  <c r="J57" i="3"/>
  <c r="J63" i="3" s="1"/>
  <c r="H57" i="3"/>
  <c r="H64" i="3" s="1"/>
  <c r="G57" i="3"/>
  <c r="G64" i="3" s="1"/>
  <c r="F57" i="3"/>
  <c r="F63" i="3" s="1"/>
  <c r="E57" i="3"/>
  <c r="E63" i="3" s="1"/>
  <c r="D57" i="3"/>
  <c r="D63" i="3" s="1"/>
  <c r="N53" i="3"/>
  <c r="M53" i="3"/>
  <c r="K53" i="3"/>
  <c r="J53" i="3"/>
  <c r="H53" i="3"/>
  <c r="G53" i="3"/>
  <c r="F53" i="3"/>
  <c r="E53" i="3"/>
  <c r="D53" i="3"/>
  <c r="N51" i="3"/>
  <c r="M51" i="3"/>
  <c r="K51" i="3"/>
  <c r="J51" i="3"/>
  <c r="H51" i="3"/>
  <c r="G51" i="3"/>
  <c r="F51" i="3"/>
  <c r="E51" i="3"/>
  <c r="D51" i="3"/>
  <c r="G35" i="3"/>
  <c r="L27" i="3"/>
  <c r="F27" i="3"/>
  <c r="L18" i="3"/>
  <c r="F18" i="3"/>
  <c r="L13" i="3"/>
  <c r="L53" i="3" s="1"/>
  <c r="F13" i="3"/>
  <c r="N63" i="2"/>
  <c r="M63" i="2"/>
  <c r="L63" i="2"/>
  <c r="K63" i="2"/>
  <c r="J63" i="2"/>
  <c r="H63" i="2"/>
  <c r="G63" i="2"/>
  <c r="F63" i="2"/>
  <c r="E63" i="2"/>
  <c r="D63" i="2"/>
  <c r="N62" i="2"/>
  <c r="M62" i="2"/>
  <c r="L62" i="2"/>
  <c r="K62" i="2"/>
  <c r="J62" i="2"/>
  <c r="H62" i="2"/>
  <c r="G62" i="2"/>
  <c r="F62" i="2"/>
  <c r="E62" i="2"/>
  <c r="D62" i="2"/>
  <c r="N53" i="2"/>
  <c r="M53" i="2"/>
  <c r="K53" i="2"/>
  <c r="J53" i="2"/>
  <c r="H53" i="2"/>
  <c r="G53" i="2"/>
  <c r="E53" i="2"/>
  <c r="N51" i="2"/>
  <c r="M51" i="2"/>
  <c r="K51" i="2"/>
  <c r="J51" i="2"/>
  <c r="H51" i="2"/>
  <c r="G51" i="2"/>
  <c r="E51" i="2"/>
  <c r="F38" i="2"/>
  <c r="H35" i="2"/>
  <c r="G35" i="2"/>
  <c r="M35" i="2" s="1"/>
  <c r="F32" i="2"/>
  <c r="L27" i="2"/>
  <c r="F27" i="2"/>
  <c r="D26" i="2"/>
  <c r="D53" i="2" s="1"/>
  <c r="L24" i="2"/>
  <c r="F24" i="2"/>
  <c r="L18" i="2"/>
  <c r="F18" i="2"/>
  <c r="L13" i="2"/>
  <c r="L53" i="2" s="1"/>
  <c r="F13" i="2"/>
  <c r="F51" i="6" l="1"/>
  <c r="F53" i="5"/>
  <c r="L53" i="4"/>
  <c r="F51" i="4"/>
  <c r="L51" i="3"/>
  <c r="N64" i="3"/>
  <c r="F53" i="2"/>
  <c r="F53" i="4"/>
  <c r="L51" i="2"/>
  <c r="Q32" i="5"/>
  <c r="F33" i="2"/>
  <c r="F51" i="2" s="1"/>
  <c r="Q32" i="4"/>
  <c r="L51" i="5"/>
  <c r="L51" i="4"/>
  <c r="D51" i="2"/>
  <c r="G63" i="3"/>
  <c r="L51" i="6"/>
  <c r="H6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4" authorId="0" shapeId="0" xr:uid="{00000000-0006-0000-0100-000001000000}">
      <text>
        <r>
          <rPr>
            <sz val="10"/>
            <color rgb="FF000000"/>
            <rFont val="Arial"/>
            <family val="2"/>
            <scheme val="minor"/>
          </rPr>
          <t>EBS zodi flux does not depend on pointing--it uses the canonical 23 mags arcsec^-2. This value is consistent with that assumption. Given that zodi won't drive exposure time, we leave it as it is.</t>
        </r>
      </text>
    </comment>
    <comment ref="F34" authorId="0" shapeId="0" xr:uid="{00000000-0006-0000-0100-000002000000}">
      <text>
        <r>
          <rPr>
            <sz val="10"/>
            <color rgb="FF000000"/>
            <rFont val="Arial"/>
            <family val="2"/>
            <scheme val="minor"/>
          </rPr>
          <t xml:space="preserve">This zodi value is a bit higher than AYO, but is consistent with pointing assumed for this observation (see solar longitude above). C. Stark checked the relative increase in exozodi one would expect compared to AYO for the given change in solar longitude and it was in agreement with this value. Given that zodi won't drive exposure time, we leave it as it is.
</t>
        </r>
      </text>
    </comment>
    <comment ref="D40" authorId="0" shapeId="0" xr:uid="{00000000-0006-0000-0100-000003000000}">
      <text>
        <r>
          <rPr>
            <sz val="10"/>
            <color rgb="FF000000"/>
            <rFont val="Arial"/>
            <family val="2"/>
          </rPr>
          <t xml:space="preserve">AYO chooses it's photometric aperture based on a ratio of the PSF to the PSF peak. Normally I choose ~0.3 as the default ratio, but that led to larger Omega_core than EBS and ExoSIMS. So I tuned this ratio to 0.373 to achieve the same Omega_core
</t>
        </r>
      </text>
    </comment>
    <comment ref="D45" authorId="0" shapeId="0" xr:uid="{00000000-0006-0000-0100-000004000000}">
      <text>
        <r>
          <rPr>
            <sz val="10"/>
            <color rgb="FF000000"/>
            <rFont val="Arial"/>
            <family val="2"/>
            <scheme val="minor"/>
          </rPr>
          <t xml:space="preserve">This is calculated as 1/CR_det, where CR_det is the peak count rate per pixel assuming a planet 10x as bright as an Earth twin at quadrature at the IWA. Note that for EBS &amp; ExoSIMS, this is an input to the code and they had to adjust it to the value AYO is using
</t>
        </r>
      </text>
    </comment>
    <comment ref="D59" authorId="0" shapeId="0" xr:uid="{00000000-0006-0000-0100-000005000000}">
      <text>
        <r>
          <rPr>
            <sz val="10"/>
            <color rgb="FF000000"/>
            <rFont val="Arial"/>
            <family val="2"/>
          </rPr>
          <t xml:space="preserve">I'm using the same noise floor approach here (NF = 0.029 * contrast) as EBS and ExoSIMS
</t>
        </r>
        <r>
          <rPr>
            <sz val="10"/>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200-000001000000}">
      <text>
        <r>
          <rPr>
            <sz val="10"/>
            <color rgb="FF000000"/>
            <rFont val="Arial"/>
            <family val="2"/>
          </rPr>
          <t xml:space="preserve">Had to tune AYO PSF ratio to 0.401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300-000001000000}">
      <text>
        <r>
          <rPr>
            <sz val="10"/>
            <color rgb="FF000000"/>
            <rFont val="Arial"/>
            <family val="2"/>
          </rPr>
          <t xml:space="preserve">Had to tune AYO PSF ratio to 0.373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400-000001000000}">
      <text>
        <r>
          <rPr>
            <sz val="10"/>
            <color rgb="FF000000"/>
            <rFont val="Arial"/>
            <family val="2"/>
          </rPr>
          <t>Had to tune AYO PSF ratio to 0.427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500-000001000000}">
      <text>
        <r>
          <rPr>
            <sz val="10"/>
            <color rgb="FF000000"/>
            <rFont val="Arial"/>
            <family val="2"/>
          </rPr>
          <t xml:space="preserve">Tuned AYO PSF ratio to 0.4135
</t>
        </r>
      </text>
    </comment>
  </commentList>
</comments>
</file>

<file path=xl/sharedStrings.xml><?xml version="1.0" encoding="utf-8"?>
<sst xmlns="http://schemas.openxmlformats.org/spreadsheetml/2006/main" count="860" uniqueCount="169">
  <si>
    <t>This google sheet is for ETC cross-model validation.</t>
  </si>
  <si>
    <t>This is for broadband detections only, not spectral characterization.</t>
  </si>
  <si>
    <r>
      <t xml:space="preserve">For a complete list of assumed parameters, go here: </t>
    </r>
    <r>
      <rPr>
        <u/>
        <sz val="10"/>
        <color rgb="FF1155CC"/>
        <rFont val="Arial"/>
        <family val="2"/>
      </rPr>
      <t>https://drive.google.com/file/d/1pQ0AIlRWHi350blQ4azuOf13rLkQkmef/view?usp=drive_link</t>
    </r>
  </si>
  <si>
    <t>Note that the list of parameters above was defined assuming lambda = 500 nm. In this sheet we also consider lambda = 1000 nm. When doing so, we adjust all astrophysical fluxes, separations in l/D, etc., but we do not change any of the throughputs or QEs. In reality these are wavelength-dependent quantities, but for simplicity here we keep them the same.</t>
  </si>
  <si>
    <t>Broadband detection. Use USORT OVC with default diameter</t>
  </si>
  <si>
    <t>Find full list of assumptions here: https://drive.google.com/file/d/1pQ0AIlRWHi350blQ4azuOf13rLkQkmef/view?usp=drive_link</t>
  </si>
  <si>
    <t>Fiducial Star: HIP 32439</t>
  </si>
  <si>
    <t>lambda = 500 nm</t>
  </si>
  <si>
    <t>lambda = 1000 nm</t>
  </si>
  <si>
    <t>Person / Code</t>
  </si>
  <si>
    <t>Parameter</t>
  </si>
  <si>
    <t>Description</t>
  </si>
  <si>
    <t>Units</t>
  </si>
  <si>
    <t>C. Stark / AYO</t>
  </si>
  <si>
    <t xml:space="preserve">S. Steiger / EBS </t>
  </si>
  <si>
    <t>A. Tokadjian / EXOSIMS</t>
  </si>
  <si>
    <r>
      <rPr>
        <b/>
        <sz val="10"/>
        <rFont val="Arial"/>
        <family val="2"/>
      </rPr>
      <t xml:space="preserve">P. Plavchan / </t>
    </r>
    <r>
      <rPr>
        <b/>
        <u/>
        <sz val="10"/>
        <color rgb="FF1155CC"/>
        <rFont val="Arial"/>
        <family val="2"/>
      </rPr>
      <t>https://github.com/plavchan/dgraphsPPP</t>
    </r>
  </si>
  <si>
    <t>V. Kofman / PSG</t>
  </si>
  <si>
    <r>
      <rPr>
        <b/>
        <sz val="10"/>
        <rFont val="Arial"/>
        <family val="2"/>
      </rPr>
      <t xml:space="preserve">P. Plavchan / </t>
    </r>
    <r>
      <rPr>
        <b/>
        <u/>
        <sz val="10"/>
        <color rgb="FF1155CC"/>
        <rFont val="Arial"/>
        <family val="2"/>
      </rPr>
      <t>https://github.com/plavchan/dgraphsPPP</t>
    </r>
  </si>
  <si>
    <t>Basic parameters</t>
  </si>
  <si>
    <t>Expected to be inputs to the code</t>
  </si>
  <si>
    <t>F_0</t>
  </si>
  <si>
    <t>Flux zero point</t>
  </si>
  <si>
    <t>photons cm^-2 nm^-1 s^-1</t>
  </si>
  <si>
    <t>(not used; Sun as blackbody approx, so solar radius and 5772K; can translate later)</t>
  </si>
  <si>
    <t>m_lambda</t>
  </si>
  <si>
    <t>apparent magnitude at lambda</t>
  </si>
  <si>
    <t>(not used)</t>
  </si>
  <si>
    <t>L_star</t>
  </si>
  <si>
    <t>bolometric luminosity of star</t>
  </si>
  <si>
    <t>L_Sun</t>
  </si>
  <si>
    <t>dist</t>
  </si>
  <si>
    <t>distance to star</t>
  </si>
  <si>
    <t>pc</t>
  </si>
  <si>
    <t>D</t>
  </si>
  <si>
    <t>circumscribed diameter of telescope</t>
  </si>
  <si>
    <t>m</t>
  </si>
  <si>
    <t>varies</t>
  </si>
  <si>
    <t>A</t>
  </si>
  <si>
    <t>collecting area of telescope</t>
  </si>
  <si>
    <t>cm^2</t>
  </si>
  <si>
    <t>Pi r^2</t>
  </si>
  <si>
    <t>λ</t>
  </si>
  <si>
    <t>Central wavelength of bandpass</t>
  </si>
  <si>
    <t>nm</t>
  </si>
  <si>
    <t>varies, 500</t>
  </si>
  <si>
    <t>Δλ</t>
  </si>
  <si>
    <t>Bandwidth</t>
  </si>
  <si>
    <t>varies, 140</t>
  </si>
  <si>
    <t>nzodis</t>
  </si>
  <si>
    <t># of zodis</t>
  </si>
  <si>
    <t>SNR</t>
  </si>
  <si>
    <t>Required signal to noise ratio</t>
  </si>
  <si>
    <t>varies,5,7</t>
  </si>
  <si>
    <t>t_overhead,static</t>
  </si>
  <si>
    <t>Fixed overhead (additive)</t>
  </si>
  <si>
    <t>s</t>
  </si>
  <si>
    <t>t_overhead,dynamic</t>
  </si>
  <si>
    <t>Dynamic overhead (factor that mulitplies exposure time)</t>
  </si>
  <si>
    <t>det_DC</t>
  </si>
  <si>
    <t>Dark current</t>
  </si>
  <si>
    <t>counts pix^-1 s^-1</t>
  </si>
  <si>
    <t>det_RN</t>
  </si>
  <si>
    <t>Read noise</t>
  </si>
  <si>
    <t>counts pix^-1 read^-1</t>
  </si>
  <si>
    <t>det_CIC</t>
  </si>
  <si>
    <t>Clock induced charge</t>
  </si>
  <si>
    <t>counts pix^-1 photon_count^-1</t>
  </si>
  <si>
    <t>det_tread</t>
  </si>
  <si>
    <t>Time between reads</t>
  </si>
  <si>
    <t>-</t>
  </si>
  <si>
    <t>det_pixscale</t>
  </si>
  <si>
    <t>Detector pixel scale</t>
  </si>
  <si>
    <t>mas</t>
  </si>
  <si>
    <t>dQE</t>
  </si>
  <si>
    <t>Effective QE due to degradation, cosmic ray effects, readout inefficiencies</t>
  </si>
  <si>
    <t>QE</t>
  </si>
  <si>
    <t>Quantum efficiency of detector</t>
  </si>
  <si>
    <t>T_optical</t>
  </si>
  <si>
    <t>Optical throughput (incl. reflectivities, transmissivities, contamination)</t>
  </si>
  <si>
    <t>Solar longitude</t>
  </si>
  <si>
    <t>angle between Sun and pointing vector in the ecliptic during the observation</t>
  </si>
  <si>
    <t>deg</t>
  </si>
  <si>
    <t>Ecliptic latitude</t>
  </si>
  <si>
    <t>ecliptic latitude of target during observation</t>
  </si>
  <si>
    <t>Astrophysical fluxes</t>
  </si>
  <si>
    <t>Fluxes from various astrophysical sources independent of telescope/instrument</t>
  </si>
  <si>
    <t>F_star</t>
  </si>
  <si>
    <t>Astrophysical stellar flux, i.e. F0 * 10^(-0.4 m_v)</t>
  </si>
  <si>
    <t>solar</t>
  </si>
  <si>
    <t>F_p</t>
  </si>
  <si>
    <t>Astrophysical planet flux, i.e. F0 * 10^(-0.4 (m_v+dmag))</t>
  </si>
  <si>
    <t>10^-10</t>
  </si>
  <si>
    <t>F_zodi</t>
  </si>
  <si>
    <t>Astrophysical zodi surface brightness, i.e. F0 * 10^(-0.4 * z), where z is the mag per unit solid angle</t>
  </si>
  <si>
    <t>photons cm^-2 nm^-1 s^-1 arcsec^-2</t>
  </si>
  <si>
    <t>F_exozodi</t>
  </si>
  <si>
    <t>Astrophysical exozodi surface brightness at sp, i.e. F0 * 10^(-0.4 * z), where z is the mag per unit solid angle</t>
  </si>
  <si>
    <t>Intermediate parameters</t>
  </si>
  <si>
    <t>Some key values calculated on the fly to determine count rates</t>
  </si>
  <si>
    <t>sp</t>
  </si>
  <si>
    <t>Stellocentric distance of planet</t>
  </si>
  <si>
    <t>λ/D, where D is the circumscribed diameter</t>
  </si>
  <si>
    <t>Ω_core</t>
  </si>
  <si>
    <t>Solid angle of photometric aperture</t>
  </si>
  <si>
    <t>(λ/D)^2, where D is the circumscribed diameter</t>
  </si>
  <si>
    <t>T_core</t>
  </si>
  <si>
    <t>Core throughput of coronagraph at sp_lod used for planet</t>
  </si>
  <si>
    <t>I_star</t>
  </si>
  <si>
    <t>Offset PSF peak at sp * contrast at sp</t>
  </si>
  <si>
    <t>(λ/D)^-2, where D is the circumscribed diameter</t>
  </si>
  <si>
    <t>skytrans</t>
  </si>
  <si>
    <t>Core throughput assumed for zodi/exozodi</t>
  </si>
  <si>
    <t>det_npix</t>
  </si>
  <si>
    <t># of pixels used for detector noise calculations</t>
  </si>
  <si>
    <t>t_photon_count</t>
  </si>
  <si>
    <t>1/(detector photon count rate), for calculation of clock induced charge noise rate</t>
  </si>
  <si>
    <t>C_binary</t>
  </si>
  <si>
    <t>count rate of the binary star at the detector w/out accounting for the contrast value or skytrans/core throughput (i.e., astrophysical flux x attenuation x collecting area x dlambda)</t>
  </si>
  <si>
    <t>photons s^-1</t>
  </si>
  <si>
    <t>contrast_binary</t>
  </si>
  <si>
    <t>The contrast value applied from the PSF leakage input file</t>
  </si>
  <si>
    <t>s_binary</t>
  </si>
  <si>
    <t>The separation of the binary</t>
  </si>
  <si>
    <t>Count rates</t>
  </si>
  <si>
    <t>Count rates of various sources measured in the photometric aperture at the detector plane</t>
  </si>
  <si>
    <t>Check on CR_p</t>
  </si>
  <si>
    <t>CR_p</t>
  </si>
  <si>
    <t>Planet count rate in photometric aperture at detector</t>
  </si>
  <si>
    <t>counts s^-1</t>
  </si>
  <si>
    <t>Check on CR_bs</t>
  </si>
  <si>
    <t>CR_bs</t>
  </si>
  <si>
    <t>Leaked starlight count rate in photometric aperture at detector</t>
  </si>
  <si>
    <t>CR_bz</t>
  </si>
  <si>
    <t>Zodi count rate in photometric aperture at detector</t>
  </si>
  <si>
    <t>CR_bez</t>
  </si>
  <si>
    <t>Exozodi count rate in photometric aperture at detector</t>
  </si>
  <si>
    <t>CR_bstray</t>
  </si>
  <si>
    <t>Stray light from binary companion in photometric aperture at detector</t>
  </si>
  <si>
    <t>CR_bd</t>
  </si>
  <si>
    <t>Detector noise count rate in photometric aperture at detector</t>
  </si>
  <si>
    <t>CR_NF</t>
  </si>
  <si>
    <t>Noise floor count rate in photometric aperture at detector</t>
  </si>
  <si>
    <t>Final times</t>
  </si>
  <si>
    <t>Check on t_science (AYO equation)</t>
  </si>
  <si>
    <t>Check on t_science (EXOSIMS equation)</t>
  </si>
  <si>
    <t>t_science</t>
  </si>
  <si>
    <t>Science exposure time</t>
  </si>
  <si>
    <t>9.75xstellar blackbody approx.  9.75 represents impact of additional noise terms besides photon noise. would have to calculate for this star in particular; formula for factor is 1+2xslope of linear fit of C_p0 as a function of C_b from Table 7 of Morgan et al 2019 final report</t>
  </si>
  <si>
    <t>t_exp</t>
  </si>
  <si>
    <t>Total wall clock time including overheads</t>
  </si>
  <si>
    <t>Fiducial Star: HIP 77052</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</si>
  <si>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</si>
  <si>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</si>
  <si>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Check on CR_bstray</t>
  </si>
  <si>
    <t>Fiducial Star: HIP 79672</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</si>
  <si>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</si>
  <si>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</si>
  <si>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Fiducial Star: HIP 26779</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</si>
  <si>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</si>
  <si>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</si>
  <si>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Fiducial Star: HIP 113283</t>
  </si>
  <si>
    <t>S. Steiger / EBS</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</si>
  <si>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</si>
  <si>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</si>
  <si>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Flux zero point at λ</t>
  </si>
  <si>
    <t>Times</t>
  </si>
  <si>
    <t>psf_trunc_ratio</t>
  </si>
  <si>
    <t>PSF truncation ratio (used by 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</si>
</sst>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
    <numFmt numFmtId="165" formatCode="#,##0.0000"/>
  </numFmts>
  <fonts count="17">
    <font>
      <sz val="10"/>
      <color rgb="FF000000"/>
      <name val="Arial"/>
      <scheme val="minor"/>
    </font>
    <font>
      <sz val="10"/>
      <color theme="1"/>
      <name val="Arial"/>
      <family val="2"/>
      <scheme val="minor"/>
    </font>
    <font>
      <u/>
      <sz val="10"/>
      <color rgb="FF0000FF"/>
      <name val="Arial"/>
      <family val="2"/>
    </font>
    <font>
      <b/>
      <sz val="10"/>
      <color theme="1"/>
      <name val="Arial"/>
      <family val="2"/>
      <scheme val="minor"/>
    </font>
    <font>
      <sz val="10"/>
      <color theme="1"/>
      <name val="Arial"/>
      <family val="2"/>
      <scheme val="minor"/>
    </font>
    <font>
      <b/>
      <sz val="10"/>
      <color theme="1"/>
      <name val="Arial"/>
      <family val="2"/>
      <scheme val="minor"/>
    </font>
    <font>
      <b/>
      <u/>
      <sz val="10"/>
      <color rgb="FF0000FF"/>
      <name val="Arial"/>
      <family val="2"/>
    </font>
    <font>
      <i/>
      <sz val="10"/>
      <color theme="1"/>
      <name val="Arial"/>
      <family val="2"/>
      <scheme val="minor"/>
    </font>
    <font>
      <sz val="10"/>
      <color rgb="FF000000"/>
      <name val="&quot;Arial&quot;"/>
    </font>
    <font>
      <sz val="8"/>
      <color theme="1"/>
      <name val="Arial"/>
      <family val="2"/>
      <scheme val="minor"/>
    </font>
    <font>
      <sz val="10"/>
      <color rgb="FF000000"/>
      <name val="Arial"/>
      <family val="2"/>
    </font>
    <font>
      <u/>
      <sz val="10"/>
      <color rgb="FF1155CC"/>
      <name val="Arial"/>
      <family val="2"/>
    </font>
    <font>
      <b/>
      <sz val="10"/>
      <name val="Arial"/>
      <family val="2"/>
    </font>
    <font>
      <b/>
      <u/>
      <sz val="10"/>
      <color rgb="FF1155CC"/>
      <name val="Arial"/>
      <family val="2"/>
    </font>
    <font>
      <b/>
      <sz val="10"/>
      <color theme="1"/>
      <name val="Arial"/>
      <family val="2"/>
      <scheme val="minor"/>
    </font>
    <font>
      <sz val="10"/>
      <color rgb="FF000000"/>
      <name val="Arial"/>
      <family val="2"/>
      <scheme val="minor"/>
    </font>
    <font>
      <b/>
      <sz val="10"/>
      <color rgb="FFFF0000"/>
      <name val="Arial"/>
      <family val="2"/>
      <scheme val="minor"/>
    </font>
  </fonts>
  <fills count="14">
    <fill>
      <patternFill patternType="none"/>
    </fill>
    <fill>
      <patternFill patternType="gray125"/>
    </fill>
    <fill>
      <patternFill patternType="solid">
        <fgColor rgb="FF00FFFF"/>
        <bgColor rgb="FF00FFFF"/>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FF00FF"/>
        <bgColor rgb="FFFF00FF"/>
      </patternFill>
    </fill>
    <fill>
      <patternFill patternType="solid">
        <fgColor rgb="FFFFFF00"/>
        <bgColor rgb="FFFFFF00"/>
      </patternFill>
    </fill>
    <fill>
      <patternFill patternType="solid">
        <fgColor rgb="FFFFFF00"/>
        <bgColor indexed="64"/>
      </patternFill>
    </fill>
    <fill>
      <patternFill patternType="solid">
        <fgColor rgb="FFFFFF00"/>
        <bgColor rgb="FFF3F3F3"/>
      </patternFill>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2" fillId="0" borderId="0" xfId="0" applyFont="1"/>
    <xf numFmtId="0" fontId="0" fillId="0" borderId="0" xfId="0" applyAlignment="1">
      <alignment horizontal="left"/>
    </xf>
    <xf numFmtId="11" fontId="0" fillId="0" borderId="0" xfId="0" applyNumberFormat="1" applyAlignment="1">
      <alignment horizontal="left"/>
    </xf>
    <xf numFmtId="0" fontId="4" fillId="0" borderId="0" xfId="0" applyFont="1"/>
    <xf numFmtId="11" fontId="4" fillId="0" borderId="0" xfId="0" applyNumberFormat="1" applyFont="1"/>
    <xf numFmtId="0" fontId="1" fillId="4" borderId="0" xfId="0" applyFont="1" applyFill="1"/>
    <xf numFmtId="11" fontId="1" fillId="0" borderId="0" xfId="0" applyNumberFormat="1" applyFont="1"/>
    <xf numFmtId="11" fontId="1" fillId="4" borderId="0" xfId="0" applyNumberFormat="1" applyFont="1" applyFill="1"/>
    <xf numFmtId="0" fontId="5" fillId="0" borderId="0" xfId="0" applyFont="1"/>
    <xf numFmtId="0" fontId="5" fillId="4" borderId="0" xfId="0" applyFont="1" applyFill="1"/>
    <xf numFmtId="11" fontId="5" fillId="0" borderId="0" xfId="0" applyNumberFormat="1" applyFont="1"/>
    <xf numFmtId="11" fontId="5" fillId="4" borderId="0" xfId="0" applyNumberFormat="1" applyFont="1" applyFill="1"/>
    <xf numFmtId="0" fontId="6" fillId="0" borderId="0" xfId="0" applyFont="1"/>
    <xf numFmtId="0" fontId="7" fillId="5" borderId="0" xfId="0" applyFont="1" applyFill="1"/>
    <xf numFmtId="0" fontId="1" fillId="5" borderId="0" xfId="0" applyFont="1" applyFill="1"/>
    <xf numFmtId="11" fontId="1" fillId="5" borderId="0" xfId="0" applyNumberFormat="1" applyFont="1" applyFill="1"/>
    <xf numFmtId="0" fontId="8" fillId="0" borderId="0" xfId="0" applyFont="1"/>
    <xf numFmtId="0" fontId="7" fillId="0" borderId="0" xfId="0" applyFont="1"/>
    <xf numFmtId="11" fontId="1" fillId="6" borderId="0" xfId="0" applyNumberFormat="1" applyFont="1" applyFill="1"/>
    <xf numFmtId="11" fontId="1" fillId="7" borderId="0" xfId="0" applyNumberFormat="1" applyFont="1" applyFill="1"/>
    <xf numFmtId="11" fontId="1" fillId="8" borderId="0" xfId="0" applyNumberFormat="1" applyFont="1" applyFill="1"/>
    <xf numFmtId="11" fontId="1" fillId="9" borderId="0" xfId="0" applyNumberFormat="1" applyFont="1" applyFill="1"/>
    <xf numFmtId="11" fontId="9" fillId="4" borderId="0" xfId="0" applyNumberFormat="1" applyFont="1" applyFill="1"/>
    <xf numFmtId="0" fontId="1" fillId="7" borderId="0" xfId="0" applyFont="1" applyFill="1"/>
    <xf numFmtId="0" fontId="5" fillId="10" borderId="0" xfId="0" applyFont="1" applyFill="1"/>
    <xf numFmtId="0" fontId="1" fillId="10" borderId="0" xfId="0" applyFont="1" applyFill="1"/>
    <xf numFmtId="11" fontId="1" fillId="10" borderId="0" xfId="0" applyNumberFormat="1" applyFont="1" applyFill="1"/>
    <xf numFmtId="164" fontId="1" fillId="0" borderId="0" xfId="0" applyNumberFormat="1" applyFont="1"/>
    <xf numFmtId="0" fontId="8" fillId="7" borderId="0" xfId="0" applyFont="1" applyFill="1"/>
    <xf numFmtId="165" fontId="1" fillId="0" borderId="0" xfId="0" applyNumberFormat="1" applyFont="1"/>
    <xf numFmtId="11" fontId="1" fillId="11" borderId="0" xfId="0" applyNumberFormat="1" applyFont="1" applyFill="1"/>
    <xf numFmtId="11" fontId="10" fillId="4" borderId="0" xfId="0" applyNumberFormat="1" applyFont="1" applyFill="1" applyAlignment="1">
      <alignment horizontal="right"/>
    </xf>
    <xf numFmtId="0" fontId="14" fillId="0" borderId="0" xfId="0" applyFont="1"/>
    <xf numFmtId="11" fontId="3" fillId="4" borderId="0" xfId="0" applyNumberFormat="1" applyFont="1" applyFill="1"/>
    <xf numFmtId="0" fontId="16" fillId="4" borderId="0" xfId="0" applyFont="1" applyFill="1"/>
    <xf numFmtId="11" fontId="16" fillId="4" borderId="0" xfId="0" applyNumberFormat="1" applyFont="1" applyFill="1"/>
    <xf numFmtId="0" fontId="1" fillId="12" borderId="0" xfId="0" applyFont="1" applyFill="1"/>
    <xf numFmtId="0" fontId="8" fillId="12" borderId="0" xfId="0" applyFont="1" applyFill="1"/>
    <xf numFmtId="11" fontId="1" fillId="13" borderId="0" xfId="0" applyNumberFormat="1" applyFont="1" applyFill="1"/>
    <xf numFmtId="11" fontId="1" fillId="12" borderId="0" xfId="0" applyNumberFormat="1" applyFont="1" applyFill="1"/>
    <xf numFmtId="0" fontId="1" fillId="13" borderId="0" xfId="0" applyFont="1" applyFill="1"/>
    <xf numFmtId="0" fontId="0" fillId="12" borderId="0" xfId="0" applyFill="1"/>
    <xf numFmtId="0" fontId="3" fillId="0" borderId="0" xfId="0" applyFont="1"/>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pQ0AIlRWHi350blQ4azuOf13rLkQkmef/view?usp=drive_link"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4"/>
  <sheetViews>
    <sheetView topLeftCell="F1" workbookViewId="0"/>
  </sheetViews>
  <sheetFormatPr baseColWidth="10" defaultColWidth="12.6640625" defaultRowHeight="15.75" customHeight="1"/>
  <sheetData>
    <row r="1" spans="1:1" ht="15.75" customHeight="1">
      <c r="A1" s="1" t="s">
        <v>0</v>
      </c>
    </row>
    <row r="2" spans="1:1" ht="15.75" customHeight="1">
      <c r="A2" s="1" t="s">
        <v>1</v>
      </c>
    </row>
    <row r="3" spans="1:1" ht="15.75" customHeight="1">
      <c r="A3" s="2" t="s">
        <v>2</v>
      </c>
    </row>
    <row r="4" spans="1:1" ht="15.75" customHeight="1">
      <c r="A4" s="1" t="s">
        <v>3</v>
      </c>
    </row>
  </sheetData>
  <hyperlinks>
    <hyperlink ref="A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38"/>
  <sheetViews>
    <sheetView workbookViewId="0">
      <pane xSplit="3" ySplit="6" topLeftCell="D20" activePane="bottomRight" state="frozen"/>
      <selection pane="topRight" activeCell="D1" sqref="D1"/>
      <selection pane="bottomLeft" activeCell="A7" sqref="A7"/>
      <selection pane="bottomRight" activeCell="J44" sqref="J44"/>
    </sheetView>
  </sheetViews>
  <sheetFormatPr baseColWidth="10" defaultColWidth="12.6640625" defaultRowHeight="15.75" customHeight="1"/>
  <cols>
    <col min="1" max="1" width="19.6640625" customWidth="1"/>
    <col min="2" max="2" width="23.33203125" customWidth="1"/>
    <col min="3" max="3" width="30.1640625" customWidth="1"/>
    <col min="4" max="8" width="15.1640625" customWidth="1"/>
    <col min="10" max="14" width="15.1640625" customWidth="1"/>
  </cols>
  <sheetData>
    <row r="1" spans="1:28" ht="15.75" customHeight="1">
      <c r="A1" s="44" t="s">
        <v>4</v>
      </c>
      <c r="B1" s="45"/>
      <c r="C1" s="45"/>
      <c r="D1" s="3"/>
      <c r="E1" s="4"/>
      <c r="F1" s="4"/>
      <c r="G1" s="3"/>
      <c r="H1" s="3"/>
      <c r="I1" s="5"/>
      <c r="J1" s="5"/>
      <c r="K1" s="6"/>
      <c r="L1" s="6"/>
      <c r="M1" s="5"/>
      <c r="N1" s="5"/>
      <c r="O1" s="5"/>
      <c r="P1" s="5"/>
      <c r="Q1" s="5"/>
      <c r="R1" s="5"/>
      <c r="S1" s="5"/>
      <c r="T1" s="5"/>
      <c r="U1" s="5"/>
      <c r="V1" s="5"/>
      <c r="W1" s="5"/>
      <c r="X1" s="5"/>
      <c r="Y1" s="5"/>
      <c r="Z1" s="5"/>
      <c r="AA1" s="5"/>
      <c r="AB1" s="5"/>
    </row>
    <row r="2" spans="1:28" ht="15.75" customHeight="1">
      <c r="A2" s="44" t="s">
        <v>5</v>
      </c>
      <c r="B2" s="45"/>
      <c r="C2" s="45"/>
      <c r="D2" s="3"/>
      <c r="E2" s="4"/>
      <c r="F2" s="4"/>
      <c r="G2" s="3"/>
      <c r="H2" s="3"/>
      <c r="I2" s="5"/>
      <c r="J2" s="5"/>
      <c r="K2" s="6"/>
      <c r="L2" s="6"/>
      <c r="M2" s="5"/>
      <c r="N2" s="5"/>
      <c r="O2" s="5"/>
      <c r="P2" s="5"/>
      <c r="Q2" s="5"/>
      <c r="R2" s="5"/>
      <c r="S2" s="5"/>
      <c r="T2" s="5"/>
      <c r="U2" s="5"/>
      <c r="V2" s="5"/>
      <c r="W2" s="5"/>
      <c r="X2" s="5"/>
      <c r="Y2" s="5"/>
      <c r="Z2" s="5"/>
      <c r="AA2" s="5"/>
      <c r="AB2" s="5"/>
    </row>
    <row r="3" spans="1:28" ht="15.75" customHeight="1">
      <c r="A3" s="44" t="s">
        <v>6</v>
      </c>
      <c r="B3" s="45"/>
      <c r="C3" s="45"/>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6" t="s">
        <v>7</v>
      </c>
      <c r="E4" s="45"/>
      <c r="F4" s="45"/>
      <c r="G4" s="45"/>
      <c r="H4" s="45"/>
      <c r="J4" s="47" t="s">
        <v>8</v>
      </c>
      <c r="K4" s="45"/>
      <c r="L4" s="45"/>
      <c r="M4" s="45"/>
      <c r="N4" s="45"/>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16</v>
      </c>
      <c r="H6" s="11" t="s">
        <v>17</v>
      </c>
      <c r="J6" s="11" t="s">
        <v>13</v>
      </c>
      <c r="K6" s="12" t="s">
        <v>14</v>
      </c>
      <c r="L6" s="13" t="s">
        <v>15</v>
      </c>
      <c r="M6" s="14" t="s">
        <v>18</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9">
        <v>13400</v>
      </c>
      <c r="E8" s="8">
        <v>11829.01</v>
      </c>
      <c r="F8" s="9">
        <v>11829.01174346</v>
      </c>
      <c r="G8" s="1" t="s">
        <v>24</v>
      </c>
      <c r="H8" s="7"/>
      <c r="I8" s="1"/>
      <c r="J8" s="9">
        <v>3819.346</v>
      </c>
      <c r="K8" s="8">
        <v>3173.48012854429</v>
      </c>
      <c r="L8" s="9">
        <v>3173.4801285399999</v>
      </c>
      <c r="M8" s="1"/>
      <c r="N8" s="7"/>
      <c r="O8" s="1"/>
      <c r="P8" s="1"/>
      <c r="Q8" s="1"/>
      <c r="R8" s="1"/>
      <c r="S8" s="1"/>
      <c r="T8" s="1"/>
      <c r="U8" s="1"/>
    </row>
    <row r="9" spans="1:28" ht="15.75" customHeight="1">
      <c r="A9" s="1" t="s">
        <v>25</v>
      </c>
      <c r="B9" s="1" t="s">
        <v>26</v>
      </c>
      <c r="C9" s="1"/>
      <c r="D9" s="7">
        <v>5.6870000000000003</v>
      </c>
      <c r="E9" s="8">
        <v>5.44</v>
      </c>
      <c r="F9" s="9">
        <v>5.43</v>
      </c>
      <c r="G9" s="1" t="s">
        <v>27</v>
      </c>
      <c r="H9" s="7"/>
      <c r="I9" s="1"/>
      <c r="J9" s="9">
        <v>4.742178</v>
      </c>
      <c r="K9" s="8">
        <v>4.8410000000000002</v>
      </c>
      <c r="L9" s="9">
        <v>4.5119999999999996</v>
      </c>
      <c r="M9" s="1"/>
      <c r="N9" s="7"/>
      <c r="O9" s="1"/>
      <c r="P9" s="1"/>
      <c r="Q9" s="1"/>
      <c r="R9" s="1"/>
      <c r="S9" s="1"/>
      <c r="T9" s="1"/>
      <c r="U9" s="1"/>
    </row>
    <row r="10" spans="1:28" ht="15.75" customHeight="1">
      <c r="A10" s="1" t="s">
        <v>28</v>
      </c>
      <c r="B10" s="1" t="s">
        <v>29</v>
      </c>
      <c r="C10" s="1" t="s">
        <v>30</v>
      </c>
      <c r="D10" s="7">
        <v>1.83</v>
      </c>
      <c r="E10" s="8">
        <v>1.83</v>
      </c>
      <c r="F10" s="9">
        <v>1.87</v>
      </c>
      <c r="G10" s="1"/>
      <c r="H10" s="7"/>
      <c r="I10" s="1"/>
      <c r="J10" s="7">
        <v>1.83</v>
      </c>
      <c r="K10" s="8">
        <v>1.82599674907496</v>
      </c>
      <c r="L10" s="9">
        <v>1.87</v>
      </c>
      <c r="M10" s="1"/>
      <c r="N10" s="7"/>
      <c r="O10" s="1"/>
      <c r="P10" s="1"/>
      <c r="Q10" s="1"/>
      <c r="R10" s="1"/>
      <c r="S10" s="1"/>
      <c r="T10" s="1"/>
      <c r="U10" s="1"/>
    </row>
    <row r="11" spans="1:28" ht="15.75" customHeight="1">
      <c r="A11" s="1" t="s">
        <v>31</v>
      </c>
      <c r="B11" s="1" t="s">
        <v>32</v>
      </c>
      <c r="C11" s="1" t="s">
        <v>33</v>
      </c>
      <c r="D11" s="7">
        <v>18.2</v>
      </c>
      <c r="E11" s="8">
        <v>18.2</v>
      </c>
      <c r="F11" s="9">
        <v>17.87</v>
      </c>
      <c r="G11" s="1"/>
      <c r="H11" s="7"/>
      <c r="I11" s="1"/>
      <c r="J11" s="7">
        <v>18.2</v>
      </c>
      <c r="K11" s="8">
        <v>18.202300000000001</v>
      </c>
      <c r="L11" s="9">
        <v>17.87</v>
      </c>
      <c r="M11" s="1"/>
      <c r="N11" s="7"/>
      <c r="O11" s="1"/>
      <c r="P11" s="1"/>
      <c r="Q11" s="1"/>
      <c r="R11" s="1"/>
      <c r="S11" s="1"/>
      <c r="T11" s="1"/>
      <c r="U11" s="1"/>
    </row>
    <row r="12" spans="1:28" ht="15.75" customHeight="1">
      <c r="A12" s="1" t="s">
        <v>34</v>
      </c>
      <c r="B12" s="1" t="s">
        <v>35</v>
      </c>
      <c r="C12" s="1" t="s">
        <v>36</v>
      </c>
      <c r="D12" s="7">
        <v>7.87</v>
      </c>
      <c r="E12" s="8">
        <v>7.87</v>
      </c>
      <c r="F12" s="9">
        <v>7.87</v>
      </c>
      <c r="G12" s="1" t="s">
        <v>37</v>
      </c>
      <c r="H12" s="7"/>
      <c r="I12" s="1"/>
      <c r="J12" s="9">
        <v>7.87</v>
      </c>
      <c r="K12" s="8">
        <v>7.87</v>
      </c>
      <c r="L12" s="9">
        <v>7.87</v>
      </c>
      <c r="M12" s="1"/>
      <c r="N12" s="7"/>
      <c r="O12" s="1"/>
      <c r="P12" s="1"/>
      <c r="Q12" s="1"/>
      <c r="R12" s="1"/>
      <c r="S12" s="1"/>
      <c r="T12" s="1"/>
      <c r="U12" s="1"/>
    </row>
    <row r="13" spans="1:28" ht="15.75" customHeight="1">
      <c r="A13" s="1" t="s">
        <v>38</v>
      </c>
      <c r="B13" s="1" t="s">
        <v>39</v>
      </c>
      <c r="C13" s="1" t="s">
        <v>40</v>
      </c>
      <c r="D13" s="9">
        <v>427518.2</v>
      </c>
      <c r="E13" s="8">
        <v>427518.213511999</v>
      </c>
      <c r="F13" s="9">
        <f>42.75182135*100*100</f>
        <v>427518.21350000001</v>
      </c>
      <c r="G13" s="1" t="s">
        <v>41</v>
      </c>
      <c r="H13" s="7"/>
      <c r="I13" s="1"/>
      <c r="J13" s="9">
        <v>427518.2</v>
      </c>
      <c r="K13" s="8">
        <v>427518.213511999</v>
      </c>
      <c r="L13" s="9">
        <f>42.75182135*100*100</f>
        <v>427518.21350000001</v>
      </c>
      <c r="M13" s="1"/>
      <c r="N13" s="7"/>
      <c r="O13" s="1"/>
      <c r="P13" s="1"/>
      <c r="Q13" s="1"/>
      <c r="R13" s="1"/>
      <c r="S13" s="1"/>
      <c r="T13" s="1"/>
      <c r="U13" s="1"/>
    </row>
    <row r="14" spans="1:28" ht="15.75" customHeight="1">
      <c r="A14" s="18" t="s">
        <v>42</v>
      </c>
      <c r="B14" s="1" t="s">
        <v>43</v>
      </c>
      <c r="C14" s="1" t="s">
        <v>44</v>
      </c>
      <c r="D14" s="9">
        <v>500</v>
      </c>
      <c r="E14" s="8">
        <v>500</v>
      </c>
      <c r="F14" s="9">
        <v>500</v>
      </c>
      <c r="G14" s="1" t="s">
        <v>45</v>
      </c>
      <c r="H14" s="7"/>
      <c r="I14" s="1"/>
      <c r="J14" s="9">
        <v>1000</v>
      </c>
      <c r="K14" s="8">
        <v>1000</v>
      </c>
      <c r="L14" s="9">
        <v>1000</v>
      </c>
      <c r="M14" s="1"/>
      <c r="N14" s="7"/>
      <c r="O14" s="1"/>
      <c r="P14" s="1"/>
      <c r="Q14" s="1"/>
      <c r="R14" s="1"/>
      <c r="S14" s="1"/>
      <c r="T14" s="1"/>
      <c r="U14" s="1"/>
    </row>
    <row r="15" spans="1:28" ht="15.75" customHeight="1">
      <c r="A15" t="s">
        <v>46</v>
      </c>
      <c r="B15" s="1" t="s">
        <v>47</v>
      </c>
      <c r="C15" s="1" t="s">
        <v>44</v>
      </c>
      <c r="D15" s="7">
        <v>100</v>
      </c>
      <c r="E15" s="8">
        <v>100</v>
      </c>
      <c r="F15" s="9">
        <v>100</v>
      </c>
      <c r="G15" s="1" t="s">
        <v>48</v>
      </c>
      <c r="H15" s="7"/>
      <c r="I15" s="1"/>
      <c r="J15" s="9">
        <v>200</v>
      </c>
      <c r="K15" s="8">
        <v>200</v>
      </c>
      <c r="L15" s="9">
        <v>200</v>
      </c>
      <c r="M15" s="1"/>
      <c r="N15" s="7"/>
      <c r="O15" s="1"/>
      <c r="P15" s="1"/>
      <c r="Q15" s="1"/>
      <c r="R15" s="1"/>
      <c r="S15" s="1"/>
      <c r="T15" s="1"/>
      <c r="U15" s="1"/>
    </row>
    <row r="16" spans="1:28" ht="15.75" customHeight="1">
      <c r="A16" s="1" t="s">
        <v>49</v>
      </c>
      <c r="B16" s="1" t="s">
        <v>50</v>
      </c>
      <c r="C16" s="1"/>
      <c r="D16" s="7">
        <v>3</v>
      </c>
      <c r="E16" s="8">
        <v>3</v>
      </c>
      <c r="F16" s="9">
        <v>3</v>
      </c>
      <c r="G16" s="1">
        <v>0</v>
      </c>
      <c r="H16" s="7"/>
      <c r="I16" s="1"/>
      <c r="J16" s="7">
        <v>3</v>
      </c>
      <c r="K16" s="8">
        <v>3</v>
      </c>
      <c r="L16" s="9">
        <v>3</v>
      </c>
      <c r="M16" s="1"/>
      <c r="N16" s="7"/>
      <c r="O16" s="1"/>
      <c r="P16" s="1"/>
      <c r="Q16" s="1"/>
      <c r="R16" s="1"/>
      <c r="S16" s="1"/>
      <c r="T16" s="1"/>
      <c r="U16" s="1"/>
    </row>
    <row r="17" spans="1:28" ht="15.75" customHeight="1">
      <c r="A17" s="1" t="s">
        <v>51</v>
      </c>
      <c r="B17" s="1" t="s">
        <v>52</v>
      </c>
      <c r="C17" s="1"/>
      <c r="D17" s="7">
        <v>7</v>
      </c>
      <c r="E17" s="8">
        <v>7</v>
      </c>
      <c r="F17" s="9">
        <v>7</v>
      </c>
      <c r="G17" s="1" t="s">
        <v>53</v>
      </c>
      <c r="H17" s="7"/>
      <c r="I17" s="1"/>
      <c r="J17" s="7">
        <v>7</v>
      </c>
      <c r="K17" s="8">
        <v>7</v>
      </c>
      <c r="L17" s="9">
        <v>7</v>
      </c>
      <c r="M17" s="1"/>
      <c r="N17" s="7"/>
      <c r="O17" s="1"/>
      <c r="P17" s="1"/>
      <c r="Q17" s="1"/>
      <c r="R17" s="1"/>
      <c r="S17" s="1"/>
      <c r="T17" s="1"/>
      <c r="U17" s="1"/>
    </row>
    <row r="18" spans="1:28" ht="15.75" customHeight="1">
      <c r="A18" s="1" t="s">
        <v>54</v>
      </c>
      <c r="B18" s="1" t="s">
        <v>55</v>
      </c>
      <c r="C18" s="1" t="s">
        <v>56</v>
      </c>
      <c r="D18" s="9">
        <v>8249.8950000000004</v>
      </c>
      <c r="E18" s="8">
        <v>8280</v>
      </c>
      <c r="F18" s="9">
        <f>0.0958333*86400</f>
        <v>8279.99712</v>
      </c>
      <c r="G18" s="1">
        <v>0</v>
      </c>
      <c r="H18" s="7"/>
      <c r="I18" s="9"/>
      <c r="J18" s="9">
        <v>8249.8950000000004</v>
      </c>
      <c r="K18" s="8">
        <v>8280</v>
      </c>
      <c r="L18" s="9">
        <f>0.0958333*86400</f>
        <v>8279.99712</v>
      </c>
      <c r="M18" s="1"/>
      <c r="N18" s="7"/>
      <c r="O18" s="1"/>
      <c r="P18" s="1"/>
      <c r="Q18" s="1"/>
      <c r="R18" s="1"/>
      <c r="S18" s="1"/>
      <c r="T18" s="1"/>
      <c r="U18" s="1"/>
    </row>
    <row r="19" spans="1:28" ht="15.75" customHeight="1">
      <c r="A19" s="1" t="s">
        <v>57</v>
      </c>
      <c r="B19" s="1" t="s">
        <v>58</v>
      </c>
      <c r="C19" s="1"/>
      <c r="D19" s="7">
        <v>1.1000000000000001</v>
      </c>
      <c r="E19" s="8">
        <v>1.1000000000000001</v>
      </c>
      <c r="F19" s="9">
        <v>1</v>
      </c>
      <c r="G19" s="1">
        <v>1</v>
      </c>
      <c r="H19" s="7"/>
      <c r="I19" s="1"/>
      <c r="J19" s="9">
        <v>1.1000000000000001</v>
      </c>
      <c r="K19" s="8">
        <v>1.1000000000000001</v>
      </c>
      <c r="L19" s="9">
        <v>1</v>
      </c>
      <c r="M19" s="1"/>
      <c r="N19" s="7"/>
      <c r="O19" s="1"/>
      <c r="P19" s="1"/>
      <c r="Q19" s="1"/>
      <c r="R19" s="1"/>
      <c r="S19" s="1"/>
      <c r="T19" s="1"/>
      <c r="U19" s="1"/>
    </row>
    <row r="20" spans="1:28" ht="15.75" customHeight="1">
      <c r="A20" s="1" t="s">
        <v>59</v>
      </c>
      <c r="B20" s="1" t="s">
        <v>60</v>
      </c>
      <c r="C20" s="1" t="s">
        <v>61</v>
      </c>
      <c r="D20" s="9">
        <v>3.0000000000000001E-5</v>
      </c>
      <c r="E20" s="8">
        <v>3.0000000000000001E-5</v>
      </c>
      <c r="F20" s="9">
        <v>3.0000000000000001E-5</v>
      </c>
      <c r="G20" s="1">
        <v>0</v>
      </c>
      <c r="H20" s="7"/>
      <c r="I20" s="1"/>
      <c r="J20" s="9">
        <v>3.0000000000000001E-5</v>
      </c>
      <c r="K20" s="8">
        <v>3.0000000000000001E-5</v>
      </c>
      <c r="L20" s="9">
        <v>3.0000000000000001E-5</v>
      </c>
      <c r="M20" s="1"/>
      <c r="N20" s="7"/>
      <c r="O20" s="1"/>
      <c r="P20" s="1"/>
      <c r="Q20" s="1"/>
      <c r="R20" s="1"/>
      <c r="S20" s="1"/>
      <c r="T20" s="1"/>
      <c r="U20" s="1"/>
    </row>
    <row r="21" spans="1:28" ht="15.75" customHeight="1">
      <c r="A21" s="1" t="s">
        <v>62</v>
      </c>
      <c r="B21" s="1" t="s">
        <v>63</v>
      </c>
      <c r="C21" s="1" t="s">
        <v>64</v>
      </c>
      <c r="D21" s="9">
        <v>0</v>
      </c>
      <c r="E21" s="8">
        <v>0</v>
      </c>
      <c r="F21" s="9">
        <v>0</v>
      </c>
      <c r="G21" s="1">
        <v>0</v>
      </c>
      <c r="H21" s="7"/>
      <c r="I21" s="1"/>
      <c r="J21" s="9">
        <v>0</v>
      </c>
      <c r="K21" s="8">
        <v>0</v>
      </c>
      <c r="L21" s="9">
        <v>0</v>
      </c>
      <c r="M21" s="1"/>
      <c r="N21" s="7"/>
      <c r="O21" s="1"/>
      <c r="P21" s="1"/>
      <c r="Q21" s="1"/>
      <c r="R21" s="1"/>
      <c r="S21" s="1"/>
      <c r="T21" s="1"/>
      <c r="U21" s="1"/>
    </row>
    <row r="22" spans="1:28" ht="15.75" customHeight="1">
      <c r="A22" s="1" t="s">
        <v>65</v>
      </c>
      <c r="B22" s="1" t="s">
        <v>66</v>
      </c>
      <c r="C22" s="1" t="s">
        <v>67</v>
      </c>
      <c r="D22" s="9">
        <v>1.2999999999999999E-3</v>
      </c>
      <c r="E22" s="8">
        <v>1.2999999999999999E-3</v>
      </c>
      <c r="F22" s="9">
        <v>1.2999999999999999E-3</v>
      </c>
      <c r="G22" s="1">
        <v>0</v>
      </c>
      <c r="H22" s="7"/>
      <c r="I22" s="1"/>
      <c r="J22" s="9">
        <v>1.2999999999999999E-3</v>
      </c>
      <c r="K22" s="8">
        <v>1.2999999999999999E-3</v>
      </c>
      <c r="L22" s="9">
        <v>1.2999999999999999E-3</v>
      </c>
      <c r="M22" s="1"/>
      <c r="N22" s="7"/>
      <c r="O22" s="1"/>
      <c r="P22" s="1"/>
      <c r="Q22" s="1"/>
      <c r="R22" s="1"/>
      <c r="S22" s="1"/>
      <c r="T22" s="1"/>
      <c r="U22" s="1"/>
    </row>
    <row r="23" spans="1:28" ht="15.75" customHeight="1">
      <c r="A23" s="1" t="s">
        <v>68</v>
      </c>
      <c r="B23" s="1" t="s">
        <v>69</v>
      </c>
      <c r="C23" s="1" t="s">
        <v>56</v>
      </c>
      <c r="D23" s="9">
        <v>1000</v>
      </c>
      <c r="E23" s="8" t="s">
        <v>70</v>
      </c>
      <c r="F23" s="9"/>
      <c r="G23" s="1">
        <v>0</v>
      </c>
      <c r="H23" s="7"/>
      <c r="I23" s="1"/>
      <c r="J23" s="9">
        <v>1000</v>
      </c>
      <c r="K23" s="8" t="s">
        <v>70</v>
      </c>
      <c r="L23" s="9"/>
      <c r="M23" s="1"/>
      <c r="N23" s="7"/>
      <c r="O23" s="1"/>
      <c r="P23" s="1"/>
      <c r="Q23" s="1"/>
      <c r="R23" s="1"/>
      <c r="S23" s="1"/>
      <c r="T23" s="1"/>
      <c r="U23" s="1"/>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1</v>
      </c>
      <c r="E25" s="8">
        <v>1</v>
      </c>
      <c r="F25" s="9">
        <v>1</v>
      </c>
      <c r="G25" s="1">
        <v>0</v>
      </c>
      <c r="H25" s="7"/>
      <c r="I25" s="1"/>
      <c r="J25" s="9">
        <v>0.75</v>
      </c>
      <c r="K25" s="8">
        <v>0.75</v>
      </c>
      <c r="L25" s="9">
        <v>1</v>
      </c>
      <c r="M25" s="1"/>
      <c r="N25" s="7"/>
      <c r="O25" s="1"/>
      <c r="P25" s="1"/>
      <c r="Q25" s="1"/>
      <c r="R25" s="1"/>
      <c r="S25" s="1"/>
      <c r="T25" s="1"/>
      <c r="U25" s="1"/>
    </row>
    <row r="26" spans="1:28" ht="15.75" customHeight="1">
      <c r="A26" s="1" t="s">
        <v>76</v>
      </c>
      <c r="B26" s="1" t="s">
        <v>77</v>
      </c>
      <c r="C26" s="18"/>
      <c r="D26" s="9">
        <f>0.9*0.75</f>
        <v>0.67500000000000004</v>
      </c>
      <c r="E26" s="8">
        <v>0.67500000000000004</v>
      </c>
      <c r="F26" s="9">
        <v>0.67500000000000004</v>
      </c>
      <c r="G26" s="1">
        <v>0</v>
      </c>
      <c r="H26" s="7"/>
      <c r="I26" s="1"/>
      <c r="J26" s="9">
        <v>0.9</v>
      </c>
      <c r="K26" s="8">
        <v>0.9</v>
      </c>
      <c r="L26" s="9">
        <v>0.67500000000000004</v>
      </c>
      <c r="M26" s="1"/>
      <c r="N26" s="7"/>
      <c r="O26" s="1"/>
      <c r="P26" s="1"/>
      <c r="Q26" s="1"/>
      <c r="R26" s="1"/>
      <c r="S26" s="1"/>
      <c r="T26" s="1"/>
      <c r="U26" s="1"/>
    </row>
    <row r="27" spans="1:28" ht="15.75" customHeight="1">
      <c r="A27" s="1" t="s">
        <v>78</v>
      </c>
      <c r="B27" s="1" t="s">
        <v>79</v>
      </c>
      <c r="C27" s="1"/>
      <c r="D27" s="9">
        <v>0.53200000000000003</v>
      </c>
      <c r="E27" s="8">
        <v>0.53200000000000003</v>
      </c>
      <c r="F27" s="9">
        <f>0.95*0.56</f>
        <v>0.53200000000000003</v>
      </c>
      <c r="G27" s="1">
        <v>0.5</v>
      </c>
      <c r="H27" s="7"/>
      <c r="I27" s="1"/>
      <c r="J27" s="9">
        <v>0.53200000000000003</v>
      </c>
      <c r="K27" s="8">
        <v>0.53200000000000003</v>
      </c>
      <c r="L27" s="9">
        <f>0.95*0.56</f>
        <v>0.53200000000000003</v>
      </c>
      <c r="M27" s="1"/>
      <c r="N27" s="7"/>
      <c r="O27" s="1"/>
      <c r="P27" s="1"/>
      <c r="Q27" s="1"/>
      <c r="R27" s="1"/>
      <c r="S27" s="1"/>
      <c r="T27" s="1"/>
      <c r="U27" s="1"/>
    </row>
    <row r="28" spans="1:28" ht="15.75" customHeight="1">
      <c r="A28" s="1" t="s">
        <v>80</v>
      </c>
      <c r="B28" s="1" t="s">
        <v>81</v>
      </c>
      <c r="C28" s="1" t="s">
        <v>82</v>
      </c>
      <c r="D28" s="7">
        <v>135</v>
      </c>
      <c r="E28" s="8"/>
      <c r="F28" s="9">
        <v>173.41193373999999</v>
      </c>
      <c r="G28" s="1"/>
      <c r="H28" s="7"/>
      <c r="I28" s="1"/>
      <c r="J28" s="7"/>
      <c r="K28" s="8"/>
      <c r="L28" s="9">
        <v>173.41193373999999</v>
      </c>
      <c r="M28" s="1"/>
      <c r="N28" s="7"/>
      <c r="O28" s="1"/>
      <c r="P28" s="1"/>
      <c r="Q28" s="1"/>
      <c r="R28" s="1"/>
      <c r="S28" s="1"/>
      <c r="T28" s="1"/>
      <c r="U28" s="1"/>
    </row>
    <row r="29" spans="1:28" ht="15.75" customHeight="1">
      <c r="A29" s="1" t="s">
        <v>83</v>
      </c>
      <c r="B29" s="1" t="s">
        <v>84</v>
      </c>
      <c r="C29" s="1" t="s">
        <v>82</v>
      </c>
      <c r="D29" s="7">
        <v>56.3</v>
      </c>
      <c r="E29" s="8">
        <v>56.276000000000003</v>
      </c>
      <c r="F29" s="9">
        <v>56.3</v>
      </c>
      <c r="G29" s="1"/>
      <c r="H29" s="7"/>
      <c r="I29" s="1"/>
      <c r="J29" s="7"/>
      <c r="K29" s="8"/>
      <c r="L29" s="9">
        <v>56.3</v>
      </c>
      <c r="M29" s="1"/>
      <c r="N29" s="7"/>
      <c r="O29" s="1"/>
      <c r="P29" s="1"/>
      <c r="Q29" s="1"/>
      <c r="R29" s="1"/>
      <c r="S29" s="1"/>
      <c r="T29" s="1"/>
      <c r="U29" s="1"/>
    </row>
    <row r="30" spans="1:28" ht="15.75" customHeight="1">
      <c r="A30" s="19"/>
      <c r="B30" s="19"/>
      <c r="C30" s="1"/>
      <c r="D30" s="7"/>
      <c r="E30" s="8"/>
      <c r="F30" s="9"/>
      <c r="G30" s="1"/>
      <c r="H30" s="7"/>
      <c r="I30" s="1"/>
      <c r="J30" s="7"/>
      <c r="K30" s="8"/>
      <c r="L30" s="9"/>
      <c r="M30" s="1"/>
      <c r="N30" s="7"/>
      <c r="O30" s="1"/>
      <c r="P30" s="1"/>
      <c r="Q30" s="1"/>
      <c r="R30" s="1"/>
      <c r="S30" s="1"/>
      <c r="T30" s="1"/>
      <c r="U30" s="1"/>
    </row>
    <row r="31" spans="1:28" ht="15.75" customHeight="1">
      <c r="A31" s="15" t="s">
        <v>85</v>
      </c>
      <c r="B31" s="15" t="s">
        <v>86</v>
      </c>
      <c r="C31" s="16"/>
      <c r="D31" s="16"/>
      <c r="E31" s="17"/>
      <c r="F31" s="17"/>
      <c r="G31" s="16"/>
      <c r="H31" s="16"/>
      <c r="I31" s="1"/>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20">
        <v>71.547889999999995</v>
      </c>
      <c r="E32" s="20">
        <v>65.618655169999997</v>
      </c>
      <c r="F32" s="20">
        <f>66225817.1060771/100/100/100</f>
        <v>66.225817106077102</v>
      </c>
      <c r="G32" s="1" t="s">
        <v>89</v>
      </c>
      <c r="H32" s="7"/>
      <c r="I32" s="1"/>
      <c r="J32" s="9">
        <v>48.43038</v>
      </c>
      <c r="K32" s="21">
        <v>44.21734738</v>
      </c>
      <c r="L32" s="9">
        <v>42.295512070000001</v>
      </c>
      <c r="M32" s="1"/>
      <c r="N32" s="7"/>
      <c r="O32" s="1"/>
      <c r="P32" s="1"/>
      <c r="Q32" s="1"/>
      <c r="R32" s="1"/>
      <c r="S32" s="1"/>
      <c r="T32" s="1"/>
      <c r="U32" s="1"/>
    </row>
    <row r="33" spans="1:28" ht="15.75" customHeight="1">
      <c r="A33" s="1" t="s">
        <v>90</v>
      </c>
      <c r="B33" s="1" t="s">
        <v>91</v>
      </c>
      <c r="C33" s="1" t="s">
        <v>23</v>
      </c>
      <c r="D33" s="9">
        <v>4.5421770000000004E-9</v>
      </c>
      <c r="E33" s="8">
        <v>4.1599999999999997E-9</v>
      </c>
      <c r="F33" s="9">
        <f>F32*10^(-0.4*25.52107415)</f>
        <v>4.098242619231889E-9</v>
      </c>
      <c r="G33" s="1" t="s">
        <v>92</v>
      </c>
      <c r="H33" s="7"/>
      <c r="I33" s="8"/>
      <c r="J33" s="9">
        <v>3.074575E-9</v>
      </c>
      <c r="K33" s="8">
        <v>2.8033798199999999E-9</v>
      </c>
      <c r="L33" s="9">
        <v>2.6173670299999998E-9</v>
      </c>
      <c r="M33" s="1"/>
      <c r="N33" s="7"/>
      <c r="O33" s="1"/>
      <c r="P33" s="1"/>
      <c r="Q33" s="1"/>
      <c r="R33" s="1"/>
      <c r="S33" s="1"/>
      <c r="T33" s="1"/>
      <c r="U33" s="1"/>
    </row>
    <row r="34" spans="1:28" ht="15.75" customHeight="1">
      <c r="A34" s="1" t="s">
        <v>93</v>
      </c>
      <c r="B34" s="1" t="s">
        <v>94</v>
      </c>
      <c r="C34" s="1" t="s">
        <v>95</v>
      </c>
      <c r="D34" s="9">
        <v>4.7446240000000001E-6</v>
      </c>
      <c r="E34" s="8">
        <v>7.4599999999999997E-6</v>
      </c>
      <c r="F34" s="9">
        <v>5.2079967100000001E-6</v>
      </c>
      <c r="G34" s="1">
        <v>0</v>
      </c>
      <c r="H34" s="9"/>
      <c r="I34" s="1"/>
      <c r="J34" s="9">
        <v>4.379648E-6</v>
      </c>
      <c r="K34" s="21">
        <v>2.0023305946669602E-6</v>
      </c>
      <c r="L34" s="9">
        <v>4.8073815799999996E-6</v>
      </c>
      <c r="M34" s="8"/>
      <c r="N34" s="7"/>
      <c r="O34" s="1"/>
      <c r="P34" s="1"/>
      <c r="Q34" s="1"/>
      <c r="R34" s="1"/>
      <c r="S34" s="1"/>
      <c r="T34" s="1"/>
      <c r="U34" s="1"/>
    </row>
    <row r="35" spans="1:28" ht="15.75" customHeight="1">
      <c r="A35" s="1" t="s">
        <v>96</v>
      </c>
      <c r="B35" s="1" t="s">
        <v>97</v>
      </c>
      <c r="C35" s="1" t="s">
        <v>95</v>
      </c>
      <c r="D35" s="9">
        <v>5.2825589999999997E-5</v>
      </c>
      <c r="E35" s="8">
        <v>5.62431605572512E-5</v>
      </c>
      <c r="F35" s="9">
        <v>5.5268441200000003E-5</v>
      </c>
      <c r="G35" s="22">
        <f>D8*10^(-0.4*22)*(1/D10)*10^(-0.4*((D9-5*LOG10(D11)+5)-4.83))*D16</f>
        <v>5.2374240642754262E-5</v>
      </c>
      <c r="H35" s="7">
        <f>D9-5*LOG10(D11)+5</f>
        <v>4.3866430600746265</v>
      </c>
      <c r="I35" s="1"/>
      <c r="J35" s="9">
        <v>3.5757360000000001E-5</v>
      </c>
      <c r="K35" s="23">
        <v>1.50888811564214E-5</v>
      </c>
      <c r="L35" s="23">
        <v>1.2448389500000001E-5</v>
      </c>
      <c r="M35" s="22">
        <f>G35*J32/D32</f>
        <v>3.5451840390262151E-5</v>
      </c>
      <c r="N35" s="7"/>
      <c r="O35" s="1"/>
      <c r="P35" s="1"/>
      <c r="Q35" s="1"/>
      <c r="R35" s="1"/>
      <c r="S35" s="1"/>
      <c r="T35" s="1"/>
      <c r="U35" s="1"/>
    </row>
    <row r="36" spans="1:28" ht="15.75" customHeight="1">
      <c r="B36" s="1"/>
      <c r="C36" s="1"/>
      <c r="D36" s="7"/>
      <c r="E36" s="8"/>
      <c r="F36" s="24"/>
      <c r="G36" s="1"/>
      <c r="H36" s="7"/>
      <c r="I36" s="1"/>
      <c r="J36" s="7"/>
      <c r="K36" s="25"/>
      <c r="L36" s="7"/>
      <c r="M36" s="1"/>
      <c r="N36" s="7"/>
      <c r="O36" s="1"/>
      <c r="P36" s="1"/>
      <c r="Q36" s="1"/>
      <c r="R36" s="1"/>
      <c r="S36" s="1"/>
      <c r="T36" s="1"/>
      <c r="U36" s="1"/>
    </row>
    <row r="37" spans="1:28" ht="15.75" customHeight="1">
      <c r="A37" s="15" t="s">
        <v>98</v>
      </c>
      <c r="B37" s="15" t="s">
        <v>99</v>
      </c>
      <c r="C37" s="16"/>
      <c r="D37" s="16"/>
      <c r="E37" s="17"/>
      <c r="F37" s="17"/>
      <c r="G37" s="16"/>
      <c r="H37" s="16"/>
      <c r="I37" s="1"/>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5.6626050000000001</v>
      </c>
      <c r="E38" s="8">
        <v>5.6644670599999998</v>
      </c>
      <c r="F38" s="9">
        <f>0.07652375/(0.0000005/7.87*180/PI()*3600)</f>
        <v>5.8395023703514406</v>
      </c>
      <c r="G38" s="1"/>
      <c r="H38" s="7"/>
      <c r="I38" s="1"/>
      <c r="J38" s="9">
        <v>2.831302</v>
      </c>
      <c r="K38" s="8">
        <v>2.8322335299999999</v>
      </c>
      <c r="L38" s="9">
        <v>2.9197512300000001</v>
      </c>
      <c r="M38" s="1"/>
      <c r="N38" s="7"/>
      <c r="O38" s="1"/>
      <c r="P38" s="1"/>
      <c r="Q38" s="1"/>
      <c r="R38" s="1"/>
      <c r="S38" s="1"/>
      <c r="T38" s="1"/>
      <c r="U38" s="1"/>
    </row>
    <row r="39" spans="1:28" s="43" customFormat="1" ht="15.75" customHeight="1">
      <c r="A39" s="38" t="s">
        <v>167</v>
      </c>
      <c r="B39" s="38" t="s">
        <v>168</v>
      </c>
      <c r="C39" s="39"/>
      <c r="D39" s="40">
        <v>0.373</v>
      </c>
      <c r="E39" s="41"/>
      <c r="F39" s="40"/>
      <c r="G39" s="38"/>
      <c r="H39" s="42"/>
      <c r="I39" s="38"/>
      <c r="J39" s="40">
        <v>0.373</v>
      </c>
      <c r="K39" s="41"/>
      <c r="L39" s="40"/>
      <c r="M39" s="38"/>
      <c r="N39" s="42"/>
      <c r="O39" s="38"/>
      <c r="P39" s="38"/>
      <c r="Q39" s="38"/>
      <c r="R39" s="38"/>
      <c r="S39" s="38"/>
      <c r="T39" s="38"/>
      <c r="U39" s="38"/>
    </row>
    <row r="40" spans="1:28" ht="15.75" customHeight="1">
      <c r="A40" t="s">
        <v>103</v>
      </c>
      <c r="B40" s="1" t="s">
        <v>104</v>
      </c>
      <c r="C40" s="18" t="s">
        <v>105</v>
      </c>
      <c r="D40" s="9">
        <v>2.263674</v>
      </c>
      <c r="E40" s="8">
        <v>2.2564700000000002</v>
      </c>
      <c r="F40" s="9">
        <v>2.3027303300000002</v>
      </c>
      <c r="G40" s="1"/>
      <c r="H40" s="7"/>
      <c r="I40" s="1"/>
      <c r="J40" s="9">
        <v>2.2682190000000002</v>
      </c>
      <c r="K40" s="8">
        <v>2.2564700000000002</v>
      </c>
      <c r="L40" s="9">
        <v>2.3027279300000001</v>
      </c>
      <c r="M40" s="1"/>
      <c r="N40" s="7"/>
      <c r="O40" s="1"/>
      <c r="P40" s="1"/>
      <c r="Q40" s="1"/>
      <c r="R40" s="1"/>
      <c r="S40" s="1"/>
      <c r="T40" s="1"/>
      <c r="U40" s="1"/>
    </row>
    <row r="41" spans="1:28" ht="15.75" customHeight="1">
      <c r="A41" s="1" t="s">
        <v>106</v>
      </c>
      <c r="B41" s="1" t="s">
        <v>107</v>
      </c>
      <c r="C41" s="18"/>
      <c r="D41" s="9">
        <v>0.33150200000000002</v>
      </c>
      <c r="E41" s="8">
        <v>0.33674641999999999</v>
      </c>
      <c r="F41" s="9">
        <v>0.34351867000000003</v>
      </c>
      <c r="G41" s="1"/>
      <c r="H41" s="7"/>
      <c r="I41" s="1"/>
      <c r="J41" s="9">
        <v>0.17927290000000001</v>
      </c>
      <c r="K41" s="8">
        <v>0.17564381000000001</v>
      </c>
      <c r="L41" s="9">
        <v>0.18393941999999999</v>
      </c>
      <c r="M41" s="1"/>
      <c r="N41" s="7"/>
      <c r="O41" s="1"/>
      <c r="P41" s="1"/>
      <c r="Q41" s="1"/>
      <c r="R41" s="1"/>
      <c r="S41" s="1"/>
      <c r="T41" s="1"/>
      <c r="U41" s="1"/>
    </row>
    <row r="42" spans="1:28" ht="15.75" customHeight="1">
      <c r="A42" s="1" t="s">
        <v>108</v>
      </c>
      <c r="B42" s="1" t="s">
        <v>109</v>
      </c>
      <c r="C42" s="18" t="s">
        <v>110</v>
      </c>
      <c r="D42" s="9">
        <v>3.7748400000000001E-14</v>
      </c>
      <c r="E42" s="8">
        <v>4.03244454E-14</v>
      </c>
      <c r="F42" s="9">
        <v>3.9597291700000001E-14</v>
      </c>
      <c r="G42" s="1"/>
      <c r="H42" s="7"/>
      <c r="I42" s="1"/>
      <c r="J42" s="9">
        <v>1.3340230000000001E-13</v>
      </c>
      <c r="K42" s="21">
        <v>1.36687378E-13</v>
      </c>
      <c r="L42" s="9">
        <v>1.28542933E-13</v>
      </c>
      <c r="M42" s="1"/>
      <c r="N42" s="7"/>
      <c r="O42" s="1"/>
      <c r="P42" s="1"/>
      <c r="Q42" s="1"/>
      <c r="R42" s="1"/>
      <c r="S42" s="1"/>
      <c r="T42" s="1"/>
      <c r="U42" s="1"/>
    </row>
    <row r="43" spans="1:28" ht="15.75" customHeight="1">
      <c r="A43" s="1" t="s">
        <v>111</v>
      </c>
      <c r="B43" s="1" t="s">
        <v>112</v>
      </c>
      <c r="C43" s="18" t="s">
        <v>110</v>
      </c>
      <c r="D43" s="9">
        <v>9.5421530000000008</v>
      </c>
      <c r="E43" s="21">
        <v>9.8150402400000001</v>
      </c>
      <c r="F43" s="9">
        <v>9.93103552</v>
      </c>
      <c r="G43" s="1"/>
      <c r="H43" s="7"/>
      <c r="I43" s="1"/>
      <c r="J43" s="9">
        <v>6.9276799999999996</v>
      </c>
      <c r="K43" s="8">
        <v>6.5811761799999999</v>
      </c>
      <c r="L43" s="9">
        <v>6.7562779199999996</v>
      </c>
      <c r="M43" s="1"/>
      <c r="N43" s="7"/>
      <c r="O43" s="1"/>
      <c r="P43" s="1"/>
      <c r="Q43" s="1"/>
      <c r="R43" s="1"/>
      <c r="S43" s="1"/>
      <c r="T43" s="1"/>
      <c r="U43" s="1"/>
    </row>
    <row r="44" spans="1:28" ht="15.75" customHeight="1">
      <c r="A44" s="1" t="s">
        <v>113</v>
      </c>
      <c r="B44" s="1" t="s">
        <v>114</v>
      </c>
      <c r="C44" s="1"/>
      <c r="D44" s="9">
        <v>9.0546970000000009</v>
      </c>
      <c r="E44" s="8">
        <v>9.0462096699999996</v>
      </c>
      <c r="F44" s="9">
        <v>9.0463771800000004</v>
      </c>
      <c r="G44" s="1"/>
      <c r="H44" s="7"/>
      <c r="I44" s="1"/>
      <c r="J44" s="9">
        <v>36.291510000000002</v>
      </c>
      <c r="K44" s="8">
        <v>36.184838679999999</v>
      </c>
      <c r="L44" s="9">
        <v>36.185470950000003</v>
      </c>
      <c r="M44" s="1"/>
      <c r="N44" s="7"/>
      <c r="O44" s="1"/>
      <c r="P44" s="1"/>
      <c r="Q44" s="1"/>
      <c r="R44" s="1"/>
      <c r="S44" s="1"/>
      <c r="T44" s="1"/>
      <c r="U44" s="1"/>
    </row>
    <row r="45" spans="1:28" ht="15.75" customHeight="1">
      <c r="A45" s="1" t="s">
        <v>115</v>
      </c>
      <c r="B45" s="1" t="s">
        <v>116</v>
      </c>
      <c r="C45" s="1"/>
      <c r="D45" s="9">
        <v>3.7930299999999999</v>
      </c>
      <c r="E45" s="8">
        <v>3.7899340000000001</v>
      </c>
      <c r="F45" s="9">
        <v>3.7899340000000001</v>
      </c>
      <c r="G45" s="1"/>
      <c r="H45" s="7"/>
      <c r="I45" s="1"/>
      <c r="J45" s="9">
        <v>8.1879369999999998</v>
      </c>
      <c r="K45" s="8">
        <v>8.1808239999999994</v>
      </c>
      <c r="L45" s="9">
        <v>8.1808239999999994</v>
      </c>
      <c r="M45" s="1"/>
      <c r="N45" s="7"/>
      <c r="O45" s="1"/>
      <c r="P45" s="1"/>
      <c r="Q45" s="1"/>
      <c r="R45" s="1"/>
      <c r="S45" s="1"/>
      <c r="T45" s="1"/>
      <c r="U45" s="1"/>
    </row>
    <row r="46" spans="1:28" ht="15.75" customHeight="1">
      <c r="A46" s="1" t="s">
        <v>117</v>
      </c>
      <c r="B46" s="1" t="s">
        <v>118</v>
      </c>
      <c r="C46" s="1" t="s">
        <v>119</v>
      </c>
      <c r="D46" s="7"/>
      <c r="E46" s="8"/>
      <c r="F46" s="9"/>
      <c r="G46" s="1"/>
      <c r="H46" s="7"/>
      <c r="I46" s="1"/>
      <c r="J46" s="7"/>
      <c r="K46" s="8"/>
      <c r="L46" s="9"/>
      <c r="M46" s="1"/>
      <c r="N46" s="7"/>
      <c r="O46" s="1"/>
      <c r="P46" s="1"/>
      <c r="Q46" s="1"/>
      <c r="R46" s="1"/>
      <c r="S46" s="1"/>
      <c r="T46" s="1"/>
      <c r="U46" s="1"/>
    </row>
    <row r="47" spans="1:28" ht="15.75" customHeight="1">
      <c r="A47" s="1" t="s">
        <v>120</v>
      </c>
      <c r="B47" s="1" t="s">
        <v>121</v>
      </c>
      <c r="C47" s="1"/>
      <c r="D47" s="9">
        <v>0</v>
      </c>
      <c r="E47" s="8"/>
      <c r="F47" s="9"/>
      <c r="G47" s="1"/>
      <c r="H47" s="7"/>
      <c r="I47" s="1"/>
      <c r="J47" s="7"/>
      <c r="K47" s="8"/>
      <c r="L47" s="9"/>
      <c r="M47" s="1"/>
      <c r="N47" s="7"/>
      <c r="O47" s="1"/>
      <c r="P47" s="1"/>
      <c r="Q47" s="1"/>
      <c r="R47" s="1"/>
      <c r="S47" s="1"/>
      <c r="T47" s="1"/>
      <c r="U47" s="1"/>
    </row>
    <row r="48" spans="1:28" ht="15.75" customHeight="1">
      <c r="A48" s="1" t="s">
        <v>122</v>
      </c>
      <c r="B48" s="1" t="s">
        <v>123</v>
      </c>
      <c r="C48" s="18" t="s">
        <v>102</v>
      </c>
      <c r="D48" s="7">
        <v>6043.7255999999998</v>
      </c>
      <c r="E48" s="8"/>
      <c r="F48" s="9"/>
      <c r="G48" s="1"/>
      <c r="H48" s="7"/>
      <c r="I48" s="1"/>
      <c r="J48" s="7"/>
      <c r="K48" s="8"/>
      <c r="L48" s="9"/>
      <c r="M48" s="1"/>
      <c r="N48" s="7"/>
      <c r="O48" s="1"/>
      <c r="P48" s="1"/>
      <c r="Q48" s="1"/>
      <c r="R48" s="1"/>
      <c r="S48" s="1"/>
      <c r="T48" s="1"/>
      <c r="U48" s="1"/>
    </row>
    <row r="49" spans="1:28" ht="15.75" customHeight="1">
      <c r="B49" s="1"/>
      <c r="C49" s="1"/>
      <c r="D49" s="7"/>
      <c r="E49" s="8"/>
      <c r="F49" s="9"/>
      <c r="G49" s="1"/>
      <c r="H49" s="7"/>
      <c r="I49" s="1"/>
      <c r="J49" s="7"/>
      <c r="K49" s="8"/>
      <c r="L49" s="9"/>
      <c r="M49" s="1"/>
      <c r="N49" s="7"/>
      <c r="O49" s="1"/>
      <c r="P49" s="1"/>
      <c r="Q49" s="1"/>
      <c r="R49" s="1"/>
      <c r="S49" s="1"/>
      <c r="T49" s="1"/>
      <c r="U49" s="1"/>
    </row>
    <row r="50" spans="1:28" ht="15.75" customHeight="1">
      <c r="A50" s="15" t="s">
        <v>124</v>
      </c>
      <c r="B50" s="15" t="s">
        <v>125</v>
      </c>
      <c r="C50" s="16"/>
      <c r="D50" s="16"/>
      <c r="E50" s="16"/>
      <c r="F50" s="17"/>
      <c r="G50" s="16"/>
      <c r="H50" s="16"/>
      <c r="I50" s="1"/>
      <c r="J50" s="16"/>
      <c r="K50" s="17"/>
      <c r="L50" s="17"/>
      <c r="M50" s="16"/>
      <c r="N50" s="16"/>
      <c r="O50" s="16"/>
      <c r="P50" s="16"/>
      <c r="Q50" s="16"/>
      <c r="R50" s="16"/>
      <c r="S50" s="16"/>
      <c r="T50" s="16"/>
      <c r="U50" s="16"/>
      <c r="V50" s="16"/>
      <c r="W50" s="16"/>
      <c r="X50" s="16"/>
      <c r="Y50" s="16"/>
      <c r="Z50" s="16"/>
      <c r="AA50" s="16"/>
      <c r="AB50" s="16"/>
    </row>
    <row r="51" spans="1:28" ht="15.75" customHeight="1">
      <c r="A51" s="26" t="s">
        <v>126</v>
      </c>
      <c r="B51" s="27"/>
      <c r="C51" s="27"/>
      <c r="D51" s="28">
        <f t="shared" ref="D51:H51" si="0">D33*D13*D41*D27*D26*D25*D15</f>
        <v>2.3116401013360179E-2</v>
      </c>
      <c r="E51" s="28">
        <f t="shared" si="0"/>
        <v>2.1506331946731672E-2</v>
      </c>
      <c r="F51" s="28">
        <f t="shared" si="0"/>
        <v>2.1613148519165005E-2</v>
      </c>
      <c r="G51" s="27" t="e">
        <f t="shared" si="0"/>
        <v>#VALUE!</v>
      </c>
      <c r="H51" s="27">
        <f t="shared" si="0"/>
        <v>0</v>
      </c>
      <c r="I51" s="1"/>
      <c r="J51" s="28">
        <f t="shared" ref="J51:N51" si="1">J33*J13*J41*J27*J26*J25*J15</f>
        <v>1.6923872473448249E-2</v>
      </c>
      <c r="K51" s="28">
        <f t="shared" si="1"/>
        <v>1.5118712702208331E-2</v>
      </c>
      <c r="L51" s="28">
        <f t="shared" si="1"/>
        <v>1.4782213231535649E-2</v>
      </c>
      <c r="M51" s="27">
        <f t="shared" si="1"/>
        <v>0</v>
      </c>
      <c r="N51" s="27">
        <f t="shared" si="1"/>
        <v>0</v>
      </c>
      <c r="O51" s="1"/>
      <c r="P51" s="1"/>
      <c r="Q51" s="1"/>
      <c r="R51" s="1"/>
      <c r="S51" s="1"/>
      <c r="T51" s="1"/>
      <c r="U51" s="1"/>
    </row>
    <row r="52" spans="1:28" ht="15.75" customHeight="1">
      <c r="A52" s="1" t="s">
        <v>127</v>
      </c>
      <c r="B52" s="1" t="s">
        <v>128</v>
      </c>
      <c r="C52" s="1" t="s">
        <v>129</v>
      </c>
      <c r="D52" s="9">
        <v>2.3116399999999999E-2</v>
      </c>
      <c r="E52" s="8">
        <v>2.1507479999999999E-2</v>
      </c>
      <c r="F52" s="9">
        <v>2.1613150000000001E-2</v>
      </c>
      <c r="G52" s="1"/>
      <c r="H52" s="7"/>
      <c r="I52" s="1"/>
      <c r="J52" s="9">
        <v>1.6923870000000001E-2</v>
      </c>
      <c r="K52" s="8">
        <v>1.511871E-2</v>
      </c>
      <c r="L52" s="9">
        <v>1.478221E-2</v>
      </c>
      <c r="M52" s="1"/>
      <c r="N52" s="7"/>
      <c r="O52" s="1"/>
      <c r="P52" s="1"/>
      <c r="Q52" s="1"/>
      <c r="R52" s="1"/>
      <c r="S52" s="1"/>
      <c r="T52" s="1"/>
      <c r="U52" s="1"/>
    </row>
    <row r="53" spans="1:28" ht="15.75" customHeight="1">
      <c r="A53" s="26" t="s">
        <v>130</v>
      </c>
      <c r="B53" s="27"/>
      <c r="C53" s="27"/>
      <c r="D53" s="28">
        <f t="shared" ref="D53:H53" si="2">D32*D42*D40*D13*D27*D26*D25*D15</f>
        <v>9.3859724418885024E-5</v>
      </c>
      <c r="E53" s="28">
        <f t="shared" si="2"/>
        <v>9.1663264292079141E-5</v>
      </c>
      <c r="F53" s="28">
        <f t="shared" si="2"/>
        <v>9.2705588741906532E-5</v>
      </c>
      <c r="G53" s="28" t="e">
        <f t="shared" si="2"/>
        <v>#VALUE!</v>
      </c>
      <c r="H53" s="28">
        <f t="shared" si="2"/>
        <v>0</v>
      </c>
      <c r="I53" s="8"/>
      <c r="J53" s="28">
        <f t="shared" ref="J53:N53" si="3">J32*J42*J40*J13*J27*J26*J25*J15</f>
        <v>4.4995200023326327E-4</v>
      </c>
      <c r="K53" s="28">
        <f t="shared" si="3"/>
        <v>4.1874601258802801E-4</v>
      </c>
      <c r="L53" s="28">
        <f t="shared" si="3"/>
        <v>3.8440156174460204E-4</v>
      </c>
      <c r="M53" s="28">
        <f t="shared" si="3"/>
        <v>0</v>
      </c>
      <c r="N53" s="28">
        <f t="shared" si="3"/>
        <v>0</v>
      </c>
      <c r="O53" s="1"/>
      <c r="P53" s="1"/>
      <c r="Q53" s="1"/>
      <c r="R53" s="1"/>
      <c r="S53" s="1"/>
      <c r="T53" s="1"/>
      <c r="U53" s="1"/>
    </row>
    <row r="54" spans="1:28" ht="15.75" customHeight="1">
      <c r="A54" s="1" t="s">
        <v>131</v>
      </c>
      <c r="B54" s="1" t="s">
        <v>132</v>
      </c>
      <c r="C54" s="1" t="s">
        <v>129</v>
      </c>
      <c r="D54" s="9">
        <v>9.3859739999999995E-5</v>
      </c>
      <c r="E54" s="8">
        <v>9.1806661527423004E-5</v>
      </c>
      <c r="F54" s="9">
        <v>9.2705588799999996E-5</v>
      </c>
      <c r="G54" s="1"/>
      <c r="H54" s="7"/>
      <c r="I54" s="1"/>
      <c r="J54" s="9">
        <v>4.4995190000000001E-4</v>
      </c>
      <c r="K54" s="8">
        <v>4.1940109370993301E-4</v>
      </c>
      <c r="L54" s="9">
        <v>3.8440000000000002E-4</v>
      </c>
      <c r="M54" s="29"/>
      <c r="N54" s="7"/>
      <c r="O54" s="1"/>
      <c r="P54" s="1"/>
      <c r="Q54" s="1"/>
      <c r="R54" s="1"/>
      <c r="S54" s="1"/>
      <c r="T54" s="1"/>
      <c r="U54" s="1"/>
    </row>
    <row r="55" spans="1:28" ht="15.75" customHeight="1">
      <c r="A55" s="1" t="s">
        <v>133</v>
      </c>
      <c r="B55" s="1" t="s">
        <v>134</v>
      </c>
      <c r="C55" s="1" t="s">
        <v>129</v>
      </c>
      <c r="D55" s="9">
        <v>1.6887019999999999E-2</v>
      </c>
      <c r="E55" s="8">
        <v>2.7279715762604399E-2</v>
      </c>
      <c r="F55" s="9">
        <v>1.9624530000000001E-2</v>
      </c>
      <c r="G55" s="1"/>
      <c r="H55" s="7"/>
      <c r="I55" s="1"/>
      <c r="J55" s="9">
        <v>9.0717889999999995E-2</v>
      </c>
      <c r="K55" s="8">
        <v>3.9258037101361498E-2</v>
      </c>
      <c r="L55" s="9">
        <v>9.8591620000000005E-2</v>
      </c>
      <c r="M55" s="1"/>
      <c r="N55" s="7"/>
      <c r="O55" s="1"/>
      <c r="P55" s="1"/>
      <c r="Q55" s="1"/>
      <c r="R55" s="1"/>
      <c r="S55" s="1"/>
      <c r="T55" s="1"/>
      <c r="U55" s="1"/>
    </row>
    <row r="56" spans="1:28" ht="15.75" customHeight="1">
      <c r="A56" s="1" t="s">
        <v>135</v>
      </c>
      <c r="B56" s="1" t="s">
        <v>136</v>
      </c>
      <c r="C56" s="1" t="s">
        <v>129</v>
      </c>
      <c r="D56" s="9">
        <v>0.1880163</v>
      </c>
      <c r="E56" s="8">
        <v>0.205570643638572</v>
      </c>
      <c r="F56" s="9">
        <v>0.20825991999999999</v>
      </c>
      <c r="G56" s="1"/>
      <c r="H56" s="7"/>
      <c r="I56" s="1"/>
      <c r="J56" s="9">
        <v>0.74066050000000005</v>
      </c>
      <c r="K56" s="8">
        <v>0.295835192167829</v>
      </c>
      <c r="L56" s="9">
        <v>0.30408568000000002</v>
      </c>
      <c r="M56" s="1"/>
      <c r="N56" s="7"/>
      <c r="O56" s="1"/>
      <c r="P56" s="1"/>
      <c r="Q56" s="1"/>
      <c r="R56" s="1"/>
      <c r="S56" s="1"/>
      <c r="T56" s="1"/>
      <c r="U56" s="1"/>
    </row>
    <row r="57" spans="1:28" ht="15.75" customHeight="1">
      <c r="A57" s="1" t="s">
        <v>137</v>
      </c>
      <c r="B57" s="1" t="s">
        <v>138</v>
      </c>
      <c r="C57" s="1" t="s">
        <v>129</v>
      </c>
      <c r="D57" s="9">
        <v>0</v>
      </c>
      <c r="E57" s="8">
        <v>0</v>
      </c>
      <c r="F57" s="9">
        <v>0</v>
      </c>
      <c r="G57" s="1"/>
      <c r="H57" s="7"/>
      <c r="I57" s="1"/>
      <c r="J57" s="9">
        <v>0</v>
      </c>
      <c r="K57" s="8">
        <v>0</v>
      </c>
      <c r="L57" s="9">
        <v>0</v>
      </c>
      <c r="M57" s="1"/>
      <c r="N57" s="7"/>
      <c r="O57" s="1"/>
      <c r="P57" s="1"/>
      <c r="Q57" s="1"/>
      <c r="R57" s="1"/>
      <c r="S57" s="1"/>
      <c r="T57" s="1"/>
      <c r="U57" s="1"/>
    </row>
    <row r="58" spans="1:28" ht="15.75" customHeight="1">
      <c r="A58" s="1" t="s">
        <v>139</v>
      </c>
      <c r="B58" s="1" t="s">
        <v>140</v>
      </c>
      <c r="C58" s="1" t="s">
        <v>129</v>
      </c>
      <c r="D58" s="9">
        <v>3.3749930000000002E-3</v>
      </c>
      <c r="E58" s="8">
        <v>3.3743599999999999E-3</v>
      </c>
      <c r="F58" s="9">
        <v>3.3744199999999999E-3</v>
      </c>
      <c r="G58" s="1"/>
      <c r="H58" s="7"/>
      <c r="I58" s="1"/>
      <c r="J58" s="9">
        <v>6.851111E-3</v>
      </c>
      <c r="K58" s="8">
        <v>6.8356099999999998E-3</v>
      </c>
      <c r="L58" s="9">
        <v>6.8357399999999999E-3</v>
      </c>
      <c r="M58" s="1"/>
      <c r="N58" s="7"/>
      <c r="O58" s="1"/>
      <c r="P58" s="1"/>
      <c r="Q58" s="1"/>
      <c r="R58" s="1"/>
      <c r="S58" s="1"/>
      <c r="T58" s="1"/>
      <c r="U58" s="1"/>
    </row>
    <row r="59" spans="1:28" ht="15.75" customHeight="1">
      <c r="A59" s="1" t="s">
        <v>141</v>
      </c>
      <c r="B59" s="1" t="s">
        <v>142</v>
      </c>
      <c r="C59" s="1" t="s">
        <v>129</v>
      </c>
      <c r="D59" s="9">
        <v>2.7219320000000002E-6</v>
      </c>
      <c r="E59" s="21">
        <v>2.66239318429526E-6</v>
      </c>
      <c r="F59" s="9">
        <v>2.68846207E-6</v>
      </c>
      <c r="G59" s="1"/>
      <c r="H59" s="7"/>
      <c r="I59" s="1"/>
      <c r="J59" s="9">
        <v>1.304861E-5</v>
      </c>
      <c r="K59" s="8">
        <v>1.2162631717587999E-5</v>
      </c>
      <c r="L59" s="9">
        <v>1.1147656900000001E-5</v>
      </c>
      <c r="M59" s="1"/>
      <c r="N59" s="7"/>
      <c r="O59" s="1"/>
      <c r="P59" s="1"/>
      <c r="Q59" s="1"/>
      <c r="R59" s="1"/>
      <c r="S59" s="1"/>
      <c r="T59" s="1"/>
      <c r="U59" s="1"/>
    </row>
    <row r="60" spans="1:28" ht="15.75" customHeight="1">
      <c r="B60" s="1"/>
      <c r="C60" s="1"/>
      <c r="D60" s="7"/>
      <c r="E60" s="8"/>
      <c r="F60" s="9"/>
      <c r="G60" s="1"/>
      <c r="H60" s="7"/>
      <c r="I60" s="1"/>
      <c r="J60" s="7"/>
      <c r="K60" s="25"/>
      <c r="L60" s="7"/>
      <c r="M60" s="1"/>
      <c r="N60" s="7"/>
      <c r="O60" s="1"/>
      <c r="P60" s="1"/>
      <c r="Q60" s="1"/>
      <c r="R60" s="1"/>
      <c r="S60" s="1"/>
      <c r="T60" s="1"/>
      <c r="U60" s="1"/>
    </row>
    <row r="61" spans="1:28" ht="15.75" customHeight="1">
      <c r="A61" s="15" t="s">
        <v>143</v>
      </c>
      <c r="B61" s="16"/>
      <c r="C61" s="16"/>
      <c r="D61" s="16"/>
      <c r="E61" s="17"/>
      <c r="F61" s="17"/>
      <c r="G61" s="16"/>
      <c r="H61" s="16"/>
      <c r="I61" s="1"/>
      <c r="J61" s="16"/>
      <c r="K61" s="17"/>
      <c r="L61" s="17"/>
      <c r="M61" s="16"/>
      <c r="N61" s="16"/>
      <c r="O61" s="16"/>
      <c r="P61" s="16"/>
      <c r="Q61" s="16"/>
      <c r="R61" s="16"/>
      <c r="S61" s="16"/>
      <c r="T61" s="16"/>
      <c r="U61" s="16"/>
      <c r="V61" s="16"/>
      <c r="W61" s="16"/>
      <c r="X61" s="16"/>
      <c r="Y61" s="16"/>
      <c r="Z61" s="16"/>
      <c r="AA61" s="16"/>
      <c r="AB61" s="16"/>
    </row>
    <row r="62" spans="1:28" ht="13">
      <c r="A62" s="26" t="s">
        <v>144</v>
      </c>
      <c r="B62" s="27"/>
      <c r="C62" s="27"/>
      <c r="D62" s="28">
        <f t="shared" ref="D62:H62" si="4">D17^2*(D52+2*SUM(D54:D58))/(D52^2-D17^2*D59^2)</f>
        <v>40333.989366669251</v>
      </c>
      <c r="E62" s="28">
        <f t="shared" si="4"/>
        <v>52344.111122062095</v>
      </c>
      <c r="F62" s="28">
        <f t="shared" si="4"/>
        <v>50803.000250580903</v>
      </c>
      <c r="G62" s="28" t="e">
        <f t="shared" si="4"/>
        <v>#VALUE!</v>
      </c>
      <c r="H62" s="28" t="e">
        <f t="shared" si="4"/>
        <v>#DIV/0!</v>
      </c>
      <c r="I62" s="8"/>
      <c r="J62" s="28">
        <f t="shared" ref="J62:N62" si="5">J17^2*(J52+2*SUM(J54:J58))/(J52^2-J17^2*J59^2)</f>
        <v>289864.65692892653</v>
      </c>
      <c r="K62" s="28">
        <f t="shared" si="5"/>
        <v>150025.03769115399</v>
      </c>
      <c r="L62" s="28">
        <f t="shared" si="5"/>
        <v>187152.61765364025</v>
      </c>
      <c r="M62" s="28" t="e">
        <f t="shared" si="5"/>
        <v>#DIV/0!</v>
      </c>
      <c r="N62" s="28" t="e">
        <f t="shared" si="5"/>
        <v>#DIV/0!</v>
      </c>
      <c r="O62" s="8"/>
      <c r="P62" s="1"/>
      <c r="Q62" s="1"/>
      <c r="R62" s="1"/>
      <c r="S62" s="1"/>
      <c r="T62" s="1"/>
      <c r="U62" s="1"/>
    </row>
    <row r="63" spans="1:28" ht="13">
      <c r="A63" s="26" t="s">
        <v>145</v>
      </c>
      <c r="B63" s="27"/>
      <c r="C63" s="27"/>
      <c r="D63" s="28">
        <f t="shared" ref="D63:H63" si="6">D17^2*(SUM(D54:D58))/(D52^2-D17^2*D59^2)</f>
        <v>19107.140352871225</v>
      </c>
      <c r="E63" s="28">
        <f t="shared" si="6"/>
        <v>25032.916136226875</v>
      </c>
      <c r="F63" s="28">
        <f t="shared" si="6"/>
        <v>24267.930119288118</v>
      </c>
      <c r="G63" s="28" t="e">
        <f t="shared" si="6"/>
        <v>#VALUE!</v>
      </c>
      <c r="H63" s="28" t="e">
        <f t="shared" si="6"/>
        <v>#DIV/0!</v>
      </c>
      <c r="I63" s="8"/>
      <c r="J63" s="28">
        <f t="shared" ref="J63:N63" si="7">J17^2*(SUM(J54:J58))/(J52^2-J17^2*J59^2)</f>
        <v>143484.62686425564</v>
      </c>
      <c r="K63" s="28">
        <f t="shared" si="7"/>
        <v>73391.958826553106</v>
      </c>
      <c r="L63" s="28">
        <f t="shared" si="7"/>
        <v>91918.864997271769</v>
      </c>
      <c r="M63" s="28" t="e">
        <f t="shared" si="7"/>
        <v>#DIV/0!</v>
      </c>
      <c r="N63" s="28" t="e">
        <f t="shared" si="7"/>
        <v>#DIV/0!</v>
      </c>
      <c r="O63" s="25"/>
      <c r="P63" s="25"/>
      <c r="Q63" s="25"/>
      <c r="R63" s="25"/>
      <c r="S63" s="25"/>
      <c r="T63" s="25"/>
      <c r="U63" s="25"/>
      <c r="V63" s="25"/>
      <c r="W63" s="25"/>
      <c r="X63" s="25"/>
      <c r="Y63" s="25"/>
      <c r="Z63" s="25"/>
      <c r="AA63" s="25"/>
      <c r="AB63" s="25"/>
    </row>
    <row r="64" spans="1:28" ht="13">
      <c r="A64" s="1" t="s">
        <v>146</v>
      </c>
      <c r="B64" s="1" t="s">
        <v>147</v>
      </c>
      <c r="C64" s="1" t="s">
        <v>56</v>
      </c>
      <c r="D64" s="9">
        <v>40333.99</v>
      </c>
      <c r="E64" s="8">
        <v>25032.908734821402</v>
      </c>
      <c r="F64" s="9">
        <v>24348.607800000002</v>
      </c>
      <c r="G64" s="1" t="s">
        <v>148</v>
      </c>
      <c r="H64" s="7"/>
      <c r="I64" s="1"/>
      <c r="J64" s="9">
        <v>289864.5</v>
      </c>
      <c r="K64" s="8">
        <v>73391.930343595697</v>
      </c>
      <c r="L64" s="9">
        <v>91918.827310930006</v>
      </c>
      <c r="M64" s="1"/>
      <c r="N64" s="7"/>
      <c r="O64" s="1"/>
      <c r="P64" s="1"/>
      <c r="Q64" s="1"/>
      <c r="R64" s="1"/>
      <c r="S64" s="1"/>
      <c r="T64" s="1"/>
      <c r="U64" s="1"/>
    </row>
    <row r="65" spans="1:21" ht="13">
      <c r="A65" s="1" t="s">
        <v>149</v>
      </c>
      <c r="B65" s="1" t="s">
        <v>150</v>
      </c>
      <c r="C65" s="1" t="s">
        <v>56</v>
      </c>
      <c r="D65" s="9">
        <v>52617.279999999999</v>
      </c>
      <c r="E65" s="8">
        <v>35816.199608303497</v>
      </c>
      <c r="F65" s="9">
        <v>32628.604899999998</v>
      </c>
      <c r="G65" s="1"/>
      <c r="H65" s="7"/>
      <c r="I65" s="1"/>
      <c r="J65" s="9">
        <v>327100.79999999999</v>
      </c>
      <c r="K65" s="8">
        <v>89011.1233779553</v>
      </c>
      <c r="L65" s="9">
        <v>100198.82443093001</v>
      </c>
      <c r="M65" s="1"/>
      <c r="N65" s="7"/>
      <c r="O65" s="1"/>
      <c r="P65" s="1"/>
      <c r="Q65" s="1"/>
      <c r="R65" s="1"/>
      <c r="S65" s="1"/>
      <c r="T65" s="1"/>
      <c r="U65" s="1"/>
    </row>
    <row r="66" spans="1:21" ht="13">
      <c r="B66" s="1"/>
      <c r="C66" s="1"/>
      <c r="E66" s="8"/>
      <c r="F66" s="8"/>
      <c r="K66" s="8"/>
      <c r="L66" s="8"/>
    </row>
    <row r="67" spans="1:21" ht="13">
      <c r="B67" s="1"/>
      <c r="C67" s="1"/>
      <c r="F67" s="8"/>
      <c r="K67" s="8"/>
      <c r="L67" s="8"/>
    </row>
    <row r="68" spans="1:21" ht="13">
      <c r="B68" s="1"/>
      <c r="C68" s="1"/>
      <c r="E68" s="8"/>
      <c r="F68" s="8"/>
      <c r="K68" s="8"/>
      <c r="L68" s="8"/>
    </row>
    <row r="69" spans="1:21" ht="13">
      <c r="B69" s="1"/>
      <c r="C69" s="1"/>
      <c r="E69" s="8"/>
      <c r="F69" s="8"/>
      <c r="K69" s="8"/>
      <c r="L69" s="8"/>
    </row>
    <row r="70" spans="1:21" ht="13">
      <c r="B70" s="1"/>
      <c r="C70" s="1"/>
      <c r="E70" s="8"/>
      <c r="F70" s="8"/>
      <c r="K70" s="8"/>
      <c r="L70" s="8"/>
    </row>
    <row r="71" spans="1:21" ht="13">
      <c r="B71" s="1"/>
      <c r="C71" s="1"/>
      <c r="E71" s="8"/>
      <c r="F71" s="8"/>
      <c r="K71" s="8"/>
      <c r="L71" s="8"/>
    </row>
    <row r="72" spans="1:21" ht="13">
      <c r="B72" s="1"/>
      <c r="C72" s="1"/>
      <c r="E72" s="8"/>
      <c r="F72" s="8"/>
      <c r="K72" s="8"/>
      <c r="L72" s="8"/>
    </row>
    <row r="73" spans="1:21" ht="13">
      <c r="B73" s="1"/>
      <c r="C73" s="1"/>
      <c r="E73" s="8"/>
      <c r="F73" s="8"/>
      <c r="K73" s="8"/>
      <c r="L73" s="8"/>
    </row>
    <row r="74" spans="1:21" ht="13">
      <c r="B74" s="1"/>
      <c r="C74" s="1"/>
      <c r="E74" s="8"/>
      <c r="F74" s="8"/>
      <c r="K74" s="8"/>
      <c r="L74" s="8"/>
    </row>
    <row r="75" spans="1:21" ht="13">
      <c r="B75" s="1"/>
      <c r="C75" s="1"/>
      <c r="E75" s="8"/>
      <c r="F75" s="8"/>
      <c r="K75" s="8"/>
      <c r="L75" s="8"/>
    </row>
    <row r="76" spans="1:21" ht="13">
      <c r="B76" s="1"/>
      <c r="C76" s="1"/>
      <c r="E76" s="8"/>
      <c r="F76" s="8"/>
      <c r="K76" s="8"/>
      <c r="L76" s="8"/>
    </row>
    <row r="77" spans="1:21" ht="13">
      <c r="B77" s="1"/>
      <c r="C77" s="1"/>
      <c r="E77" s="8"/>
      <c r="F77" s="8"/>
      <c r="K77" s="8"/>
      <c r="L77" s="8"/>
    </row>
    <row r="78" spans="1:21" ht="13">
      <c r="B78" s="1"/>
      <c r="C78" s="1"/>
      <c r="E78" s="8"/>
      <c r="F78" s="8"/>
      <c r="K78" s="8"/>
      <c r="L78" s="8"/>
    </row>
    <row r="79" spans="1:21" ht="13">
      <c r="B79" s="1"/>
      <c r="C79" s="1"/>
      <c r="E79" s="8"/>
      <c r="F79" s="8"/>
      <c r="K79" s="8"/>
      <c r="L79" s="8"/>
    </row>
    <row r="80" spans="1:21"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sheetData>
  <mergeCells count="5">
    <mergeCell ref="A1:C1"/>
    <mergeCell ref="A2:C2"/>
    <mergeCell ref="A3:C3"/>
    <mergeCell ref="D4:H4"/>
    <mergeCell ref="J4:N4"/>
  </mergeCells>
  <hyperlinks>
    <hyperlink ref="G6" r:id="rId1" xr:uid="{00000000-0004-0000-0100-000000000000}"/>
    <hyperlink ref="M6"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40"/>
  <sheetViews>
    <sheetView tabSelected="1" workbookViewId="0">
      <pane xSplit="3" ySplit="6" topLeftCell="D7" activePane="bottomRight" state="frozen"/>
      <selection pane="topRight" activeCell="D1" sqref="D1"/>
      <selection pane="bottomLeft" activeCell="A7" sqref="A7"/>
      <selection pane="bottomRight" activeCell="L66" sqref="J8:L66"/>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44" t="s">
        <v>4</v>
      </c>
      <c r="B1" s="45"/>
      <c r="C1" s="45"/>
      <c r="D1" s="3"/>
      <c r="E1" s="4"/>
      <c r="F1" s="4"/>
      <c r="G1" s="3"/>
      <c r="H1" s="3"/>
      <c r="I1" s="5"/>
      <c r="J1" s="5"/>
      <c r="K1" s="6"/>
      <c r="L1" s="6"/>
      <c r="M1" s="5"/>
      <c r="N1" s="5"/>
      <c r="O1" s="5"/>
      <c r="P1" s="5"/>
      <c r="Q1" s="5"/>
      <c r="R1" s="5"/>
      <c r="S1" s="5"/>
      <c r="T1" s="5"/>
      <c r="U1" s="5"/>
      <c r="V1" s="5"/>
      <c r="W1" s="5"/>
      <c r="X1" s="5"/>
      <c r="Y1" s="5"/>
      <c r="Z1" s="5"/>
      <c r="AA1" s="5"/>
      <c r="AB1" s="5"/>
    </row>
    <row r="2" spans="1:28" ht="15.75" customHeight="1">
      <c r="A2" s="44" t="s">
        <v>5</v>
      </c>
      <c r="B2" s="45"/>
      <c r="C2" s="45"/>
      <c r="D2" s="3"/>
      <c r="E2" s="4"/>
      <c r="F2" s="4"/>
      <c r="G2" s="3"/>
      <c r="H2" s="3"/>
      <c r="I2" s="5"/>
      <c r="J2" s="5"/>
      <c r="K2" s="6"/>
      <c r="L2" s="6"/>
      <c r="M2" s="5"/>
      <c r="N2" s="5"/>
      <c r="O2" s="5"/>
      <c r="P2" s="5"/>
      <c r="Q2" s="5"/>
      <c r="R2" s="5"/>
      <c r="S2" s="5"/>
      <c r="T2" s="5"/>
      <c r="U2" s="5"/>
      <c r="V2" s="5"/>
      <c r="W2" s="5"/>
      <c r="X2" s="5"/>
      <c r="Y2" s="5"/>
      <c r="Z2" s="5"/>
      <c r="AA2" s="5"/>
      <c r="AB2" s="5"/>
    </row>
    <row r="3" spans="1:28" ht="15.75" customHeight="1">
      <c r="A3" s="44" t="s">
        <v>151</v>
      </c>
      <c r="B3" s="45"/>
      <c r="C3" s="45"/>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6" t="s">
        <v>7</v>
      </c>
      <c r="E4" s="45"/>
      <c r="F4" s="45"/>
      <c r="G4" s="45"/>
      <c r="H4" s="45"/>
      <c r="J4" s="47" t="s">
        <v>8</v>
      </c>
      <c r="K4" s="45"/>
      <c r="L4" s="45"/>
      <c r="M4" s="45"/>
      <c r="N4" s="45"/>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152</v>
      </c>
      <c r="H6" s="11" t="s">
        <v>17</v>
      </c>
      <c r="J6" s="11" t="s">
        <v>13</v>
      </c>
      <c r="K6" s="12" t="s">
        <v>14</v>
      </c>
      <c r="L6" s="13" t="s">
        <v>15</v>
      </c>
      <c r="M6" s="14" t="s">
        <v>153</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9">
        <v>13476</v>
      </c>
      <c r="E8" s="8">
        <v>11829.01</v>
      </c>
      <c r="F8" s="9">
        <v>11829.01174346</v>
      </c>
      <c r="H8" s="7"/>
      <c r="J8" s="9">
        <v>3819.346</v>
      </c>
      <c r="K8" s="8">
        <v>3173.48012854429</v>
      </c>
      <c r="L8" s="9">
        <v>3173.4801285399999</v>
      </c>
      <c r="N8" s="7"/>
    </row>
    <row r="9" spans="1:28" ht="15.75" customHeight="1">
      <c r="A9" s="1" t="s">
        <v>25</v>
      </c>
      <c r="B9" s="1" t="s">
        <v>26</v>
      </c>
      <c r="C9" s="1"/>
      <c r="D9" s="9">
        <v>6.1895759999999997</v>
      </c>
      <c r="E9" s="8">
        <v>5.8689999999999998</v>
      </c>
      <c r="F9" s="9">
        <v>5.86</v>
      </c>
      <c r="H9" s="7"/>
      <c r="J9" s="9">
        <v>4.9089070000000001</v>
      </c>
      <c r="K9" s="8">
        <v>5.1310000000000002</v>
      </c>
      <c r="L9" s="9">
        <v>4.593</v>
      </c>
      <c r="N9" s="7"/>
    </row>
    <row r="10" spans="1:28" ht="15.75" customHeight="1">
      <c r="A10" s="1" t="s">
        <v>28</v>
      </c>
      <c r="B10" s="1" t="s">
        <v>29</v>
      </c>
      <c r="C10" s="1" t="s">
        <v>30</v>
      </c>
      <c r="D10" s="9">
        <v>0.86</v>
      </c>
      <c r="E10" s="8">
        <v>0.83406519740866303</v>
      </c>
      <c r="F10" s="9">
        <v>0.9</v>
      </c>
      <c r="H10" s="7"/>
      <c r="J10" s="9">
        <v>0.86</v>
      </c>
      <c r="K10" s="8">
        <v>0.83406519740866303</v>
      </c>
      <c r="L10" s="9">
        <v>0.9</v>
      </c>
      <c r="N10" s="7"/>
    </row>
    <row r="11" spans="1:28" ht="15.75" customHeight="1">
      <c r="A11" s="1" t="s">
        <v>31</v>
      </c>
      <c r="B11" s="1" t="s">
        <v>32</v>
      </c>
      <c r="C11" s="1" t="s">
        <v>33</v>
      </c>
      <c r="D11" s="9">
        <v>14.8</v>
      </c>
      <c r="E11" s="8">
        <v>14.7927</v>
      </c>
      <c r="F11" s="9">
        <v>14.66</v>
      </c>
      <c r="H11" s="7"/>
      <c r="J11" s="9">
        <v>14.8</v>
      </c>
      <c r="K11" s="8">
        <v>14.7927</v>
      </c>
      <c r="L11" s="9">
        <v>14.66</v>
      </c>
      <c r="N11" s="7"/>
    </row>
    <row r="12" spans="1:28" ht="15.75" customHeight="1">
      <c r="A12" s="1" t="s">
        <v>34</v>
      </c>
      <c r="B12" s="1" t="s">
        <v>35</v>
      </c>
      <c r="C12" s="1" t="s">
        <v>36</v>
      </c>
      <c r="D12" s="9">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9">
        <v>100</v>
      </c>
      <c r="E15" s="8">
        <v>100</v>
      </c>
      <c r="F15" s="9">
        <v>100</v>
      </c>
      <c r="H15" s="7"/>
      <c r="J15" s="9">
        <v>200</v>
      </c>
      <c r="K15" s="8">
        <v>200</v>
      </c>
      <c r="L15" s="9">
        <v>200</v>
      </c>
      <c r="N15" s="7"/>
    </row>
    <row r="16" spans="1:28" ht="15.75" customHeight="1">
      <c r="A16" s="1" t="s">
        <v>49</v>
      </c>
      <c r="B16" s="1" t="s">
        <v>50</v>
      </c>
      <c r="C16" s="1"/>
      <c r="D16" s="9">
        <v>3</v>
      </c>
      <c r="E16" s="8">
        <v>3</v>
      </c>
      <c r="F16" s="9">
        <v>3</v>
      </c>
      <c r="H16" s="7"/>
      <c r="J16" s="9">
        <v>3</v>
      </c>
      <c r="K16" s="8">
        <v>3</v>
      </c>
      <c r="L16" s="9">
        <v>3</v>
      </c>
      <c r="N16" s="7"/>
    </row>
    <row r="17" spans="1:28" ht="15.75" customHeight="1">
      <c r="A17" s="1" t="s">
        <v>51</v>
      </c>
      <c r="B17" s="1" t="s">
        <v>52</v>
      </c>
      <c r="C17" s="1"/>
      <c r="D17" s="9">
        <v>7</v>
      </c>
      <c r="E17" s="8">
        <v>7</v>
      </c>
      <c r="F17" s="9">
        <v>7</v>
      </c>
      <c r="H17" s="7"/>
      <c r="J17" s="9">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9">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v>6.6115699999999998E-3</v>
      </c>
      <c r="G24" s="1"/>
      <c r="H24" s="7"/>
      <c r="I24" s="1"/>
      <c r="J24" s="9">
        <v>6.5522499999999999</v>
      </c>
      <c r="K24" s="8">
        <v>6.5500000000000003E-3</v>
      </c>
      <c r="L24" s="9">
        <v>6.6115699999999998E-3</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9">
        <v>135</v>
      </c>
      <c r="E28" s="8"/>
      <c r="F28" s="9">
        <v>34.111964620000002</v>
      </c>
      <c r="H28" s="7"/>
      <c r="J28" s="9">
        <v>135</v>
      </c>
      <c r="K28" s="8"/>
      <c r="L28" s="9">
        <v>34.111964620000002</v>
      </c>
      <c r="N28" s="7"/>
    </row>
    <row r="29" spans="1:28" ht="15.75" customHeight="1">
      <c r="A29" s="1" t="s">
        <v>83</v>
      </c>
      <c r="B29" s="1" t="s">
        <v>84</v>
      </c>
      <c r="C29" s="1" t="s">
        <v>82</v>
      </c>
      <c r="D29" s="9">
        <v>21.7</v>
      </c>
      <c r="E29" s="8"/>
      <c r="F29" s="9">
        <v>21.698837959999999</v>
      </c>
      <c r="H29" s="7"/>
      <c r="J29" s="9">
        <v>21.7</v>
      </c>
      <c r="K29" s="8"/>
      <c r="L29" s="9">
        <v>21.698837959999999</v>
      </c>
      <c r="N29" s="7"/>
    </row>
    <row r="30" spans="1:28" ht="15.75" customHeight="1">
      <c r="A30" s="19"/>
      <c r="B30" s="19"/>
      <c r="C30" s="1"/>
      <c r="D30" s="9"/>
      <c r="E30" s="8"/>
      <c r="F30" s="9"/>
      <c r="H30" s="7"/>
      <c r="J30" s="9"/>
      <c r="K30" s="8"/>
      <c r="L30" s="9"/>
      <c r="N30" s="7"/>
    </row>
    <row r="31" spans="1:28" ht="15.75" customHeight="1">
      <c r="A31" s="15" t="s">
        <v>85</v>
      </c>
      <c r="B31" s="15" t="s">
        <v>86</v>
      </c>
      <c r="C31" s="16"/>
      <c r="D31" s="17"/>
      <c r="E31" s="17"/>
      <c r="F31" s="17"/>
      <c r="G31" s="16"/>
      <c r="H31" s="16"/>
      <c r="J31" s="17"/>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45.055489999999999</v>
      </c>
      <c r="E32" s="8">
        <v>42.841620480000003</v>
      </c>
      <c r="F32" s="9">
        <v>43.586563089999999</v>
      </c>
      <c r="H32" s="7"/>
      <c r="J32" s="9">
        <v>41.536140000000003</v>
      </c>
      <c r="K32" s="8">
        <v>35.092225999999997</v>
      </c>
      <c r="L32" s="9">
        <v>36.294083700000002</v>
      </c>
      <c r="N32" s="7"/>
    </row>
    <row r="33" spans="1:28" ht="15.75" customHeight="1">
      <c r="A33" s="1" t="s">
        <v>90</v>
      </c>
      <c r="B33" s="1" t="s">
        <v>91</v>
      </c>
      <c r="C33" s="1" t="s">
        <v>23</v>
      </c>
      <c r="D33" s="9">
        <v>6.0478779999999998E-9</v>
      </c>
      <c r="E33" s="8">
        <v>5.9549852499999997E-9</v>
      </c>
      <c r="F33" s="9">
        <v>5.6043088699999998E-9</v>
      </c>
      <c r="H33" s="7"/>
      <c r="J33" s="9">
        <v>5.5754690000000001E-9</v>
      </c>
      <c r="K33" s="8">
        <v>4.8778194100000001E-9</v>
      </c>
      <c r="L33" s="9">
        <v>4.6666504800000003E-9</v>
      </c>
      <c r="N33" s="7"/>
    </row>
    <row r="34" spans="1:28" ht="15.75" customHeight="1">
      <c r="A34" s="1" t="s">
        <v>93</v>
      </c>
      <c r="B34" s="1" t="s">
        <v>94</v>
      </c>
      <c r="C34" s="1" t="s">
        <v>95</v>
      </c>
      <c r="D34" s="9">
        <v>7.721183E-6</v>
      </c>
      <c r="E34" s="8">
        <v>7.4636018374777704E-6</v>
      </c>
      <c r="F34" s="9">
        <v>2.90044772E-5</v>
      </c>
      <c r="H34" s="7"/>
      <c r="J34" s="9">
        <v>7.1272390000000002E-6</v>
      </c>
      <c r="K34" s="8">
        <v>2.0023305946669602E-6</v>
      </c>
      <c r="L34" s="9">
        <v>2.6773363599999999E-5</v>
      </c>
      <c r="N34" s="7"/>
    </row>
    <row r="35" spans="1:28" ht="15.75" customHeight="1">
      <c r="A35" s="1" t="s">
        <v>96</v>
      </c>
      <c r="B35" s="1" t="s">
        <v>97</v>
      </c>
      <c r="C35" s="1" t="s">
        <v>95</v>
      </c>
      <c r="D35" s="9">
        <v>4.6439690000000001E-5</v>
      </c>
      <c r="E35" s="8">
        <v>5.62431605572512E-5</v>
      </c>
      <c r="F35" s="9">
        <v>5.2249453300000001E-5</v>
      </c>
      <c r="G35" s="8">
        <f>D8*10^(-0.4*22)*(1/D10)*10^(-0.4*((D9-5*LOG10(D11)+5)-4.83))*D16</f>
        <v>4.6652705715369524E-5</v>
      </c>
      <c r="H35" s="7"/>
      <c r="J35" s="9">
        <v>4.2812219999999998E-5</v>
      </c>
      <c r="K35" s="23">
        <v>1.50888811564214E-5</v>
      </c>
      <c r="L35" s="23">
        <v>1.1714698099999999E-5</v>
      </c>
      <c r="N35" s="7"/>
    </row>
    <row r="36" spans="1:28" ht="15.75" customHeight="1">
      <c r="B36" s="1"/>
      <c r="C36" s="1"/>
      <c r="D36" s="9"/>
      <c r="E36" s="8"/>
      <c r="F36" s="9"/>
      <c r="H36" s="7"/>
      <c r="J36" s="9"/>
      <c r="K36" s="21"/>
      <c r="L36" s="9"/>
      <c r="N36" s="7"/>
    </row>
    <row r="37" spans="1:28" ht="15.75" customHeight="1">
      <c r="A37" s="15" t="s">
        <v>98</v>
      </c>
      <c r="B37" s="15" t="s">
        <v>99</v>
      </c>
      <c r="C37" s="16"/>
      <c r="D37" s="17"/>
      <c r="E37" s="17"/>
      <c r="F37" s="17"/>
      <c r="G37" s="16"/>
      <c r="H37" s="16"/>
      <c r="J37" s="17"/>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4.7925789999999999</v>
      </c>
      <c r="E38" s="8">
        <v>4.7113592400000002</v>
      </c>
      <c r="F38" s="9">
        <v>4.9381795799999999</v>
      </c>
      <c r="H38" s="7"/>
      <c r="J38" s="9">
        <v>2.3962889999999999</v>
      </c>
      <c r="K38" s="8">
        <v>2.3556796200000001</v>
      </c>
      <c r="L38" s="9">
        <v>2.46908979</v>
      </c>
      <c r="N38" s="7"/>
    </row>
    <row r="39" spans="1:28" s="43" customFormat="1" ht="15.75" customHeight="1">
      <c r="A39" s="38" t="s">
        <v>167</v>
      </c>
      <c r="B39" s="38" t="s">
        <v>168</v>
      </c>
      <c r="C39" s="39"/>
      <c r="D39" s="40">
        <v>0.40100000000000002</v>
      </c>
      <c r="E39" s="41"/>
      <c r="F39" s="40"/>
      <c r="G39" s="38"/>
      <c r="H39" s="42"/>
      <c r="I39" s="38"/>
      <c r="J39" s="40">
        <v>0.40100000000000002</v>
      </c>
      <c r="K39" s="41"/>
      <c r="L39" s="40"/>
      <c r="M39" s="38"/>
      <c r="N39" s="42"/>
      <c r="O39" s="38"/>
      <c r="P39" s="38"/>
      <c r="Q39" s="38"/>
      <c r="R39" s="38"/>
      <c r="S39" s="38"/>
      <c r="T39" s="38"/>
      <c r="U39" s="38"/>
    </row>
    <row r="40" spans="1:28" ht="15.75" customHeight="1">
      <c r="A40" t="s">
        <v>103</v>
      </c>
      <c r="B40" s="1" t="s">
        <v>104</v>
      </c>
      <c r="C40" s="18" t="s">
        <v>105</v>
      </c>
      <c r="D40" s="9">
        <v>2.2595170000000002</v>
      </c>
      <c r="E40" s="8">
        <v>2.2564700000000002</v>
      </c>
      <c r="F40" s="9">
        <v>2.3027279300000001</v>
      </c>
      <c r="H40" s="7"/>
      <c r="J40" s="9">
        <v>2.261981</v>
      </c>
      <c r="K40" s="8">
        <v>2.2564700000000002</v>
      </c>
      <c r="L40" s="9">
        <v>2.3027279300000001</v>
      </c>
      <c r="N40" s="7"/>
    </row>
    <row r="41" spans="1:28" ht="15.75" customHeight="1">
      <c r="A41" s="1" t="s">
        <v>106</v>
      </c>
      <c r="B41" s="1" t="s">
        <v>107</v>
      </c>
      <c r="C41" s="18"/>
      <c r="D41" s="9">
        <v>0.29683710000000002</v>
      </c>
      <c r="E41" s="8">
        <v>0.29986994</v>
      </c>
      <c r="F41" s="9">
        <v>0.30864580000000003</v>
      </c>
      <c r="H41" s="7"/>
      <c r="J41" s="9">
        <v>0.12231119999999999</v>
      </c>
      <c r="K41" s="8">
        <v>0.12374180999999999</v>
      </c>
      <c r="L41" s="9">
        <v>0.13765210999999999</v>
      </c>
      <c r="N41" s="7"/>
    </row>
    <row r="42" spans="1:28" ht="15.75" customHeight="1">
      <c r="A42" s="1" t="s">
        <v>108</v>
      </c>
      <c r="B42" s="1" t="s">
        <v>109</v>
      </c>
      <c r="C42" s="30" t="s">
        <v>110</v>
      </c>
      <c r="D42" s="9">
        <v>6.8940699999999995E-14</v>
      </c>
      <c r="E42" s="8">
        <v>6.5969948500000002E-14</v>
      </c>
      <c r="F42" s="9">
        <v>6.0878383399999996E-14</v>
      </c>
      <c r="H42" s="7"/>
      <c r="J42" s="9">
        <v>1.8697730000000001E-13</v>
      </c>
      <c r="K42" s="21">
        <v>1.9017109999999999E-13</v>
      </c>
      <c r="L42" s="9">
        <v>1.76141558E-13</v>
      </c>
      <c r="N42" s="7"/>
    </row>
    <row r="43" spans="1:28" ht="15.75" customHeight="1">
      <c r="A43" s="1" t="s">
        <v>111</v>
      </c>
      <c r="B43" s="1" t="s">
        <v>112</v>
      </c>
      <c r="C43" s="18" t="s">
        <v>110</v>
      </c>
      <c r="D43" s="9">
        <v>9.3820329999999998</v>
      </c>
      <c r="E43" s="8">
        <v>9.1480325499999999</v>
      </c>
      <c r="F43" s="9">
        <v>9.3087710399999999</v>
      </c>
      <c r="H43" s="7"/>
      <c r="J43" s="9">
        <v>5.5027299999999997</v>
      </c>
      <c r="K43" s="8">
        <v>5.4130647999999999</v>
      </c>
      <c r="L43" s="9">
        <v>5.7222179200000003</v>
      </c>
      <c r="N43" s="7"/>
    </row>
    <row r="44" spans="1:28" ht="15.75" customHeight="1">
      <c r="A44" s="1" t="s">
        <v>113</v>
      </c>
      <c r="B44" s="1" t="s">
        <v>114</v>
      </c>
      <c r="C44" s="1"/>
      <c r="D44" s="9">
        <v>9.0380680000000009</v>
      </c>
      <c r="E44" s="8">
        <v>9.0462096699999996</v>
      </c>
      <c r="F44" s="9">
        <v>9.0463677400000009</v>
      </c>
      <c r="H44" s="7"/>
      <c r="J44" s="9">
        <v>36.191699999999997</v>
      </c>
      <c r="K44" s="8">
        <v>36.184838679999999</v>
      </c>
      <c r="L44" s="9">
        <v>36.185470950000003</v>
      </c>
      <c r="N44" s="7"/>
    </row>
    <row r="45" spans="1:28" ht="15.75" customHeight="1">
      <c r="A45" s="1" t="s">
        <v>115</v>
      </c>
      <c r="B45" s="1" t="s">
        <v>116</v>
      </c>
      <c r="C45" s="1"/>
      <c r="D45" s="9">
        <v>3.6492390000000001</v>
      </c>
      <c r="E45" s="8">
        <v>3.6489029999999998</v>
      </c>
      <c r="F45" s="9">
        <v>3.6489029999999998</v>
      </c>
      <c r="G45" s="1"/>
      <c r="H45" s="7"/>
      <c r="I45" s="1"/>
      <c r="J45" s="9">
        <v>4.2679109999999998</v>
      </c>
      <c r="K45" s="8">
        <v>4.2677759999999996</v>
      </c>
      <c r="L45" s="9">
        <v>4.2677759999999996</v>
      </c>
      <c r="M45" s="1"/>
      <c r="N45" s="7"/>
      <c r="O45" s="1"/>
      <c r="P45" s="1"/>
      <c r="Q45" s="1"/>
      <c r="R45" s="1"/>
      <c r="S45" s="1"/>
      <c r="T45" s="1"/>
      <c r="U45" s="1"/>
    </row>
    <row r="46" spans="1:28" ht="15.75" customHeight="1">
      <c r="A46" s="1" t="s">
        <v>117</v>
      </c>
      <c r="B46" s="1" t="s">
        <v>118</v>
      </c>
      <c r="C46" s="1" t="s">
        <v>119</v>
      </c>
      <c r="D46" s="9"/>
      <c r="E46" s="8">
        <v>2500552.1502443198</v>
      </c>
      <c r="F46" s="9">
        <v>2544032.4812572398</v>
      </c>
      <c r="G46" s="31"/>
      <c r="H46" s="7"/>
      <c r="I46" s="1"/>
      <c r="J46" s="9"/>
      <c r="K46" s="8">
        <v>4096480.9551105201</v>
      </c>
      <c r="L46" s="9">
        <v>4236779.47</v>
      </c>
      <c r="M46" s="1"/>
      <c r="N46" s="7"/>
      <c r="O46" s="1"/>
      <c r="P46" s="1"/>
      <c r="Q46" s="1"/>
      <c r="R46" s="1"/>
      <c r="S46" s="1"/>
      <c r="T46" s="1"/>
      <c r="U46" s="1"/>
    </row>
    <row r="47" spans="1:28" ht="15.75" customHeight="1">
      <c r="A47" s="1" t="s">
        <v>120</v>
      </c>
      <c r="B47" s="1" t="s">
        <v>121</v>
      </c>
      <c r="C47" s="1"/>
      <c r="D47" s="9"/>
      <c r="E47" s="8">
        <v>1.43948791E-9</v>
      </c>
      <c r="F47" s="9">
        <v>1.4394879139095E-9</v>
      </c>
      <c r="G47" s="1"/>
      <c r="H47" s="7"/>
      <c r="I47" s="1"/>
      <c r="J47" s="9">
        <v>7.9256294000000003E-9</v>
      </c>
      <c r="K47" s="8">
        <v>7.9289507299999997E-9</v>
      </c>
      <c r="L47" s="9">
        <v>7.9289507299999997E-9</v>
      </c>
      <c r="M47" s="1"/>
      <c r="N47" s="7"/>
      <c r="O47" s="1"/>
      <c r="P47" s="1"/>
      <c r="Q47" s="1"/>
      <c r="R47" s="1"/>
      <c r="S47" s="1"/>
      <c r="T47" s="1"/>
      <c r="U47" s="1"/>
    </row>
    <row r="48" spans="1:28" ht="15.75" customHeight="1">
      <c r="A48" s="1" t="s">
        <v>122</v>
      </c>
      <c r="B48" s="1" t="s">
        <v>123</v>
      </c>
      <c r="C48" s="18" t="s">
        <v>102</v>
      </c>
      <c r="D48" s="9"/>
      <c r="E48" s="8">
        <v>351.02449767000002</v>
      </c>
      <c r="F48" s="9">
        <v>351.02449767000002</v>
      </c>
      <c r="G48" s="1"/>
      <c r="H48" s="7"/>
      <c r="I48" s="1"/>
      <c r="J48" s="9">
        <v>175.51223999999999</v>
      </c>
      <c r="K48" s="8">
        <v>175.51224884000001</v>
      </c>
      <c r="L48" s="9">
        <v>175.51224884000001</v>
      </c>
      <c r="M48" s="1"/>
      <c r="N48" s="7"/>
      <c r="O48" s="1"/>
      <c r="P48" s="1"/>
      <c r="Q48" s="1"/>
      <c r="R48" s="1"/>
      <c r="S48" s="1"/>
      <c r="T48" s="1"/>
      <c r="U48" s="1"/>
    </row>
    <row r="49" spans="1:28" ht="15.75" customHeight="1">
      <c r="A49" s="1"/>
      <c r="B49" s="1"/>
      <c r="C49" s="1"/>
      <c r="D49" s="9"/>
      <c r="E49" s="48"/>
      <c r="F49" s="9"/>
      <c r="H49" s="7"/>
      <c r="J49" s="9"/>
      <c r="K49" s="8"/>
      <c r="L49" s="9"/>
      <c r="N49" s="7"/>
    </row>
    <row r="50" spans="1:28" ht="15.75" customHeight="1">
      <c r="A50" s="15" t="s">
        <v>124</v>
      </c>
      <c r="B50" s="15" t="s">
        <v>125</v>
      </c>
      <c r="C50" s="16"/>
      <c r="D50" s="17"/>
      <c r="E50" s="17"/>
      <c r="F50" s="17"/>
      <c r="G50" s="16"/>
      <c r="H50" s="16"/>
      <c r="J50" s="17"/>
      <c r="K50" s="17"/>
      <c r="L50" s="17"/>
      <c r="M50" s="16"/>
      <c r="N50" s="16"/>
      <c r="O50" s="16"/>
      <c r="P50" s="16"/>
      <c r="Q50" s="16"/>
      <c r="R50" s="16"/>
      <c r="S50" s="16"/>
      <c r="T50" s="16"/>
      <c r="U50" s="16"/>
      <c r="V50" s="16"/>
      <c r="W50" s="16"/>
      <c r="X50" s="16"/>
      <c r="Y50" s="16"/>
      <c r="Z50" s="16"/>
      <c r="AA50" s="16"/>
      <c r="AB50" s="16"/>
    </row>
    <row r="51" spans="1:28" ht="15.75" customHeight="1">
      <c r="A51" s="26" t="s">
        <v>126</v>
      </c>
      <c r="B51" s="27"/>
      <c r="C51" s="27"/>
      <c r="D51" s="28">
        <f t="shared" ref="D51:H51" si="0">D33*D13*D41*D27*D26*D25*D15</f>
        <v>2.7560761628250878E-2</v>
      </c>
      <c r="E51" s="28">
        <f t="shared" si="0"/>
        <v>2.7414709589167311E-2</v>
      </c>
      <c r="F51" s="28">
        <f t="shared" si="0"/>
        <v>2.655537635586366E-2</v>
      </c>
      <c r="G51" s="27">
        <f t="shared" si="0"/>
        <v>0</v>
      </c>
      <c r="H51" s="27">
        <f t="shared" si="0"/>
        <v>0</v>
      </c>
      <c r="I51" s="1"/>
      <c r="J51" s="28">
        <f t="shared" ref="J51:N51" si="1">J33*J13*J41*J27*J26*J25*J15</f>
        <v>2.0938600038530132E-2</v>
      </c>
      <c r="K51" s="28">
        <f t="shared" si="1"/>
        <v>1.8532849724349758E-2</v>
      </c>
      <c r="L51" s="28">
        <f t="shared" si="1"/>
        <v>1.9723690083020433E-2</v>
      </c>
      <c r="M51" s="27">
        <f t="shared" si="1"/>
        <v>0</v>
      </c>
      <c r="N51" s="27">
        <f t="shared" si="1"/>
        <v>0</v>
      </c>
      <c r="O51" s="1"/>
      <c r="P51" s="1"/>
      <c r="Q51" s="1"/>
      <c r="R51" s="1"/>
      <c r="S51" s="1"/>
      <c r="T51" s="1"/>
      <c r="U51" s="1"/>
    </row>
    <row r="52" spans="1:28" ht="15.75" customHeight="1">
      <c r="A52" s="1" t="s">
        <v>127</v>
      </c>
      <c r="B52" s="1" t="s">
        <v>128</v>
      </c>
      <c r="C52" s="1" t="s">
        <v>129</v>
      </c>
      <c r="D52" s="9">
        <v>2.756076E-2</v>
      </c>
      <c r="E52" s="8">
        <v>2.7414709999999998E-2</v>
      </c>
      <c r="F52" s="9">
        <v>2.655538E-2</v>
      </c>
      <c r="H52" s="7"/>
      <c r="J52" s="9">
        <v>2.093859E-2</v>
      </c>
      <c r="K52" s="8">
        <v>1.853285E-2</v>
      </c>
      <c r="L52" s="9">
        <v>1.9723689999999999E-2</v>
      </c>
      <c r="N52" s="7"/>
    </row>
    <row r="53" spans="1:28" ht="15.75" customHeight="1">
      <c r="A53" s="26" t="s">
        <v>130</v>
      </c>
      <c r="B53" s="27"/>
      <c r="C53" s="27"/>
      <c r="D53" s="28">
        <f t="shared" ref="D53:H53" si="2">D32*D42*D40*D13*D27*D26*D25*D15</f>
        <v>1.0774795400937333E-4</v>
      </c>
      <c r="E53" s="28">
        <f t="shared" si="2"/>
        <v>9.7906522506662849E-5</v>
      </c>
      <c r="F53" s="28">
        <f t="shared" si="2"/>
        <v>9.3805519281938115E-5</v>
      </c>
      <c r="G53" s="28">
        <f t="shared" si="2"/>
        <v>0</v>
      </c>
      <c r="H53" s="28">
        <f t="shared" si="2"/>
        <v>0</v>
      </c>
      <c r="I53" s="8"/>
      <c r="J53" s="28">
        <f t="shared" ref="J53:N53" si="3">J32*J42*J40*J13*J27*J26*J25*J15</f>
        <v>5.393913532004942E-4</v>
      </c>
      <c r="K53" s="28">
        <f t="shared" si="3"/>
        <v>4.6236507561225334E-4</v>
      </c>
      <c r="L53" s="28">
        <f t="shared" si="3"/>
        <v>4.520019629896121E-4</v>
      </c>
      <c r="M53" s="28">
        <f t="shared" si="3"/>
        <v>0</v>
      </c>
      <c r="N53" s="28">
        <f t="shared" si="3"/>
        <v>0</v>
      </c>
      <c r="O53" s="1"/>
      <c r="P53" s="1"/>
      <c r="Q53" s="1"/>
      <c r="R53" s="1"/>
      <c r="S53" s="1"/>
      <c r="T53" s="1"/>
      <c r="U53" s="1"/>
    </row>
    <row r="54" spans="1:28" ht="15.75" customHeight="1">
      <c r="A54" s="1" t="s">
        <v>131</v>
      </c>
      <c r="B54" s="1" t="s">
        <v>132</v>
      </c>
      <c r="C54" s="1" t="s">
        <v>129</v>
      </c>
      <c r="D54" s="9">
        <v>1.07748E-4</v>
      </c>
      <c r="E54" s="8">
        <v>9.8059686582379496E-5</v>
      </c>
      <c r="F54" s="9">
        <v>9.3805617300000003E-5</v>
      </c>
      <c r="H54" s="7"/>
      <c r="J54" s="9">
        <v>5.3939120000000003E-4</v>
      </c>
      <c r="K54" s="8">
        <v>4.6308839614591599E-4</v>
      </c>
      <c r="L54" s="9">
        <v>4.5199999999999998E-4</v>
      </c>
      <c r="N54" s="7"/>
    </row>
    <row r="55" spans="1:28" ht="15.75" customHeight="1">
      <c r="A55" s="1" t="s">
        <v>133</v>
      </c>
      <c r="B55" s="1" t="s">
        <v>134</v>
      </c>
      <c r="C55" s="1" t="s">
        <v>129</v>
      </c>
      <c r="D55" s="9">
        <v>2.697039E-2</v>
      </c>
      <c r="E55" s="8">
        <v>2.5425848661098E-2</v>
      </c>
      <c r="F55" s="9">
        <v>0.10244513</v>
      </c>
      <c r="H55" s="7"/>
      <c r="J55" s="9">
        <v>0.1169417</v>
      </c>
      <c r="K55" s="8">
        <v>3.2290018194938798E-2</v>
      </c>
      <c r="L55" s="9">
        <v>0.46504099999999998</v>
      </c>
      <c r="N55" s="7"/>
    </row>
    <row r="56" spans="1:28" ht="15.75" customHeight="1">
      <c r="A56" s="1" t="s">
        <v>135</v>
      </c>
      <c r="B56" s="1" t="s">
        <v>136</v>
      </c>
      <c r="C56" s="1" t="s">
        <v>129</v>
      </c>
      <c r="D56" s="9">
        <v>0.16221569999999999</v>
      </c>
      <c r="E56" s="8">
        <v>0.19160053278428399</v>
      </c>
      <c r="F56" s="9">
        <v>0.18370510000000001</v>
      </c>
      <c r="H56" s="7"/>
      <c r="J56" s="9">
        <v>0.70245069999999998</v>
      </c>
      <c r="K56" s="23">
        <v>0.24332657573119301</v>
      </c>
      <c r="L56" s="23">
        <v>0.24236548999999999</v>
      </c>
      <c r="N56" s="7"/>
    </row>
    <row r="57" spans="1:28" ht="15.75" customHeight="1">
      <c r="A57" s="26" t="s">
        <v>154</v>
      </c>
      <c r="B57" s="27"/>
      <c r="C57" s="27"/>
      <c r="D57" s="28">
        <f>D46*D47*D43*D40</f>
        <v>0</v>
      </c>
      <c r="E57" s="28">
        <f t="shared" ref="E57:F57" si="4">E46*E47*E41</f>
        <v>1.0793862237129671E-3</v>
      </c>
      <c r="F57" s="28">
        <f t="shared" si="4"/>
        <v>1.1302930216530486E-3</v>
      </c>
      <c r="G57" s="28">
        <f t="shared" ref="G57:H57" si="5">G46*G47*G43</f>
        <v>0</v>
      </c>
      <c r="H57" s="28">
        <f t="shared" si="5"/>
        <v>0</v>
      </c>
      <c r="J57" s="28">
        <f t="shared" ref="J57:N57" si="6">J46*J47*J43*J40</f>
        <v>0</v>
      </c>
      <c r="K57" s="28">
        <f t="shared" si="6"/>
        <v>0.39673402585166173</v>
      </c>
      <c r="L57" s="28">
        <f t="shared" si="6"/>
        <v>0.44264809533518812</v>
      </c>
      <c r="M57" s="28">
        <f t="shared" si="6"/>
        <v>0</v>
      </c>
      <c r="N57" s="28">
        <f t="shared" si="6"/>
        <v>0</v>
      </c>
    </row>
    <row r="58" spans="1:28" ht="15.75" customHeight="1">
      <c r="A58" s="1" t="s">
        <v>137</v>
      </c>
      <c r="B58" s="1" t="s">
        <v>138</v>
      </c>
      <c r="C58" s="1" t="s">
        <v>129</v>
      </c>
      <c r="D58" s="9">
        <v>1.5477650000000001E-2</v>
      </c>
      <c r="E58" s="23">
        <v>1.07939E-3</v>
      </c>
      <c r="F58" s="23">
        <v>1.1302899999999999E-3</v>
      </c>
      <c r="H58" s="7"/>
      <c r="J58" s="9">
        <v>9.2411469999999996E-2</v>
      </c>
      <c r="K58" s="23">
        <v>4.0192300000000004E-3</v>
      </c>
      <c r="L58" s="23">
        <v>4.6241800000000003E-3</v>
      </c>
      <c r="N58" s="7"/>
    </row>
    <row r="59" spans="1:28" ht="15.75" customHeight="1">
      <c r="A59" s="1" t="s">
        <v>139</v>
      </c>
      <c r="B59" s="1" t="s">
        <v>140</v>
      </c>
      <c r="C59" s="1" t="s">
        <v>129</v>
      </c>
      <c r="D59" s="9">
        <v>3.3132050000000001E-3</v>
      </c>
      <c r="E59" s="8">
        <v>3.4942900000000002E-3</v>
      </c>
      <c r="F59" s="9">
        <v>3.4943600000000002E-3</v>
      </c>
      <c r="H59" s="7"/>
      <c r="J59" s="9">
        <v>9.4426969999999999E-3</v>
      </c>
      <c r="K59" s="8">
        <v>1.210775E-2</v>
      </c>
      <c r="L59" s="9">
        <v>1.2107969999999999E-2</v>
      </c>
      <c r="N59" s="7"/>
    </row>
    <row r="60" spans="1:28" ht="15.75" customHeight="1">
      <c r="A60" s="1" t="s">
        <v>141</v>
      </c>
      <c r="B60" s="1" t="s">
        <v>142</v>
      </c>
      <c r="C60" s="1" t="s">
        <v>129</v>
      </c>
      <c r="D60" s="9">
        <v>3.1246909999999999E-6</v>
      </c>
      <c r="E60" s="8">
        <v>2.8437309108890001E-6</v>
      </c>
      <c r="F60" s="9">
        <v>2.7203628999999999E-6</v>
      </c>
      <c r="H60" s="7"/>
      <c r="J60" s="9">
        <v>1.5642350000000001E-5</v>
      </c>
      <c r="K60" s="8">
        <v>1.34295634882315E-5</v>
      </c>
      <c r="L60" s="9">
        <v>1.31080706E-5</v>
      </c>
      <c r="N60" s="7"/>
    </row>
    <row r="61" spans="1:28" ht="15.75" customHeight="1">
      <c r="B61" s="1"/>
      <c r="C61" s="1"/>
      <c r="D61" s="9"/>
      <c r="E61" s="8"/>
      <c r="F61" s="8"/>
      <c r="H61" s="7"/>
      <c r="J61" s="9"/>
      <c r="K61" s="21"/>
      <c r="L61" s="9"/>
      <c r="N61" s="7"/>
    </row>
    <row r="62" spans="1:28" ht="13">
      <c r="A62" s="15" t="s">
        <v>143</v>
      </c>
      <c r="B62" s="16"/>
      <c r="C62" s="16"/>
      <c r="D62" s="17"/>
      <c r="E62" s="17"/>
      <c r="F62" s="17"/>
      <c r="G62" s="16"/>
      <c r="H62" s="16"/>
      <c r="J62" s="17"/>
      <c r="K62" s="17"/>
      <c r="L62" s="17"/>
      <c r="M62" s="16"/>
      <c r="N62" s="16"/>
      <c r="O62" s="16"/>
      <c r="P62" s="16"/>
      <c r="Q62" s="16"/>
      <c r="R62" s="16"/>
      <c r="S62" s="16"/>
      <c r="T62" s="16"/>
      <c r="U62" s="16"/>
      <c r="V62" s="16"/>
      <c r="W62" s="16"/>
      <c r="X62" s="16"/>
      <c r="Y62" s="16"/>
      <c r="Z62" s="16"/>
      <c r="AA62" s="16"/>
      <c r="AB62" s="16"/>
    </row>
    <row r="63" spans="1:28" ht="13">
      <c r="A63" s="26" t="s">
        <v>144</v>
      </c>
      <c r="B63" s="27"/>
      <c r="C63" s="27"/>
      <c r="D63" s="28">
        <f t="shared" ref="D63:H63" si="7">D17^2*(D52+2*SUM(D54:D59))/(D52^2-D17^2*D60^2)</f>
        <v>28624.170474632352</v>
      </c>
      <c r="E63" s="28">
        <f t="shared" si="7"/>
        <v>30836.305430317767</v>
      </c>
      <c r="F63" s="28">
        <f t="shared" si="7"/>
        <v>42424.318239927808</v>
      </c>
      <c r="G63" s="28" t="e">
        <f t="shared" si="7"/>
        <v>#DIV/0!</v>
      </c>
      <c r="H63" s="28" t="e">
        <f t="shared" si="7"/>
        <v>#DIV/0!</v>
      </c>
      <c r="I63" s="8"/>
      <c r="J63" s="28">
        <f t="shared" ref="J63:N63" si="8">J17^2*(J52+2*SUM(J54:J59))/(J52^2-J17^2*J60^2)</f>
        <v>208390.50426862383</v>
      </c>
      <c r="K63" s="28">
        <f t="shared" si="8"/>
        <v>199221.90919376278</v>
      </c>
      <c r="L63" s="28">
        <f t="shared" si="8"/>
        <v>296532.78232162137</v>
      </c>
      <c r="M63" s="28" t="e">
        <f t="shared" si="8"/>
        <v>#DIV/0!</v>
      </c>
      <c r="N63" s="28" t="e">
        <f t="shared" si="8"/>
        <v>#DIV/0!</v>
      </c>
      <c r="O63" s="8"/>
      <c r="P63" s="1"/>
      <c r="Q63" s="1"/>
      <c r="R63" s="1"/>
      <c r="S63" s="1"/>
      <c r="T63" s="1"/>
      <c r="U63" s="1"/>
    </row>
    <row r="64" spans="1:28" ht="13">
      <c r="A64" s="26" t="s">
        <v>145</v>
      </c>
      <c r="B64" s="27"/>
      <c r="C64" s="27"/>
      <c r="D64" s="28">
        <f t="shared" ref="D64:F64" si="9">D17^2*(SUM(D54:D56) + SUM(D58:D59))/(D52^2-D17^2*D60^2)</f>
        <v>13423.139670103767</v>
      </c>
      <c r="E64" s="28">
        <f t="shared" si="9"/>
        <v>14454.098474748982</v>
      </c>
      <c r="F64" s="28">
        <f t="shared" si="9"/>
        <v>20211.019957198405</v>
      </c>
      <c r="G64" s="28" t="e">
        <f t="shared" ref="G64:H64" si="10">G17^2*(SUM(G54:G59))/(G52^2-G17^2*G60^2)</f>
        <v>#DIV/0!</v>
      </c>
      <c r="H64" s="28" t="e">
        <f t="shared" si="10"/>
        <v>#DIV/0!</v>
      </c>
      <c r="I64" s="8"/>
      <c r="J64" s="28">
        <f t="shared" ref="J64:L64" si="11">J17^2*(SUM(J54:J56) + SUM(J58:J59))/(J52^2-J17^2*J60^2)</f>
        <v>103025.13179607931</v>
      </c>
      <c r="K64" s="28">
        <f t="shared" si="11"/>
        <v>41688.181091674785</v>
      </c>
      <c r="L64" s="28">
        <f t="shared" si="11"/>
        <v>91268.699596690349</v>
      </c>
      <c r="M64" s="28" t="e">
        <f t="shared" ref="M64:N64" si="12">M17^2*(SUM(M54:M59))/(M52^2-M17^2*M60^2)</f>
        <v>#DIV/0!</v>
      </c>
      <c r="N64" s="28" t="e">
        <f t="shared" si="12"/>
        <v>#DIV/0!</v>
      </c>
      <c r="O64" s="25"/>
      <c r="P64" s="25"/>
      <c r="Q64" s="25"/>
      <c r="R64" s="25"/>
      <c r="S64" s="25"/>
      <c r="T64" s="25"/>
      <c r="U64" s="25"/>
      <c r="V64" s="25"/>
      <c r="W64" s="25"/>
      <c r="X64" s="25"/>
      <c r="Y64" s="25"/>
      <c r="Z64" s="25"/>
      <c r="AA64" s="25"/>
      <c r="AB64" s="25"/>
    </row>
    <row r="65" spans="1:14" ht="13">
      <c r="A65" s="1" t="s">
        <v>146</v>
      </c>
      <c r="B65" s="1" t="s">
        <v>147</v>
      </c>
      <c r="C65" s="1" t="s">
        <v>56</v>
      </c>
      <c r="D65" s="9">
        <v>28624.16</v>
      </c>
      <c r="E65" s="21">
        <v>14454.098675457501</v>
      </c>
      <c r="F65" s="9">
        <v>20211.032659740002</v>
      </c>
      <c r="H65" s="7"/>
      <c r="J65" s="9">
        <v>208390.39999999999</v>
      </c>
      <c r="K65" s="21">
        <v>41688.181983600203</v>
      </c>
      <c r="L65" s="9">
        <v>91268.694961410001</v>
      </c>
      <c r="N65" s="7"/>
    </row>
    <row r="66" spans="1:14" ht="13">
      <c r="A66" s="1" t="s">
        <v>149</v>
      </c>
      <c r="B66" s="1" t="s">
        <v>150</v>
      </c>
      <c r="C66" s="1" t="s">
        <v>56</v>
      </c>
      <c r="D66" s="9">
        <v>39736.480000000003</v>
      </c>
      <c r="E66" s="8">
        <v>24179.5085430033</v>
      </c>
      <c r="F66" s="9">
        <v>28491.029779740002</v>
      </c>
      <c r="H66" s="7"/>
      <c r="J66" s="9">
        <v>237479.4</v>
      </c>
      <c r="K66" s="8">
        <v>54137.000181960197</v>
      </c>
      <c r="L66" s="9">
        <v>99548.692081410001</v>
      </c>
      <c r="N66" s="7"/>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row r="1040" spans="2:12" ht="13">
      <c r="B1040" s="1"/>
      <c r="C1040" s="1"/>
      <c r="E1040" s="8"/>
      <c r="F1040" s="8"/>
      <c r="K1040" s="8"/>
      <c r="L1040" s="8"/>
    </row>
  </sheetData>
  <mergeCells count="5">
    <mergeCell ref="A1:C1"/>
    <mergeCell ref="A2:C2"/>
    <mergeCell ref="A3:C3"/>
    <mergeCell ref="D4:H4"/>
    <mergeCell ref="J4:N4"/>
  </mergeCells>
  <hyperlinks>
    <hyperlink ref="G6" r:id="rId1" xr:uid="{00000000-0004-0000-0200-000000000000}"/>
    <hyperlink ref="M6" r:id="rId2" xr:uid="{00000000-0004-0000-02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39"/>
  <sheetViews>
    <sheetView workbookViewId="0">
      <pane xSplit="3" ySplit="6" topLeftCell="D24" activePane="bottomRight" state="frozen"/>
      <selection pane="topRight" activeCell="D1" sqref="D1"/>
      <selection pane="bottomLeft" activeCell="A7" sqref="A7"/>
      <selection pane="bottomRight" activeCell="A39" sqref="A39:XFD39"/>
    </sheetView>
  </sheetViews>
  <sheetFormatPr baseColWidth="10" defaultColWidth="12.6640625" defaultRowHeight="15.75" customHeight="1"/>
  <cols>
    <col min="1" max="1" width="19.6640625" customWidth="1"/>
    <col min="2" max="2" width="37.33203125" customWidth="1"/>
    <col min="3" max="3" width="26.6640625" customWidth="1"/>
    <col min="4" max="8" width="15.1640625" customWidth="1"/>
    <col min="10" max="14" width="15.1640625" customWidth="1"/>
  </cols>
  <sheetData>
    <row r="1" spans="1:28" ht="15.75" customHeight="1">
      <c r="A1" s="44" t="s">
        <v>4</v>
      </c>
      <c r="B1" s="45"/>
      <c r="C1" s="45"/>
      <c r="D1" s="3"/>
      <c r="E1" s="4"/>
      <c r="F1" s="4"/>
      <c r="G1" s="3"/>
      <c r="H1" s="3"/>
      <c r="I1" s="5"/>
      <c r="J1" s="5"/>
      <c r="K1" s="6"/>
      <c r="L1" s="6"/>
      <c r="M1" s="5"/>
      <c r="N1" s="5"/>
      <c r="O1" s="5"/>
      <c r="P1" s="5"/>
      <c r="Q1" s="5"/>
      <c r="R1" s="5"/>
      <c r="S1" s="5"/>
      <c r="T1" s="5"/>
      <c r="U1" s="5"/>
      <c r="V1" s="5"/>
      <c r="W1" s="5"/>
      <c r="X1" s="5"/>
      <c r="Y1" s="5"/>
      <c r="Z1" s="5"/>
      <c r="AA1" s="5"/>
      <c r="AB1" s="5"/>
    </row>
    <row r="2" spans="1:28" ht="15.75" customHeight="1">
      <c r="A2" s="44" t="s">
        <v>5</v>
      </c>
      <c r="B2" s="45"/>
      <c r="C2" s="45"/>
      <c r="D2" s="3"/>
      <c r="E2" s="4"/>
      <c r="F2" s="4"/>
      <c r="G2" s="3"/>
      <c r="H2" s="3"/>
      <c r="I2" s="5"/>
      <c r="J2" s="5"/>
      <c r="K2" s="6"/>
      <c r="L2" s="6"/>
      <c r="M2" s="5"/>
      <c r="N2" s="5"/>
      <c r="O2" s="5"/>
      <c r="P2" s="5"/>
      <c r="Q2" s="5"/>
      <c r="R2" s="5"/>
      <c r="S2" s="5"/>
      <c r="T2" s="5"/>
      <c r="U2" s="5"/>
      <c r="V2" s="5"/>
      <c r="W2" s="5"/>
      <c r="X2" s="5"/>
      <c r="Y2" s="5"/>
      <c r="Z2" s="5"/>
      <c r="AA2" s="5"/>
      <c r="AB2" s="5"/>
    </row>
    <row r="3" spans="1:28" ht="15.75" customHeight="1">
      <c r="A3" s="44" t="s">
        <v>155</v>
      </c>
      <c r="B3" s="45"/>
      <c r="C3" s="45"/>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6" t="s">
        <v>7</v>
      </c>
      <c r="E4" s="45"/>
      <c r="F4" s="45"/>
      <c r="G4" s="45"/>
      <c r="H4" s="45"/>
      <c r="J4" s="47" t="s">
        <v>8</v>
      </c>
      <c r="K4" s="45"/>
      <c r="L4" s="45"/>
      <c r="M4" s="45"/>
      <c r="N4" s="45"/>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34" t="s">
        <v>10</v>
      </c>
      <c r="B6" s="10" t="s">
        <v>11</v>
      </c>
      <c r="C6" s="10" t="s">
        <v>12</v>
      </c>
      <c r="D6" s="11" t="s">
        <v>13</v>
      </c>
      <c r="E6" s="12" t="s">
        <v>14</v>
      </c>
      <c r="F6" s="13" t="s">
        <v>15</v>
      </c>
      <c r="G6" s="14" t="s">
        <v>156</v>
      </c>
      <c r="H6" s="11" t="s">
        <v>17</v>
      </c>
      <c r="J6" s="11" t="s">
        <v>13</v>
      </c>
      <c r="K6" s="12" t="s">
        <v>14</v>
      </c>
      <c r="L6" s="13" t="s">
        <v>15</v>
      </c>
      <c r="M6" s="14" t="s">
        <v>157</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36">
        <v>13476</v>
      </c>
      <c r="E8" s="8">
        <v>11829.01</v>
      </c>
      <c r="F8" s="9">
        <v>11829.01174346</v>
      </c>
      <c r="H8" s="7"/>
      <c r="J8" s="9">
        <v>3819.346</v>
      </c>
      <c r="K8" s="8">
        <v>3173.48012854429</v>
      </c>
      <c r="L8" s="9">
        <v>3173.4801285399999</v>
      </c>
      <c r="N8" s="7"/>
    </row>
    <row r="9" spans="1:28" ht="15.75" customHeight="1">
      <c r="A9" s="1" t="s">
        <v>25</v>
      </c>
      <c r="B9" s="1" t="s">
        <v>26</v>
      </c>
      <c r="C9" s="1"/>
      <c r="D9" s="9">
        <v>5.8127360000000001</v>
      </c>
      <c r="E9" s="8">
        <v>5.4960000000000004</v>
      </c>
      <c r="F9" s="9">
        <v>5.5</v>
      </c>
      <c r="H9" s="7"/>
      <c r="J9" s="9">
        <v>4.940931</v>
      </c>
      <c r="K9" s="8">
        <v>4.774</v>
      </c>
      <c r="L9" s="9">
        <v>4.6669999999999998</v>
      </c>
      <c r="N9" s="7"/>
    </row>
    <row r="10" spans="1:28" ht="15.75" customHeight="1">
      <c r="A10" s="1" t="s">
        <v>28</v>
      </c>
      <c r="B10" s="1" t="s">
        <v>29</v>
      </c>
      <c r="C10" s="1" t="s">
        <v>30</v>
      </c>
      <c r="D10" s="7">
        <v>1.1000000000000001</v>
      </c>
      <c r="E10" s="8">
        <v>1.0942082880366799</v>
      </c>
      <c r="F10" s="9">
        <v>1.1100000000000001</v>
      </c>
      <c r="H10" s="7"/>
      <c r="J10" s="7">
        <v>1.1000000000000001</v>
      </c>
      <c r="K10" s="8">
        <v>1.0942082880366799</v>
      </c>
      <c r="L10" s="9">
        <v>1.1100000000000001</v>
      </c>
      <c r="N10" s="7"/>
    </row>
    <row r="11" spans="1:28" ht="15.75" customHeight="1">
      <c r="A11" s="1" t="s">
        <v>31</v>
      </c>
      <c r="B11" s="1" t="s">
        <v>32</v>
      </c>
      <c r="C11" s="1" t="s">
        <v>33</v>
      </c>
      <c r="D11" s="7">
        <v>14.1</v>
      </c>
      <c r="E11" s="8">
        <v>14.136900000000001</v>
      </c>
      <c r="F11" s="9">
        <v>13.9</v>
      </c>
      <c r="H11" s="7"/>
      <c r="J11" s="7">
        <v>14.1</v>
      </c>
      <c r="K11" s="8">
        <v>14.136900000000001</v>
      </c>
      <c r="L11" s="9">
        <v>13.9</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8">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7">
        <v>135</v>
      </c>
      <c r="E28" s="8"/>
      <c r="F28" s="9">
        <v>23.650437849999999</v>
      </c>
      <c r="H28" s="7"/>
      <c r="J28" s="7">
        <v>135</v>
      </c>
      <c r="K28" s="8"/>
      <c r="L28" s="9">
        <v>23.650437849999999</v>
      </c>
      <c r="N28" s="7"/>
    </row>
    <row r="29" spans="1:28" ht="15.75" customHeight="1">
      <c r="A29" s="1" t="s">
        <v>83</v>
      </c>
      <c r="B29" s="1" t="s">
        <v>84</v>
      </c>
      <c r="C29" s="1" t="s">
        <v>82</v>
      </c>
      <c r="D29" s="7">
        <v>12.7</v>
      </c>
      <c r="E29" s="8"/>
      <c r="F29" s="9">
        <v>12.7</v>
      </c>
      <c r="H29" s="7"/>
      <c r="J29" s="7">
        <v>12.7</v>
      </c>
      <c r="K29" s="8"/>
      <c r="L29" s="9">
        <v>12.7</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37">
        <v>63.750489999999999</v>
      </c>
      <c r="E32" s="8">
        <v>60.95</v>
      </c>
      <c r="F32" s="9">
        <f>60181899.2941575/100/100/100</f>
        <v>60.181899294157503</v>
      </c>
      <c r="H32" s="7"/>
      <c r="J32" s="9">
        <v>40.32891</v>
      </c>
      <c r="K32" s="32">
        <v>47.456086470000002</v>
      </c>
      <c r="L32" s="32">
        <v>36.039336140000003</v>
      </c>
      <c r="N32" s="7"/>
      <c r="O32" s="8">
        <f t="shared" ref="O32:Q32" si="0">J32/D32</f>
        <v>0.63260549056171966</v>
      </c>
      <c r="P32" s="8">
        <f t="shared" si="0"/>
        <v>0.77860683297785072</v>
      </c>
      <c r="Q32" s="8">
        <f t="shared" si="0"/>
        <v>0.59884012573027456</v>
      </c>
    </row>
    <row r="33" spans="1:28" ht="15.75" customHeight="1">
      <c r="A33" s="1" t="s">
        <v>90</v>
      </c>
      <c r="B33" s="1" t="s">
        <v>91</v>
      </c>
      <c r="C33" s="1" t="s">
        <v>23</v>
      </c>
      <c r="D33" s="37">
        <v>6.7470530000000003E-9</v>
      </c>
      <c r="E33" s="8">
        <v>6.4599999999999996E-9</v>
      </c>
      <c r="F33" s="9">
        <f>F32*10^(-0.4*24.95477758)</f>
        <v>6.2741494247923071E-9</v>
      </c>
      <c r="H33" s="7"/>
      <c r="J33" s="9">
        <v>4.2682229999999997E-9</v>
      </c>
      <c r="K33" s="8">
        <v>5.0303451699999999E-9</v>
      </c>
      <c r="L33" s="9">
        <v>3.7572124300000004E-9</v>
      </c>
      <c r="N33" s="7"/>
    </row>
    <row r="34" spans="1:28" ht="15.75" customHeight="1">
      <c r="A34" s="1" t="s">
        <v>93</v>
      </c>
      <c r="B34" s="1" t="s">
        <v>94</v>
      </c>
      <c r="C34" s="1" t="s">
        <v>95</v>
      </c>
      <c r="D34" s="37">
        <v>9.255915E-6</v>
      </c>
      <c r="E34" s="8">
        <v>7.4599999999999997E-6</v>
      </c>
      <c r="F34" s="9">
        <v>9.3091514999999996E-5</v>
      </c>
      <c r="H34" s="7"/>
      <c r="J34" s="9">
        <v>8.5439130000000002E-6</v>
      </c>
      <c r="K34" s="21">
        <v>2.0023305946669602E-6</v>
      </c>
      <c r="L34" s="9">
        <v>8.5930629299999994E-5</v>
      </c>
      <c r="N34" s="7"/>
    </row>
    <row r="35" spans="1:28" ht="15.75" customHeight="1">
      <c r="A35" s="1" t="s">
        <v>96</v>
      </c>
      <c r="B35" s="1" t="s">
        <v>97</v>
      </c>
      <c r="C35" s="1" t="s">
        <v>95</v>
      </c>
      <c r="D35" s="37">
        <v>4.7333180000000001E-5</v>
      </c>
      <c r="E35" s="8">
        <v>5.62431605572512E-5</v>
      </c>
      <c r="F35" s="9">
        <v>5.3059474100000003E-5</v>
      </c>
      <c r="H35" s="7"/>
      <c r="J35" s="9">
        <v>2.994323E-5</v>
      </c>
      <c r="K35" s="23">
        <v>1.50888811564214E-5</v>
      </c>
      <c r="L35" s="23">
        <v>1.18963105E-5</v>
      </c>
      <c r="N35" s="7"/>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5.6467559999999999</v>
      </c>
      <c r="E38" s="8">
        <v>5.6461527399999998</v>
      </c>
      <c r="F38" s="9">
        <f>0.07579607/(0.0000005/7.87*180/PI()*3600)</f>
        <v>5.7839733472068957</v>
      </c>
      <c r="H38" s="7"/>
      <c r="J38" s="9">
        <v>2.8233779999999999</v>
      </c>
      <c r="K38" s="8">
        <v>2.8230763699999999</v>
      </c>
      <c r="L38" s="9">
        <v>2.89198668</v>
      </c>
      <c r="N38" s="7"/>
    </row>
    <row r="39" spans="1:28" s="43" customFormat="1" ht="15.75" customHeight="1">
      <c r="A39" s="38" t="s">
        <v>167</v>
      </c>
      <c r="B39" s="38" t="s">
        <v>168</v>
      </c>
      <c r="C39" s="39"/>
      <c r="D39" s="40">
        <v>0.373</v>
      </c>
      <c r="E39" s="41"/>
      <c r="F39" s="40"/>
      <c r="G39" s="38"/>
      <c r="H39" s="42"/>
      <c r="I39" s="38"/>
      <c r="J39" s="40">
        <v>0.373</v>
      </c>
      <c r="K39" s="41"/>
      <c r="L39" s="40"/>
      <c r="M39" s="38"/>
      <c r="N39" s="42"/>
      <c r="O39" s="38"/>
      <c r="P39" s="38"/>
      <c r="Q39" s="38"/>
      <c r="R39" s="38"/>
      <c r="S39" s="38"/>
      <c r="T39" s="38"/>
      <c r="U39" s="38"/>
    </row>
    <row r="40" spans="1:28" ht="15.75" customHeight="1">
      <c r="A40" t="s">
        <v>103</v>
      </c>
      <c r="B40" s="1" t="s">
        <v>104</v>
      </c>
      <c r="C40" s="18" t="s">
        <v>105</v>
      </c>
      <c r="D40" s="9">
        <v>2.263674</v>
      </c>
      <c r="E40" s="8">
        <v>2.2564700000000002</v>
      </c>
      <c r="F40" s="9">
        <f>0.00039544/(0.0000005/7.87*180/PI()*3600)^2</f>
        <v>2.3027128640465295</v>
      </c>
      <c r="H40" s="7"/>
      <c r="J40" s="9">
        <v>2.2585139999999999</v>
      </c>
      <c r="K40" s="8">
        <v>2.2564700000000002</v>
      </c>
      <c r="L40" s="9">
        <v>2.3027279300000001</v>
      </c>
      <c r="N40" s="7"/>
    </row>
    <row r="41" spans="1:28" ht="15.75" customHeight="1">
      <c r="A41" s="1" t="s">
        <v>106</v>
      </c>
      <c r="B41" s="1" t="s">
        <v>107</v>
      </c>
      <c r="C41" s="18"/>
      <c r="D41" s="37">
        <v>0.33150200000000002</v>
      </c>
      <c r="E41" s="8">
        <v>0.33603781999999999</v>
      </c>
      <c r="F41" s="9">
        <v>0.34137021000000001</v>
      </c>
      <c r="H41" s="7"/>
      <c r="J41" s="9">
        <v>0.17874619999999999</v>
      </c>
      <c r="K41" s="8">
        <v>0.17471895000000001</v>
      </c>
      <c r="L41" s="9">
        <v>0.18140854000000001</v>
      </c>
      <c r="N41" s="7"/>
    </row>
    <row r="42" spans="1:28" ht="15.75" customHeight="1">
      <c r="A42" s="1" t="s">
        <v>108</v>
      </c>
      <c r="B42" s="1" t="s">
        <v>109</v>
      </c>
      <c r="C42" s="30" t="s">
        <v>110</v>
      </c>
      <c r="D42" s="35">
        <v>3.9033180000000001E-14</v>
      </c>
      <c r="E42" s="8">
        <v>4.1626048500000003E-14</v>
      </c>
      <c r="F42" s="9">
        <v>4.1044456899999997E-14</v>
      </c>
      <c r="H42" s="7"/>
      <c r="J42" s="9">
        <v>1.334263E-13</v>
      </c>
      <c r="K42" s="8">
        <v>1.37633328E-13</v>
      </c>
      <c r="L42" s="9">
        <v>1.3121049999999999E-13</v>
      </c>
      <c r="N42" s="7"/>
    </row>
    <row r="43" spans="1:28" ht="15.75" customHeight="1">
      <c r="A43" s="1" t="s">
        <v>111</v>
      </c>
      <c r="B43" s="1" t="s">
        <v>112</v>
      </c>
      <c r="C43" s="18" t="s">
        <v>110</v>
      </c>
      <c r="D43" s="35">
        <v>9.5421530000000008</v>
      </c>
      <c r="E43" s="8">
        <v>9.8028470500000005</v>
      </c>
      <c r="F43" s="9">
        <v>9.8946043199999991</v>
      </c>
      <c r="H43" s="7"/>
      <c r="J43" s="9">
        <v>6.9276799999999996</v>
      </c>
      <c r="K43" s="8">
        <v>6.5628549300000003</v>
      </c>
      <c r="L43" s="9">
        <v>6.70072768</v>
      </c>
      <c r="N43" s="7"/>
    </row>
    <row r="44" spans="1:28" ht="15.75" customHeight="1">
      <c r="A44" s="1" t="s">
        <v>113</v>
      </c>
      <c r="B44" s="1" t="s">
        <v>114</v>
      </c>
      <c r="C44" s="1"/>
      <c r="D44" s="9">
        <v>9.0546970000000009</v>
      </c>
      <c r="E44" s="8">
        <v>9.0462096699999996</v>
      </c>
      <c r="F44" s="9">
        <v>9.0463677400000009</v>
      </c>
      <c r="H44" s="7"/>
      <c r="J44" s="9">
        <v>36.136229999999998</v>
      </c>
      <c r="K44" s="8">
        <v>36.184838679999999</v>
      </c>
      <c r="L44" s="9">
        <v>36.185470950000003</v>
      </c>
      <c r="N44" s="7"/>
    </row>
    <row r="45" spans="1:28" ht="15.75" customHeight="1">
      <c r="A45" s="1" t="s">
        <v>115</v>
      </c>
      <c r="B45" s="1" t="s">
        <v>116</v>
      </c>
      <c r="C45" s="1"/>
      <c r="D45" s="35">
        <v>3.323305</v>
      </c>
      <c r="E45" s="8">
        <v>3.3216700000000001</v>
      </c>
      <c r="F45" s="33">
        <v>3.3216700000000001</v>
      </c>
      <c r="G45" s="1"/>
      <c r="H45" s="7"/>
      <c r="I45" s="1"/>
      <c r="J45" s="9">
        <v>7.4539929999999996</v>
      </c>
      <c r="K45" s="8">
        <v>7.4494449999999999</v>
      </c>
      <c r="L45" s="9">
        <v>7.4494449999999999</v>
      </c>
      <c r="M45" s="1"/>
      <c r="N45" s="7"/>
      <c r="O45" s="1"/>
      <c r="P45" s="1"/>
      <c r="Q45" s="1"/>
      <c r="R45" s="1"/>
      <c r="S45" s="1"/>
      <c r="T45" s="1"/>
      <c r="U45" s="1"/>
    </row>
    <row r="46" spans="1:28" ht="15.75" customHeight="1">
      <c r="A46" s="1" t="s">
        <v>117</v>
      </c>
      <c r="B46" s="1" t="s">
        <v>118</v>
      </c>
      <c r="C46" s="1" t="s">
        <v>119</v>
      </c>
      <c r="D46" s="7"/>
      <c r="E46" s="8"/>
      <c r="F46" s="9"/>
      <c r="G46" s="1"/>
      <c r="H46" s="7"/>
      <c r="I46" s="1"/>
      <c r="J46" s="7"/>
      <c r="K46" s="8"/>
      <c r="L46" s="9"/>
      <c r="M46" s="1"/>
      <c r="N46" s="7"/>
      <c r="O46" s="1"/>
      <c r="P46" s="1"/>
      <c r="Q46" s="1"/>
      <c r="R46" s="1"/>
      <c r="S46" s="1"/>
      <c r="T46" s="1"/>
      <c r="U46" s="1"/>
    </row>
    <row r="47" spans="1:28" ht="15.75" customHeight="1">
      <c r="A47" s="1" t="s">
        <v>120</v>
      </c>
      <c r="B47" s="1" t="s">
        <v>121</v>
      </c>
      <c r="C47" s="1"/>
      <c r="D47" s="9">
        <v>0</v>
      </c>
      <c r="E47" s="8"/>
      <c r="F47" s="9"/>
      <c r="G47" s="1"/>
      <c r="H47" s="7"/>
      <c r="I47" s="1"/>
      <c r="J47" s="9">
        <v>0</v>
      </c>
      <c r="K47" s="8"/>
      <c r="L47" s="9"/>
      <c r="M47" s="1"/>
      <c r="N47" s="7"/>
      <c r="O47" s="1"/>
      <c r="P47" s="1"/>
      <c r="Q47" s="1"/>
      <c r="R47" s="1"/>
      <c r="S47" s="1"/>
      <c r="T47" s="1"/>
      <c r="U47" s="1"/>
    </row>
    <row r="48" spans="1:28" ht="15.75" customHeight="1">
      <c r="A48" s="1" t="s">
        <v>122</v>
      </c>
      <c r="B48" s="1" t="s">
        <v>123</v>
      </c>
      <c r="C48" s="18" t="s">
        <v>102</v>
      </c>
      <c r="D48" s="7">
        <v>3792.5907000000002</v>
      </c>
      <c r="E48" s="8"/>
      <c r="F48" s="9"/>
      <c r="G48" s="1"/>
      <c r="H48" s="7"/>
      <c r="I48" s="1"/>
      <c r="J48" s="7">
        <v>1896.2953</v>
      </c>
      <c r="K48" s="8"/>
      <c r="L48" s="9"/>
      <c r="M48" s="1"/>
      <c r="N48" s="7"/>
      <c r="O48" s="1"/>
      <c r="P48" s="1"/>
      <c r="Q48" s="1"/>
      <c r="R48" s="1"/>
      <c r="S48" s="1"/>
      <c r="T48" s="1"/>
      <c r="U48" s="1"/>
    </row>
    <row r="49" spans="1:28" ht="15.75" customHeight="1">
      <c r="B49" s="1"/>
      <c r="C49" s="1"/>
      <c r="D49" s="7"/>
      <c r="E49" s="8"/>
      <c r="F49" s="9"/>
      <c r="H49" s="7"/>
      <c r="J49" s="7"/>
      <c r="K49" s="8"/>
      <c r="L49" s="9"/>
      <c r="N49" s="7"/>
    </row>
    <row r="50" spans="1:28" ht="15.75" customHeight="1">
      <c r="A50" s="15" t="s">
        <v>124</v>
      </c>
      <c r="B50" s="15" t="s">
        <v>125</v>
      </c>
      <c r="C50" s="16"/>
      <c r="D50" s="16"/>
      <c r="E50" s="17"/>
      <c r="F50" s="17"/>
      <c r="G50" s="16"/>
      <c r="H50" s="16"/>
      <c r="J50" s="16"/>
      <c r="K50" s="17"/>
      <c r="L50" s="17"/>
      <c r="M50" s="16"/>
      <c r="N50" s="16"/>
      <c r="O50" s="16"/>
      <c r="P50" s="16"/>
      <c r="Q50" s="16"/>
      <c r="R50" s="16"/>
      <c r="S50" s="16"/>
      <c r="T50" s="16"/>
      <c r="U50" s="16"/>
      <c r="V50" s="16"/>
      <c r="W50" s="16"/>
      <c r="X50" s="16"/>
      <c r="Y50" s="16"/>
      <c r="Z50" s="16"/>
      <c r="AA50" s="16"/>
      <c r="AB50" s="16"/>
    </row>
    <row r="51" spans="1:28" ht="15.75" customHeight="1">
      <c r="A51" s="26" t="s">
        <v>126</v>
      </c>
      <c r="B51" s="27"/>
      <c r="C51" s="27"/>
      <c r="D51" s="28">
        <f t="shared" ref="D51:H51" si="1">D33*D13*D41*D27*D26*D25*D15</f>
        <v>3.4337627707241442E-2</v>
      </c>
      <c r="E51" s="28">
        <f t="shared" si="1"/>
        <v>3.3326576554123633E-2</v>
      </c>
      <c r="F51" s="28">
        <f t="shared" si="1"/>
        <v>3.2881415397237788E-2</v>
      </c>
      <c r="G51" s="27">
        <f t="shared" si="1"/>
        <v>0</v>
      </c>
      <c r="H51" s="27">
        <f t="shared" si="1"/>
        <v>0</v>
      </c>
      <c r="I51" s="1"/>
      <c r="J51" s="28">
        <f t="shared" ref="J51:N51" si="2">J33*J13*J41*J27*J26*J25*J15</f>
        <v>2.3425233484176175E-2</v>
      </c>
      <c r="K51" s="28">
        <f t="shared" si="2"/>
        <v>2.6985956740060043E-2</v>
      </c>
      <c r="L51" s="28">
        <f t="shared" si="2"/>
        <v>2.0927796371694743E-2</v>
      </c>
      <c r="M51" s="27">
        <f t="shared" si="2"/>
        <v>0</v>
      </c>
      <c r="N51" s="27">
        <f t="shared" si="2"/>
        <v>0</v>
      </c>
      <c r="O51" s="1"/>
      <c r="P51" s="1"/>
      <c r="Q51" s="1"/>
      <c r="R51" s="1"/>
      <c r="S51" s="1"/>
      <c r="T51" s="1"/>
      <c r="U51" s="1"/>
    </row>
    <row r="52" spans="1:28" ht="15.75" customHeight="1">
      <c r="A52" s="1" t="s">
        <v>127</v>
      </c>
      <c r="B52" s="1" t="s">
        <v>128</v>
      </c>
      <c r="C52" s="1" t="s">
        <v>129</v>
      </c>
      <c r="D52" s="35">
        <v>3.4337630000000001E-2</v>
      </c>
      <c r="E52" s="8">
        <v>3.3328570000000002E-2</v>
      </c>
      <c r="F52" s="9">
        <v>3.2881420000000001E-2</v>
      </c>
      <c r="H52" s="7"/>
      <c r="J52" s="9">
        <v>2.3425229999999998E-2</v>
      </c>
      <c r="K52" s="8">
        <v>2.698596E-2</v>
      </c>
      <c r="L52" s="9">
        <v>2.09278E-2</v>
      </c>
      <c r="N52" s="7"/>
    </row>
    <row r="53" spans="1:28" ht="15.75" customHeight="1">
      <c r="A53" s="26" t="s">
        <v>130</v>
      </c>
      <c r="B53" s="27"/>
      <c r="C53" s="27"/>
      <c r="D53" s="28">
        <f t="shared" ref="D53:H53" si="3">D32*D42*D40*D13*D27*D26*D25*D15</f>
        <v>8.6477147806724466E-5</v>
      </c>
      <c r="E53" s="28">
        <f t="shared" si="3"/>
        <v>8.7889802093340556E-5</v>
      </c>
      <c r="F53" s="28">
        <f t="shared" si="3"/>
        <v>8.7323315562379901E-5</v>
      </c>
      <c r="G53" s="28">
        <f t="shared" si="3"/>
        <v>0</v>
      </c>
      <c r="H53" s="28">
        <f t="shared" si="3"/>
        <v>0</v>
      </c>
      <c r="I53" s="8"/>
      <c r="J53" s="28">
        <f t="shared" ref="J53:N53" si="4">J32*J42*J40*J13*J27*J26*J25*J15</f>
        <v>3.7314766024158796E-4</v>
      </c>
      <c r="K53" s="28">
        <f t="shared" si="4"/>
        <v>4.5252764799575247E-4</v>
      </c>
      <c r="L53" s="28">
        <f t="shared" si="4"/>
        <v>3.3433975814905928E-4</v>
      </c>
      <c r="M53" s="28">
        <f t="shared" si="4"/>
        <v>0</v>
      </c>
      <c r="N53" s="28">
        <f t="shared" si="4"/>
        <v>0</v>
      </c>
      <c r="O53" s="1"/>
      <c r="P53" s="1"/>
      <c r="Q53" s="1"/>
      <c r="R53" s="1"/>
      <c r="S53" s="1"/>
      <c r="T53" s="1"/>
      <c r="U53" s="1"/>
    </row>
    <row r="54" spans="1:28" ht="15.75" customHeight="1">
      <c r="A54" s="1" t="s">
        <v>131</v>
      </c>
      <c r="B54" s="1" t="s">
        <v>132</v>
      </c>
      <c r="C54" s="1" t="s">
        <v>129</v>
      </c>
      <c r="D54" s="35">
        <v>8.6477170000000004E-5</v>
      </c>
      <c r="E54" s="8">
        <v>8.80230224312636E-5</v>
      </c>
      <c r="F54" s="9">
        <v>8.7323977999999999E-5</v>
      </c>
      <c r="H54" s="7"/>
      <c r="J54" s="9">
        <v>3.7314789999999998E-4</v>
      </c>
      <c r="K54" s="8">
        <v>4.5323557943659503E-4</v>
      </c>
      <c r="L54" s="9">
        <v>3.3433999999999997E-4</v>
      </c>
      <c r="N54" s="7"/>
    </row>
    <row r="55" spans="1:28" ht="15.75" customHeight="1">
      <c r="A55" s="1" t="s">
        <v>133</v>
      </c>
      <c r="B55" s="1" t="s">
        <v>134</v>
      </c>
      <c r="C55" s="1" t="s">
        <v>129</v>
      </c>
      <c r="D55" s="9">
        <v>3.2943559999999997E-2</v>
      </c>
      <c r="E55" s="8">
        <v>2.7245826259593899E-2</v>
      </c>
      <c r="F55" s="9">
        <v>0.34949620999999997</v>
      </c>
      <c r="H55" s="7"/>
      <c r="J55" s="9">
        <v>0.17621719999999999</v>
      </c>
      <c r="K55" s="8">
        <v>3.9148747128388797E-2</v>
      </c>
      <c r="L55" s="9">
        <v>1.74780866</v>
      </c>
      <c r="N55" s="7"/>
    </row>
    <row r="56" spans="1:28" ht="15.75" customHeight="1">
      <c r="A56" s="1" t="s">
        <v>135</v>
      </c>
      <c r="B56" s="1" t="s">
        <v>136</v>
      </c>
      <c r="C56" s="1" t="s">
        <v>129</v>
      </c>
      <c r="D56" s="9">
        <v>0.1684678</v>
      </c>
      <c r="E56" s="8">
        <v>0.205315263890224</v>
      </c>
      <c r="F56" s="9">
        <v>0.19829361000000001</v>
      </c>
      <c r="H56" s="7"/>
      <c r="J56" s="23">
        <v>0.6175756</v>
      </c>
      <c r="K56" s="23">
        <v>0.29501162016719801</v>
      </c>
      <c r="L56" s="23">
        <v>0.28821034000000001</v>
      </c>
      <c r="N56" s="7"/>
    </row>
    <row r="57" spans="1:28" ht="15.75" customHeight="1">
      <c r="A57" s="1" t="s">
        <v>137</v>
      </c>
      <c r="B57" s="1" t="s">
        <v>138</v>
      </c>
      <c r="C57" s="1" t="s">
        <v>129</v>
      </c>
      <c r="D57" s="9">
        <v>0</v>
      </c>
      <c r="E57" s="8">
        <v>0</v>
      </c>
      <c r="F57" s="9">
        <v>0</v>
      </c>
      <c r="H57" s="7"/>
      <c r="J57" s="9">
        <v>0</v>
      </c>
      <c r="K57" s="8">
        <v>0</v>
      </c>
      <c r="L57" s="9">
        <v>0</v>
      </c>
      <c r="N57" s="7"/>
    </row>
    <row r="58" spans="1:28" ht="15.75" customHeight="1">
      <c r="A58" s="1" t="s">
        <v>139</v>
      </c>
      <c r="B58" s="1" t="s">
        <v>140</v>
      </c>
      <c r="C58" s="1" t="s">
        <v>129</v>
      </c>
      <c r="D58" s="9">
        <v>3.8136289999999998E-3</v>
      </c>
      <c r="E58" s="8">
        <v>3.8118000000000002E-3</v>
      </c>
      <c r="F58" s="9">
        <v>3.8118599999999998E-3</v>
      </c>
      <c r="H58" s="7"/>
      <c r="J58" s="9">
        <v>7.3863590000000003E-3</v>
      </c>
      <c r="K58" s="8">
        <v>7.4001500000000003E-3</v>
      </c>
      <c r="L58" s="9">
        <v>7.4002900000000003E-3</v>
      </c>
      <c r="N58" s="7"/>
    </row>
    <row r="59" spans="1:28" ht="15.75" customHeight="1">
      <c r="A59" s="1" t="s">
        <v>141</v>
      </c>
      <c r="B59" s="1" t="s">
        <v>142</v>
      </c>
      <c r="C59" s="1" t="s">
        <v>129</v>
      </c>
      <c r="D59" s="35">
        <v>2.5078380000000001E-6</v>
      </c>
      <c r="E59" s="8">
        <v>2.5526676505066399E-6</v>
      </c>
      <c r="F59" s="9">
        <v>2.5323953600000002E-6</v>
      </c>
      <c r="H59" s="7"/>
      <c r="J59" s="9">
        <v>1.082129E-5</v>
      </c>
      <c r="K59" s="8">
        <v>1.31438318036612E-5</v>
      </c>
      <c r="L59" s="9">
        <v>9.6958630800000005E-6</v>
      </c>
      <c r="N59" s="7"/>
    </row>
    <row r="60" spans="1:28" ht="15.75" customHeight="1">
      <c r="B60" s="1"/>
      <c r="C60" s="1"/>
      <c r="D60" s="7"/>
      <c r="E60" s="8"/>
      <c r="F60" s="9"/>
      <c r="H60" s="7"/>
      <c r="J60" s="7"/>
      <c r="K60" s="25"/>
      <c r="L60" s="7"/>
      <c r="N60" s="7"/>
    </row>
    <row r="61" spans="1:28" ht="15.75" customHeight="1">
      <c r="A61" s="15" t="s">
        <v>143</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144</v>
      </c>
      <c r="B62" s="27"/>
      <c r="C62" s="27"/>
      <c r="D62" s="28">
        <f t="shared" ref="D62:H62" si="5">D17^2*(D52+2*SUM(D54:D58))/(D52^2-D17^2*D59^2)</f>
        <v>18491.710286490448</v>
      </c>
      <c r="E62" s="28">
        <f t="shared" si="5"/>
        <v>22332.030934548824</v>
      </c>
      <c r="F62" s="28">
        <f t="shared" si="5"/>
        <v>51495.891018288188</v>
      </c>
      <c r="G62" s="28" t="e">
        <f t="shared" si="5"/>
        <v>#DIV/0!</v>
      </c>
      <c r="H62" s="28" t="e">
        <f t="shared" si="5"/>
        <v>#DIV/0!</v>
      </c>
      <c r="I62" s="8"/>
      <c r="J62" s="28">
        <f t="shared" ref="J62:N62" si="6">J17^2*(J52+2*SUM(J54:J58))/(J52^2-J17^2*J59^2)</f>
        <v>145242.90614381255</v>
      </c>
      <c r="K62" s="28">
        <f t="shared" si="6"/>
        <v>47841.326145499268</v>
      </c>
      <c r="L62" s="28">
        <f t="shared" si="6"/>
        <v>459652.81272891181</v>
      </c>
      <c r="M62" s="28" t="e">
        <f t="shared" si="6"/>
        <v>#DIV/0!</v>
      </c>
      <c r="N62" s="28" t="e">
        <f t="shared" si="6"/>
        <v>#DIV/0!</v>
      </c>
      <c r="O62" s="8"/>
      <c r="P62" s="1"/>
      <c r="Q62" s="1"/>
      <c r="R62" s="1"/>
      <c r="S62" s="1"/>
      <c r="T62" s="1"/>
      <c r="U62" s="1"/>
    </row>
    <row r="63" spans="1:28" ht="13">
      <c r="A63" s="26" t="s">
        <v>145</v>
      </c>
      <c r="B63" s="27"/>
      <c r="C63" s="27"/>
      <c r="D63" s="28">
        <f t="shared" ref="D63:H63" si="7">D17^2*(SUM(D54:D58))/(D52^2-D17^2*D59^2)</f>
        <v>8532.3520155236256</v>
      </c>
      <c r="E63" s="28">
        <f t="shared" si="7"/>
        <v>10430.910209462632</v>
      </c>
      <c r="F63" s="28">
        <f t="shared" si="7"/>
        <v>25002.84365159888</v>
      </c>
      <c r="G63" s="28" t="e">
        <f t="shared" si="7"/>
        <v>#DIV/0!</v>
      </c>
      <c r="H63" s="28" t="e">
        <f t="shared" si="7"/>
        <v>#DIV/0!</v>
      </c>
      <c r="I63" s="8"/>
      <c r="J63" s="28">
        <f t="shared" ref="J63:N63" si="8">J17^2*(SUM(J54:J58))/(J52^2-J17^2*J59^2)</f>
        <v>71575.561262648582</v>
      </c>
      <c r="K63" s="28">
        <f t="shared" si="8"/>
        <v>23012.77301447382</v>
      </c>
      <c r="L63" s="28">
        <f t="shared" si="8"/>
        <v>228655.70243537542</v>
      </c>
      <c r="M63" s="28" t="e">
        <f t="shared" si="8"/>
        <v>#DIV/0!</v>
      </c>
      <c r="N63" s="28" t="e">
        <f t="shared" si="8"/>
        <v>#DIV/0!</v>
      </c>
      <c r="O63" s="25"/>
      <c r="P63" s="25"/>
      <c r="Q63" s="25"/>
      <c r="R63" s="25"/>
      <c r="S63" s="25"/>
      <c r="T63" s="25"/>
      <c r="U63" s="25"/>
      <c r="V63" s="25"/>
      <c r="W63" s="25"/>
      <c r="X63" s="25"/>
      <c r="Y63" s="25"/>
      <c r="Z63" s="25"/>
      <c r="AA63" s="25"/>
      <c r="AB63" s="25"/>
    </row>
    <row r="64" spans="1:28" ht="13">
      <c r="A64" s="1" t="s">
        <v>146</v>
      </c>
      <c r="B64" s="1" t="s">
        <v>147</v>
      </c>
      <c r="C64" s="1" t="s">
        <v>56</v>
      </c>
      <c r="D64" s="9">
        <v>18491.669999999998</v>
      </c>
      <c r="E64" s="8">
        <v>10430.9101265355</v>
      </c>
      <c r="F64" s="9">
        <v>25017.88154079</v>
      </c>
      <c r="H64" s="7"/>
      <c r="J64" s="9">
        <v>145242.9</v>
      </c>
      <c r="K64" s="8">
        <v>23012.779601441402</v>
      </c>
      <c r="L64" s="9">
        <v>228655.77840693001</v>
      </c>
      <c r="N64" s="7"/>
    </row>
    <row r="65" spans="1:14" ht="13">
      <c r="A65" s="1" t="s">
        <v>149</v>
      </c>
      <c r="B65" s="1" t="s">
        <v>150</v>
      </c>
      <c r="C65" s="1" t="s">
        <v>56</v>
      </c>
      <c r="D65" s="9">
        <v>28590.74</v>
      </c>
      <c r="E65" s="8">
        <v>19754.001139189</v>
      </c>
      <c r="F65" s="9">
        <v>33297.878660789997</v>
      </c>
      <c r="H65" s="7"/>
      <c r="J65" s="9">
        <v>168017</v>
      </c>
      <c r="K65" s="8">
        <v>33594.057561585498</v>
      </c>
      <c r="L65" s="9">
        <v>236935.77552693</v>
      </c>
      <c r="N65" s="7"/>
    </row>
    <row r="66" spans="1:14" ht="13">
      <c r="B66" s="1"/>
      <c r="C66" s="1"/>
      <c r="E66" s="8"/>
      <c r="F66" s="8"/>
      <c r="K66" s="8"/>
      <c r="L66" s="8"/>
    </row>
    <row r="67" spans="1:14" ht="13">
      <c r="B67" s="1"/>
      <c r="C67" s="1"/>
      <c r="D67" s="8">
        <f>D64/60/60</f>
        <v>5.1365749999999988</v>
      </c>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300-000000000000}"/>
    <hyperlink ref="M6" r:id="rId2" xr:uid="{00000000-0004-0000-0300-000001000000}"/>
  </hyperlinks>
  <pageMargins left="0.7" right="0.7" top="0.75" bottom="0.75" header="0.3" footer="0.3"/>
  <pageSetup orientation="portrait" horizontalDpi="0" verticalDpi="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39"/>
  <sheetViews>
    <sheetView workbookViewId="0">
      <pane xSplit="3" ySplit="6" topLeftCell="D9" activePane="bottomRight" state="frozen"/>
      <selection pane="topRight" activeCell="D1" sqref="D1"/>
      <selection pane="bottomLeft" activeCell="A7" sqref="A7"/>
      <selection pane="bottomRight" activeCell="A39" sqref="A39:XFD39"/>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44" t="s">
        <v>4</v>
      </c>
      <c r="B1" s="45"/>
      <c r="C1" s="45"/>
      <c r="D1" s="3"/>
      <c r="E1" s="4"/>
      <c r="F1" s="4"/>
      <c r="G1" s="3"/>
      <c r="H1" s="3"/>
      <c r="I1" s="5"/>
      <c r="J1" s="5"/>
      <c r="K1" s="6"/>
      <c r="L1" s="6"/>
      <c r="M1" s="5"/>
      <c r="N1" s="5"/>
      <c r="O1" s="5"/>
      <c r="P1" s="5"/>
      <c r="Q1" s="5"/>
      <c r="R1" s="5"/>
      <c r="S1" s="5"/>
      <c r="T1" s="5"/>
      <c r="U1" s="5"/>
      <c r="V1" s="5"/>
      <c r="W1" s="5"/>
      <c r="X1" s="5"/>
      <c r="Y1" s="5"/>
      <c r="Z1" s="5"/>
      <c r="AA1" s="5"/>
      <c r="AB1" s="5"/>
    </row>
    <row r="2" spans="1:28" ht="15.75" customHeight="1">
      <c r="A2" s="44" t="s">
        <v>5</v>
      </c>
      <c r="B2" s="45"/>
      <c r="C2" s="45"/>
      <c r="D2" s="3"/>
      <c r="E2" s="4"/>
      <c r="F2" s="4"/>
      <c r="G2" s="3"/>
      <c r="H2" s="3"/>
      <c r="I2" s="5"/>
      <c r="J2" s="5"/>
      <c r="K2" s="6"/>
      <c r="L2" s="6"/>
      <c r="M2" s="5"/>
      <c r="N2" s="5"/>
      <c r="O2" s="5"/>
      <c r="P2" s="5"/>
      <c r="Q2" s="5"/>
      <c r="R2" s="5"/>
      <c r="S2" s="5"/>
      <c r="T2" s="5"/>
      <c r="U2" s="5"/>
      <c r="V2" s="5"/>
      <c r="W2" s="5"/>
      <c r="X2" s="5"/>
      <c r="Y2" s="5"/>
      <c r="Z2" s="5"/>
      <c r="AA2" s="5"/>
      <c r="AB2" s="5"/>
    </row>
    <row r="3" spans="1:28" ht="15.75" customHeight="1">
      <c r="A3" s="44" t="s">
        <v>158</v>
      </c>
      <c r="B3" s="45"/>
      <c r="C3" s="45"/>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6" t="s">
        <v>7</v>
      </c>
      <c r="E4" s="45"/>
      <c r="F4" s="45"/>
      <c r="G4" s="45"/>
      <c r="H4" s="45"/>
      <c r="J4" s="47" t="s">
        <v>8</v>
      </c>
      <c r="K4" s="45"/>
      <c r="L4" s="45"/>
      <c r="M4" s="45"/>
      <c r="N4" s="45"/>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159</v>
      </c>
      <c r="H6" s="11" t="s">
        <v>17</v>
      </c>
      <c r="J6" s="11" t="s">
        <v>13</v>
      </c>
      <c r="K6" s="12" t="s">
        <v>14</v>
      </c>
      <c r="L6" s="13" t="s">
        <v>15</v>
      </c>
      <c r="M6" s="14" t="s">
        <v>160</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7">
        <v>13476</v>
      </c>
      <c r="E8" s="8">
        <v>11829.01</v>
      </c>
      <c r="F8" s="9">
        <v>11829.01174346</v>
      </c>
      <c r="H8" s="7"/>
      <c r="J8" s="9">
        <v>3819.346</v>
      </c>
      <c r="K8" s="8">
        <v>3173.48012854429</v>
      </c>
      <c r="L8" s="9">
        <v>3173.4801285399999</v>
      </c>
      <c r="N8" s="7"/>
      <c r="O8" s="8">
        <f t="shared" ref="O8:Q8" si="0">J8/D8</f>
        <v>0.2834183734045711</v>
      </c>
      <c r="P8" s="8">
        <f t="shared" si="0"/>
        <v>0.26827943577224889</v>
      </c>
      <c r="Q8" s="8">
        <f t="shared" si="0"/>
        <v>0.26827939623058938</v>
      </c>
    </row>
    <row r="9" spans="1:28" ht="15.75" customHeight="1">
      <c r="A9" s="1" t="s">
        <v>25</v>
      </c>
      <c r="B9" s="1" t="s">
        <v>26</v>
      </c>
      <c r="C9" s="1"/>
      <c r="D9" s="9">
        <v>6.6341510000000001</v>
      </c>
      <c r="E9" s="8">
        <v>6.2</v>
      </c>
      <c r="F9" s="9">
        <v>6.2</v>
      </c>
      <c r="H9" s="7"/>
      <c r="J9" s="9">
        <v>4.7323089999999999</v>
      </c>
      <c r="K9" s="8">
        <v>5.3209999999999997</v>
      </c>
      <c r="L9" s="9">
        <v>4.3040000000000003</v>
      </c>
      <c r="N9" s="7"/>
    </row>
    <row r="10" spans="1:28" ht="15.75" customHeight="1">
      <c r="A10" s="1" t="s">
        <v>28</v>
      </c>
      <c r="B10" s="1" t="s">
        <v>29</v>
      </c>
      <c r="C10" s="1" t="s">
        <v>30</v>
      </c>
      <c r="D10" s="7">
        <v>0.48</v>
      </c>
      <c r="E10" s="8">
        <v>0.47763924149641901</v>
      </c>
      <c r="F10" s="9">
        <v>0.5</v>
      </c>
      <c r="H10" s="7"/>
      <c r="J10" s="9">
        <v>0.48</v>
      </c>
      <c r="K10" s="8">
        <v>0.47763924149641901</v>
      </c>
      <c r="L10" s="9">
        <v>0.5</v>
      </c>
      <c r="N10" s="7"/>
    </row>
    <row r="11" spans="1:28" ht="15.75" customHeight="1">
      <c r="A11" s="1" t="s">
        <v>31</v>
      </c>
      <c r="B11" s="1" t="s">
        <v>32</v>
      </c>
      <c r="C11" s="1" t="s">
        <v>33</v>
      </c>
      <c r="D11" s="7">
        <v>12.3</v>
      </c>
      <c r="E11" s="8">
        <v>12.270099999999999</v>
      </c>
      <c r="F11" s="9">
        <v>12.28</v>
      </c>
      <c r="H11" s="7"/>
      <c r="J11" s="7">
        <v>12.3</v>
      </c>
      <c r="K11" s="8">
        <v>12.270099999999999</v>
      </c>
      <c r="L11" s="9">
        <v>12.28</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8">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0.56*0.95</f>
        <v>0.53200000000000003</v>
      </c>
      <c r="H27" s="7"/>
      <c r="J27" s="9">
        <v>0.53200000000000003</v>
      </c>
      <c r="K27" s="8">
        <v>0.53200000000000003</v>
      </c>
      <c r="L27" s="9">
        <f>0.56*0.95</f>
        <v>0.53200000000000003</v>
      </c>
      <c r="N27" s="7"/>
    </row>
    <row r="28" spans="1:28" ht="15.75" customHeight="1">
      <c r="A28" s="1" t="s">
        <v>80</v>
      </c>
      <c r="B28" s="1" t="s">
        <v>81</v>
      </c>
      <c r="C28" s="1" t="s">
        <v>82</v>
      </c>
      <c r="D28" s="7">
        <v>135</v>
      </c>
      <c r="E28" s="8"/>
      <c r="F28" s="9">
        <v>179.63309563999999</v>
      </c>
      <c r="H28" s="7"/>
      <c r="J28" s="7">
        <v>135</v>
      </c>
      <c r="K28" s="8"/>
      <c r="L28" s="9">
        <v>179.63309563999999</v>
      </c>
      <c r="N28" s="7"/>
    </row>
    <row r="29" spans="1:28" ht="15.75" customHeight="1">
      <c r="A29" s="1" t="s">
        <v>83</v>
      </c>
      <c r="B29" s="1" t="s">
        <v>84</v>
      </c>
      <c r="C29" s="1" t="s">
        <v>82</v>
      </c>
      <c r="D29" s="7">
        <v>30.1</v>
      </c>
      <c r="E29" s="8"/>
      <c r="F29" s="9">
        <v>30.1</v>
      </c>
      <c r="H29" s="7"/>
      <c r="J29" s="7">
        <v>30.1</v>
      </c>
      <c r="K29" s="8"/>
      <c r="L29" s="9">
        <v>30.1</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29.916969999999999</v>
      </c>
      <c r="E32" s="8">
        <v>30.52</v>
      </c>
      <c r="F32" s="9">
        <f>30516788.01035/100/100/100</f>
        <v>30.516788010349998</v>
      </c>
      <c r="H32" s="7"/>
      <c r="J32" s="9">
        <v>48.872590000000002</v>
      </c>
      <c r="K32" s="8">
        <v>29.437085209999999</v>
      </c>
      <c r="L32" s="9">
        <v>47.416594439999997</v>
      </c>
      <c r="N32" s="7"/>
      <c r="O32" s="8">
        <f t="shared" ref="O32:Q32" si="1">J32/D32</f>
        <v>1.6336076146748819</v>
      </c>
      <c r="P32" s="8">
        <f t="shared" si="1"/>
        <v>0.96451786402359108</v>
      </c>
      <c r="Q32" s="8">
        <f t="shared" si="1"/>
        <v>1.5537871949013213</v>
      </c>
    </row>
    <row r="33" spans="1:28" ht="15.75" customHeight="1">
      <c r="A33" s="1" t="s">
        <v>90</v>
      </c>
      <c r="B33" s="1" t="s">
        <v>91</v>
      </c>
      <c r="C33" s="1" t="s">
        <v>23</v>
      </c>
      <c r="D33" s="9">
        <v>7.273524E-9</v>
      </c>
      <c r="E33" s="8">
        <v>7.3900000000000003E-9</v>
      </c>
      <c r="F33" s="9">
        <f>F32*10^(-0.4*24.08889514)</f>
        <v>7.0628627167325529E-9</v>
      </c>
      <c r="H33" s="7"/>
      <c r="J33" s="9">
        <v>1.1882080000000001E-8</v>
      </c>
      <c r="K33" s="8">
        <v>7.1237746199999996E-9</v>
      </c>
      <c r="L33" s="9">
        <v>1.0974185600000001E-8</v>
      </c>
      <c r="N33" s="7"/>
    </row>
    <row r="34" spans="1:28" ht="15.75" customHeight="1">
      <c r="A34" s="1" t="s">
        <v>93</v>
      </c>
      <c r="B34" s="1" t="s">
        <v>94</v>
      </c>
      <c r="C34" s="1" t="s">
        <v>95</v>
      </c>
      <c r="D34" s="9">
        <v>6.5315729999999997E-6</v>
      </c>
      <c r="E34" s="8">
        <v>7.4599999999999997E-6</v>
      </c>
      <c r="F34" s="9">
        <v>7.9138115600000008E-6</v>
      </c>
      <c r="H34" s="7"/>
      <c r="J34" s="9">
        <v>6.0291380000000002E-6</v>
      </c>
      <c r="K34" s="21">
        <v>2.0023305946669602E-6</v>
      </c>
      <c r="L34" s="9">
        <v>7.3050568200000002E-6</v>
      </c>
      <c r="N34" s="7"/>
    </row>
    <row r="35" spans="1:28" ht="15.75" customHeight="1">
      <c r="A35" s="1" t="s">
        <v>96</v>
      </c>
      <c r="B35" s="1" t="s">
        <v>97</v>
      </c>
      <c r="C35" s="1" t="s">
        <v>95</v>
      </c>
      <c r="D35" s="9">
        <v>3.8428859999999998E-5</v>
      </c>
      <c r="E35" s="8">
        <v>5.62431605572512E-5</v>
      </c>
      <c r="F35" s="9">
        <v>4.8248414800000002E-5</v>
      </c>
      <c r="H35" s="7"/>
      <c r="J35" s="23">
        <v>6.2777690000000006E-5</v>
      </c>
      <c r="K35" s="23">
        <v>1.50888811564214E-5</v>
      </c>
      <c r="L35" s="23">
        <v>1.0817636899999999E-5</v>
      </c>
      <c r="N35" s="7"/>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4.2930910000000004</v>
      </c>
      <c r="E38" s="8">
        <v>4.2985239000000002</v>
      </c>
      <c r="F38" s="9">
        <f>0.05758199/(0.0000005/7.87*180/PI()*3600)</f>
        <v>4.394062851004465</v>
      </c>
      <c r="H38" s="7"/>
      <c r="J38" s="9">
        <v>2.1465459999999998</v>
      </c>
      <c r="K38" s="8">
        <v>2.1492619500000001</v>
      </c>
      <c r="L38" s="9">
        <v>2.1970312500000002</v>
      </c>
      <c r="N38" s="7"/>
    </row>
    <row r="39" spans="1:28" s="43" customFormat="1" ht="15.75" customHeight="1">
      <c r="A39" s="38" t="s">
        <v>167</v>
      </c>
      <c r="B39" s="38" t="s">
        <v>168</v>
      </c>
      <c r="C39" s="39"/>
      <c r="D39" s="40">
        <v>0.42699999999999999</v>
      </c>
      <c r="E39" s="41"/>
      <c r="F39" s="40"/>
      <c r="G39" s="38"/>
      <c r="H39" s="42"/>
      <c r="I39" s="38"/>
      <c r="J39" s="40">
        <v>0.42699999999999999</v>
      </c>
      <c r="K39" s="41"/>
      <c r="L39" s="40"/>
      <c r="M39" s="38"/>
      <c r="N39" s="42"/>
      <c r="O39" s="38"/>
      <c r="P39" s="38"/>
      <c r="Q39" s="38"/>
      <c r="R39" s="38"/>
      <c r="S39" s="38"/>
      <c r="T39" s="38"/>
      <c r="U39" s="38"/>
    </row>
    <row r="40" spans="1:28" ht="15.75" customHeight="1">
      <c r="A40" t="s">
        <v>103</v>
      </c>
      <c r="B40" s="1" t="s">
        <v>104</v>
      </c>
      <c r="C40" s="18" t="s">
        <v>105</v>
      </c>
      <c r="D40" s="9">
        <v>2.2592370000000002</v>
      </c>
      <c r="E40" s="8">
        <v>2.2564700000000002</v>
      </c>
      <c r="F40" s="9">
        <f>0.00039544/(0.0000005/7.87*180/PI()*3600)^2</f>
        <v>2.3027128640465295</v>
      </c>
      <c r="H40" s="7"/>
      <c r="J40" s="9">
        <v>2.2603430000000002</v>
      </c>
      <c r="K40" s="8">
        <v>2.2564700000000002</v>
      </c>
      <c r="L40" s="9">
        <v>2.3027279300000001</v>
      </c>
      <c r="N40" s="7"/>
    </row>
    <row r="41" spans="1:28" ht="15.75" customHeight="1">
      <c r="A41" s="1" t="s">
        <v>106</v>
      </c>
      <c r="B41" s="1" t="s">
        <v>107</v>
      </c>
      <c r="C41" s="18"/>
      <c r="D41" s="9">
        <v>0.26893299999999998</v>
      </c>
      <c r="E41" s="8">
        <v>0.28389702</v>
      </c>
      <c r="F41" s="9">
        <v>0.28759349000000001</v>
      </c>
      <c r="H41" s="7"/>
      <c r="J41" s="9">
        <v>7.8723570000000007E-2</v>
      </c>
      <c r="K41" s="8">
        <v>9.6500379999999997E-2</v>
      </c>
      <c r="L41" s="9">
        <v>0.10291705</v>
      </c>
      <c r="N41" s="7"/>
    </row>
    <row r="42" spans="1:28" ht="15.75" customHeight="1">
      <c r="A42" s="1" t="s">
        <v>108</v>
      </c>
      <c r="B42" s="1" t="s">
        <v>109</v>
      </c>
      <c r="C42" s="30" t="s">
        <v>110</v>
      </c>
      <c r="D42" s="9">
        <v>3.7737199999999998E-14</v>
      </c>
      <c r="E42" s="8">
        <v>5.07115581E-14</v>
      </c>
      <c r="F42" s="9">
        <v>5.6054700500000001E-14</v>
      </c>
      <c r="H42" s="7"/>
      <c r="J42" s="9">
        <v>2.6619829999999999E-13</v>
      </c>
      <c r="K42" s="8">
        <v>2.3097965900000001E-13</v>
      </c>
      <c r="L42" s="9">
        <v>2.2020086400000001E-13</v>
      </c>
      <c r="N42" s="7"/>
    </row>
    <row r="43" spans="1:28" ht="15.75" customHeight="1">
      <c r="A43" s="1" t="s">
        <v>111</v>
      </c>
      <c r="B43" s="1" t="s">
        <v>112</v>
      </c>
      <c r="C43" s="18" t="s">
        <v>110</v>
      </c>
      <c r="D43" s="9">
        <v>8.5720419999999997</v>
      </c>
      <c r="E43" s="8">
        <v>8.7863275400000003</v>
      </c>
      <c r="F43" s="9">
        <v>8.8826219200000001</v>
      </c>
      <c r="H43" s="7"/>
      <c r="J43" s="9">
        <v>4.0772329999999997</v>
      </c>
      <c r="K43" s="8">
        <v>4.6581582700000004</v>
      </c>
      <c r="L43" s="9">
        <v>4.8500691199999997</v>
      </c>
      <c r="N43" s="7"/>
    </row>
    <row r="44" spans="1:28" ht="15.75" customHeight="1">
      <c r="A44" s="1" t="s">
        <v>113</v>
      </c>
      <c r="B44" s="1" t="s">
        <v>114</v>
      </c>
      <c r="C44" s="1"/>
      <c r="D44" s="9">
        <v>9.0369489999999999</v>
      </c>
      <c r="E44" s="8">
        <v>9.0462096699999996</v>
      </c>
      <c r="F44" s="9">
        <v>9.0463677400000009</v>
      </c>
      <c r="H44" s="7"/>
      <c r="J44" s="9">
        <v>36.165489999999998</v>
      </c>
      <c r="K44" s="8">
        <v>36.184838679999999</v>
      </c>
      <c r="L44" s="9">
        <v>36.185470950000003</v>
      </c>
      <c r="N44" s="7"/>
    </row>
    <row r="45" spans="1:28" ht="15.75" customHeight="1">
      <c r="A45" s="1" t="s">
        <v>115</v>
      </c>
      <c r="B45" s="1" t="s">
        <v>116</v>
      </c>
      <c r="C45" s="1"/>
      <c r="D45" s="9">
        <v>3.8919139999999999</v>
      </c>
      <c r="E45" s="8">
        <v>3.8906580000000002</v>
      </c>
      <c r="F45" s="9">
        <v>3.8906580000000002</v>
      </c>
      <c r="G45" s="1"/>
      <c r="H45" s="7"/>
      <c r="I45" s="1"/>
      <c r="J45" s="9">
        <v>3.7184490000000001</v>
      </c>
      <c r="K45" s="8">
        <v>3.7184490000000001</v>
      </c>
      <c r="L45" s="9">
        <v>3.7184490000000001</v>
      </c>
      <c r="M45" s="1"/>
      <c r="N45" s="7"/>
      <c r="O45" s="1"/>
      <c r="P45" s="1"/>
      <c r="Q45" s="1"/>
      <c r="R45" s="1"/>
      <c r="S45" s="1"/>
      <c r="T45" s="1"/>
      <c r="U45" s="1"/>
    </row>
    <row r="46" spans="1:28" ht="15.75" customHeight="1">
      <c r="A46" s="1" t="s">
        <v>117</v>
      </c>
      <c r="B46" s="1" t="s">
        <v>118</v>
      </c>
      <c r="C46" s="1" t="s">
        <v>119</v>
      </c>
      <c r="D46" s="7"/>
      <c r="E46" s="8"/>
      <c r="F46" s="9"/>
      <c r="G46" s="1"/>
      <c r="H46" s="7"/>
      <c r="I46" s="1"/>
      <c r="J46" s="7"/>
      <c r="K46" s="8"/>
      <c r="L46" s="9"/>
      <c r="M46" s="1"/>
      <c r="N46" s="7"/>
      <c r="O46" s="1"/>
      <c r="P46" s="1"/>
      <c r="Q46" s="1"/>
      <c r="R46" s="1"/>
      <c r="S46" s="1"/>
      <c r="T46" s="1"/>
      <c r="U46" s="1"/>
    </row>
    <row r="47" spans="1:28" ht="15.75" customHeight="1">
      <c r="A47" s="1" t="s">
        <v>120</v>
      </c>
      <c r="B47" s="1" t="s">
        <v>121</v>
      </c>
      <c r="C47" s="1"/>
      <c r="D47" s="9">
        <v>0</v>
      </c>
      <c r="E47" s="8"/>
      <c r="F47" s="9"/>
      <c r="G47" s="1"/>
      <c r="H47" s="7"/>
      <c r="I47" s="1"/>
      <c r="J47" s="9">
        <v>0</v>
      </c>
      <c r="K47" s="8"/>
      <c r="L47" s="9"/>
      <c r="M47" s="1"/>
      <c r="N47" s="7"/>
      <c r="O47" s="1"/>
      <c r="P47" s="1"/>
      <c r="Q47" s="1"/>
      <c r="R47" s="1"/>
      <c r="S47" s="1"/>
      <c r="T47" s="1"/>
      <c r="U47" s="1"/>
    </row>
    <row r="48" spans="1:28" ht="15.75" customHeight="1">
      <c r="A48" s="1" t="s">
        <v>122</v>
      </c>
      <c r="B48" s="1" t="s">
        <v>123</v>
      </c>
      <c r="C48" s="18" t="s">
        <v>102</v>
      </c>
      <c r="D48" s="7">
        <v>7470.7168000000001</v>
      </c>
      <c r="E48" s="8"/>
      <c r="F48" s="9"/>
      <c r="G48" s="1"/>
      <c r="H48" s="7"/>
      <c r="I48" s="1"/>
      <c r="J48" s="7">
        <v>3735.3584000000001</v>
      </c>
      <c r="K48" s="8"/>
      <c r="L48" s="9"/>
      <c r="M48" s="1"/>
      <c r="N48" s="7"/>
      <c r="O48" s="1"/>
      <c r="P48" s="1"/>
      <c r="Q48" s="1"/>
      <c r="R48" s="1"/>
      <c r="S48" s="1"/>
      <c r="T48" s="1"/>
      <c r="U48" s="1"/>
    </row>
    <row r="49" spans="1:28" ht="15.75" customHeight="1">
      <c r="B49" s="1"/>
      <c r="C49" s="1"/>
      <c r="D49" s="7"/>
      <c r="E49" s="8"/>
      <c r="F49" s="9"/>
      <c r="H49" s="7"/>
      <c r="J49" s="7"/>
      <c r="K49" s="8"/>
      <c r="L49" s="9"/>
      <c r="N49" s="7"/>
    </row>
    <row r="50" spans="1:28" ht="15.75" customHeight="1">
      <c r="A50" s="15" t="s">
        <v>124</v>
      </c>
      <c r="B50" s="15" t="s">
        <v>125</v>
      </c>
      <c r="C50" s="16"/>
      <c r="D50" s="16"/>
      <c r="E50" s="17"/>
      <c r="F50" s="17"/>
      <c r="G50" s="16"/>
      <c r="H50" s="16"/>
      <c r="J50" s="16"/>
      <c r="K50" s="17"/>
      <c r="L50" s="17"/>
      <c r="M50" s="16"/>
      <c r="N50" s="16"/>
      <c r="O50" s="16"/>
      <c r="P50" s="16"/>
      <c r="Q50" s="16"/>
      <c r="R50" s="16"/>
      <c r="S50" s="16"/>
      <c r="T50" s="16"/>
      <c r="U50" s="16"/>
      <c r="V50" s="16"/>
      <c r="W50" s="16"/>
      <c r="X50" s="16"/>
      <c r="Y50" s="16"/>
      <c r="Z50" s="16"/>
      <c r="AA50" s="16"/>
      <c r="AB50" s="16"/>
    </row>
    <row r="51" spans="1:28" ht="15.75" customHeight="1">
      <c r="A51" s="26" t="s">
        <v>126</v>
      </c>
      <c r="B51" s="27"/>
      <c r="C51" s="27"/>
      <c r="D51" s="28">
        <f t="shared" ref="D51:H51" si="2">D33*D13*D41*D27*D26*D25*D15</f>
        <v>3.0030252633557037E-2</v>
      </c>
      <c r="E51" s="28">
        <f t="shared" si="2"/>
        <v>3.2208855948061506E-2</v>
      </c>
      <c r="F51" s="28">
        <f t="shared" si="2"/>
        <v>3.1183857892248507E-2</v>
      </c>
      <c r="G51" s="27">
        <f t="shared" si="2"/>
        <v>0</v>
      </c>
      <c r="H51" s="27">
        <f t="shared" si="2"/>
        <v>0</v>
      </c>
      <c r="I51" s="1"/>
      <c r="J51" s="28">
        <f t="shared" ref="J51:N51" si="3">J33*J13*J41*J27*J26*J25*J15</f>
        <v>2.8720848181135114E-2</v>
      </c>
      <c r="K51" s="28">
        <f t="shared" si="3"/>
        <v>2.1107617565194917E-2</v>
      </c>
      <c r="L51" s="28">
        <f t="shared" si="3"/>
        <v>3.4678447973950102E-2</v>
      </c>
      <c r="M51" s="27">
        <f t="shared" si="3"/>
        <v>0</v>
      </c>
      <c r="N51" s="27">
        <f t="shared" si="3"/>
        <v>0</v>
      </c>
      <c r="O51" s="1"/>
      <c r="P51" s="1"/>
      <c r="Q51" s="1"/>
      <c r="R51" s="1"/>
      <c r="S51" s="1"/>
      <c r="T51" s="1"/>
      <c r="U51" s="1"/>
    </row>
    <row r="52" spans="1:28" ht="15.75" customHeight="1">
      <c r="A52" s="1" t="s">
        <v>127</v>
      </c>
      <c r="B52" s="1" t="s">
        <v>128</v>
      </c>
      <c r="C52" s="1" t="s">
        <v>129</v>
      </c>
      <c r="D52" s="9">
        <v>3.0030250000000001E-2</v>
      </c>
      <c r="E52" s="8">
        <v>3.2187340000000002E-2</v>
      </c>
      <c r="F52" s="9">
        <v>3.1183860000000001E-2</v>
      </c>
      <c r="H52" s="7"/>
      <c r="J52" s="9">
        <v>2.8720860000000001E-2</v>
      </c>
      <c r="K52" s="8">
        <v>2.1107620000000001E-2</v>
      </c>
      <c r="L52" s="9">
        <v>3.467845E-2</v>
      </c>
      <c r="N52" s="7"/>
    </row>
    <row r="53" spans="1:28" ht="15.75" customHeight="1">
      <c r="A53" s="26" t="s">
        <v>130</v>
      </c>
      <c r="B53" s="27"/>
      <c r="C53" s="27"/>
      <c r="D53" s="28">
        <f t="shared" ref="D53:H53" si="4">D32*D42*D40*D13*D27*D26*D25*D15</f>
        <v>3.9157872186299283E-5</v>
      </c>
      <c r="E53" s="28">
        <f t="shared" si="4"/>
        <v>5.3615588132665772E-5</v>
      </c>
      <c r="F53" s="28">
        <f t="shared" si="4"/>
        <v>6.0472882642483922E-5</v>
      </c>
      <c r="G53" s="28">
        <f t="shared" si="4"/>
        <v>0</v>
      </c>
      <c r="H53" s="28">
        <f t="shared" si="4"/>
        <v>0</v>
      </c>
      <c r="I53" s="8"/>
      <c r="J53" s="28">
        <f t="shared" ref="J53:N53" si="5">J32*J42*J40*J13*J27*J26*J25*J15</f>
        <v>9.029110923406674E-4</v>
      </c>
      <c r="K53" s="28">
        <f t="shared" si="5"/>
        <v>4.7108375396711185E-4</v>
      </c>
      <c r="L53" s="28">
        <f t="shared" si="5"/>
        <v>7.3823057549149982E-4</v>
      </c>
      <c r="M53" s="28">
        <f t="shared" si="5"/>
        <v>0</v>
      </c>
      <c r="N53" s="28">
        <f t="shared" si="5"/>
        <v>0</v>
      </c>
      <c r="O53" s="1"/>
      <c r="P53" s="1"/>
      <c r="Q53" s="1"/>
      <c r="R53" s="1"/>
      <c r="S53" s="1"/>
      <c r="T53" s="1"/>
      <c r="U53" s="1"/>
    </row>
    <row r="54" spans="1:28" ht="15.75" customHeight="1">
      <c r="A54" s="1" t="s">
        <v>131</v>
      </c>
      <c r="B54" s="1" t="s">
        <v>132</v>
      </c>
      <c r="C54" s="1" t="s">
        <v>129</v>
      </c>
      <c r="D54" s="9">
        <v>3.9157869999999998E-5</v>
      </c>
      <c r="E54" s="8">
        <v>5.3693812389303502E-5</v>
      </c>
      <c r="F54" s="9">
        <v>6.0473341499999999E-5</v>
      </c>
      <c r="H54" s="7"/>
      <c r="J54" s="9">
        <v>9.0291120000000002E-4</v>
      </c>
      <c r="K54" s="8">
        <v>4.7182071303275601E-4</v>
      </c>
      <c r="L54" s="9">
        <v>7.3822999999999998E-4</v>
      </c>
      <c r="N54" s="7"/>
    </row>
    <row r="55" spans="1:28" ht="15.75" customHeight="1">
      <c r="A55" s="1" t="s">
        <v>133</v>
      </c>
      <c r="B55" s="1" t="s">
        <v>134</v>
      </c>
      <c r="C55" s="1" t="s">
        <v>129</v>
      </c>
      <c r="D55" s="9">
        <v>2.0842739999999998E-2</v>
      </c>
      <c r="E55" s="8">
        <v>2.4420533399380499E-2</v>
      </c>
      <c r="F55" s="9">
        <v>2.6672319999999999E-2</v>
      </c>
      <c r="H55" s="7"/>
      <c r="J55" s="9">
        <v>7.3244660000000003E-2</v>
      </c>
      <c r="K55" s="8">
        <v>2.7786849209939801E-2</v>
      </c>
      <c r="L55" s="9">
        <v>0.1075463</v>
      </c>
      <c r="N55" s="7"/>
    </row>
    <row r="56" spans="1:28" ht="15.75" customHeight="1">
      <c r="A56" s="1" t="s">
        <v>135</v>
      </c>
      <c r="B56" s="1" t="s">
        <v>136</v>
      </c>
      <c r="C56" s="1" t="s">
        <v>129</v>
      </c>
      <c r="D56" s="9">
        <v>0.1226294</v>
      </c>
      <c r="E56" s="8">
        <v>0.184024819488391</v>
      </c>
      <c r="F56" s="9">
        <v>0.16187193999999999</v>
      </c>
      <c r="H56" s="7"/>
      <c r="J56" s="9">
        <v>0.76265150000000004</v>
      </c>
      <c r="K56" s="8">
        <v>0.209392228514551</v>
      </c>
      <c r="L56" s="9">
        <v>0.18969489</v>
      </c>
      <c r="N56" s="7"/>
    </row>
    <row r="57" spans="1:28" ht="15.75" customHeight="1">
      <c r="A57" s="1" t="s">
        <v>137</v>
      </c>
      <c r="B57" s="1" t="s">
        <v>138</v>
      </c>
      <c r="C57" s="1" t="s">
        <v>129</v>
      </c>
      <c r="D57" s="9">
        <v>0</v>
      </c>
      <c r="E57" s="8">
        <v>0</v>
      </c>
      <c r="F57" s="9">
        <v>0</v>
      </c>
      <c r="H57" s="7"/>
      <c r="J57" s="9">
        <v>0</v>
      </c>
      <c r="K57" s="8">
        <v>0</v>
      </c>
      <c r="L57" s="9">
        <v>0</v>
      </c>
      <c r="N57" s="7"/>
    </row>
    <row r="58" spans="1:28" ht="15.75" customHeight="1">
      <c r="A58" s="1" t="s">
        <v>139</v>
      </c>
      <c r="B58" s="1" t="s">
        <v>140</v>
      </c>
      <c r="C58" s="1" t="s">
        <v>129</v>
      </c>
      <c r="D58" s="9">
        <v>3.2896829999999998E-3</v>
      </c>
      <c r="E58" s="8">
        <v>3.2940299999999999E-3</v>
      </c>
      <c r="F58" s="9">
        <v>3.29409E-3</v>
      </c>
      <c r="H58" s="7"/>
      <c r="J58" s="9">
        <v>1.372871E-2</v>
      </c>
      <c r="K58" s="8">
        <v>1.373606E-2</v>
      </c>
      <c r="L58" s="9">
        <v>1.373631E-2</v>
      </c>
      <c r="N58" s="7"/>
    </row>
    <row r="59" spans="1:28" ht="15.75" customHeight="1">
      <c r="A59" s="1" t="s">
        <v>141</v>
      </c>
      <c r="B59" s="1" t="s">
        <v>142</v>
      </c>
      <c r="C59" s="1" t="s">
        <v>129</v>
      </c>
      <c r="D59" s="9">
        <v>1.135578E-6</v>
      </c>
      <c r="E59" s="8">
        <v>1.5571205592898001E-6</v>
      </c>
      <c r="F59" s="9">
        <v>1.7537269E-6</v>
      </c>
      <c r="H59" s="7"/>
      <c r="J59" s="9">
        <v>2.6184420000000001E-5</v>
      </c>
      <c r="K59" s="8">
        <v>1.36828006779499E-5</v>
      </c>
      <c r="L59" s="9">
        <v>2.14087091E-5</v>
      </c>
      <c r="N59" s="7"/>
    </row>
    <row r="60" spans="1:28" ht="15.75" customHeight="1">
      <c r="B60" s="1"/>
      <c r="C60" s="1"/>
      <c r="D60" s="7"/>
      <c r="E60" s="8"/>
      <c r="F60" s="9"/>
      <c r="H60" s="7"/>
      <c r="J60" s="7"/>
      <c r="K60" s="25"/>
      <c r="L60" s="7"/>
      <c r="N60" s="7"/>
    </row>
    <row r="61" spans="1:28" ht="15.75" customHeight="1">
      <c r="A61" s="15" t="s">
        <v>143</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144</v>
      </c>
      <c r="B62" s="27"/>
      <c r="C62" s="27"/>
      <c r="D62" s="28">
        <f t="shared" ref="D62:H62" si="6">D17^2*(D52+2*SUM(D54:D58))/(D52^2-D17^2*D59^2)</f>
        <v>17584.497258820764</v>
      </c>
      <c r="E62" s="28">
        <f t="shared" si="6"/>
        <v>21556.339698195621</v>
      </c>
      <c r="F62" s="28">
        <f t="shared" si="6"/>
        <v>20910.535096382369</v>
      </c>
      <c r="G62" s="28" t="e">
        <f t="shared" si="6"/>
        <v>#DIV/0!</v>
      </c>
      <c r="H62" s="28" t="e">
        <f t="shared" si="6"/>
        <v>#DIV/0!</v>
      </c>
      <c r="I62" s="8"/>
      <c r="J62" s="28">
        <f t="shared" ref="J62:N62" si="7">J17^2*(J52+2*SUM(J54:J58))/(J52^2-J17^2*J59^2)</f>
        <v>102756.39540983819</v>
      </c>
      <c r="K62" s="28">
        <f t="shared" si="7"/>
        <v>57618.186026317817</v>
      </c>
      <c r="L62" s="28">
        <f t="shared" si="7"/>
        <v>26815.337373554918</v>
      </c>
      <c r="M62" s="28" t="e">
        <f t="shared" si="7"/>
        <v>#DIV/0!</v>
      </c>
      <c r="N62" s="28" t="e">
        <f t="shared" si="7"/>
        <v>#DIV/0!</v>
      </c>
      <c r="O62" s="8"/>
      <c r="P62" s="1"/>
      <c r="Q62" s="1"/>
      <c r="R62" s="1"/>
      <c r="S62" s="1"/>
      <c r="T62" s="1"/>
      <c r="U62" s="1"/>
    </row>
    <row r="63" spans="1:28" ht="13">
      <c r="A63" s="26" t="s">
        <v>145</v>
      </c>
      <c r="B63" s="27"/>
      <c r="C63" s="27"/>
      <c r="D63" s="28">
        <f t="shared" ref="D63:H63" si="8">D17^2*(SUM(D54:D58))/(D52^2-D17^2*D59^2)</f>
        <v>7976.4045483042937</v>
      </c>
      <c r="E63" s="28">
        <f t="shared" si="8"/>
        <v>10017.000929592552</v>
      </c>
      <c r="F63" s="28">
        <f t="shared" si="8"/>
        <v>9669.6045867465127</v>
      </c>
      <c r="G63" s="28" t="e">
        <f t="shared" si="8"/>
        <v>#DIV/0!</v>
      </c>
      <c r="H63" s="28" t="e">
        <f t="shared" si="8"/>
        <v>#DIV/0!</v>
      </c>
      <c r="I63" s="8"/>
      <c r="J63" s="28">
        <f t="shared" ref="J63:N63" si="9">J17^2*(SUM(J54:J58))/(J52^2-J17^2*J59^2)</f>
        <v>50525.124438208746</v>
      </c>
      <c r="K63" s="28">
        <f t="shared" si="9"/>
        <v>27648.350850925668</v>
      </c>
      <c r="L63" s="28">
        <f t="shared" si="9"/>
        <v>12701.164862559132</v>
      </c>
      <c r="M63" s="28" t="e">
        <f t="shared" si="9"/>
        <v>#DIV/0!</v>
      </c>
      <c r="N63" s="28" t="e">
        <f t="shared" si="9"/>
        <v>#DIV/0!</v>
      </c>
      <c r="O63" s="25"/>
      <c r="P63" s="25"/>
      <c r="Q63" s="25"/>
      <c r="R63" s="25"/>
      <c r="S63" s="25"/>
      <c r="T63" s="25"/>
      <c r="U63" s="25"/>
      <c r="V63" s="25"/>
      <c r="W63" s="25"/>
      <c r="X63" s="25"/>
      <c r="Y63" s="25"/>
      <c r="Z63" s="25"/>
      <c r="AA63" s="25"/>
      <c r="AB63" s="25"/>
    </row>
    <row r="64" spans="1:28" ht="13">
      <c r="A64" s="1" t="s">
        <v>146</v>
      </c>
      <c r="B64" s="1" t="s">
        <v>147</v>
      </c>
      <c r="C64" s="1" t="s">
        <v>56</v>
      </c>
      <c r="D64" s="9">
        <v>17584.47</v>
      </c>
      <c r="E64" s="8">
        <v>10017.002424456699</v>
      </c>
      <c r="F64" s="9">
        <v>9712.4078477900002</v>
      </c>
      <c r="H64" s="7"/>
      <c r="J64" s="9">
        <v>102755.7</v>
      </c>
      <c r="K64" s="8">
        <v>27648.355686532599</v>
      </c>
      <c r="L64" s="9">
        <v>12701.167047659999</v>
      </c>
      <c r="N64" s="7"/>
    </row>
    <row r="65" spans="1:14" ht="13">
      <c r="A65" s="1" t="s">
        <v>149</v>
      </c>
      <c r="B65" s="1" t="s">
        <v>150</v>
      </c>
      <c r="C65" s="1" t="s">
        <v>56</v>
      </c>
      <c r="D65" s="9">
        <v>27592.81</v>
      </c>
      <c r="E65" s="8">
        <v>19298.702666902402</v>
      </c>
      <c r="F65" s="9">
        <v>17992.40496779</v>
      </c>
      <c r="H65" s="7"/>
      <c r="J65" s="9">
        <v>121281.1</v>
      </c>
      <c r="K65" s="8">
        <v>38693.191255185797</v>
      </c>
      <c r="L65" s="9">
        <v>20981.164167660001</v>
      </c>
      <c r="N65" s="7"/>
    </row>
    <row r="66" spans="1:14" ht="13">
      <c r="B66" s="1"/>
      <c r="C66" s="1"/>
      <c r="E66" s="8"/>
      <c r="F66" s="8"/>
      <c r="K66" s="8"/>
      <c r="L66" s="8"/>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400-000000000000}"/>
    <hyperlink ref="M6" r:id="rId2" xr:uid="{00000000-0004-0000-0400-000001000000}"/>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39"/>
  <sheetViews>
    <sheetView workbookViewId="0">
      <pane xSplit="3" ySplit="6" topLeftCell="D27" activePane="bottomRight" state="frozen"/>
      <selection pane="topRight" activeCell="D1" sqref="D1"/>
      <selection pane="bottomLeft" activeCell="A7" sqref="A7"/>
      <selection pane="bottomRight" activeCell="D44" sqref="D44"/>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44" t="s">
        <v>4</v>
      </c>
      <c r="B1" s="45"/>
      <c r="C1" s="45"/>
      <c r="D1" s="3"/>
      <c r="E1" s="4"/>
      <c r="F1" s="4"/>
      <c r="G1" s="3"/>
      <c r="H1" s="3"/>
      <c r="I1" s="5"/>
      <c r="J1" s="5"/>
      <c r="K1" s="6"/>
      <c r="L1" s="6"/>
      <c r="M1" s="5"/>
      <c r="N1" s="5"/>
      <c r="O1" s="5"/>
      <c r="P1" s="5"/>
      <c r="Q1" s="5"/>
      <c r="R1" s="5"/>
      <c r="S1" s="5"/>
      <c r="T1" s="5"/>
      <c r="U1" s="5"/>
      <c r="V1" s="5"/>
      <c r="W1" s="5"/>
      <c r="X1" s="5"/>
      <c r="Y1" s="5"/>
      <c r="Z1" s="5"/>
      <c r="AA1" s="5"/>
      <c r="AB1" s="5"/>
    </row>
    <row r="2" spans="1:28" ht="15.75" customHeight="1">
      <c r="A2" s="44" t="s">
        <v>5</v>
      </c>
      <c r="B2" s="45"/>
      <c r="C2" s="45"/>
      <c r="D2" s="3"/>
      <c r="E2" s="4"/>
      <c r="F2" s="4"/>
      <c r="G2" s="3"/>
      <c r="H2" s="3"/>
      <c r="I2" s="5"/>
      <c r="J2" s="5"/>
      <c r="K2" s="6"/>
      <c r="L2" s="6"/>
      <c r="M2" s="5"/>
      <c r="N2" s="5"/>
      <c r="O2" s="5"/>
      <c r="P2" s="5"/>
      <c r="Q2" s="5"/>
      <c r="R2" s="5"/>
      <c r="S2" s="5"/>
      <c r="T2" s="5"/>
      <c r="U2" s="5"/>
      <c r="V2" s="5"/>
      <c r="W2" s="5"/>
      <c r="X2" s="5"/>
      <c r="Y2" s="5"/>
      <c r="Z2" s="5"/>
      <c r="AA2" s="5"/>
      <c r="AB2" s="5"/>
    </row>
    <row r="3" spans="1:28" ht="15.75" customHeight="1">
      <c r="A3" s="44" t="s">
        <v>161</v>
      </c>
      <c r="B3" s="45"/>
      <c r="C3" s="45"/>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6" t="s">
        <v>7</v>
      </c>
      <c r="E4" s="45"/>
      <c r="F4" s="45"/>
      <c r="G4" s="45"/>
      <c r="H4" s="45"/>
      <c r="J4" s="47" t="s">
        <v>8</v>
      </c>
      <c r="K4" s="45"/>
      <c r="L4" s="45"/>
      <c r="M4" s="45"/>
      <c r="N4" s="45"/>
    </row>
    <row r="5" spans="1:28" ht="15.75" customHeight="1">
      <c r="B5" s="1"/>
      <c r="C5" s="1"/>
      <c r="D5" s="1" t="s">
        <v>9</v>
      </c>
      <c r="E5" s="8" t="s">
        <v>9</v>
      </c>
      <c r="F5" s="8" t="s">
        <v>9</v>
      </c>
      <c r="G5" s="1" t="s">
        <v>9</v>
      </c>
      <c r="H5" s="1" t="s">
        <v>9</v>
      </c>
      <c r="J5" s="7" t="s">
        <v>9</v>
      </c>
      <c r="K5" s="8" t="s">
        <v>9</v>
      </c>
      <c r="L5" s="9" t="s">
        <v>9</v>
      </c>
      <c r="M5" s="1" t="s">
        <v>9</v>
      </c>
      <c r="N5" s="7" t="s">
        <v>9</v>
      </c>
    </row>
    <row r="6" spans="1:28" ht="15.75" customHeight="1">
      <c r="A6" s="10" t="s">
        <v>10</v>
      </c>
      <c r="B6" s="10" t="s">
        <v>11</v>
      </c>
      <c r="C6" s="10" t="s">
        <v>12</v>
      </c>
      <c r="D6" s="11" t="s">
        <v>13</v>
      </c>
      <c r="E6" s="12" t="s">
        <v>162</v>
      </c>
      <c r="F6" s="13" t="s">
        <v>15</v>
      </c>
      <c r="G6" s="14" t="s">
        <v>163</v>
      </c>
      <c r="H6" s="11" t="s">
        <v>17</v>
      </c>
      <c r="J6" s="11" t="s">
        <v>13</v>
      </c>
      <c r="K6" s="12" t="s">
        <v>14</v>
      </c>
      <c r="L6" s="13" t="s">
        <v>15</v>
      </c>
      <c r="M6" s="14" t="s">
        <v>164</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165</v>
      </c>
      <c r="C8" s="1" t="s">
        <v>23</v>
      </c>
      <c r="D8" s="7">
        <v>13476</v>
      </c>
      <c r="E8" s="8">
        <v>11829.01</v>
      </c>
      <c r="F8" s="9">
        <v>11829.01174346</v>
      </c>
      <c r="H8" s="7"/>
      <c r="J8" s="9">
        <v>3819.346</v>
      </c>
      <c r="K8" s="8">
        <v>3173.48012854429</v>
      </c>
      <c r="L8" s="9">
        <v>3173.4801285399999</v>
      </c>
      <c r="N8" s="7"/>
    </row>
    <row r="9" spans="1:28" ht="15.75" customHeight="1">
      <c r="A9" s="1" t="s">
        <v>25</v>
      </c>
      <c r="B9" s="1" t="s">
        <v>26</v>
      </c>
      <c r="C9" s="1"/>
      <c r="D9" s="9">
        <v>7.0092449999999999</v>
      </c>
      <c r="E9" s="8">
        <v>6.4459999999999997</v>
      </c>
      <c r="F9" s="9">
        <v>6.48</v>
      </c>
      <c r="H9" s="7"/>
      <c r="J9" s="9">
        <v>5.1732690000000003</v>
      </c>
      <c r="K9" s="8">
        <v>5.2639999999999896</v>
      </c>
      <c r="L9" s="9">
        <v>4.5330000000000004</v>
      </c>
      <c r="N9" s="7"/>
    </row>
    <row r="10" spans="1:28" ht="15.75" customHeight="1">
      <c r="A10" s="1" t="s">
        <v>28</v>
      </c>
      <c r="B10" s="1" t="s">
        <v>29</v>
      </c>
      <c r="C10" s="1" t="s">
        <v>30</v>
      </c>
      <c r="D10" s="7">
        <v>0.2</v>
      </c>
      <c r="E10" s="8">
        <v>0.196336027683604</v>
      </c>
      <c r="F10" s="9">
        <v>0.2</v>
      </c>
      <c r="H10" s="7"/>
      <c r="J10" s="7">
        <v>0.2</v>
      </c>
      <c r="K10" s="8">
        <v>0.196336027683604</v>
      </c>
      <c r="L10" s="9">
        <v>0.2</v>
      </c>
      <c r="N10" s="7"/>
    </row>
    <row r="11" spans="1:28" ht="15.75" customHeight="1">
      <c r="A11" s="1" t="s">
        <v>31</v>
      </c>
      <c r="B11" s="1" t="s">
        <v>32</v>
      </c>
      <c r="C11" s="1" t="s">
        <v>33</v>
      </c>
      <c r="D11" s="7">
        <v>7.6</v>
      </c>
      <c r="E11" s="8">
        <v>7.6014999999999997</v>
      </c>
      <c r="F11" s="9">
        <v>7.61</v>
      </c>
      <c r="H11" s="7"/>
      <c r="J11" s="7">
        <v>7.6</v>
      </c>
      <c r="K11" s="8">
        <v>7.6014999999999997</v>
      </c>
      <c r="L11" s="9">
        <v>7.61</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1">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c r="AA20" s="8"/>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7">
        <v>135</v>
      </c>
      <c r="E28" s="8"/>
      <c r="F28" s="9">
        <v>65.573002979999998</v>
      </c>
      <c r="H28" s="7"/>
      <c r="J28" s="7">
        <v>135</v>
      </c>
      <c r="K28" s="8"/>
      <c r="L28" s="9">
        <v>65.573002979999998</v>
      </c>
      <c r="N28" s="7"/>
    </row>
    <row r="29" spans="1:28" ht="15.75" customHeight="1">
      <c r="A29" s="1" t="s">
        <v>83</v>
      </c>
      <c r="B29" s="1" t="s">
        <v>84</v>
      </c>
      <c r="C29" s="1" t="s">
        <v>82</v>
      </c>
      <c r="D29" s="7">
        <v>22.8</v>
      </c>
      <c r="E29" s="8"/>
      <c r="F29" s="9">
        <v>22.8</v>
      </c>
      <c r="H29" s="7"/>
      <c r="J29" s="7">
        <v>22.8</v>
      </c>
      <c r="K29" s="8"/>
      <c r="L29" s="9">
        <v>22.8</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21.17775</v>
      </c>
      <c r="E32" s="8">
        <v>21.75</v>
      </c>
      <c r="F32" s="9">
        <f>21076245.8209046/100/100/100</f>
        <v>21.0762458209046</v>
      </c>
      <c r="H32" s="7"/>
      <c r="J32" s="9">
        <v>32.55977</v>
      </c>
      <c r="K32" s="8">
        <v>34.19794426</v>
      </c>
      <c r="L32" s="9">
        <v>34.3787077</v>
      </c>
      <c r="N32" s="7"/>
    </row>
    <row r="33" spans="1:28" ht="15.75" customHeight="1">
      <c r="A33" s="1" t="s">
        <v>90</v>
      </c>
      <c r="B33" s="1" t="s">
        <v>91</v>
      </c>
      <c r="C33" s="1" t="s">
        <v>23</v>
      </c>
      <c r="D33" s="9">
        <v>1.2523929999999999E-8</v>
      </c>
      <c r="E33" s="8">
        <v>1.28E-8</v>
      </c>
      <c r="F33" s="9">
        <f>F32*10^(-0.4*23.09404512)</f>
        <v>1.2194814747240407E-8</v>
      </c>
      <c r="H33" s="7"/>
      <c r="J33" s="9">
        <v>1.925494E-8</v>
      </c>
      <c r="K33" s="8">
        <v>2.0142589199999999E-8</v>
      </c>
      <c r="L33" s="9">
        <v>1.9891681600000001E-8</v>
      </c>
      <c r="N33" s="7"/>
    </row>
    <row r="34" spans="1:28" ht="15.75" customHeight="1">
      <c r="A34" s="1" t="s">
        <v>93</v>
      </c>
      <c r="B34" s="1" t="s">
        <v>94</v>
      </c>
      <c r="C34" s="1" t="s">
        <v>95</v>
      </c>
      <c r="D34" s="9">
        <v>7.5646189999999999E-6</v>
      </c>
      <c r="E34" s="8">
        <v>7.4599999999999997E-6</v>
      </c>
      <c r="F34" s="9">
        <v>1.2437964899999999E-5</v>
      </c>
      <c r="H34" s="7"/>
      <c r="J34" s="9">
        <v>6.9827190000000004E-6</v>
      </c>
      <c r="K34" s="21">
        <v>2.0023305946669602E-6</v>
      </c>
      <c r="L34" s="9">
        <v>1.14811984E-5</v>
      </c>
      <c r="N34" s="7"/>
      <c r="AA34" s="8"/>
    </row>
    <row r="35" spans="1:28" ht="15.75" customHeight="1">
      <c r="A35" s="1" t="s">
        <v>96</v>
      </c>
      <c r="B35" s="1" t="s">
        <v>97</v>
      </c>
      <c r="C35" s="1" t="s">
        <v>95</v>
      </c>
      <c r="D35" s="9">
        <v>2.5408249999999999E-5</v>
      </c>
      <c r="E35" s="8">
        <v>5.62431605572512E-5</v>
      </c>
      <c r="F35" s="9">
        <v>3.5792796999999999E-5</v>
      </c>
      <c r="H35" s="7"/>
      <c r="J35" s="23">
        <v>3.9063960000000001E-5</v>
      </c>
      <c r="K35" s="23">
        <v>1.50888811564214E-5</v>
      </c>
      <c r="L35" s="23">
        <v>8.0249990200000005E-6</v>
      </c>
      <c r="N35" s="7"/>
      <c r="AA35" s="8"/>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4.4421439999999999</v>
      </c>
      <c r="E38" s="8">
        <v>4.4480908599999998</v>
      </c>
      <c r="F38" s="9">
        <f>0.05876657/(0.0000005/7.87*180/PI()*3600)</f>
        <v>4.4844577639285035</v>
      </c>
      <c r="H38" s="7"/>
      <c r="J38" s="9">
        <v>2.2210719999999999</v>
      </c>
      <c r="K38" s="8">
        <v>2.2240454299999999</v>
      </c>
      <c r="L38" s="9">
        <v>2.2422288699999999</v>
      </c>
      <c r="N38" s="7"/>
    </row>
    <row r="39" spans="1:28" s="43" customFormat="1" ht="15.75" customHeight="1">
      <c r="A39" s="38" t="s">
        <v>167</v>
      </c>
      <c r="B39" s="38" t="s">
        <v>168</v>
      </c>
      <c r="C39" s="39"/>
      <c r="D39" s="40">
        <v>0.41349999999999998</v>
      </c>
      <c r="E39" s="41"/>
      <c r="F39" s="40"/>
      <c r="G39" s="38"/>
      <c r="H39" s="42"/>
      <c r="I39" s="38"/>
      <c r="J39" s="40">
        <v>0.41349999999999998</v>
      </c>
      <c r="K39" s="41"/>
      <c r="L39" s="40"/>
      <c r="M39" s="38"/>
      <c r="N39" s="42"/>
      <c r="O39" s="38"/>
      <c r="P39" s="38"/>
      <c r="Q39" s="38"/>
      <c r="R39" s="38"/>
      <c r="S39" s="38"/>
      <c r="T39" s="38"/>
      <c r="U39" s="38"/>
    </row>
    <row r="40" spans="1:28" ht="15.75" customHeight="1">
      <c r="A40" t="s">
        <v>103</v>
      </c>
      <c r="B40" s="1" t="s">
        <v>104</v>
      </c>
      <c r="C40" s="18" t="s">
        <v>105</v>
      </c>
      <c r="D40" s="9">
        <v>2.2602799999999998</v>
      </c>
      <c r="E40" s="8">
        <v>2.2564700000000002</v>
      </c>
      <c r="F40" s="9">
        <f>0.00039544/(0.0000005/7.87*180/PI()*3600)^2</f>
        <v>2.3027128640465295</v>
      </c>
      <c r="H40" s="7"/>
      <c r="J40" s="9">
        <v>2.261981</v>
      </c>
      <c r="K40" s="8">
        <v>2.2564700000000002</v>
      </c>
      <c r="L40" s="9">
        <v>2.3027279300000001</v>
      </c>
      <c r="N40" s="7"/>
    </row>
    <row r="41" spans="1:28" ht="15.75" customHeight="1">
      <c r="A41" s="1" t="s">
        <v>106</v>
      </c>
      <c r="B41" s="1" t="s">
        <v>107</v>
      </c>
      <c r="C41" s="18"/>
      <c r="D41" s="9">
        <v>0.28431190000000001</v>
      </c>
      <c r="E41" s="8">
        <v>0.28968389</v>
      </c>
      <c r="F41" s="9">
        <v>0.29109095000000001</v>
      </c>
      <c r="H41" s="7"/>
      <c r="J41" s="9">
        <v>0.12231119999999999</v>
      </c>
      <c r="K41" s="8">
        <v>0.10644134</v>
      </c>
      <c r="L41" s="9">
        <v>0.10881356</v>
      </c>
      <c r="N41" s="7"/>
    </row>
    <row r="42" spans="1:28" ht="15.75" customHeight="1">
      <c r="A42" s="1" t="s">
        <v>108</v>
      </c>
      <c r="B42" s="1" t="s">
        <v>109</v>
      </c>
      <c r="C42" s="30" t="s">
        <v>110</v>
      </c>
      <c r="D42" s="9">
        <v>9.2887560000000006E-14</v>
      </c>
      <c r="E42" s="8">
        <v>8.5596955500000005E-14</v>
      </c>
      <c r="F42" s="9">
        <v>6.4876165899999996E-14</v>
      </c>
      <c r="H42" s="7"/>
      <c r="J42" s="9">
        <v>1.9307810000000001E-13</v>
      </c>
      <c r="K42" s="8">
        <v>2.2177495700000001E-13</v>
      </c>
      <c r="L42" s="9">
        <v>2.11170887E-13</v>
      </c>
      <c r="N42" s="7"/>
    </row>
    <row r="43" spans="1:28" ht="15.75" customHeight="1">
      <c r="A43" s="1" t="s">
        <v>111</v>
      </c>
      <c r="B43" s="1" t="s">
        <v>112</v>
      </c>
      <c r="C43" s="18" t="s">
        <v>110</v>
      </c>
      <c r="D43" s="9">
        <v>8.8996180000000003</v>
      </c>
      <c r="E43" s="8">
        <v>8.9317350999999992</v>
      </c>
      <c r="F43" s="9">
        <v>8.9616135999999997</v>
      </c>
      <c r="H43" s="7"/>
      <c r="J43" s="9">
        <v>5.5027299999999997</v>
      </c>
      <c r="K43" s="8">
        <v>4.9585973900000004</v>
      </c>
      <c r="L43" s="9">
        <v>5.0316484800000003</v>
      </c>
      <c r="N43" s="7"/>
    </row>
    <row r="44" spans="1:28" ht="15.75" customHeight="1">
      <c r="A44" s="1" t="s">
        <v>113</v>
      </c>
      <c r="B44" s="1" t="s">
        <v>114</v>
      </c>
      <c r="C44" s="1"/>
      <c r="D44" s="9">
        <v>9.0411190000000001</v>
      </c>
      <c r="E44" s="8">
        <v>9.0462096699999996</v>
      </c>
      <c r="F44" s="9">
        <v>9.0463677400000009</v>
      </c>
      <c r="H44" s="7"/>
      <c r="J44" s="9">
        <v>36.191699999999997</v>
      </c>
      <c r="K44" s="8">
        <v>36.184838679999999</v>
      </c>
      <c r="L44" s="9">
        <v>36.185470950000003</v>
      </c>
      <c r="N44" s="7"/>
    </row>
    <row r="45" spans="1:28" ht="15.75" customHeight="1">
      <c r="A45" s="1" t="s">
        <v>115</v>
      </c>
      <c r="B45" s="1" t="s">
        <v>116</v>
      </c>
      <c r="C45" s="1"/>
      <c r="D45" s="9">
        <v>2.7895509999999999</v>
      </c>
      <c r="E45" s="8">
        <v>2.7890700000000002</v>
      </c>
      <c r="F45" s="9">
        <v>2.7890700000000002</v>
      </c>
      <c r="G45" s="1"/>
      <c r="H45" s="7"/>
      <c r="I45" s="1"/>
      <c r="J45" s="9">
        <v>3.0070299999999999</v>
      </c>
      <c r="K45" s="8">
        <v>3.0063569999999999</v>
      </c>
      <c r="L45" s="9">
        <v>3.0063569999999999</v>
      </c>
      <c r="M45" s="1"/>
      <c r="N45" s="7"/>
      <c r="O45" s="1"/>
      <c r="P45" s="1"/>
      <c r="Q45" s="1"/>
      <c r="R45" s="1"/>
      <c r="S45" s="1"/>
      <c r="T45" s="1"/>
      <c r="U45" s="1"/>
    </row>
    <row r="46" spans="1:28" ht="15.75" customHeight="1">
      <c r="A46" s="1" t="s">
        <v>117</v>
      </c>
      <c r="B46" s="1" t="s">
        <v>118</v>
      </c>
      <c r="C46" s="1" t="s">
        <v>119</v>
      </c>
      <c r="D46" s="7"/>
      <c r="E46" s="8"/>
      <c r="F46" s="9"/>
      <c r="G46" s="1"/>
      <c r="H46" s="7"/>
      <c r="I46" s="1"/>
      <c r="J46" s="7"/>
      <c r="K46" s="8"/>
      <c r="L46" s="9"/>
      <c r="M46" s="1"/>
      <c r="N46" s="7"/>
      <c r="O46" s="1"/>
      <c r="P46" s="1"/>
      <c r="Q46" s="1"/>
      <c r="R46" s="1"/>
      <c r="S46" s="1"/>
      <c r="T46" s="1"/>
      <c r="U46" s="1"/>
    </row>
    <row r="47" spans="1:28" ht="15.75" customHeight="1">
      <c r="A47" s="1" t="s">
        <v>120</v>
      </c>
      <c r="B47" s="1" t="s">
        <v>121</v>
      </c>
      <c r="C47" s="1"/>
      <c r="D47" s="9">
        <v>0</v>
      </c>
      <c r="E47" s="8"/>
      <c r="F47" s="9"/>
      <c r="G47" s="1"/>
      <c r="H47" s="7"/>
      <c r="I47" s="1"/>
      <c r="J47" s="9">
        <v>0</v>
      </c>
      <c r="K47" s="8"/>
      <c r="L47" s="9"/>
      <c r="M47" s="1"/>
      <c r="N47" s="7"/>
      <c r="O47" s="1"/>
      <c r="P47" s="1"/>
      <c r="Q47" s="1"/>
      <c r="R47" s="1"/>
      <c r="S47" s="1"/>
      <c r="T47" s="1"/>
      <c r="U47" s="1"/>
    </row>
    <row r="48" spans="1:28" ht="15.75" customHeight="1">
      <c r="A48" s="1" t="s">
        <v>122</v>
      </c>
      <c r="B48" s="1" t="s">
        <v>123</v>
      </c>
      <c r="C48" s="18" t="s">
        <v>102</v>
      </c>
      <c r="D48" s="7">
        <v>540750.41</v>
      </c>
      <c r="E48" s="8"/>
      <c r="F48" s="9"/>
      <c r="G48" s="1"/>
      <c r="H48" s="7"/>
      <c r="I48" s="1"/>
      <c r="J48" s="7">
        <v>270375.2</v>
      </c>
      <c r="K48" s="8"/>
      <c r="L48" s="9"/>
      <c r="M48" s="1"/>
      <c r="N48" s="7"/>
      <c r="O48" s="1"/>
      <c r="P48" s="1"/>
      <c r="Q48" s="1"/>
      <c r="R48" s="1"/>
      <c r="S48" s="1"/>
      <c r="T48" s="1"/>
      <c r="U48" s="1"/>
    </row>
    <row r="49" spans="1:28" ht="15.75" customHeight="1">
      <c r="B49" s="1"/>
      <c r="C49" s="1"/>
      <c r="D49" s="7"/>
      <c r="E49" s="8"/>
      <c r="F49" s="9"/>
      <c r="H49" s="7"/>
      <c r="J49" s="7"/>
      <c r="K49" s="8"/>
      <c r="L49" s="9"/>
      <c r="N49" s="7"/>
    </row>
    <row r="50" spans="1:28" ht="15.75" customHeight="1">
      <c r="A50" s="15" t="s">
        <v>124</v>
      </c>
      <c r="B50" s="15" t="s">
        <v>125</v>
      </c>
      <c r="C50" s="16"/>
      <c r="D50" s="16"/>
      <c r="E50" s="17"/>
      <c r="F50" s="17"/>
      <c r="G50" s="16"/>
      <c r="H50" s="16"/>
      <c r="J50" s="16"/>
      <c r="K50" s="17"/>
      <c r="L50" s="17"/>
      <c r="M50" s="16"/>
      <c r="N50" s="16"/>
      <c r="O50" s="16"/>
      <c r="P50" s="16"/>
      <c r="Q50" s="16"/>
      <c r="R50" s="16"/>
      <c r="S50" s="16"/>
      <c r="T50" s="16"/>
      <c r="U50" s="16"/>
      <c r="V50" s="16"/>
      <c r="W50" s="16"/>
      <c r="X50" s="16"/>
      <c r="Y50" s="16"/>
      <c r="Z50" s="16"/>
      <c r="AA50" s="16"/>
      <c r="AB50" s="16"/>
    </row>
    <row r="51" spans="1:28" ht="15.75" customHeight="1">
      <c r="A51" s="26" t="s">
        <v>126</v>
      </c>
      <c r="B51" s="27"/>
      <c r="C51" s="27"/>
      <c r="D51" s="28">
        <f t="shared" ref="D51:H51" si="0">D33*D13*D41*D27*D26*D25*D15</f>
        <v>5.4664538034121114E-2</v>
      </c>
      <c r="E51" s="28">
        <f t="shared" si="0"/>
        <v>5.6925170513587094E-2</v>
      </c>
      <c r="F51" s="28">
        <f t="shared" si="0"/>
        <v>5.4497168401904841E-2</v>
      </c>
      <c r="G51" s="27">
        <f t="shared" si="0"/>
        <v>0</v>
      </c>
      <c r="H51" s="27">
        <f t="shared" si="0"/>
        <v>0</v>
      </c>
      <c r="I51" s="1"/>
      <c r="J51" s="28">
        <f t="shared" ref="J51:N51" si="1">J33*J13*J41*J27*J26*J25*J15</f>
        <v>7.2311672332120464E-2</v>
      </c>
      <c r="K51" s="28">
        <f t="shared" si="1"/>
        <v>6.5830272268090698E-2</v>
      </c>
      <c r="L51" s="28">
        <f t="shared" si="1"/>
        <v>6.6459112987779359E-2</v>
      </c>
      <c r="M51" s="27">
        <f t="shared" si="1"/>
        <v>0</v>
      </c>
      <c r="N51" s="27">
        <f t="shared" si="1"/>
        <v>0</v>
      </c>
      <c r="O51" s="1"/>
      <c r="P51" s="1"/>
      <c r="Q51" s="1"/>
      <c r="R51" s="1"/>
      <c r="S51" s="1"/>
      <c r="T51" s="1"/>
      <c r="U51" s="1"/>
    </row>
    <row r="52" spans="1:28" ht="15.75" customHeight="1">
      <c r="A52" s="1" t="s">
        <v>127</v>
      </c>
      <c r="B52" s="1" t="s">
        <v>128</v>
      </c>
      <c r="C52" s="1" t="s">
        <v>129</v>
      </c>
      <c r="D52" s="9">
        <v>5.4664530000000003E-2</v>
      </c>
      <c r="E52" s="8">
        <v>5.6964319999999999E-2</v>
      </c>
      <c r="F52" s="9">
        <v>5.4497169999999998E-2</v>
      </c>
      <c r="H52" s="7"/>
      <c r="J52" s="9">
        <v>7.2311650000000005E-2</v>
      </c>
      <c r="K52" s="8">
        <v>6.5830269999999996E-2</v>
      </c>
      <c r="L52" s="9">
        <v>6.6459119999999997E-2</v>
      </c>
      <c r="N52" s="7"/>
    </row>
    <row r="53" spans="1:28" ht="15.75" customHeight="1">
      <c r="A53" s="26" t="s">
        <v>130</v>
      </c>
      <c r="B53" s="27"/>
      <c r="C53" s="27"/>
      <c r="D53" s="28">
        <f t="shared" ref="D53:H53" si="2">D32*D42*D40*D13*D27*D26*D25*D15</f>
        <v>6.8260525497682072E-5</v>
      </c>
      <c r="E53" s="28">
        <f t="shared" si="2"/>
        <v>6.4493681720463643E-5</v>
      </c>
      <c r="F53" s="28">
        <f t="shared" si="2"/>
        <v>4.8337951865559228E-5</v>
      </c>
      <c r="G53" s="28">
        <f t="shared" si="2"/>
        <v>0</v>
      </c>
      <c r="H53" s="28">
        <f t="shared" si="2"/>
        <v>0</v>
      </c>
      <c r="I53" s="8"/>
      <c r="J53" s="28">
        <f t="shared" ref="J53:N53" si="3">J32*J42*J40*J13*J27*J26*J25*J15</f>
        <v>4.3661967922392912E-4</v>
      </c>
      <c r="K53" s="28">
        <f t="shared" si="3"/>
        <v>5.2546293851964392E-4</v>
      </c>
      <c r="L53" s="28">
        <f t="shared" si="3"/>
        <v>5.1329406489164584E-4</v>
      </c>
      <c r="M53" s="28">
        <f t="shared" si="3"/>
        <v>0</v>
      </c>
      <c r="N53" s="28">
        <f t="shared" si="3"/>
        <v>0</v>
      </c>
      <c r="O53" s="1"/>
      <c r="P53" s="1"/>
      <c r="Q53" s="1"/>
      <c r="R53" s="1"/>
      <c r="S53" s="1"/>
      <c r="T53" s="1"/>
      <c r="U53" s="1"/>
    </row>
    <row r="54" spans="1:28" ht="15.75" customHeight="1">
      <c r="A54" s="1" t="s">
        <v>131</v>
      </c>
      <c r="B54" s="1" t="s">
        <v>132</v>
      </c>
      <c r="C54" s="1" t="s">
        <v>129</v>
      </c>
      <c r="D54" s="9">
        <v>6.8260519999999996E-5</v>
      </c>
      <c r="E54" s="8">
        <v>6.45847583970687E-5</v>
      </c>
      <c r="F54" s="9">
        <v>4.8338318600000003E-5</v>
      </c>
      <c r="H54" s="7"/>
      <c r="J54" s="9">
        <v>4.3661969999999998E-4</v>
      </c>
      <c r="K54" s="8">
        <v>5.2628496836664102E-4</v>
      </c>
      <c r="L54" s="9">
        <v>5.1329000000000001E-4</v>
      </c>
      <c r="N54" s="7"/>
    </row>
    <row r="55" spans="1:28" ht="15.75" customHeight="1">
      <c r="A55" s="1" t="s">
        <v>133</v>
      </c>
      <c r="B55" s="1" t="s">
        <v>134</v>
      </c>
      <c r="C55" s="1" t="s">
        <v>129</v>
      </c>
      <c r="D55" s="9">
        <v>2.50733E-2</v>
      </c>
      <c r="E55" s="21">
        <v>2.4824676097111399E-2</v>
      </c>
      <c r="F55" s="9">
        <v>4.22931E-2</v>
      </c>
      <c r="H55" s="7"/>
      <c r="J55" s="9">
        <v>0.11457050000000001</v>
      </c>
      <c r="K55" s="8">
        <v>2.9579028866358801E-2</v>
      </c>
      <c r="L55" s="9">
        <v>0.17535633</v>
      </c>
      <c r="N55" s="7"/>
    </row>
    <row r="56" spans="1:28" ht="15.75" customHeight="1">
      <c r="A56" s="1" t="s">
        <v>135</v>
      </c>
      <c r="B56" s="1" t="s">
        <v>136</v>
      </c>
      <c r="C56" s="1" t="s">
        <v>129</v>
      </c>
      <c r="D56" s="9">
        <v>8.4216879999999994E-2</v>
      </c>
      <c r="E56" s="8">
        <v>0.18707030116486301</v>
      </c>
      <c r="F56" s="9">
        <v>0.12115161000000001</v>
      </c>
      <c r="H56" s="7"/>
      <c r="J56" s="9">
        <v>0.64095040000000003</v>
      </c>
      <c r="K56" s="8">
        <v>0.22289748379991101</v>
      </c>
      <c r="L56" s="9">
        <v>0.14599250999999999</v>
      </c>
      <c r="N56" s="7"/>
    </row>
    <row r="57" spans="1:28" ht="15.75" customHeight="1">
      <c r="A57" s="1" t="s">
        <v>137</v>
      </c>
      <c r="B57" s="1" t="s">
        <v>138</v>
      </c>
      <c r="C57" s="1" t="s">
        <v>129</v>
      </c>
      <c r="D57" s="9">
        <v>0</v>
      </c>
      <c r="E57" s="8">
        <v>0</v>
      </c>
      <c r="F57" s="9">
        <v>0</v>
      </c>
      <c r="H57" s="7"/>
      <c r="J57" s="9">
        <v>0</v>
      </c>
      <c r="K57" s="8">
        <v>0</v>
      </c>
      <c r="L57" s="9">
        <v>0</v>
      </c>
      <c r="N57" s="7"/>
    </row>
    <row r="58" spans="1:28" ht="15.75" customHeight="1">
      <c r="A58" s="1" t="s">
        <v>139</v>
      </c>
      <c r="B58" s="1" t="s">
        <v>140</v>
      </c>
      <c r="C58" s="1" t="s">
        <v>129</v>
      </c>
      <c r="D58" s="9">
        <v>4.4846189999999996E-3</v>
      </c>
      <c r="E58" s="8">
        <v>4.4878699999999997E-3</v>
      </c>
      <c r="F58" s="9">
        <v>4.4879500000000001E-3</v>
      </c>
      <c r="H58" s="7"/>
      <c r="J58" s="9">
        <v>1.6732150000000001E-2</v>
      </c>
      <c r="K58" s="8">
        <v>1.6732489999999999E-2</v>
      </c>
      <c r="L58" s="9">
        <v>1.6732799999999999E-2</v>
      </c>
      <c r="N58" s="7"/>
    </row>
    <row r="59" spans="1:28" ht="15.75" customHeight="1">
      <c r="A59" s="1" t="s">
        <v>141</v>
      </c>
      <c r="B59" s="1" t="s">
        <v>142</v>
      </c>
      <c r="C59" s="1" t="s">
        <v>129</v>
      </c>
      <c r="D59" s="9">
        <v>1.9795549999999999E-6</v>
      </c>
      <c r="E59" s="8">
        <v>1.87295799351499E-6</v>
      </c>
      <c r="F59" s="9">
        <v>1.40181124E-6</v>
      </c>
      <c r="H59" s="7"/>
      <c r="J59" s="9">
        <v>1.266197E-5</v>
      </c>
      <c r="K59" s="8">
        <v>1.52622640826326E-5</v>
      </c>
      <c r="L59" s="9">
        <v>1.4885543400000001E-5</v>
      </c>
      <c r="N59" s="7"/>
    </row>
    <row r="60" spans="1:28" ht="15.75" customHeight="1">
      <c r="B60" s="1"/>
      <c r="C60" s="1"/>
      <c r="D60" s="7"/>
      <c r="E60" s="8"/>
      <c r="F60" s="9"/>
      <c r="H60" s="7"/>
      <c r="J60" s="7"/>
      <c r="K60" s="25"/>
      <c r="L60" s="7"/>
      <c r="N60" s="7"/>
    </row>
    <row r="61" spans="1:28" ht="15.75" customHeight="1">
      <c r="A61" s="15" t="s">
        <v>166</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144</v>
      </c>
      <c r="B62" s="27"/>
      <c r="C62" s="27"/>
      <c r="D62" s="28">
        <f t="shared" ref="D62:H62" si="4">D17^2*(D52+2*SUM(D54:D58))/(D52^2-D17^2*D59^2)</f>
        <v>4629.9218603352092</v>
      </c>
      <c r="E62" s="28">
        <f t="shared" si="4"/>
        <v>7397.1005623260135</v>
      </c>
      <c r="F62" s="28">
        <f t="shared" si="4"/>
        <v>6442.0459260439002</v>
      </c>
      <c r="G62" s="28" t="e">
        <f t="shared" si="4"/>
        <v>#DIV/0!</v>
      </c>
      <c r="H62" s="28" t="e">
        <f t="shared" si="4"/>
        <v>#DIV/0!</v>
      </c>
      <c r="I62" s="8"/>
      <c r="J62" s="28">
        <f t="shared" ref="J62:N62" si="5">J17^2*(J52+2*SUM(J54:J58))/(J52^2-J17^2*J59^2)</f>
        <v>15159.181623200733</v>
      </c>
      <c r="K62" s="28">
        <f t="shared" si="5"/>
        <v>6844.1139490149089</v>
      </c>
      <c r="L62" s="28">
        <f t="shared" si="5"/>
        <v>8250.0382372170534</v>
      </c>
      <c r="M62" s="28" t="e">
        <f t="shared" si="5"/>
        <v>#DIV/0!</v>
      </c>
      <c r="N62" s="28" t="e">
        <f t="shared" si="5"/>
        <v>#DIV/0!</v>
      </c>
      <c r="O62" s="8"/>
      <c r="P62" s="1"/>
      <c r="Q62" s="1"/>
      <c r="R62" s="1"/>
      <c r="S62" s="1"/>
      <c r="T62" s="1"/>
      <c r="U62" s="1"/>
    </row>
    <row r="63" spans="1:28" ht="13">
      <c r="A63" s="26" t="s">
        <v>145</v>
      </c>
      <c r="B63" s="27"/>
      <c r="C63" s="27"/>
      <c r="D63" s="28">
        <f t="shared" ref="D63:H63" si="6">D17^2*(SUM(D54:D58))/(D52^2-D17^2*D59^2)</f>
        <v>1866.7726520593883</v>
      </c>
      <c r="E63" s="28">
        <f t="shared" si="6"/>
        <v>3268.4564733581574</v>
      </c>
      <c r="F63" s="28">
        <f t="shared" si="6"/>
        <v>2771.4583196777899</v>
      </c>
      <c r="G63" s="28" t="e">
        <f t="shared" si="6"/>
        <v>#DIV/0!</v>
      </c>
      <c r="H63" s="28" t="e">
        <f t="shared" si="6"/>
        <v>#DIV/0!</v>
      </c>
      <c r="I63" s="8"/>
      <c r="J63" s="28">
        <f t="shared" ref="J63:N63" si="7">J17^2*(SUM(J54:J58))/(J52^2-J17^2*J59^2)</f>
        <v>7240.7790598485999</v>
      </c>
      <c r="K63" s="28">
        <f t="shared" si="7"/>
        <v>3049.8867779054767</v>
      </c>
      <c r="L63" s="28">
        <f t="shared" si="7"/>
        <v>3756.3705384600021</v>
      </c>
      <c r="M63" s="28" t="e">
        <f t="shared" si="7"/>
        <v>#DIV/0!</v>
      </c>
      <c r="N63" s="28" t="e">
        <f t="shared" si="7"/>
        <v>#DIV/0!</v>
      </c>
      <c r="O63" s="25"/>
      <c r="P63" s="25"/>
      <c r="Q63" s="25"/>
      <c r="R63" s="25"/>
      <c r="S63" s="25"/>
      <c r="T63" s="25"/>
      <c r="U63" s="25"/>
      <c r="V63" s="25"/>
      <c r="W63" s="25"/>
      <c r="X63" s="25"/>
      <c r="Y63" s="25"/>
      <c r="Z63" s="25"/>
      <c r="AA63" s="25"/>
      <c r="AB63" s="25"/>
    </row>
    <row r="64" spans="1:28" ht="13">
      <c r="A64" s="1" t="s">
        <v>146</v>
      </c>
      <c r="B64" s="1" t="s">
        <v>147</v>
      </c>
      <c r="C64" s="1" t="s">
        <v>56</v>
      </c>
      <c r="D64" s="9">
        <v>4629.9219999999996</v>
      </c>
      <c r="E64" s="8">
        <v>3268.45654444604</v>
      </c>
      <c r="F64" s="9">
        <v>2765.7757485500001</v>
      </c>
      <c r="H64" s="7"/>
      <c r="J64" s="9">
        <v>15159.17</v>
      </c>
      <c r="K64" s="8">
        <v>3049.8866310691101</v>
      </c>
      <c r="L64" s="9">
        <v>3756.3709844300001</v>
      </c>
      <c r="N64" s="7"/>
    </row>
    <row r="65" spans="1:14" ht="13">
      <c r="A65" s="1" t="s">
        <v>149</v>
      </c>
      <c r="B65" s="1" t="s">
        <v>150</v>
      </c>
      <c r="C65" s="1" t="s">
        <v>56</v>
      </c>
      <c r="D65" s="9">
        <v>13342.81</v>
      </c>
      <c r="E65" s="8">
        <v>11875.3021988906</v>
      </c>
      <c r="F65" s="9">
        <v>11045.772868550001</v>
      </c>
      <c r="H65" s="7"/>
      <c r="J65" s="9">
        <v>24924.99</v>
      </c>
      <c r="K65" s="8">
        <v>11634.875294175999</v>
      </c>
      <c r="L65" s="9">
        <v>12036.368104429999</v>
      </c>
      <c r="N65" s="7"/>
    </row>
    <row r="66" spans="1:14" ht="13">
      <c r="B66" s="1"/>
      <c r="C66" s="1"/>
      <c r="E66" s="8"/>
      <c r="F66" s="8"/>
      <c r="K66" s="8"/>
      <c r="L66" s="8"/>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500-000000000000}"/>
    <hyperlink ref="M6" r:id="rId2" xr:uid="{00000000-0004-0000-05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HIP 32439 (Detection)</vt:lpstr>
      <vt:lpstr>HIP 77052 (Detection)</vt:lpstr>
      <vt:lpstr>HIP 79672 (Detection)</vt:lpstr>
      <vt:lpstr>HIP 26779 (Detection)</vt:lpstr>
      <vt:lpstr>HIP 113283 (Detection)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Alei, Eleonora (GSFC-6930)[NPP POST-DOC CONTRACT]</cp:lastModifiedBy>
  <dcterms:modified xsi:type="dcterms:W3CDTF">2025-04-15T22:42:52Z</dcterms:modified>
</cp:coreProperties>
</file>