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3f51c8f50362/Documents/City investment training/Amazon/"/>
    </mc:Choice>
  </mc:AlternateContent>
  <xr:revisionPtr revIDLastSave="2150" documentId="8_{9A267E41-1969-4359-B4B3-A00331551A77}" xr6:coauthVersionLast="47" xr6:coauthVersionMax="47" xr10:uidLastSave="{337F93C2-B46B-4B6B-B307-80CBF6315AC2}"/>
  <bookViews>
    <workbookView xWindow="12870" yWindow="3660" windowWidth="26520" windowHeight="14460" tabRatio="1000" activeTab="8" xr2:uid="{95C51687-746A-44B1-9C15-52A93BDC035E}"/>
  </bookViews>
  <sheets>
    <sheet name="IS" sheetId="1" r:id="rId1"/>
    <sheet name="BS" sheetId="2" r:id="rId2"/>
    <sheet name="Revenue" sheetId="16" r:id="rId3"/>
    <sheet name="CF" sheetId="7" r:id="rId4"/>
    <sheet name="PP&amp;E" sheetId="3" r:id="rId5"/>
    <sheet name="Debt" sheetId="5" r:id="rId6"/>
    <sheet name="SH" sheetId="6" r:id="rId7"/>
    <sheet name="DCF" sheetId="8" r:id="rId8"/>
    <sheet name="DCF (2)" sheetId="17" r:id="rId9"/>
    <sheet name="Credit spreads" sheetId="9" r:id="rId10"/>
    <sheet name="LBO" sheetId="11" r:id="rId11"/>
    <sheet name="ASOS M&amp;A" sheetId="12" r:id="rId12"/>
    <sheet name="Public comp" sheetId="13" r:id="rId13"/>
    <sheet name="Charts" sheetId="10" r:id="rId14"/>
    <sheet name="Sheet1" sheetId="18" r:id="rId15"/>
  </sheets>
  <externalReferences>
    <externalReference r:id="rId16"/>
  </externalReferences>
  <definedNames>
    <definedName name="CIQWBGuid" hidden="1">"ab508404-a108-4d4f-b84c-e5fce791e559"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"06/24/2017 13:39:53"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8" l="1"/>
  <c r="C21" i="8"/>
  <c r="C22" i="12"/>
  <c r="C44" i="11"/>
  <c r="D59" i="8"/>
  <c r="S34" i="2"/>
  <c r="T9" i="6"/>
  <c r="J4" i="10" l="1"/>
  <c r="K4" i="10"/>
  <c r="L4" i="10"/>
  <c r="M4" i="10"/>
  <c r="N4" i="10"/>
  <c r="J5" i="10"/>
  <c r="K5" i="10"/>
  <c r="L5" i="10"/>
  <c r="L6" i="10" s="1"/>
  <c r="M5" i="10"/>
  <c r="M6" i="10" s="1"/>
  <c r="N5" i="10"/>
  <c r="N6" i="10" s="1"/>
  <c r="J6" i="10"/>
  <c r="K6" i="10"/>
  <c r="J3" i="10"/>
  <c r="K3" i="10"/>
  <c r="L3" i="10"/>
  <c r="M3" i="10"/>
  <c r="N3" i="10" s="1"/>
  <c r="J57" i="16" l="1"/>
  <c r="K57" i="16"/>
  <c r="L57" i="16"/>
  <c r="M57" i="16"/>
  <c r="N57" i="16" s="1"/>
  <c r="O57" i="16" s="1"/>
  <c r="P57" i="16" s="1"/>
  <c r="Q57" i="16" s="1"/>
  <c r="R57" i="16" s="1"/>
  <c r="J59" i="16"/>
  <c r="K59" i="16" s="1"/>
  <c r="L59" i="16" s="1"/>
  <c r="M59" i="16" s="1"/>
  <c r="N59" i="16" s="1"/>
  <c r="O59" i="16" s="1"/>
  <c r="P59" i="16" s="1"/>
  <c r="Q59" i="16" s="1"/>
  <c r="R59" i="16" s="1"/>
  <c r="J61" i="16"/>
  <c r="K61" i="16" s="1"/>
  <c r="L61" i="16" s="1"/>
  <c r="M61" i="16" s="1"/>
  <c r="N61" i="16" s="1"/>
  <c r="O61" i="16" s="1"/>
  <c r="P61" i="16" s="1"/>
  <c r="Q61" i="16" s="1"/>
  <c r="R61" i="16" s="1"/>
  <c r="I56" i="16"/>
  <c r="J56" i="16" s="1"/>
  <c r="K56" i="16" s="1"/>
  <c r="L56" i="16" s="1"/>
  <c r="M56" i="16" s="1"/>
  <c r="N56" i="16" s="1"/>
  <c r="O56" i="16" s="1"/>
  <c r="P56" i="16" s="1"/>
  <c r="Q56" i="16" s="1"/>
  <c r="R56" i="16" s="1"/>
  <c r="I57" i="16"/>
  <c r="I58" i="16"/>
  <c r="J58" i="16" s="1"/>
  <c r="K58" i="16" s="1"/>
  <c r="L58" i="16" s="1"/>
  <c r="M58" i="16" s="1"/>
  <c r="N58" i="16" s="1"/>
  <c r="O58" i="16" s="1"/>
  <c r="P58" i="16" s="1"/>
  <c r="Q58" i="16" s="1"/>
  <c r="R58" i="16" s="1"/>
  <c r="I59" i="16"/>
  <c r="I60" i="16"/>
  <c r="J60" i="16" s="1"/>
  <c r="K60" i="16" s="1"/>
  <c r="L60" i="16" s="1"/>
  <c r="M60" i="16" s="1"/>
  <c r="N60" i="16" s="1"/>
  <c r="O60" i="16" s="1"/>
  <c r="P60" i="16" s="1"/>
  <c r="Q60" i="16" s="1"/>
  <c r="R60" i="16" s="1"/>
  <c r="I61" i="16"/>
  <c r="I55" i="16"/>
  <c r="J55" i="16" s="1"/>
  <c r="K55" i="16" s="1"/>
  <c r="L55" i="16" s="1"/>
  <c r="M55" i="16" s="1"/>
  <c r="N55" i="16" s="1"/>
  <c r="O55" i="16" s="1"/>
  <c r="P55" i="16" s="1"/>
  <c r="Q55" i="16" s="1"/>
  <c r="R55" i="16" s="1"/>
  <c r="F55" i="16"/>
  <c r="G55" i="16"/>
  <c r="H55" i="16"/>
  <c r="F56" i="16"/>
  <c r="G56" i="16"/>
  <c r="H56" i="16"/>
  <c r="F57" i="16"/>
  <c r="G57" i="16"/>
  <c r="H57" i="16"/>
  <c r="F58" i="16"/>
  <c r="G58" i="16"/>
  <c r="H58" i="16"/>
  <c r="F59" i="16"/>
  <c r="G59" i="16"/>
  <c r="H59" i="16"/>
  <c r="F60" i="16"/>
  <c r="G60" i="16"/>
  <c r="H60" i="16"/>
  <c r="F61" i="16"/>
  <c r="G61" i="16"/>
  <c r="H61" i="16"/>
  <c r="E56" i="16"/>
  <c r="E57" i="16"/>
  <c r="E58" i="16"/>
  <c r="E59" i="16"/>
  <c r="E60" i="16"/>
  <c r="E61" i="16"/>
  <c r="E55" i="16"/>
  <c r="I37" i="16"/>
  <c r="I35" i="16" s="1"/>
  <c r="E40" i="16"/>
  <c r="F40" i="16"/>
  <c r="G40" i="16"/>
  <c r="H40" i="16"/>
  <c r="E41" i="16"/>
  <c r="F41" i="16"/>
  <c r="G41" i="16"/>
  <c r="H41" i="16"/>
  <c r="E42" i="16"/>
  <c r="F42" i="16"/>
  <c r="G42" i="16"/>
  <c r="H42" i="16"/>
  <c r="F47" i="16"/>
  <c r="G47" i="16"/>
  <c r="H47" i="16"/>
  <c r="F48" i="16"/>
  <c r="G48" i="16"/>
  <c r="H48" i="16"/>
  <c r="F49" i="16"/>
  <c r="G49" i="16"/>
  <c r="H49" i="16"/>
  <c r="E49" i="16"/>
  <c r="E48" i="16"/>
  <c r="E47" i="16"/>
  <c r="F46" i="16"/>
  <c r="G46" i="16"/>
  <c r="H46" i="16"/>
  <c r="E46" i="16"/>
  <c r="H22" i="1"/>
  <c r="I51" i="1"/>
  <c r="J51" i="1"/>
  <c r="K51" i="1"/>
  <c r="L51" i="1"/>
  <c r="M51" i="1"/>
  <c r="N51" i="1"/>
  <c r="O51" i="1"/>
  <c r="P51" i="1"/>
  <c r="Q51" i="1"/>
  <c r="H51" i="1"/>
  <c r="E51" i="1"/>
  <c r="F51" i="1"/>
  <c r="G51" i="1"/>
  <c r="D51" i="1"/>
  <c r="AJ14" i="13"/>
  <c r="AB14" i="13"/>
  <c r="H8" i="1"/>
  <c r="D5" i="17" s="1"/>
  <c r="D6" i="17" s="1"/>
  <c r="J5" i="1"/>
  <c r="K5" i="1"/>
  <c r="L5" i="1"/>
  <c r="M5" i="1"/>
  <c r="N5" i="1"/>
  <c r="O5" i="1"/>
  <c r="P5" i="1"/>
  <c r="Q5" i="1"/>
  <c r="I5" i="1"/>
  <c r="C7" i="17"/>
  <c r="D63" i="17"/>
  <c r="D62" i="17" s="1"/>
  <c r="D59" i="17"/>
  <c r="D56" i="17"/>
  <c r="D57" i="17" s="1"/>
  <c r="D50" i="17"/>
  <c r="D51" i="17" s="1"/>
  <c r="D53" i="17" s="1"/>
  <c r="D47" i="17" s="1"/>
  <c r="D31" i="17" s="1"/>
  <c r="D42" i="17"/>
  <c r="D37" i="17"/>
  <c r="P27" i="17"/>
  <c r="P29" i="17" s="1"/>
  <c r="P30" i="17" s="1"/>
  <c r="D24" i="17" s="1"/>
  <c r="D25" i="17" s="1"/>
  <c r="C20" i="17"/>
  <c r="C19" i="17"/>
  <c r="C18" i="17"/>
  <c r="D9" i="17"/>
  <c r="D10" i="17" s="1"/>
  <c r="C9" i="17"/>
  <c r="C11" i="17" s="1"/>
  <c r="C5" i="17"/>
  <c r="D4" i="17"/>
  <c r="E4" i="17" s="1"/>
  <c r="F4" i="17" s="1"/>
  <c r="G4" i="17" s="1"/>
  <c r="H4" i="17" s="1"/>
  <c r="I4" i="17" s="1"/>
  <c r="J4" i="17" s="1"/>
  <c r="K4" i="17" s="1"/>
  <c r="L4" i="17" s="1"/>
  <c r="M4" i="17" s="1"/>
  <c r="D37" i="8"/>
  <c r="C20" i="12"/>
  <c r="I49" i="16" l="1"/>
  <c r="D27" i="17"/>
  <c r="E27" i="17" s="1"/>
  <c r="F27" i="17" s="1"/>
  <c r="G27" i="17" s="1"/>
  <c r="H27" i="17" s="1"/>
  <c r="I27" i="17" s="1"/>
  <c r="J27" i="17" s="1"/>
  <c r="K27" i="17" s="1"/>
  <c r="L27" i="17" s="1"/>
  <c r="M27" i="17" s="1"/>
  <c r="C13" i="17"/>
  <c r="C14" i="17"/>
  <c r="D17" i="17"/>
  <c r="C17" i="17"/>
  <c r="C21" i="17" l="1"/>
  <c r="D56" i="8" l="1"/>
  <c r="D51" i="8"/>
  <c r="D53" i="8" s="1"/>
  <c r="D42" i="8"/>
  <c r="J5" i="2"/>
  <c r="K5" i="2" s="1"/>
  <c r="L5" i="2" s="1"/>
  <c r="M5" i="2" s="1"/>
  <c r="N5" i="2" s="1"/>
  <c r="O5" i="2" s="1"/>
  <c r="P5" i="2" s="1"/>
  <c r="Q5" i="2" s="1"/>
  <c r="I5" i="2"/>
  <c r="I5" i="6"/>
  <c r="J5" i="6"/>
  <c r="K5" i="6"/>
  <c r="L5" i="6" s="1"/>
  <c r="M5" i="6" s="1"/>
  <c r="N5" i="6" s="1"/>
  <c r="O5" i="6" s="1"/>
  <c r="P5" i="6" s="1"/>
  <c r="Q5" i="6" s="1"/>
  <c r="I17" i="6"/>
  <c r="I19" i="6" s="1"/>
  <c r="I23" i="6"/>
  <c r="J23" i="6" s="1"/>
  <c r="K23" i="6" s="1"/>
  <c r="L23" i="6" s="1"/>
  <c r="M23" i="6" s="1"/>
  <c r="N23" i="6" s="1"/>
  <c r="O23" i="6" s="1"/>
  <c r="P23" i="6" s="1"/>
  <c r="Q23" i="6" s="1"/>
  <c r="I25" i="6"/>
  <c r="I20" i="6" s="1"/>
  <c r="J25" i="6"/>
  <c r="K25" i="6"/>
  <c r="L25" i="6"/>
  <c r="I29" i="6"/>
  <c r="J29" i="6"/>
  <c r="J39" i="6" s="1"/>
  <c r="K29" i="6"/>
  <c r="L29" i="6"/>
  <c r="M29" i="6"/>
  <c r="N29" i="6"/>
  <c r="O29" i="6"/>
  <c r="P29" i="6"/>
  <c r="Q29" i="6"/>
  <c r="I30" i="6"/>
  <c r="J30" i="6"/>
  <c r="K30" i="6"/>
  <c r="L30" i="6" s="1"/>
  <c r="I31" i="6"/>
  <c r="J31" i="6"/>
  <c r="I32" i="6"/>
  <c r="J32" i="6"/>
  <c r="K32" i="6"/>
  <c r="L32" i="6"/>
  <c r="I41" i="6"/>
  <c r="J41" i="6" s="1"/>
  <c r="K41" i="6" s="1"/>
  <c r="L41" i="6" s="1"/>
  <c r="M41" i="6" s="1"/>
  <c r="N41" i="6" s="1"/>
  <c r="O41" i="6" s="1"/>
  <c r="P41" i="6" s="1"/>
  <c r="Q41" i="6" s="1"/>
  <c r="I47" i="6"/>
  <c r="J47" i="6"/>
  <c r="K47" i="6"/>
  <c r="L47" i="6" s="1"/>
  <c r="I56" i="6"/>
  <c r="J56" i="6"/>
  <c r="K56" i="6"/>
  <c r="L56" i="6" s="1"/>
  <c r="M56" i="6" s="1"/>
  <c r="N56" i="6" s="1"/>
  <c r="O56" i="6" s="1"/>
  <c r="P56" i="6" s="1"/>
  <c r="Q56" i="6" s="1"/>
  <c r="I58" i="6"/>
  <c r="J58" i="6"/>
  <c r="K58" i="6"/>
  <c r="L58" i="6"/>
  <c r="M58" i="6"/>
  <c r="N58" i="6"/>
  <c r="O58" i="6"/>
  <c r="P58" i="6"/>
  <c r="Q58" i="6"/>
  <c r="I69" i="6"/>
  <c r="I5" i="5"/>
  <c r="J5" i="5" s="1"/>
  <c r="K5" i="5" s="1"/>
  <c r="L5" i="5" s="1"/>
  <c r="M5" i="5" s="1"/>
  <c r="N5" i="5" s="1"/>
  <c r="O5" i="5" s="1"/>
  <c r="P5" i="5" s="1"/>
  <c r="Q5" i="5" s="1"/>
  <c r="I15" i="5"/>
  <c r="J15" i="5"/>
  <c r="K15" i="5"/>
  <c r="L15" i="5"/>
  <c r="M15" i="5"/>
  <c r="N15" i="5"/>
  <c r="O15" i="5"/>
  <c r="P15" i="5"/>
  <c r="Q15" i="5"/>
  <c r="I19" i="5"/>
  <c r="I24" i="5"/>
  <c r="I26" i="5" s="1"/>
  <c r="I31" i="5"/>
  <c r="J31" i="5" s="1"/>
  <c r="I35" i="5"/>
  <c r="J35" i="5"/>
  <c r="K35" i="5"/>
  <c r="L35" i="5"/>
  <c r="M35" i="5" s="1"/>
  <c r="I5" i="3"/>
  <c r="J5" i="3" s="1"/>
  <c r="K5" i="3" s="1"/>
  <c r="L5" i="3" s="1"/>
  <c r="M5" i="3" s="1"/>
  <c r="N5" i="3" s="1"/>
  <c r="O5" i="3" s="1"/>
  <c r="P5" i="3" s="1"/>
  <c r="Q5" i="3" s="1"/>
  <c r="I16" i="3"/>
  <c r="J16" i="3"/>
  <c r="K16" i="3" s="1"/>
  <c r="I17" i="3"/>
  <c r="I21" i="3"/>
  <c r="I25" i="3" s="1"/>
  <c r="J21" i="3" s="1"/>
  <c r="J25" i="3" s="1"/>
  <c r="K21" i="3" s="1"/>
  <c r="K25" i="3" s="1"/>
  <c r="L21" i="3" s="1"/>
  <c r="L25" i="3" s="1"/>
  <c r="M21" i="3" s="1"/>
  <c r="M25" i="3" s="1"/>
  <c r="N21" i="3" s="1"/>
  <c r="N25" i="3" s="1"/>
  <c r="O21" i="3" s="1"/>
  <c r="O25" i="3" s="1"/>
  <c r="P21" i="3" s="1"/>
  <c r="P25" i="3" s="1"/>
  <c r="Q21" i="3" s="1"/>
  <c r="Q25" i="3" s="1"/>
  <c r="I27" i="3"/>
  <c r="J27" i="3"/>
  <c r="K27" i="3" s="1"/>
  <c r="L27" i="3" s="1"/>
  <c r="M27" i="3" s="1"/>
  <c r="N27" i="3" s="1"/>
  <c r="O27" i="3" s="1"/>
  <c r="P27" i="3" s="1"/>
  <c r="Q27" i="3" s="1"/>
  <c r="I28" i="3"/>
  <c r="J28" i="3" s="1"/>
  <c r="K28" i="3" s="1"/>
  <c r="L28" i="3" s="1"/>
  <c r="M28" i="3" s="1"/>
  <c r="N28" i="3" s="1"/>
  <c r="O28" i="3" s="1"/>
  <c r="P28" i="3" s="1"/>
  <c r="Q28" i="3" s="1"/>
  <c r="I40" i="3"/>
  <c r="J40" i="3"/>
  <c r="K40" i="3"/>
  <c r="L40" i="3"/>
  <c r="I41" i="3"/>
  <c r="J41" i="3"/>
  <c r="K41" i="3" s="1"/>
  <c r="L41" i="3" s="1"/>
  <c r="M41" i="3" s="1"/>
  <c r="N41" i="3" s="1"/>
  <c r="O41" i="3" s="1"/>
  <c r="P41" i="3" s="1"/>
  <c r="Q41" i="3" s="1"/>
  <c r="I42" i="3"/>
  <c r="J42" i="3" s="1"/>
  <c r="I4" i="7"/>
  <c r="J4" i="7"/>
  <c r="K4" i="7"/>
  <c r="L4" i="7"/>
  <c r="M4" i="7" s="1"/>
  <c r="N4" i="7" s="1"/>
  <c r="O4" i="7" s="1"/>
  <c r="P4" i="7" s="1"/>
  <c r="Q4" i="7" s="1"/>
  <c r="I16" i="7"/>
  <c r="J16" i="7"/>
  <c r="K16" i="7"/>
  <c r="L16" i="7"/>
  <c r="M16" i="7"/>
  <c r="N16" i="7"/>
  <c r="O16" i="7"/>
  <c r="P16" i="7"/>
  <c r="Q16" i="7"/>
  <c r="I23" i="7"/>
  <c r="J23" i="7"/>
  <c r="K23" i="7"/>
  <c r="L23" i="7"/>
  <c r="M23" i="7"/>
  <c r="N23" i="7"/>
  <c r="O23" i="7"/>
  <c r="P23" i="7"/>
  <c r="Q23" i="7"/>
  <c r="I24" i="7"/>
  <c r="J24" i="7"/>
  <c r="K24" i="7"/>
  <c r="L24" i="7"/>
  <c r="M24" i="7"/>
  <c r="N24" i="7"/>
  <c r="O24" i="7"/>
  <c r="P24" i="7"/>
  <c r="Q24" i="7"/>
  <c r="I31" i="7"/>
  <c r="J31" i="7"/>
  <c r="K31" i="7"/>
  <c r="L31" i="7"/>
  <c r="M31" i="7"/>
  <c r="N31" i="7"/>
  <c r="O31" i="7"/>
  <c r="P31" i="7"/>
  <c r="Q31" i="7"/>
  <c r="I34" i="7"/>
  <c r="J34" i="7"/>
  <c r="K34" i="7"/>
  <c r="L34" i="7"/>
  <c r="M34" i="7"/>
  <c r="N34" i="7"/>
  <c r="O34" i="7"/>
  <c r="P34" i="7"/>
  <c r="Q34" i="7"/>
  <c r="I9" i="2"/>
  <c r="J9" i="2" s="1"/>
  <c r="K9" i="2" s="1"/>
  <c r="L9" i="2" s="1"/>
  <c r="M9" i="2" s="1"/>
  <c r="N9" i="2" s="1"/>
  <c r="O9" i="2" s="1"/>
  <c r="P9" i="2" s="1"/>
  <c r="Q9" i="2" s="1"/>
  <c r="I15" i="2"/>
  <c r="J15" i="2"/>
  <c r="K15" i="2"/>
  <c r="L15" i="2" s="1"/>
  <c r="M15" i="2" s="1"/>
  <c r="N15" i="2" s="1"/>
  <c r="O15" i="2" s="1"/>
  <c r="P15" i="2" s="1"/>
  <c r="Q15" i="2" s="1"/>
  <c r="I16" i="2"/>
  <c r="J16" i="2" s="1"/>
  <c r="K16" i="2" s="1"/>
  <c r="L16" i="2" s="1"/>
  <c r="I26" i="2"/>
  <c r="J26" i="2" s="1"/>
  <c r="K26" i="2" s="1"/>
  <c r="L26" i="2" s="1"/>
  <c r="M26" i="2" s="1"/>
  <c r="N26" i="2" s="1"/>
  <c r="O26" i="2" s="1"/>
  <c r="P26" i="2" s="1"/>
  <c r="Q26" i="2" s="1"/>
  <c r="I31" i="2"/>
  <c r="J31" i="2" s="1"/>
  <c r="I32" i="2"/>
  <c r="J32" i="2" s="1"/>
  <c r="K32" i="2" s="1"/>
  <c r="L32" i="2" s="1"/>
  <c r="M32" i="2" s="1"/>
  <c r="N32" i="2" s="1"/>
  <c r="O32" i="2" s="1"/>
  <c r="P32" i="2" s="1"/>
  <c r="Q32" i="2" s="1"/>
  <c r="I33" i="2"/>
  <c r="J33" i="2"/>
  <c r="K33" i="2"/>
  <c r="L33" i="2" s="1"/>
  <c r="M33" i="2" s="1"/>
  <c r="N33" i="2" s="1"/>
  <c r="O33" i="2" s="1"/>
  <c r="P33" i="2" s="1"/>
  <c r="Q33" i="2" s="1"/>
  <c r="I34" i="2"/>
  <c r="J34" i="2" s="1"/>
  <c r="K34" i="2" s="1"/>
  <c r="L34" i="2" s="1"/>
  <c r="M34" i="2" s="1"/>
  <c r="N34" i="2" s="1"/>
  <c r="O34" i="2" s="1"/>
  <c r="P34" i="2" s="1"/>
  <c r="Q34" i="2" s="1"/>
  <c r="I58" i="2"/>
  <c r="I59" i="2"/>
  <c r="I60" i="2"/>
  <c r="J60" i="2"/>
  <c r="K60" i="2"/>
  <c r="L60" i="2"/>
  <c r="M60" i="2"/>
  <c r="N60" i="2" s="1"/>
  <c r="I61" i="2"/>
  <c r="J61" i="2" s="1"/>
  <c r="I62" i="2"/>
  <c r="J62" i="2" s="1"/>
  <c r="K62" i="2" s="1"/>
  <c r="L62" i="2" s="1"/>
  <c r="M62" i="2" s="1"/>
  <c r="N62" i="2" s="1"/>
  <c r="O62" i="2" s="1"/>
  <c r="P62" i="2" s="1"/>
  <c r="Q62" i="2" s="1"/>
  <c r="I64" i="2"/>
  <c r="J64" i="2"/>
  <c r="I65" i="2"/>
  <c r="J65" i="2"/>
  <c r="K65" i="2"/>
  <c r="L65" i="2"/>
  <c r="M65" i="2"/>
  <c r="I66" i="2"/>
  <c r="I8" i="1"/>
  <c r="I46" i="6" s="1"/>
  <c r="I45" i="6" s="1"/>
  <c r="I9" i="6" s="1"/>
  <c r="J8" i="1"/>
  <c r="J46" i="6" s="1"/>
  <c r="J45" i="6" s="1"/>
  <c r="J9" i="6" s="1"/>
  <c r="I39" i="1"/>
  <c r="J39" i="1" s="1"/>
  <c r="K39" i="1" s="1"/>
  <c r="L39" i="1" s="1"/>
  <c r="M39" i="1" s="1"/>
  <c r="N39" i="1" s="1"/>
  <c r="O39" i="1" s="1"/>
  <c r="P39" i="1" s="1"/>
  <c r="Q39" i="1" s="1"/>
  <c r="I40" i="1"/>
  <c r="J40" i="1"/>
  <c r="K40" i="1" s="1"/>
  <c r="L40" i="1" s="1"/>
  <c r="M40" i="1" s="1"/>
  <c r="N40" i="1" s="1"/>
  <c r="O40" i="1" s="1"/>
  <c r="P40" i="1" s="1"/>
  <c r="Q40" i="1" s="1"/>
  <c r="I41" i="1"/>
  <c r="J41" i="1"/>
  <c r="I42" i="1"/>
  <c r="I43" i="1"/>
  <c r="J43" i="1" s="1"/>
  <c r="K43" i="1" s="1"/>
  <c r="L43" i="1" s="1"/>
  <c r="M43" i="1" s="1"/>
  <c r="N43" i="1" s="1"/>
  <c r="O43" i="1" s="1"/>
  <c r="P43" i="1" s="1"/>
  <c r="Q43" i="1" s="1"/>
  <c r="I45" i="1"/>
  <c r="J45" i="1"/>
  <c r="K45" i="1" s="1"/>
  <c r="L45" i="1" s="1"/>
  <c r="M45" i="1" s="1"/>
  <c r="N45" i="1" s="1"/>
  <c r="O45" i="1" s="1"/>
  <c r="P45" i="1" s="1"/>
  <c r="Q45" i="1" s="1"/>
  <c r="I48" i="1"/>
  <c r="J48" i="1"/>
  <c r="K48" i="1" s="1"/>
  <c r="I49" i="1"/>
  <c r="G39" i="6"/>
  <c r="H39" i="6"/>
  <c r="J53" i="16"/>
  <c r="K53" i="16" s="1"/>
  <c r="L53" i="16" s="1"/>
  <c r="M53" i="16" s="1"/>
  <c r="N53" i="16" s="1"/>
  <c r="O53" i="16" s="1"/>
  <c r="P53" i="16" s="1"/>
  <c r="Q53" i="16" s="1"/>
  <c r="R53" i="16" s="1"/>
  <c r="J52" i="16"/>
  <c r="K52" i="16" s="1"/>
  <c r="L52" i="16" s="1"/>
  <c r="M52" i="16" s="1"/>
  <c r="N52" i="16" s="1"/>
  <c r="O52" i="16" s="1"/>
  <c r="P52" i="16" s="1"/>
  <c r="Q52" i="16" s="1"/>
  <c r="R52" i="16" s="1"/>
  <c r="I10" i="7" l="1"/>
  <c r="I30" i="7" s="1"/>
  <c r="E20" i="17"/>
  <c r="J10" i="7"/>
  <c r="J30" i="7" s="1"/>
  <c r="J38" i="7" s="1"/>
  <c r="F20" i="17"/>
  <c r="I54" i="2"/>
  <c r="I75" i="2" s="1"/>
  <c r="I11" i="2"/>
  <c r="I14" i="1"/>
  <c r="J13" i="1"/>
  <c r="I20" i="2"/>
  <c r="I13" i="1"/>
  <c r="J54" i="2"/>
  <c r="J71" i="2" s="1"/>
  <c r="K8" i="1"/>
  <c r="L8" i="1" s="1"/>
  <c r="F5" i="17"/>
  <c r="I11" i="1"/>
  <c r="E5" i="17"/>
  <c r="E6" i="17" s="1"/>
  <c r="I12" i="1"/>
  <c r="I10" i="1"/>
  <c r="I55" i="2" s="1"/>
  <c r="I10" i="2" s="1"/>
  <c r="I22" i="2"/>
  <c r="I37" i="6"/>
  <c r="M47" i="6"/>
  <c r="J20" i="6"/>
  <c r="M30" i="6"/>
  <c r="N30" i="6" s="1"/>
  <c r="O30" i="6" s="1"/>
  <c r="P30" i="6" s="1"/>
  <c r="Q30" i="6" s="1"/>
  <c r="Q31" i="6"/>
  <c r="P31" i="6"/>
  <c r="N31" i="6"/>
  <c r="Q32" i="6"/>
  <c r="O31" i="6"/>
  <c r="M31" i="6"/>
  <c r="I39" i="6"/>
  <c r="L31" i="6"/>
  <c r="I21" i="6"/>
  <c r="J17" i="6" s="1"/>
  <c r="P32" i="6"/>
  <c r="N32" i="6"/>
  <c r="K31" i="6"/>
  <c r="M32" i="6"/>
  <c r="M25" i="6"/>
  <c r="I73" i="6"/>
  <c r="J69" i="6" s="1"/>
  <c r="N35" i="5"/>
  <c r="J24" i="5"/>
  <c r="J26" i="5" s="1"/>
  <c r="I25" i="2"/>
  <c r="K31" i="5"/>
  <c r="I38" i="7"/>
  <c r="K42" i="3"/>
  <c r="L16" i="3"/>
  <c r="M40" i="3"/>
  <c r="J17" i="3"/>
  <c r="K31" i="2"/>
  <c r="M16" i="2"/>
  <c r="K61" i="2"/>
  <c r="O60" i="2"/>
  <c r="J66" i="2"/>
  <c r="I71" i="2"/>
  <c r="J58" i="2"/>
  <c r="N65" i="2"/>
  <c r="K64" i="2"/>
  <c r="J59" i="2"/>
  <c r="L48" i="1"/>
  <c r="J12" i="1"/>
  <c r="J49" i="1"/>
  <c r="J42" i="1"/>
  <c r="K42" i="1" s="1"/>
  <c r="L42" i="1" s="1"/>
  <c r="M42" i="1" s="1"/>
  <c r="N42" i="1" s="1"/>
  <c r="O42" i="1" s="1"/>
  <c r="P42" i="1" s="1"/>
  <c r="Q42" i="1" s="1"/>
  <c r="J10" i="1"/>
  <c r="J55" i="2" s="1"/>
  <c r="J73" i="2" s="1"/>
  <c r="J15" i="1"/>
  <c r="J11" i="1"/>
  <c r="I15" i="1"/>
  <c r="K41" i="1"/>
  <c r="L41" i="1" s="1"/>
  <c r="M41" i="1" s="1"/>
  <c r="N41" i="1" s="1"/>
  <c r="O41" i="1" s="1"/>
  <c r="P41" i="1" s="1"/>
  <c r="Q41" i="1" s="1"/>
  <c r="D35" i="16"/>
  <c r="E35" i="16"/>
  <c r="F35" i="16"/>
  <c r="G35" i="16"/>
  <c r="H35" i="16"/>
  <c r="D36" i="16"/>
  <c r="E36" i="16"/>
  <c r="F36" i="16"/>
  <c r="G36" i="16"/>
  <c r="H36" i="16"/>
  <c r="E34" i="16"/>
  <c r="F34" i="16"/>
  <c r="G34" i="16"/>
  <c r="H34" i="16"/>
  <c r="D34" i="16"/>
  <c r="E31" i="16"/>
  <c r="F31" i="16"/>
  <c r="G31" i="16"/>
  <c r="H31" i="16"/>
  <c r="D31" i="16"/>
  <c r="E24" i="16"/>
  <c r="F24" i="16"/>
  <c r="G24" i="16"/>
  <c r="H24" i="16"/>
  <c r="D24" i="16"/>
  <c r="E12" i="16"/>
  <c r="E13" i="16"/>
  <c r="F13" i="16"/>
  <c r="G13" i="16"/>
  <c r="H13" i="16"/>
  <c r="E14" i="16"/>
  <c r="F14" i="16"/>
  <c r="G14" i="16"/>
  <c r="H14" i="16"/>
  <c r="F12" i="16"/>
  <c r="G12" i="16"/>
  <c r="H12" i="16"/>
  <c r="E10" i="16"/>
  <c r="E37" i="16" s="1"/>
  <c r="F10" i="16"/>
  <c r="F37" i="16" s="1"/>
  <c r="G10" i="16"/>
  <c r="G37" i="16" s="1"/>
  <c r="H10" i="16"/>
  <c r="H37" i="16" s="1"/>
  <c r="D10" i="16"/>
  <c r="D37" i="16" s="1"/>
  <c r="E4" i="16"/>
  <c r="F4" i="16" s="1"/>
  <c r="G4" i="16" s="1"/>
  <c r="H4" i="16" s="1"/>
  <c r="I4" i="16" s="1"/>
  <c r="J4" i="16" s="1"/>
  <c r="K4" i="16" s="1"/>
  <c r="L4" i="16" s="1"/>
  <c r="M4" i="16" s="1"/>
  <c r="N4" i="16" s="1"/>
  <c r="O4" i="16" s="1"/>
  <c r="P4" i="16" s="1"/>
  <c r="Q4" i="16" s="1"/>
  <c r="R4" i="16" s="1"/>
  <c r="I69" i="2" l="1"/>
  <c r="J70" i="2"/>
  <c r="K15" i="1"/>
  <c r="J20" i="2"/>
  <c r="K11" i="1"/>
  <c r="K12" i="1"/>
  <c r="I70" i="2"/>
  <c r="I16" i="1"/>
  <c r="I17" i="1" s="1"/>
  <c r="J56" i="2"/>
  <c r="J17" i="7"/>
  <c r="I43" i="2"/>
  <c r="I47" i="2"/>
  <c r="F6" i="17"/>
  <c r="I44" i="2"/>
  <c r="G5" i="17"/>
  <c r="G6" i="17" s="1"/>
  <c r="K54" i="2"/>
  <c r="K46" i="6"/>
  <c r="K45" i="6" s="1"/>
  <c r="K9" i="6" s="1"/>
  <c r="I21" i="2"/>
  <c r="I15" i="3"/>
  <c r="I74" i="2"/>
  <c r="I68" i="2"/>
  <c r="I76" i="2" s="1"/>
  <c r="I73" i="2"/>
  <c r="H5" i="17"/>
  <c r="L54" i="2"/>
  <c r="L46" i="6"/>
  <c r="L45" i="6" s="1"/>
  <c r="L9" i="6" s="1"/>
  <c r="J21" i="2"/>
  <c r="J74" i="2"/>
  <c r="J15" i="3"/>
  <c r="J47" i="2"/>
  <c r="I49" i="2"/>
  <c r="K10" i="1"/>
  <c r="K55" i="2" s="1"/>
  <c r="K20" i="2" s="1"/>
  <c r="K17" i="7" s="1"/>
  <c r="N47" i="6"/>
  <c r="O32" i="6"/>
  <c r="K39" i="6"/>
  <c r="J73" i="6"/>
  <c r="K69" i="6" s="1"/>
  <c r="N25" i="6"/>
  <c r="P39" i="6"/>
  <c r="L39" i="6"/>
  <c r="M39" i="6"/>
  <c r="O39" i="6"/>
  <c r="I75" i="6"/>
  <c r="N39" i="6"/>
  <c r="Q39" i="6"/>
  <c r="J19" i="6"/>
  <c r="J37" i="6" s="1"/>
  <c r="J21" i="6"/>
  <c r="K17" i="6" s="1"/>
  <c r="K24" i="5"/>
  <c r="K26" i="5" s="1"/>
  <c r="J25" i="2"/>
  <c r="O35" i="5"/>
  <c r="L31" i="5"/>
  <c r="L42" i="3"/>
  <c r="N40" i="3"/>
  <c r="M16" i="3"/>
  <c r="K17" i="3"/>
  <c r="P60" i="2"/>
  <c r="K66" i="2"/>
  <c r="J22" i="2"/>
  <c r="J19" i="7" s="1"/>
  <c r="J75" i="2"/>
  <c r="J10" i="2"/>
  <c r="J14" i="7" s="1"/>
  <c r="J68" i="2"/>
  <c r="K58" i="2"/>
  <c r="J11" i="2"/>
  <c r="J15" i="7" s="1"/>
  <c r="J69" i="2"/>
  <c r="K59" i="2"/>
  <c r="L64" i="2"/>
  <c r="O65" i="2"/>
  <c r="L61" i="2"/>
  <c r="N16" i="2"/>
  <c r="L31" i="2"/>
  <c r="K49" i="1"/>
  <c r="M48" i="1"/>
  <c r="L10" i="1"/>
  <c r="L55" i="2" s="1"/>
  <c r="L14" i="1"/>
  <c r="L13" i="1"/>
  <c r="M8" i="1"/>
  <c r="L12" i="1"/>
  <c r="L11" i="1"/>
  <c r="L15" i="1"/>
  <c r="K14" i="1"/>
  <c r="J14" i="1"/>
  <c r="J16" i="1" s="1"/>
  <c r="J17" i="1" s="1"/>
  <c r="K13" i="1"/>
  <c r="D40" i="16"/>
  <c r="F15" i="16"/>
  <c r="E15" i="16"/>
  <c r="G15" i="16"/>
  <c r="H15" i="16"/>
  <c r="D41" i="16"/>
  <c r="D42" i="16"/>
  <c r="I41" i="16"/>
  <c r="I42" i="16"/>
  <c r="K16" i="1" l="1"/>
  <c r="K17" i="1" s="1"/>
  <c r="K73" i="2"/>
  <c r="I5" i="17"/>
  <c r="I6" i="17" s="1"/>
  <c r="M54" i="2"/>
  <c r="I5" i="8"/>
  <c r="M46" i="6"/>
  <c r="M45" i="6" s="1"/>
  <c r="M9" i="6" s="1"/>
  <c r="K10" i="7"/>
  <c r="K30" i="7" s="1"/>
  <c r="K38" i="7" s="1"/>
  <c r="G20" i="17"/>
  <c r="K56" i="2"/>
  <c r="K15" i="3"/>
  <c r="K70" i="2"/>
  <c r="K74" i="2"/>
  <c r="K21" i="2"/>
  <c r="L10" i="7"/>
  <c r="L30" i="7" s="1"/>
  <c r="L38" i="7" s="1"/>
  <c r="H20" i="17"/>
  <c r="I45" i="2"/>
  <c r="J8" i="3"/>
  <c r="J34" i="3"/>
  <c r="J35" i="3"/>
  <c r="L56" i="2"/>
  <c r="L70" i="2"/>
  <c r="L15" i="3"/>
  <c r="L35" i="3" s="1"/>
  <c r="L74" i="2"/>
  <c r="L21" i="2"/>
  <c r="H6" i="17"/>
  <c r="J43" i="2"/>
  <c r="I48" i="2"/>
  <c r="I51" i="2" s="1"/>
  <c r="J48" i="2"/>
  <c r="J18" i="7"/>
  <c r="J44" i="2"/>
  <c r="K71" i="2"/>
  <c r="I35" i="3"/>
  <c r="I34" i="3"/>
  <c r="I8" i="3"/>
  <c r="I23" i="2"/>
  <c r="J42" i="16"/>
  <c r="K42" i="16" s="1"/>
  <c r="L42" i="16" s="1"/>
  <c r="M42" i="16" s="1"/>
  <c r="N42" i="16" s="1"/>
  <c r="O42" i="16" s="1"/>
  <c r="P42" i="16" s="1"/>
  <c r="Q42" i="16" s="1"/>
  <c r="R42" i="16" s="1"/>
  <c r="I36" i="16"/>
  <c r="J41" i="16"/>
  <c r="K41" i="16" s="1"/>
  <c r="L41" i="16" s="1"/>
  <c r="M41" i="16" s="1"/>
  <c r="N41" i="16" s="1"/>
  <c r="O41" i="16" s="1"/>
  <c r="P41" i="16" s="1"/>
  <c r="Q41" i="16" s="1"/>
  <c r="R41" i="16" s="1"/>
  <c r="O47" i="6"/>
  <c r="K19" i="6"/>
  <c r="K37" i="6" s="1"/>
  <c r="K20" i="6"/>
  <c r="K73" i="6"/>
  <c r="L69" i="6" s="1"/>
  <c r="O25" i="6"/>
  <c r="J75" i="6"/>
  <c r="M31" i="5"/>
  <c r="P35" i="5"/>
  <c r="L24" i="5"/>
  <c r="L26" i="5" s="1"/>
  <c r="K25" i="2"/>
  <c r="O40" i="3"/>
  <c r="M42" i="3"/>
  <c r="L17" i="3"/>
  <c r="N16" i="3"/>
  <c r="K69" i="2"/>
  <c r="L59" i="2"/>
  <c r="K11" i="2"/>
  <c r="K15" i="7" s="1"/>
  <c r="L66" i="2"/>
  <c r="K75" i="2"/>
  <c r="K22" i="2"/>
  <c r="P65" i="2"/>
  <c r="J49" i="2"/>
  <c r="J23" i="2"/>
  <c r="L20" i="2"/>
  <c r="L17" i="7" s="1"/>
  <c r="M64" i="2"/>
  <c r="L73" i="2"/>
  <c r="Q60" i="2"/>
  <c r="M31" i="2"/>
  <c r="K47" i="2"/>
  <c r="O16" i="2"/>
  <c r="K10" i="2"/>
  <c r="K14" i="7" s="1"/>
  <c r="K68" i="2"/>
  <c r="L58" i="2"/>
  <c r="L71" i="2"/>
  <c r="M61" i="2"/>
  <c r="J76" i="2"/>
  <c r="L49" i="1"/>
  <c r="M10" i="1"/>
  <c r="M55" i="2" s="1"/>
  <c r="M14" i="1"/>
  <c r="N8" i="1"/>
  <c r="M12" i="1"/>
  <c r="M13" i="1"/>
  <c r="M11" i="1"/>
  <c r="M15" i="1"/>
  <c r="L16" i="1"/>
  <c r="L17" i="1" s="1"/>
  <c r="N48" i="1"/>
  <c r="D43" i="16"/>
  <c r="E43" i="16"/>
  <c r="F43" i="16"/>
  <c r="G43" i="16"/>
  <c r="I40" i="16"/>
  <c r="H43" i="16"/>
  <c r="J45" i="2" l="1"/>
  <c r="I50" i="2"/>
  <c r="J50" i="2"/>
  <c r="L48" i="2"/>
  <c r="L18" i="7"/>
  <c r="J5" i="17"/>
  <c r="J6" i="17" s="1"/>
  <c r="N54" i="2"/>
  <c r="J5" i="8"/>
  <c r="J6" i="8" s="1"/>
  <c r="N46" i="6"/>
  <c r="N45" i="6" s="1"/>
  <c r="N9" i="6" s="1"/>
  <c r="K44" i="2"/>
  <c r="L15" i="7"/>
  <c r="M10" i="7"/>
  <c r="M30" i="7" s="1"/>
  <c r="M38" i="7" s="1"/>
  <c r="I20" i="17"/>
  <c r="I20" i="8"/>
  <c r="F19" i="17"/>
  <c r="J22" i="7"/>
  <c r="J28" i="7" s="1"/>
  <c r="K8" i="3"/>
  <c r="G19" i="17" s="1"/>
  <c r="K34" i="3"/>
  <c r="K35" i="3"/>
  <c r="K22" i="7" s="1"/>
  <c r="K28" i="7" s="1"/>
  <c r="K43" i="2"/>
  <c r="L14" i="7"/>
  <c r="L34" i="3"/>
  <c r="L8" i="3"/>
  <c r="H19" i="17" s="1"/>
  <c r="M15" i="3"/>
  <c r="M35" i="3" s="1"/>
  <c r="M70" i="2"/>
  <c r="M21" i="2"/>
  <c r="M56" i="2"/>
  <c r="M74" i="2"/>
  <c r="E19" i="17"/>
  <c r="I22" i="7"/>
  <c r="I28" i="7" s="1"/>
  <c r="K49" i="2"/>
  <c r="K19" i="7"/>
  <c r="K48" i="2"/>
  <c r="K50" i="2" s="1"/>
  <c r="K18" i="7"/>
  <c r="J40" i="16"/>
  <c r="I43" i="16"/>
  <c r="I34" i="16"/>
  <c r="I8" i="16"/>
  <c r="I13" i="16" s="1"/>
  <c r="I47" i="16"/>
  <c r="I9" i="16"/>
  <c r="I14" i="16" s="1"/>
  <c r="I48" i="16"/>
  <c r="P47" i="6"/>
  <c r="P25" i="6"/>
  <c r="L73" i="6"/>
  <c r="M69" i="6" s="1"/>
  <c r="K75" i="6"/>
  <c r="K21" i="6"/>
  <c r="L17" i="6" s="1"/>
  <c r="M24" i="5"/>
  <c r="M26" i="5" s="1"/>
  <c r="L25" i="2"/>
  <c r="Q35" i="5"/>
  <c r="N31" i="5"/>
  <c r="O16" i="3"/>
  <c r="N42" i="3"/>
  <c r="P40" i="3"/>
  <c r="M17" i="3"/>
  <c r="M71" i="2"/>
  <c r="N61" i="2"/>
  <c r="M20" i="2"/>
  <c r="M17" i="7" s="1"/>
  <c r="N64" i="2"/>
  <c r="M73" i="2"/>
  <c r="L47" i="2"/>
  <c r="L22" i="2"/>
  <c r="L75" i="2"/>
  <c r="M66" i="2"/>
  <c r="L10" i="2"/>
  <c r="L68" i="2"/>
  <c r="M58" i="2"/>
  <c r="K76" i="2"/>
  <c r="L11" i="2"/>
  <c r="L69" i="2"/>
  <c r="M59" i="2"/>
  <c r="K45" i="2"/>
  <c r="K51" i="2"/>
  <c r="K52" i="2" s="1"/>
  <c r="G18" i="17" s="1"/>
  <c r="P16" i="2"/>
  <c r="Q65" i="2"/>
  <c r="K23" i="2"/>
  <c r="N31" i="2"/>
  <c r="J51" i="2"/>
  <c r="J52" i="2" s="1"/>
  <c r="F18" i="17" s="1"/>
  <c r="O48" i="1"/>
  <c r="M49" i="1"/>
  <c r="M16" i="1"/>
  <c r="M17" i="1" s="1"/>
  <c r="N10" i="1"/>
  <c r="N55" i="2" s="1"/>
  <c r="N14" i="1"/>
  <c r="N13" i="1"/>
  <c r="O8" i="1"/>
  <c r="N12" i="1"/>
  <c r="N11" i="1"/>
  <c r="N15" i="1"/>
  <c r="L49" i="2" l="1"/>
  <c r="L19" i="7"/>
  <c r="N10" i="7"/>
  <c r="N30" i="7" s="1"/>
  <c r="N38" i="7" s="1"/>
  <c r="J20" i="17"/>
  <c r="J20" i="8"/>
  <c r="L44" i="2"/>
  <c r="N15" i="3"/>
  <c r="N56" i="2"/>
  <c r="N70" i="2"/>
  <c r="N74" i="2"/>
  <c r="N21" i="2"/>
  <c r="M34" i="3"/>
  <c r="M8" i="3"/>
  <c r="L43" i="2"/>
  <c r="L45" i="2" s="1"/>
  <c r="L76" i="2"/>
  <c r="M48" i="2"/>
  <c r="M18" i="7"/>
  <c r="K5" i="17"/>
  <c r="K6" i="17" s="1"/>
  <c r="K5" i="8"/>
  <c r="K6" i="8" s="1"/>
  <c r="O54" i="2"/>
  <c r="O46" i="6"/>
  <c r="O45" i="6" s="1"/>
  <c r="O9" i="6" s="1"/>
  <c r="L22" i="7"/>
  <c r="L28" i="7" s="1"/>
  <c r="I7" i="16"/>
  <c r="I46" i="16"/>
  <c r="J37" i="16"/>
  <c r="K40" i="16"/>
  <c r="J43" i="16"/>
  <c r="J34" i="16"/>
  <c r="L19" i="6"/>
  <c r="L37" i="6" s="1"/>
  <c r="L20" i="6"/>
  <c r="M73" i="6"/>
  <c r="N69" i="6" s="1"/>
  <c r="L75" i="6"/>
  <c r="Q25" i="6"/>
  <c r="Q47" i="6"/>
  <c r="O31" i="5"/>
  <c r="M25" i="2"/>
  <c r="N24" i="5"/>
  <c r="N26" i="5" s="1"/>
  <c r="N17" i="3"/>
  <c r="Q40" i="3"/>
  <c r="P16" i="3"/>
  <c r="O42" i="3"/>
  <c r="N71" i="2"/>
  <c r="O61" i="2"/>
  <c r="M10" i="2"/>
  <c r="M14" i="7" s="1"/>
  <c r="N58" i="2"/>
  <c r="M68" i="2"/>
  <c r="Q16" i="2"/>
  <c r="L23" i="2"/>
  <c r="M22" i="2"/>
  <c r="M23" i="2" s="1"/>
  <c r="N66" i="2"/>
  <c r="M75" i="2"/>
  <c r="M11" i="2"/>
  <c r="M69" i="2"/>
  <c r="N59" i="2"/>
  <c r="O31" i="2"/>
  <c r="N20" i="2"/>
  <c r="N17" i="7" s="1"/>
  <c r="O64" i="2"/>
  <c r="N73" i="2"/>
  <c r="M47" i="2"/>
  <c r="O11" i="1"/>
  <c r="O15" i="1"/>
  <c r="O10" i="1"/>
  <c r="O55" i="2" s="1"/>
  <c r="O14" i="1"/>
  <c r="O13" i="1"/>
  <c r="O12" i="1"/>
  <c r="P8" i="1"/>
  <c r="P48" i="1"/>
  <c r="N16" i="1"/>
  <c r="N17" i="1" s="1"/>
  <c r="N49" i="1"/>
  <c r="L51" i="2" l="1"/>
  <c r="L52" i="2" s="1"/>
  <c r="H18" i="17" s="1"/>
  <c r="M22" i="7"/>
  <c r="M28" i="7" s="1"/>
  <c r="L5" i="17"/>
  <c r="L6" i="17" s="1"/>
  <c r="P54" i="2"/>
  <c r="L5" i="8"/>
  <c r="L6" i="8" s="1"/>
  <c r="P46" i="6"/>
  <c r="P45" i="6" s="1"/>
  <c r="P9" i="6" s="1"/>
  <c r="M44" i="2"/>
  <c r="N34" i="3"/>
  <c r="N8" i="3"/>
  <c r="L50" i="2"/>
  <c r="M15" i="7"/>
  <c r="M49" i="2"/>
  <c r="M50" i="2" s="1"/>
  <c r="M19" i="7"/>
  <c r="N35" i="3"/>
  <c r="I19" i="17"/>
  <c r="I19" i="8"/>
  <c r="O10" i="7"/>
  <c r="O30" i="7" s="1"/>
  <c r="O38" i="7" s="1"/>
  <c r="K20" i="17"/>
  <c r="K20" i="8"/>
  <c r="M43" i="2"/>
  <c r="M45" i="2" s="1"/>
  <c r="N14" i="7"/>
  <c r="O15" i="3"/>
  <c r="O35" i="3" s="1"/>
  <c r="O56" i="2"/>
  <c r="O70" i="2"/>
  <c r="O74" i="2"/>
  <c r="O21" i="2"/>
  <c r="N48" i="2"/>
  <c r="N18" i="7"/>
  <c r="J46" i="16"/>
  <c r="J7" i="16"/>
  <c r="L40" i="16"/>
  <c r="K43" i="16"/>
  <c r="J49" i="16"/>
  <c r="J36" i="16"/>
  <c r="J35" i="16"/>
  <c r="I12" i="16"/>
  <c r="I15" i="16" s="1"/>
  <c r="I10" i="16"/>
  <c r="L21" i="6"/>
  <c r="M17" i="6" s="1"/>
  <c r="N73" i="6"/>
  <c r="O69" i="6" s="1"/>
  <c r="M75" i="6"/>
  <c r="N25" i="2"/>
  <c r="O24" i="5"/>
  <c r="O26" i="5" s="1"/>
  <c r="P31" i="5"/>
  <c r="P42" i="3"/>
  <c r="Q16" i="3"/>
  <c r="O17" i="3"/>
  <c r="O71" i="2"/>
  <c r="P61" i="2"/>
  <c r="O66" i="2"/>
  <c r="N75" i="2"/>
  <c r="N22" i="2"/>
  <c r="O58" i="2"/>
  <c r="N10" i="2"/>
  <c r="N68" i="2"/>
  <c r="O73" i="2"/>
  <c r="O20" i="2"/>
  <c r="O17" i="7" s="1"/>
  <c r="P64" i="2"/>
  <c r="N47" i="2"/>
  <c r="M76" i="2"/>
  <c r="P31" i="2"/>
  <c r="N11" i="2"/>
  <c r="N15" i="7" s="1"/>
  <c r="N69" i="2"/>
  <c r="O59" i="2"/>
  <c r="O49" i="1"/>
  <c r="Q48" i="1"/>
  <c r="O16" i="1"/>
  <c r="O17" i="1" s="1"/>
  <c r="P11" i="1"/>
  <c r="P15" i="1"/>
  <c r="P14" i="1"/>
  <c r="P10" i="1"/>
  <c r="P55" i="2" s="1"/>
  <c r="P13" i="1"/>
  <c r="Q8" i="1"/>
  <c r="P12" i="1"/>
  <c r="M51" i="2" l="1"/>
  <c r="M52" i="2" s="1"/>
  <c r="I18" i="17" s="1"/>
  <c r="I18" i="8"/>
  <c r="O48" i="2"/>
  <c r="O18" i="7"/>
  <c r="N49" i="2"/>
  <c r="N19" i="7"/>
  <c r="M5" i="17"/>
  <c r="M6" i="17" s="1"/>
  <c r="Q54" i="2"/>
  <c r="M5" i="8"/>
  <c r="M6" i="8" s="1"/>
  <c r="Q46" i="6"/>
  <c r="Q45" i="6" s="1"/>
  <c r="Q9" i="6" s="1"/>
  <c r="P10" i="7"/>
  <c r="P30" i="7" s="1"/>
  <c r="P38" i="7" s="1"/>
  <c r="L20" i="17"/>
  <c r="L20" i="8"/>
  <c r="N44" i="2"/>
  <c r="J19" i="17"/>
  <c r="J19" i="8"/>
  <c r="P15" i="3"/>
  <c r="P56" i="2"/>
  <c r="P70" i="2"/>
  <c r="P74" i="2"/>
  <c r="P21" i="2"/>
  <c r="N43" i="2"/>
  <c r="O34" i="3"/>
  <c r="O8" i="3"/>
  <c r="N22" i="7"/>
  <c r="N28" i="7" s="1"/>
  <c r="J8" i="16"/>
  <c r="J13" i="16" s="1"/>
  <c r="J47" i="16"/>
  <c r="J9" i="16"/>
  <c r="J14" i="16" s="1"/>
  <c r="J48" i="16"/>
  <c r="M40" i="16"/>
  <c r="L43" i="16"/>
  <c r="K37" i="16"/>
  <c r="J12" i="16"/>
  <c r="N75" i="6"/>
  <c r="O73" i="6"/>
  <c r="P69" i="6" s="1"/>
  <c r="M19" i="6"/>
  <c r="M37" i="6" s="1"/>
  <c r="M20" i="6"/>
  <c r="Q31" i="5"/>
  <c r="P24" i="5"/>
  <c r="P26" i="5" s="1"/>
  <c r="O25" i="2"/>
  <c r="P17" i="3"/>
  <c r="Q42" i="3"/>
  <c r="O23" i="2"/>
  <c r="O47" i="2"/>
  <c r="N50" i="2"/>
  <c r="P71" i="2"/>
  <c r="Q61" i="2"/>
  <c r="O68" i="2"/>
  <c r="O10" i="2"/>
  <c r="P58" i="2"/>
  <c r="Q31" i="2"/>
  <c r="N23" i="2"/>
  <c r="N76" i="2"/>
  <c r="O22" i="2"/>
  <c r="O75" i="2"/>
  <c r="P66" i="2"/>
  <c r="P73" i="2"/>
  <c r="P20" i="2"/>
  <c r="P17" i="7" s="1"/>
  <c r="Q64" i="2"/>
  <c r="O11" i="2"/>
  <c r="O69" i="2"/>
  <c r="P59" i="2"/>
  <c r="P49" i="1"/>
  <c r="Q11" i="1"/>
  <c r="Q15" i="1"/>
  <c r="Q10" i="1"/>
  <c r="Q55" i="2" s="1"/>
  <c r="Q14" i="1"/>
  <c r="Q13" i="1"/>
  <c r="Q12" i="1"/>
  <c r="P16" i="1"/>
  <c r="P17" i="1" s="1"/>
  <c r="N45" i="2" l="1"/>
  <c r="N51" i="2"/>
  <c r="N52" i="2" s="1"/>
  <c r="O43" i="2"/>
  <c r="Q56" i="2"/>
  <c r="Q15" i="3"/>
  <c r="Q35" i="3" s="1"/>
  <c r="Q70" i="2"/>
  <c r="Q74" i="2"/>
  <c r="Q21" i="2"/>
  <c r="O44" i="2"/>
  <c r="O76" i="2"/>
  <c r="P34" i="3"/>
  <c r="P8" i="3"/>
  <c r="Q71" i="2"/>
  <c r="Q10" i="7"/>
  <c r="Q30" i="7" s="1"/>
  <c r="Q38" i="7" s="1"/>
  <c r="M20" i="17"/>
  <c r="M20" i="8"/>
  <c r="K19" i="17"/>
  <c r="K19" i="8"/>
  <c r="O22" i="7"/>
  <c r="O28" i="7" s="1"/>
  <c r="O15" i="7"/>
  <c r="P48" i="2"/>
  <c r="P18" i="7"/>
  <c r="O49" i="2"/>
  <c r="O50" i="2" s="1"/>
  <c r="O19" i="7"/>
  <c r="P35" i="3"/>
  <c r="O14" i="7"/>
  <c r="J15" i="16"/>
  <c r="J10" i="16"/>
  <c r="K49" i="16"/>
  <c r="K36" i="16"/>
  <c r="K35" i="16"/>
  <c r="K34" i="16"/>
  <c r="N40" i="16"/>
  <c r="M43" i="16"/>
  <c r="P75" i="6"/>
  <c r="P73" i="6"/>
  <c r="Q69" i="6" s="1"/>
  <c r="M21" i="6"/>
  <c r="N17" i="6" s="1"/>
  <c r="O75" i="6"/>
  <c r="Q24" i="5"/>
  <c r="Q26" i="5" s="1"/>
  <c r="Q25" i="2" s="1"/>
  <c r="P25" i="2"/>
  <c r="Q17" i="3"/>
  <c r="Q73" i="2"/>
  <c r="Q20" i="2"/>
  <c r="Q17" i="7" s="1"/>
  <c r="Q58" i="2"/>
  <c r="P68" i="2"/>
  <c r="P10" i="2"/>
  <c r="P11" i="2"/>
  <c r="P15" i="7" s="1"/>
  <c r="Q59" i="2"/>
  <c r="P69" i="2"/>
  <c r="P47" i="2"/>
  <c r="P22" i="2"/>
  <c r="Q66" i="2"/>
  <c r="P75" i="2"/>
  <c r="Q49" i="1"/>
  <c r="Q16" i="1"/>
  <c r="Q17" i="1" s="1"/>
  <c r="P22" i="7" l="1"/>
  <c r="P28" i="7" s="1"/>
  <c r="O51" i="2"/>
  <c r="O52" i="2" s="1"/>
  <c r="K18" i="17" s="1"/>
  <c r="O45" i="2"/>
  <c r="P44" i="2"/>
  <c r="Q34" i="3"/>
  <c r="Q8" i="3"/>
  <c r="P43" i="2"/>
  <c r="Q22" i="7"/>
  <c r="Q28" i="7" s="1"/>
  <c r="P14" i="7"/>
  <c r="P49" i="2"/>
  <c r="P50" i="2" s="1"/>
  <c r="P19" i="7"/>
  <c r="Q48" i="2"/>
  <c r="Q18" i="7"/>
  <c r="L19" i="17"/>
  <c r="L19" i="8"/>
  <c r="J18" i="17"/>
  <c r="J18" i="8"/>
  <c r="O40" i="16"/>
  <c r="N43" i="16"/>
  <c r="K46" i="16"/>
  <c r="K7" i="16"/>
  <c r="L37" i="16"/>
  <c r="K8" i="16"/>
  <c r="K13" i="16" s="1"/>
  <c r="K47" i="16"/>
  <c r="K9" i="16"/>
  <c r="K14" i="16" s="1"/>
  <c r="K48" i="16"/>
  <c r="N19" i="6"/>
  <c r="N37" i="6" s="1"/>
  <c r="N20" i="6"/>
  <c r="Q75" i="6"/>
  <c r="Q73" i="6"/>
  <c r="P23" i="2"/>
  <c r="Q11" i="2"/>
  <c r="Q44" i="2" s="1"/>
  <c r="Q69" i="2"/>
  <c r="P76" i="2"/>
  <c r="Q10" i="2"/>
  <c r="Q43" i="2" s="1"/>
  <c r="Q68" i="2"/>
  <c r="Q22" i="2"/>
  <c r="Q75" i="2"/>
  <c r="Q47" i="2"/>
  <c r="Q14" i="7" l="1"/>
  <c r="P51" i="2"/>
  <c r="P52" i="2" s="1"/>
  <c r="L18" i="17" s="1"/>
  <c r="K18" i="8"/>
  <c r="Q15" i="7"/>
  <c r="M19" i="17"/>
  <c r="M19" i="8"/>
  <c r="P45" i="2"/>
  <c r="Q49" i="2"/>
  <c r="Q51" i="2" s="1"/>
  <c r="Q19" i="7"/>
  <c r="L49" i="16"/>
  <c r="L36" i="16"/>
  <c r="L34" i="16"/>
  <c r="L35" i="16"/>
  <c r="K12" i="16"/>
  <c r="K15" i="16" s="1"/>
  <c r="K10" i="16"/>
  <c r="P40" i="16"/>
  <c r="O43" i="16"/>
  <c r="N21" i="6"/>
  <c r="O17" i="6" s="1"/>
  <c r="Q45" i="2"/>
  <c r="Q76" i="2"/>
  <c r="Q23" i="2"/>
  <c r="Q50" i="2"/>
  <c r="Q52" i="2" l="1"/>
  <c r="M18" i="17" s="1"/>
  <c r="L18" i="8"/>
  <c r="Q40" i="16"/>
  <c r="P43" i="16"/>
  <c r="L8" i="16"/>
  <c r="L13" i="16" s="1"/>
  <c r="L47" i="16"/>
  <c r="L46" i="16"/>
  <c r="L7" i="16"/>
  <c r="M37" i="16"/>
  <c r="L9" i="16"/>
  <c r="L14" i="16" s="1"/>
  <c r="L48" i="16"/>
  <c r="O19" i="6"/>
  <c r="O37" i="6" s="1"/>
  <c r="O20" i="6"/>
  <c r="M18" i="8" l="1"/>
  <c r="M49" i="16"/>
  <c r="M36" i="16"/>
  <c r="M34" i="16"/>
  <c r="M35" i="16"/>
  <c r="L12" i="16"/>
  <c r="L15" i="16" s="1"/>
  <c r="L10" i="16"/>
  <c r="R40" i="16"/>
  <c r="R43" i="16" s="1"/>
  <c r="Q43" i="16"/>
  <c r="O21" i="6"/>
  <c r="P17" i="6" s="1"/>
  <c r="M8" i="16" l="1"/>
  <c r="M13" i="16" s="1"/>
  <c r="M47" i="16"/>
  <c r="M46" i="16"/>
  <c r="M7" i="16"/>
  <c r="N37" i="16"/>
  <c r="M9" i="16"/>
  <c r="M14" i="16" s="1"/>
  <c r="M48" i="16"/>
  <c r="P19" i="6"/>
  <c r="P37" i="6" s="1"/>
  <c r="P20" i="6"/>
  <c r="N49" i="16" l="1"/>
  <c r="N36" i="16"/>
  <c r="N35" i="16"/>
  <c r="N34" i="16"/>
  <c r="M10" i="16"/>
  <c r="M12" i="16"/>
  <c r="M15" i="16" s="1"/>
  <c r="P21" i="6"/>
  <c r="Q17" i="6" s="1"/>
  <c r="N46" i="16" l="1"/>
  <c r="O37" i="16"/>
  <c r="N7" i="16"/>
  <c r="N8" i="16"/>
  <c r="N13" i="16" s="1"/>
  <c r="N47" i="16"/>
  <c r="N9" i="16"/>
  <c r="N14" i="16" s="1"/>
  <c r="N48" i="16"/>
  <c r="Q21" i="6"/>
  <c r="Q19" i="6"/>
  <c r="Q37" i="6" s="1"/>
  <c r="Q20" i="6"/>
  <c r="N10" i="16" l="1"/>
  <c r="N12" i="16"/>
  <c r="N15" i="16" s="1"/>
  <c r="O49" i="16"/>
  <c r="O34" i="16"/>
  <c r="O36" i="16"/>
  <c r="O35" i="16"/>
  <c r="O8" i="16" l="1"/>
  <c r="O13" i="16" s="1"/>
  <c r="O47" i="16"/>
  <c r="O9" i="16"/>
  <c r="O14" i="16" s="1"/>
  <c r="O48" i="16"/>
  <c r="O46" i="16"/>
  <c r="O7" i="16"/>
  <c r="P37" i="16"/>
  <c r="P49" i="16" l="1"/>
  <c r="P34" i="16"/>
  <c r="P35" i="16"/>
  <c r="P36" i="16"/>
  <c r="O12" i="16"/>
  <c r="O15" i="16" s="1"/>
  <c r="O10" i="16"/>
  <c r="P9" i="16" l="1"/>
  <c r="P14" i="16" s="1"/>
  <c r="P48" i="16"/>
  <c r="P8" i="16"/>
  <c r="P13" i="16" s="1"/>
  <c r="P47" i="16"/>
  <c r="P46" i="16"/>
  <c r="P7" i="16"/>
  <c r="Q37" i="16"/>
  <c r="Q49" i="16" l="1"/>
  <c r="Q36" i="16"/>
  <c r="Q34" i="16"/>
  <c r="Q35" i="16"/>
  <c r="P10" i="16"/>
  <c r="P12" i="16"/>
  <c r="P15" i="16" s="1"/>
  <c r="Q8" i="16" l="1"/>
  <c r="Q13" i="16" s="1"/>
  <c r="Q47" i="16"/>
  <c r="Q46" i="16"/>
  <c r="Q7" i="16"/>
  <c r="R37" i="16"/>
  <c r="Q9" i="16"/>
  <c r="Q14" i="16" s="1"/>
  <c r="Q48" i="16"/>
  <c r="C25" i="12"/>
  <c r="C26" i="12"/>
  <c r="R49" i="16" l="1"/>
  <c r="R36" i="16"/>
  <c r="R34" i="16"/>
  <c r="R35" i="16"/>
  <c r="Q10" i="16"/>
  <c r="Q12" i="16"/>
  <c r="Q15" i="16" s="1"/>
  <c r="C33" i="5"/>
  <c r="H24" i="2"/>
  <c r="I24" i="2" s="1"/>
  <c r="J24" i="2" s="1"/>
  <c r="K24" i="2" s="1"/>
  <c r="L24" i="2" s="1"/>
  <c r="M24" i="2" s="1"/>
  <c r="N24" i="2" s="1"/>
  <c r="O24" i="2" s="1"/>
  <c r="P24" i="2" s="1"/>
  <c r="Q24" i="2" s="1"/>
  <c r="R8" i="16" l="1"/>
  <c r="R13" i="16" s="1"/>
  <c r="R47" i="16"/>
  <c r="R7" i="16"/>
  <c r="R46" i="16"/>
  <c r="R9" i="16"/>
  <c r="R14" i="16" s="1"/>
  <c r="R48" i="16"/>
  <c r="C30" i="5"/>
  <c r="E12" i="5"/>
  <c r="F12" i="5"/>
  <c r="G12" i="5"/>
  <c r="H12" i="5"/>
  <c r="D12" i="5"/>
  <c r="D14" i="5" s="1"/>
  <c r="R10" i="16" l="1"/>
  <c r="R12" i="16"/>
  <c r="R15" i="16" s="1"/>
  <c r="C15" i="12"/>
  <c r="C16" i="12" s="1"/>
  <c r="G38" i="1"/>
  <c r="H10" i="1"/>
  <c r="M5" i="11"/>
  <c r="E17" i="11"/>
  <c r="D5" i="11"/>
  <c r="E5" i="11" s="1"/>
  <c r="G34" i="12"/>
  <c r="G6" i="12"/>
  <c r="G10" i="12"/>
  <c r="G38" i="12"/>
  <c r="G40" i="12" s="1"/>
  <c r="G37" i="1"/>
  <c r="H49" i="1"/>
  <c r="H48" i="1"/>
  <c r="D49" i="1"/>
  <c r="E49" i="1"/>
  <c r="F49" i="1"/>
  <c r="G49" i="1"/>
  <c r="D48" i="1"/>
  <c r="E48" i="1"/>
  <c r="F48" i="1"/>
  <c r="G48" i="1"/>
  <c r="C49" i="1"/>
  <c r="C48" i="1"/>
  <c r="D6" i="11" l="1"/>
  <c r="D8" i="11"/>
  <c r="E6" i="11"/>
  <c r="E8" i="11"/>
  <c r="G17" i="12" l="1"/>
  <c r="G25" i="12"/>
  <c r="G20" i="12" l="1"/>
  <c r="H16" i="2" l="1"/>
  <c r="C96" i="10"/>
  <c r="C97" i="10" s="1"/>
  <c r="C98" i="10" s="1"/>
  <c r="D83" i="10"/>
  <c r="D82" i="10"/>
  <c r="D81" i="10"/>
  <c r="D80" i="10"/>
  <c r="D37" i="10"/>
  <c r="C37" i="10"/>
  <c r="D4" i="10" l="1"/>
  <c r="E3" i="10"/>
  <c r="F3" i="10" s="1"/>
  <c r="G3" i="10" s="1"/>
  <c r="H3" i="10" s="1"/>
  <c r="I3" i="10" s="1"/>
  <c r="AS25" i="13"/>
  <c r="AS24" i="13"/>
  <c r="AS19" i="13"/>
  <c r="AW25" i="13"/>
  <c r="AW24" i="13"/>
  <c r="AO28" i="13"/>
  <c r="AO27" i="13"/>
  <c r="AO23" i="13"/>
  <c r="AO22" i="13"/>
  <c r="E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D12" i="13"/>
  <c r="X11" i="13"/>
  <c r="X5" i="13"/>
  <c r="E14" i="13"/>
  <c r="E10" i="13"/>
  <c r="AU10" i="13" s="1"/>
  <c r="E9" i="13"/>
  <c r="AT9" i="13" s="1"/>
  <c r="E8" i="13"/>
  <c r="AU8" i="13" s="1"/>
  <c r="E7" i="13"/>
  <c r="E6" i="13"/>
  <c r="AU6" i="13" s="1"/>
  <c r="E5" i="13"/>
  <c r="AS5" i="13" s="1"/>
  <c r="AW27" i="13"/>
  <c r="AS27" i="13"/>
  <c r="AO25" i="13"/>
  <c r="AY14" i="13"/>
  <c r="AY18" i="13" s="1"/>
  <c r="AX14" i="13"/>
  <c r="AX18" i="13" s="1"/>
  <c r="AW14" i="13"/>
  <c r="AW18" i="13" s="1"/>
  <c r="AV14" i="13"/>
  <c r="AV18" i="13" s="1"/>
  <c r="AM14" i="13"/>
  <c r="AM18" i="13" s="1"/>
  <c r="AL14" i="13"/>
  <c r="AL18" i="13" s="1"/>
  <c r="AK14" i="13"/>
  <c r="AK18" i="13" s="1"/>
  <c r="AJ18" i="13"/>
  <c r="AI14" i="13"/>
  <c r="AI18" i="13" s="1"/>
  <c r="AH14" i="13"/>
  <c r="AH18" i="13" s="1"/>
  <c r="AG14" i="13"/>
  <c r="AG18" i="13" s="1"/>
  <c r="AF14" i="13"/>
  <c r="AF18" i="13" s="1"/>
  <c r="AE14" i="13"/>
  <c r="AE18" i="13" s="1"/>
  <c r="AD14" i="13"/>
  <c r="AD18" i="13" s="1"/>
  <c r="AC14" i="13"/>
  <c r="AC18" i="13" s="1"/>
  <c r="AB18" i="13"/>
  <c r="AA14" i="13"/>
  <c r="AA18" i="13" s="1"/>
  <c r="Z14" i="13"/>
  <c r="Z18" i="13" s="1"/>
  <c r="Y14" i="13"/>
  <c r="Y18" i="13" s="1"/>
  <c r="X14" i="13"/>
  <c r="X18" i="13" s="1"/>
  <c r="AY10" i="13"/>
  <c r="AX10" i="13"/>
  <c r="AW10" i="13"/>
  <c r="AV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AY9" i="13"/>
  <c r="AX9" i="13"/>
  <c r="AW9" i="13"/>
  <c r="AV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AY8" i="13"/>
  <c r="AX8" i="13"/>
  <c r="AW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AV8" i="13"/>
  <c r="AY7" i="13"/>
  <c r="AX7" i="13"/>
  <c r="AW7" i="13"/>
  <c r="AV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AY6" i="13"/>
  <c r="AX6" i="13"/>
  <c r="AW6" i="13"/>
  <c r="AV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AY5" i="13"/>
  <c r="AX5" i="13"/>
  <c r="AW5" i="13"/>
  <c r="AV5" i="13"/>
  <c r="AT5" i="13"/>
  <c r="AR5" i="13"/>
  <c r="AP5" i="13"/>
  <c r="AO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AS6" i="13" l="1"/>
  <c r="AT6" i="13"/>
  <c r="AR8" i="13"/>
  <c r="AU9" i="13"/>
  <c r="AN8" i="13"/>
  <c r="AO8" i="13"/>
  <c r="AR9" i="13"/>
  <c r="AN10" i="13"/>
  <c r="AQ8" i="13"/>
  <c r="AT10" i="13"/>
  <c r="AS8" i="13"/>
  <c r="AR10" i="13"/>
  <c r="AN5" i="13"/>
  <c r="AP8" i="13"/>
  <c r="AS9" i="13"/>
  <c r="AS10" i="13"/>
  <c r="AJ17" i="13"/>
  <c r="AC16" i="13"/>
  <c r="AD16" i="13"/>
  <c r="AE17" i="13"/>
  <c r="X17" i="13"/>
  <c r="AG17" i="13"/>
  <c r="AF17" i="13"/>
  <c r="AH16" i="13"/>
  <c r="AI16" i="13"/>
  <c r="AO10" i="13"/>
  <c r="AP10" i="13"/>
  <c r="AT8" i="13"/>
  <c r="AQ10" i="13"/>
  <c r="AQ5" i="13"/>
  <c r="AW29" i="13"/>
  <c r="AY16" i="13"/>
  <c r="AX17" i="13"/>
  <c r="Z16" i="13"/>
  <c r="AL16" i="13"/>
  <c r="AE16" i="13"/>
  <c r="AF16" i="13"/>
  <c r="AG16" i="13"/>
  <c r="AS14" i="13"/>
  <c r="AS18" i="13" s="1"/>
  <c r="AR14" i="13"/>
  <c r="AR18" i="13" s="1"/>
  <c r="AQ14" i="13"/>
  <c r="AQ18" i="13" s="1"/>
  <c r="AP14" i="13"/>
  <c r="AP18" i="13" s="1"/>
  <c r="AO14" i="13"/>
  <c r="AO18" i="13" s="1"/>
  <c r="AN14" i="13"/>
  <c r="AN18" i="13" s="1"/>
  <c r="AC17" i="13"/>
  <c r="AA16" i="13"/>
  <c r="AM16" i="13"/>
  <c r="AP7" i="13"/>
  <c r="AO7" i="13"/>
  <c r="AN7" i="13"/>
  <c r="AD17" i="13"/>
  <c r="AB16" i="13"/>
  <c r="AL17" i="13"/>
  <c r="AM17" i="13"/>
  <c r="AW30" i="13"/>
  <c r="AH17" i="13"/>
  <c r="AV17" i="13"/>
  <c r="AT14" i="13"/>
  <c r="AT18" i="13" s="1"/>
  <c r="AI17" i="13"/>
  <c r="AW17" i="13"/>
  <c r="AQ7" i="13"/>
  <c r="AU14" i="13"/>
  <c r="AU18" i="13" s="1"/>
  <c r="AR7" i="13"/>
  <c r="AQ9" i="13"/>
  <c r="AP9" i="13"/>
  <c r="AO9" i="13"/>
  <c r="AN9" i="13"/>
  <c r="Y17" i="13"/>
  <c r="AK17" i="13"/>
  <c r="AS7" i="13"/>
  <c r="AS30" i="13" s="1"/>
  <c r="AY17" i="13"/>
  <c r="AV16" i="13"/>
  <c r="AT7" i="13"/>
  <c r="Z17" i="13"/>
  <c r="X16" i="13"/>
  <c r="AJ16" i="13"/>
  <c r="AW16" i="13"/>
  <c r="AU7" i="13"/>
  <c r="AA17" i="13"/>
  <c r="Y16" i="13"/>
  <c r="AK16" i="13"/>
  <c r="AX16" i="13"/>
  <c r="AB17" i="13"/>
  <c r="AU5" i="13"/>
  <c r="AR16" i="13" l="1"/>
  <c r="AN17" i="13"/>
  <c r="AO16" i="13"/>
  <c r="AP17" i="13"/>
  <c r="AT16" i="13"/>
  <c r="AS29" i="13"/>
  <c r="AR17" i="13"/>
  <c r="AS16" i="13"/>
  <c r="AP16" i="13"/>
  <c r="AN16" i="13"/>
  <c r="AQ16" i="13"/>
  <c r="AQ17" i="13"/>
  <c r="AU17" i="13"/>
  <c r="AU16" i="13"/>
  <c r="AO17" i="13"/>
  <c r="AT17" i="13"/>
  <c r="AS17" i="13"/>
  <c r="AS21" i="13" l="1"/>
  <c r="AS20" i="13"/>
  <c r="D33" i="12" l="1"/>
  <c r="A2" i="11"/>
  <c r="D51" i="2"/>
  <c r="B7" i="12"/>
  <c r="B10" i="12" s="1"/>
  <c r="C51" i="2"/>
  <c r="F17" i="11"/>
  <c r="F5" i="11" s="1"/>
  <c r="G51" i="2"/>
  <c r="F51" i="2"/>
  <c r="E51" i="2"/>
  <c r="G52" i="2" l="1"/>
  <c r="F6" i="11"/>
  <c r="F8" i="11"/>
  <c r="G17" i="11"/>
  <c r="H17" i="11" s="1"/>
  <c r="C14" i="13"/>
  <c r="D31" i="12"/>
  <c r="D30" i="12"/>
  <c r="C18" i="8"/>
  <c r="F52" i="2"/>
  <c r="D52" i="2"/>
  <c r="E52" i="2"/>
  <c r="M11" i="11"/>
  <c r="M10" i="11"/>
  <c r="M9" i="11"/>
  <c r="C9" i="3"/>
  <c r="D9" i="3"/>
  <c r="E9" i="3"/>
  <c r="F9" i="3"/>
  <c r="G9" i="3"/>
  <c r="C12" i="11"/>
  <c r="C6" i="11"/>
  <c r="C7" i="11" s="1"/>
  <c r="C8" i="11"/>
  <c r="C19" i="11" s="1"/>
  <c r="D19" i="11" s="1"/>
  <c r="E19" i="11" s="1"/>
  <c r="F19" i="11" s="1"/>
  <c r="G19" i="11" s="1"/>
  <c r="H19" i="11" s="1"/>
  <c r="C24" i="1"/>
  <c r="C5" i="11"/>
  <c r="G5" i="11" l="1"/>
  <c r="G8" i="11" s="1"/>
  <c r="C18" i="11"/>
  <c r="D18" i="11" s="1"/>
  <c r="E18" i="11" s="1"/>
  <c r="F18" i="11" s="1"/>
  <c r="G18" i="11" s="1"/>
  <c r="H18" i="11" s="1"/>
  <c r="C9" i="11"/>
  <c r="H5" i="11" l="1"/>
  <c r="G6" i="11"/>
  <c r="J28" i="11"/>
  <c r="J27" i="11"/>
  <c r="D4" i="11"/>
  <c r="E4" i="11" s="1"/>
  <c r="F4" i="11" s="1"/>
  <c r="G4" i="11" s="1"/>
  <c r="H4" i="11" s="1"/>
  <c r="C69" i="6"/>
  <c r="M8" i="11"/>
  <c r="H6" i="11" l="1"/>
  <c r="H8" i="11"/>
  <c r="D37" i="3"/>
  <c r="E33" i="3" s="1"/>
  <c r="E37" i="3"/>
  <c r="F37" i="3"/>
  <c r="G37" i="3"/>
  <c r="C37" i="3"/>
  <c r="D33" i="3" s="1"/>
  <c r="G33" i="3"/>
  <c r="F33" i="3"/>
  <c r="F36" i="3" s="1"/>
  <c r="C36" i="3" l="1"/>
  <c r="C18" i="1" s="1"/>
  <c r="D36" i="3"/>
  <c r="D41" i="3" s="1"/>
  <c r="F41" i="3"/>
  <c r="F18" i="1"/>
  <c r="E36" i="3"/>
  <c r="G36" i="3"/>
  <c r="H33" i="3"/>
  <c r="C19" i="8"/>
  <c r="H23" i="7"/>
  <c r="G16" i="1"/>
  <c r="D63" i="8"/>
  <c r="D62" i="8" s="1"/>
  <c r="D47" i="8" s="1"/>
  <c r="D31" i="8" s="1"/>
  <c r="D50" i="8"/>
  <c r="P27" i="8"/>
  <c r="D4" i="8"/>
  <c r="E4" i="8" s="1"/>
  <c r="H34" i="7"/>
  <c r="H32" i="2"/>
  <c r="H16" i="7"/>
  <c r="H15" i="2"/>
  <c r="H9" i="2"/>
  <c r="H31" i="7"/>
  <c r="P29" i="8" l="1"/>
  <c r="P30" i="8" s="1"/>
  <c r="D24" i="8" s="1"/>
  <c r="D27" i="8" s="1"/>
  <c r="F4" i="8"/>
  <c r="G4" i="8" s="1"/>
  <c r="H4" i="8" s="1"/>
  <c r="I4" i="8" s="1"/>
  <c r="J4" i="8" s="1"/>
  <c r="K4" i="8" s="1"/>
  <c r="L4" i="8" s="1"/>
  <c r="M4" i="8" s="1"/>
  <c r="D18" i="1"/>
  <c r="G41" i="3"/>
  <c r="H41" i="3" s="1"/>
  <c r="G18" i="1"/>
  <c r="E41" i="3"/>
  <c r="E18" i="1"/>
  <c r="C26" i="11"/>
  <c r="C9" i="8"/>
  <c r="C17" i="8" s="1"/>
  <c r="G24" i="1"/>
  <c r="U9" i="2"/>
  <c r="W9" i="2" s="1"/>
  <c r="U15" i="2"/>
  <c r="W15" i="2" s="1"/>
  <c r="U16" i="2"/>
  <c r="W16" i="2" s="1"/>
  <c r="U18" i="2"/>
  <c r="W18" i="2" s="1"/>
  <c r="U19" i="2"/>
  <c r="W19" i="2" s="1"/>
  <c r="U27" i="2"/>
  <c r="W27" i="2" s="1"/>
  <c r="U28" i="2"/>
  <c r="W28" i="2" s="1"/>
  <c r="U30" i="2"/>
  <c r="W30" i="2" s="1"/>
  <c r="U39" i="2"/>
  <c r="W39" i="2" s="1"/>
  <c r="U40" i="2"/>
  <c r="W40" i="2" s="1"/>
  <c r="U42" i="2"/>
  <c r="W42" i="2" s="1"/>
  <c r="U46" i="2"/>
  <c r="W46" i="2" s="1"/>
  <c r="U53" i="2"/>
  <c r="W53" i="2" s="1"/>
  <c r="U57" i="2"/>
  <c r="W57" i="2" s="1"/>
  <c r="U63" i="2"/>
  <c r="W63" i="2" s="1"/>
  <c r="U67" i="2"/>
  <c r="W67" i="2" s="1"/>
  <c r="U72" i="2"/>
  <c r="W72" i="2" s="1"/>
  <c r="H43" i="7"/>
  <c r="H34" i="2"/>
  <c r="H33" i="2"/>
  <c r="H31" i="2"/>
  <c r="H26" i="2"/>
  <c r="D4" i="7"/>
  <c r="E4" i="7" s="1"/>
  <c r="F4" i="7" s="1"/>
  <c r="G4" i="7" s="1"/>
  <c r="H4" i="7" s="1"/>
  <c r="D9" i="6"/>
  <c r="E9" i="6"/>
  <c r="F9" i="6"/>
  <c r="G9" i="6"/>
  <c r="C20" i="8" s="1"/>
  <c r="C9" i="6"/>
  <c r="E27" i="8" l="1"/>
  <c r="F27" i="8" s="1"/>
  <c r="D25" i="8"/>
  <c r="D29" i="8" s="1"/>
  <c r="H36" i="3"/>
  <c r="U26" i="2"/>
  <c r="W26" i="2" s="1"/>
  <c r="U31" i="2"/>
  <c r="W31" i="2" s="1"/>
  <c r="G19" i="1"/>
  <c r="D5" i="10" s="1"/>
  <c r="D6" i="10" s="1"/>
  <c r="C10" i="11"/>
  <c r="D10" i="11" s="1"/>
  <c r="E10" i="11" s="1"/>
  <c r="F10" i="11" s="1"/>
  <c r="G10" i="11" s="1"/>
  <c r="H10" i="11" s="1"/>
  <c r="U34" i="2"/>
  <c r="W34" i="2" s="1"/>
  <c r="U33" i="2"/>
  <c r="W33" i="2" s="1"/>
  <c r="U24" i="2"/>
  <c r="W24" i="2" s="1"/>
  <c r="C14" i="5"/>
  <c r="C11" i="11" l="1"/>
  <c r="M13" i="11" s="1"/>
  <c r="C25" i="11"/>
  <c r="C27" i="11" s="1"/>
  <c r="G27" i="8"/>
  <c r="C57" i="6"/>
  <c r="D57" i="6"/>
  <c r="E57" i="6"/>
  <c r="F57" i="6"/>
  <c r="G57" i="6"/>
  <c r="C58" i="6"/>
  <c r="D58" i="6"/>
  <c r="E58" i="6"/>
  <c r="F58" i="6"/>
  <c r="G58" i="6"/>
  <c r="H58" i="6"/>
  <c r="M23" i="11" l="1"/>
  <c r="C13" i="11"/>
  <c r="C14" i="11" s="1"/>
  <c r="C15" i="11" s="1"/>
  <c r="C24" i="11" s="1"/>
  <c r="C28" i="11" s="1"/>
  <c r="H27" i="8"/>
  <c r="I27" i="8" s="1"/>
  <c r="G59" i="6"/>
  <c r="E59" i="6"/>
  <c r="C59" i="6"/>
  <c r="C8" i="6" s="1"/>
  <c r="F59" i="6"/>
  <c r="F8" i="6" s="1"/>
  <c r="D59" i="6"/>
  <c r="J27" i="8" l="1"/>
  <c r="M24" i="11"/>
  <c r="U32" i="2"/>
  <c r="W32" i="2" s="1"/>
  <c r="H30" i="6"/>
  <c r="D25" i="6"/>
  <c r="G37" i="6"/>
  <c r="D23" i="6"/>
  <c r="D37" i="6"/>
  <c r="E37" i="6"/>
  <c r="F37" i="6"/>
  <c r="E29" i="6"/>
  <c r="E39" i="6" s="1"/>
  <c r="F29" i="6"/>
  <c r="F39" i="6" s="1"/>
  <c r="G29" i="6"/>
  <c r="G41" i="6" s="1"/>
  <c r="H41" i="6" s="1"/>
  <c r="H29" i="6"/>
  <c r="D29" i="6"/>
  <c r="D41" i="6" s="1"/>
  <c r="C32" i="6"/>
  <c r="C31" i="6"/>
  <c r="C30" i="6"/>
  <c r="C29" i="6"/>
  <c r="C20" i="6"/>
  <c r="C25" i="6" s="1"/>
  <c r="C19" i="6"/>
  <c r="C23" i="6" s="1"/>
  <c r="C18" i="6"/>
  <c r="D21" i="6"/>
  <c r="E17" i="6" s="1"/>
  <c r="E21" i="6" s="1"/>
  <c r="F17" i="6" s="1"/>
  <c r="F21" i="6" s="1"/>
  <c r="G17" i="6" s="1"/>
  <c r="G25" i="6" s="1"/>
  <c r="H25" i="6" s="1"/>
  <c r="K27" i="8" l="1"/>
  <c r="C32" i="11"/>
  <c r="D38" i="11"/>
  <c r="E38" i="11"/>
  <c r="H38" i="11"/>
  <c r="F38" i="11"/>
  <c r="G38" i="11"/>
  <c r="G37" i="11"/>
  <c r="F37" i="11"/>
  <c r="H37" i="11"/>
  <c r="C31" i="11"/>
  <c r="D34" i="11" s="1"/>
  <c r="E37" i="11"/>
  <c r="M25" i="11"/>
  <c r="D37" i="11"/>
  <c r="H32" i="6"/>
  <c r="H31" i="6"/>
  <c r="F25" i="6"/>
  <c r="C21" i="6"/>
  <c r="E25" i="6"/>
  <c r="G21" i="6"/>
  <c r="H17" i="6" s="1"/>
  <c r="C41" i="6"/>
  <c r="Y18" i="6"/>
  <c r="C39" i="6"/>
  <c r="D39" i="6"/>
  <c r="F41" i="6"/>
  <c r="E41" i="6"/>
  <c r="E23" i="6"/>
  <c r="F23" i="6"/>
  <c r="G23" i="6"/>
  <c r="C37" i="6"/>
  <c r="C71" i="6"/>
  <c r="D5" i="6"/>
  <c r="E5" i="6" s="1"/>
  <c r="F5" i="6" s="1"/>
  <c r="G5" i="6" s="1"/>
  <c r="H5" i="6" s="1"/>
  <c r="L27" i="8" l="1"/>
  <c r="D31" i="11"/>
  <c r="D35" i="11"/>
  <c r="D12" i="11" s="1"/>
  <c r="D32" i="11"/>
  <c r="H23" i="6"/>
  <c r="C73" i="6"/>
  <c r="D69" i="6" s="1"/>
  <c r="D73" i="6" s="1"/>
  <c r="E69" i="6" s="1"/>
  <c r="E73" i="6" s="1"/>
  <c r="F69" i="6" s="1"/>
  <c r="M27" i="8" l="1"/>
  <c r="H19" i="6"/>
  <c r="H37" i="6" s="1"/>
  <c r="E32" i="11"/>
  <c r="E35" i="11"/>
  <c r="E31" i="11"/>
  <c r="E34" i="11"/>
  <c r="E12" i="11" s="1"/>
  <c r="F73" i="6"/>
  <c r="G69" i="6" s="1"/>
  <c r="G73" i="6" s="1"/>
  <c r="H69" i="6" s="1"/>
  <c r="H73" i="6" s="1"/>
  <c r="F75" i="6"/>
  <c r="C75" i="6"/>
  <c r="D75" i="6"/>
  <c r="E75" i="6"/>
  <c r="F31" i="11" l="1"/>
  <c r="F34" i="11"/>
  <c r="F35" i="11"/>
  <c r="F32" i="11"/>
  <c r="H75" i="6"/>
  <c r="AO35" i="13" s="1"/>
  <c r="AS37" i="13" s="1"/>
  <c r="AW32" i="13" s="1"/>
  <c r="G75" i="6"/>
  <c r="H15" i="5"/>
  <c r="D30" i="5"/>
  <c r="E30" i="5"/>
  <c r="F30" i="5"/>
  <c r="G30" i="5"/>
  <c r="D34" i="5"/>
  <c r="E34" i="5"/>
  <c r="F34" i="5"/>
  <c r="G34" i="5"/>
  <c r="C34" i="5"/>
  <c r="D33" i="5"/>
  <c r="E33" i="5"/>
  <c r="F33" i="5"/>
  <c r="G33" i="5"/>
  <c r="D26" i="5"/>
  <c r="E24" i="5" s="1"/>
  <c r="E26" i="5"/>
  <c r="F26" i="5"/>
  <c r="G24" i="5" s="1"/>
  <c r="G26" i="5"/>
  <c r="H24" i="5" s="1"/>
  <c r="H26" i="5" s="1"/>
  <c r="C26" i="5"/>
  <c r="D24" i="5" s="1"/>
  <c r="E14" i="5"/>
  <c r="F14" i="5"/>
  <c r="G14" i="5"/>
  <c r="H14" i="5"/>
  <c r="D5" i="5"/>
  <c r="E5" i="5" s="1"/>
  <c r="F5" i="5" s="1"/>
  <c r="G5" i="5" s="1"/>
  <c r="H5" i="5" s="1"/>
  <c r="AW35" i="13" l="1"/>
  <c r="AW34" i="13"/>
  <c r="G35" i="5"/>
  <c r="H35" i="5" s="1"/>
  <c r="F12" i="11"/>
  <c r="B8" i="12"/>
  <c r="M6" i="11"/>
  <c r="M7" i="11" s="1"/>
  <c r="M12" i="11" s="1"/>
  <c r="G35" i="11"/>
  <c r="G32" i="11"/>
  <c r="G31" i="11"/>
  <c r="G34" i="11"/>
  <c r="H16" i="5"/>
  <c r="H25" i="2"/>
  <c r="E35" i="5"/>
  <c r="E25" i="5"/>
  <c r="E15" i="5" s="1"/>
  <c r="E16" i="5" s="1"/>
  <c r="F35" i="5"/>
  <c r="F24" i="5"/>
  <c r="F25" i="5"/>
  <c r="F15" i="5" s="1"/>
  <c r="F16" i="5" s="1"/>
  <c r="D25" i="5"/>
  <c r="D15" i="5" s="1"/>
  <c r="D16" i="5" s="1"/>
  <c r="G25" i="5"/>
  <c r="G15" i="5" s="1"/>
  <c r="G16" i="5" s="1"/>
  <c r="D35" i="5"/>
  <c r="D21" i="3"/>
  <c r="D28" i="3" s="1"/>
  <c r="H21" i="3"/>
  <c r="C28" i="3"/>
  <c r="C24" i="3"/>
  <c r="M14" i="11" l="1"/>
  <c r="G12" i="11"/>
  <c r="M32" i="11"/>
  <c r="M33" i="11" s="1"/>
  <c r="M34" i="11" s="1"/>
  <c r="C47" i="11" s="1"/>
  <c r="H31" i="11"/>
  <c r="C41" i="11" s="1"/>
  <c r="H34" i="11"/>
  <c r="H32" i="11"/>
  <c r="C42" i="11" s="1"/>
  <c r="H35" i="11"/>
  <c r="U25" i="2"/>
  <c r="W25" i="2" s="1"/>
  <c r="F19" i="1"/>
  <c r="E19" i="1"/>
  <c r="D19" i="1"/>
  <c r="F13" i="3"/>
  <c r="G7" i="3" s="1"/>
  <c r="G17" i="3" s="1"/>
  <c r="H17" i="3" s="1"/>
  <c r="D13" i="3"/>
  <c r="E7" i="3" s="1"/>
  <c r="E13" i="3"/>
  <c r="G13" i="3"/>
  <c r="C13" i="3"/>
  <c r="D5" i="3"/>
  <c r="E5" i="3" s="1"/>
  <c r="F5" i="3" s="1"/>
  <c r="G5" i="3" s="1"/>
  <c r="H5" i="3" s="1"/>
  <c r="E55" i="2"/>
  <c r="E64" i="2" s="1"/>
  <c r="E73" i="2" s="1"/>
  <c r="F55" i="2"/>
  <c r="F64" i="2" s="1"/>
  <c r="F73" i="2" s="1"/>
  <c r="G55" i="2"/>
  <c r="C55" i="2"/>
  <c r="C64" i="2" s="1"/>
  <c r="C73" i="2" s="1"/>
  <c r="D50" i="2"/>
  <c r="E50" i="2"/>
  <c r="F50" i="2"/>
  <c r="G50" i="2"/>
  <c r="C50" i="2"/>
  <c r="G45" i="2"/>
  <c r="F45" i="2"/>
  <c r="E45" i="2"/>
  <c r="D45" i="2"/>
  <c r="C45" i="2"/>
  <c r="B43" i="1"/>
  <c r="H12" i="11" l="1"/>
  <c r="G58" i="2"/>
  <c r="G64" i="2"/>
  <c r="D57" i="8"/>
  <c r="C45" i="11"/>
  <c r="H7" i="3"/>
  <c r="H9" i="3" s="1"/>
  <c r="G12" i="3"/>
  <c r="C17" i="3"/>
  <c r="C19" i="1"/>
  <c r="F58" i="2"/>
  <c r="F68" i="2" s="1"/>
  <c r="E58" i="2"/>
  <c r="E68" i="2" s="1"/>
  <c r="H58" i="2"/>
  <c r="H64" i="2"/>
  <c r="G73" i="2"/>
  <c r="F7" i="3"/>
  <c r="F17" i="3" s="1"/>
  <c r="E17" i="3"/>
  <c r="C12" i="3"/>
  <c r="D7" i="3"/>
  <c r="E12" i="3"/>
  <c r="C58" i="2"/>
  <c r="C68" i="2" s="1"/>
  <c r="H9" i="7" l="1"/>
  <c r="D9" i="8"/>
  <c r="D17" i="8" s="1"/>
  <c r="H18" i="1"/>
  <c r="U58" i="2"/>
  <c r="W58" i="2" s="1"/>
  <c r="U64" i="2"/>
  <c r="W64" i="2" s="1"/>
  <c r="F12" i="3"/>
  <c r="G68" i="2"/>
  <c r="D12" i="3"/>
  <c r="D17" i="3"/>
  <c r="D24" i="1"/>
  <c r="E24" i="1"/>
  <c r="F24" i="1"/>
  <c r="E16" i="1"/>
  <c r="F16" i="1"/>
  <c r="C16" i="1"/>
  <c r="D8" i="1"/>
  <c r="E8" i="1"/>
  <c r="F8" i="1"/>
  <c r="G8" i="1"/>
  <c r="C8" i="1"/>
  <c r="D36" i="2"/>
  <c r="D12" i="6" s="1"/>
  <c r="E36" i="2"/>
  <c r="E12" i="6" s="1"/>
  <c r="F36" i="2"/>
  <c r="F12" i="6" s="1"/>
  <c r="G36" i="2"/>
  <c r="G12" i="6" s="1"/>
  <c r="D23" i="2"/>
  <c r="D21" i="5" s="1"/>
  <c r="E19" i="5" s="1"/>
  <c r="E23" i="2"/>
  <c r="E21" i="5" s="1"/>
  <c r="F19" i="5" s="1"/>
  <c r="F23" i="2"/>
  <c r="F21" i="5" s="1"/>
  <c r="G23" i="2"/>
  <c r="G21" i="5" s="1"/>
  <c r="H19" i="5" s="1"/>
  <c r="H20" i="5" s="1"/>
  <c r="H21" i="5" s="1"/>
  <c r="D12" i="2"/>
  <c r="D17" i="2" s="1"/>
  <c r="E12" i="2"/>
  <c r="E17" i="2" s="1"/>
  <c r="F12" i="2"/>
  <c r="F17" i="2" s="1"/>
  <c r="G12" i="2"/>
  <c r="G17" i="2" s="1"/>
  <c r="C36" i="2"/>
  <c r="C23" i="2"/>
  <c r="C21" i="5" s="1"/>
  <c r="C12" i="2"/>
  <c r="C17" i="2" s="1"/>
  <c r="D10" i="1"/>
  <c r="D55" i="2" s="1"/>
  <c r="D19" i="5" l="1"/>
  <c r="D20" i="5" s="1"/>
  <c r="C29" i="5"/>
  <c r="F20" i="5"/>
  <c r="G19" i="5"/>
  <c r="G20" i="5" s="1"/>
  <c r="H29" i="5"/>
  <c r="E20" i="5"/>
  <c r="D10" i="8"/>
  <c r="C12" i="6"/>
  <c r="D6" i="6" s="1"/>
  <c r="C37" i="2"/>
  <c r="C46" i="6"/>
  <c r="C47" i="6" s="1"/>
  <c r="C54" i="2"/>
  <c r="C41" i="1"/>
  <c r="C43" i="1"/>
  <c r="C40" i="1"/>
  <c r="E45" i="1"/>
  <c r="E46" i="6"/>
  <c r="E47" i="6" s="1"/>
  <c r="E40" i="1"/>
  <c r="E41" i="1"/>
  <c r="E39" i="1"/>
  <c r="E54" i="2"/>
  <c r="E43" i="1"/>
  <c r="E42" i="1"/>
  <c r="D45" i="1"/>
  <c r="D46" i="6"/>
  <c r="D47" i="6" s="1"/>
  <c r="D41" i="1"/>
  <c r="D43" i="1"/>
  <c r="D54" i="2"/>
  <c r="D39" i="1"/>
  <c r="D42" i="1"/>
  <c r="D40" i="1"/>
  <c r="G45" i="1"/>
  <c r="H45" i="1" s="1"/>
  <c r="C5" i="8"/>
  <c r="G46" i="6"/>
  <c r="G41" i="1"/>
  <c r="H41" i="1" s="1"/>
  <c r="G43" i="1"/>
  <c r="H43" i="1" s="1"/>
  <c r="G39" i="1"/>
  <c r="H39" i="1" s="1"/>
  <c r="G54" i="2"/>
  <c r="G40" i="1"/>
  <c r="H40" i="1" s="1"/>
  <c r="G42" i="1"/>
  <c r="H42" i="1" s="1"/>
  <c r="F45" i="1"/>
  <c r="F46" i="6"/>
  <c r="F47" i="6" s="1"/>
  <c r="F54" i="2"/>
  <c r="F42" i="1"/>
  <c r="F40" i="1"/>
  <c r="F41" i="1"/>
  <c r="F43" i="1"/>
  <c r="F39" i="1"/>
  <c r="G17" i="1"/>
  <c r="C7" i="8" s="1"/>
  <c r="D64" i="2"/>
  <c r="D73" i="2" s="1"/>
  <c r="D58" i="2"/>
  <c r="D68" i="2" s="1"/>
  <c r="F17" i="1"/>
  <c r="F25" i="1" s="1"/>
  <c r="F28" i="1" s="1"/>
  <c r="F76" i="6" s="1"/>
  <c r="G37" i="2"/>
  <c r="G38" i="2" s="1"/>
  <c r="F29" i="5"/>
  <c r="F37" i="2"/>
  <c r="F38" i="2" s="1"/>
  <c r="E37" i="2"/>
  <c r="E38" i="2" s="1"/>
  <c r="D29" i="5"/>
  <c r="D37" i="2"/>
  <c r="D38" i="2" s="1"/>
  <c r="F6" i="6"/>
  <c r="H6" i="6"/>
  <c r="G6" i="6"/>
  <c r="E6" i="6"/>
  <c r="C45" i="1"/>
  <c r="C42" i="1"/>
  <c r="C39" i="1"/>
  <c r="C38" i="1"/>
  <c r="E38" i="1"/>
  <c r="E37" i="1"/>
  <c r="E46" i="1"/>
  <c r="D46" i="1"/>
  <c r="D37" i="1"/>
  <c r="D16" i="1"/>
  <c r="D17" i="1" s="1"/>
  <c r="D25" i="1" s="1"/>
  <c r="D28" i="1" s="1"/>
  <c r="D76" i="6" s="1"/>
  <c r="D38" i="1"/>
  <c r="C38" i="2"/>
  <c r="C46" i="1"/>
  <c r="G46" i="1"/>
  <c r="F46" i="1"/>
  <c r="F38" i="1"/>
  <c r="F37" i="1"/>
  <c r="E17" i="1"/>
  <c r="E25" i="1" s="1"/>
  <c r="E28" i="1" s="1"/>
  <c r="E76" i="6" s="1"/>
  <c r="C17" i="1"/>
  <c r="C25" i="1" s="1"/>
  <c r="C28" i="1" s="1"/>
  <c r="C76" i="6" s="1"/>
  <c r="G47" i="6" l="1"/>
  <c r="H47" i="6" s="1"/>
  <c r="G61" i="2"/>
  <c r="G62" i="2"/>
  <c r="E4" i="10"/>
  <c r="G29" i="5"/>
  <c r="G31" i="5" s="1"/>
  <c r="H31" i="5" s="1"/>
  <c r="H30" i="5" s="1"/>
  <c r="D25" i="11"/>
  <c r="D27" i="11" s="1"/>
  <c r="E65" i="2"/>
  <c r="E74" i="2" s="1"/>
  <c r="E61" i="2"/>
  <c r="E71" i="2" s="1"/>
  <c r="E15" i="3"/>
  <c r="E42" i="3" s="1"/>
  <c r="E56" i="2"/>
  <c r="E62" i="2"/>
  <c r="E66" i="2"/>
  <c r="E75" i="2" s="1"/>
  <c r="E59" i="2"/>
  <c r="E69" i="2" s="1"/>
  <c r="E60" i="2"/>
  <c r="E70" i="2" s="1"/>
  <c r="D64" i="6"/>
  <c r="D77" i="6"/>
  <c r="D55" i="6" s="1"/>
  <c r="D56" i="6" s="1"/>
  <c r="E64" i="6"/>
  <c r="E77" i="6"/>
  <c r="E55" i="6" s="1"/>
  <c r="E56" i="6" s="1"/>
  <c r="F62" i="2"/>
  <c r="F59" i="2"/>
  <c r="F69" i="2" s="1"/>
  <c r="F56" i="2"/>
  <c r="F15" i="3"/>
  <c r="F42" i="3" s="1"/>
  <c r="F65" i="2"/>
  <c r="F74" i="2" s="1"/>
  <c r="F66" i="2"/>
  <c r="F75" i="2" s="1"/>
  <c r="F61" i="2"/>
  <c r="F71" i="2" s="1"/>
  <c r="F60" i="2"/>
  <c r="F70" i="2" s="1"/>
  <c r="F64" i="6"/>
  <c r="F77" i="6"/>
  <c r="F55" i="6" s="1"/>
  <c r="F56" i="6" s="1"/>
  <c r="C15" i="3"/>
  <c r="C42" i="3" s="1"/>
  <c r="C59" i="2"/>
  <c r="C69" i="2" s="1"/>
  <c r="C61" i="2"/>
  <c r="C71" i="2" s="1"/>
  <c r="C62" i="2"/>
  <c r="C65" i="2"/>
  <c r="C74" i="2" s="1"/>
  <c r="C60" i="2"/>
  <c r="C70" i="2" s="1"/>
  <c r="C66" i="2"/>
  <c r="C75" i="2" s="1"/>
  <c r="C64" i="6"/>
  <c r="C77" i="6"/>
  <c r="C55" i="6" s="1"/>
  <c r="C56" i="6" s="1"/>
  <c r="D62" i="2"/>
  <c r="D66" i="2"/>
  <c r="D75" i="2" s="1"/>
  <c r="D61" i="2"/>
  <c r="D71" i="2" s="1"/>
  <c r="D15" i="3"/>
  <c r="D56" i="2"/>
  <c r="D59" i="2"/>
  <c r="D69" i="2" s="1"/>
  <c r="D60" i="2"/>
  <c r="D70" i="2" s="1"/>
  <c r="D65" i="2"/>
  <c r="D74" i="2" s="1"/>
  <c r="G15" i="3"/>
  <c r="G42" i="3" s="1"/>
  <c r="H42" i="3" s="1"/>
  <c r="G56" i="2"/>
  <c r="H62" i="2"/>
  <c r="G66" i="2"/>
  <c r="G65" i="2"/>
  <c r="G60" i="2"/>
  <c r="G59" i="2"/>
  <c r="G25" i="1"/>
  <c r="G28" i="1" s="1"/>
  <c r="G76" i="6" s="1"/>
  <c r="G64" i="6" s="1"/>
  <c r="G66" i="6" s="1"/>
  <c r="G7" i="6" s="1"/>
  <c r="G11" i="6" s="1"/>
  <c r="D5" i="8"/>
  <c r="D6" i="8" s="1"/>
  <c r="H46" i="6"/>
  <c r="H14" i="1"/>
  <c r="H11" i="1"/>
  <c r="H13" i="1"/>
  <c r="H15" i="1"/>
  <c r="H12" i="1"/>
  <c r="H54" i="2"/>
  <c r="I56" i="2" s="1"/>
  <c r="C11" i="8"/>
  <c r="E29" i="5"/>
  <c r="F31" i="5" s="1"/>
  <c r="D31" i="5"/>
  <c r="E31" i="5"/>
  <c r="H45" i="6" l="1"/>
  <c r="H9" i="6" s="1"/>
  <c r="D20" i="17" s="1"/>
  <c r="G77" i="6"/>
  <c r="G55" i="6" s="1"/>
  <c r="G56" i="6" s="1"/>
  <c r="H56" i="6" s="1"/>
  <c r="D7" i="11"/>
  <c r="D9" i="11" s="1"/>
  <c r="D11" i="11" s="1"/>
  <c r="F4" i="10"/>
  <c r="D40" i="3"/>
  <c r="D42" i="3"/>
  <c r="C40" i="3"/>
  <c r="G40" i="3"/>
  <c r="H40" i="3" s="1"/>
  <c r="E40" i="3"/>
  <c r="F40" i="3"/>
  <c r="D27" i="3"/>
  <c r="G65" i="6"/>
  <c r="D76" i="2"/>
  <c r="H65" i="2"/>
  <c r="H21" i="2" s="1"/>
  <c r="I18" i="7" s="1"/>
  <c r="G74" i="2"/>
  <c r="E76" i="2"/>
  <c r="D16" i="3"/>
  <c r="H15" i="3"/>
  <c r="H35" i="3" s="1"/>
  <c r="U54" i="2"/>
  <c r="W54" i="2" s="1"/>
  <c r="H56" i="2"/>
  <c r="U56" i="2" s="1"/>
  <c r="W56" i="2" s="1"/>
  <c r="G70" i="2"/>
  <c r="H60" i="2"/>
  <c r="H16" i="1"/>
  <c r="H17" i="1" s="1"/>
  <c r="D7" i="17" s="1"/>
  <c r="H55" i="2"/>
  <c r="H20" i="2" s="1"/>
  <c r="H61" i="2"/>
  <c r="G71" i="2"/>
  <c r="E27" i="3"/>
  <c r="E16" i="3"/>
  <c r="E5" i="8"/>
  <c r="E6" i="8" s="1"/>
  <c r="G27" i="3"/>
  <c r="H27" i="3" s="1"/>
  <c r="G16" i="3"/>
  <c r="H16" i="3" s="1"/>
  <c r="D66" i="6"/>
  <c r="D7" i="6" s="1"/>
  <c r="D11" i="6" s="1"/>
  <c r="D65" i="6"/>
  <c r="F27" i="3"/>
  <c r="F16" i="3"/>
  <c r="H59" i="2"/>
  <c r="G69" i="2"/>
  <c r="C27" i="3"/>
  <c r="C16" i="3"/>
  <c r="H66" i="2"/>
  <c r="G75" i="2"/>
  <c r="C65" i="6"/>
  <c r="C66" i="6"/>
  <c r="C7" i="6" s="1"/>
  <c r="C11" i="6" s="1"/>
  <c r="F65" i="6"/>
  <c r="F66" i="6"/>
  <c r="F7" i="6" s="1"/>
  <c r="F11" i="6" s="1"/>
  <c r="E66" i="6"/>
  <c r="E7" i="6" s="1"/>
  <c r="E11" i="6" s="1"/>
  <c r="E65" i="6"/>
  <c r="C76" i="2"/>
  <c r="F76" i="2"/>
  <c r="U62" i="2"/>
  <c r="W62" i="2" s="1"/>
  <c r="C13" i="8"/>
  <c r="C14" i="8" s="1"/>
  <c r="D20" i="8" l="1"/>
  <c r="H10" i="7"/>
  <c r="H30" i="7" s="1"/>
  <c r="H38" i="7" s="1"/>
  <c r="H47" i="2"/>
  <c r="I17" i="7"/>
  <c r="D8" i="17"/>
  <c r="D11" i="17"/>
  <c r="E20" i="8"/>
  <c r="D7" i="8"/>
  <c r="D11" i="8" s="1"/>
  <c r="H19" i="1"/>
  <c r="E5" i="10" s="1"/>
  <c r="E6" i="10" s="1"/>
  <c r="G4" i="10"/>
  <c r="E7" i="11"/>
  <c r="H8" i="3"/>
  <c r="H34" i="3"/>
  <c r="H37" i="3" s="1"/>
  <c r="I33" i="3" s="1"/>
  <c r="U21" i="2"/>
  <c r="W21" i="2" s="1"/>
  <c r="H18" i="7"/>
  <c r="H48" i="2"/>
  <c r="U48" i="2" s="1"/>
  <c r="W48" i="2" s="1"/>
  <c r="U66" i="2"/>
  <c r="W66" i="2" s="1"/>
  <c r="H22" i="2"/>
  <c r="I19" i="7" s="1"/>
  <c r="H75" i="2"/>
  <c r="U75" i="2" s="1"/>
  <c r="W75" i="2" s="1"/>
  <c r="U61" i="2"/>
  <c r="W61" i="2" s="1"/>
  <c r="H71" i="2"/>
  <c r="U71" i="2" s="1"/>
  <c r="W71" i="2" s="1"/>
  <c r="U59" i="2"/>
  <c r="W59" i="2" s="1"/>
  <c r="H69" i="2"/>
  <c r="U69" i="2" s="1"/>
  <c r="W69" i="2" s="1"/>
  <c r="H11" i="2"/>
  <c r="I15" i="7" s="1"/>
  <c r="U55" i="2"/>
  <c r="W55" i="2" s="1"/>
  <c r="H68" i="2"/>
  <c r="H10" i="2"/>
  <c r="H73" i="2"/>
  <c r="U73" i="2" s="1"/>
  <c r="W73" i="2" s="1"/>
  <c r="F5" i="8"/>
  <c r="F6" i="8" s="1"/>
  <c r="G76" i="2"/>
  <c r="U60" i="2"/>
  <c r="W60" i="2" s="1"/>
  <c r="H70" i="2"/>
  <c r="U70" i="2" s="1"/>
  <c r="W70" i="2" s="1"/>
  <c r="U65" i="2"/>
  <c r="W65" i="2" s="1"/>
  <c r="H74" i="2"/>
  <c r="U74" i="2" s="1"/>
  <c r="W74" i="2" s="1"/>
  <c r="D19" i="8" l="1"/>
  <c r="D19" i="17"/>
  <c r="D13" i="17"/>
  <c r="D14" i="17" s="1"/>
  <c r="D12" i="17"/>
  <c r="H43" i="2"/>
  <c r="I14" i="7"/>
  <c r="I36" i="3"/>
  <c r="I37" i="3"/>
  <c r="J33" i="3" s="1"/>
  <c r="D8" i="8"/>
  <c r="H4" i="10"/>
  <c r="E9" i="11"/>
  <c r="F7" i="11"/>
  <c r="F20" i="8"/>
  <c r="H24" i="7"/>
  <c r="H14" i="2"/>
  <c r="H22" i="7"/>
  <c r="H28" i="7" s="1"/>
  <c r="U68" i="2"/>
  <c r="W68" i="2" s="1"/>
  <c r="H76" i="2"/>
  <c r="U76" i="2" s="1"/>
  <c r="W76" i="2" s="1"/>
  <c r="H19" i="7"/>
  <c r="H49" i="2"/>
  <c r="U49" i="2" s="1"/>
  <c r="W49" i="2" s="1"/>
  <c r="U22" i="2"/>
  <c r="W22" i="2" s="1"/>
  <c r="H44" i="2"/>
  <c r="U44" i="2" s="1"/>
  <c r="W44" i="2" s="1"/>
  <c r="U11" i="2"/>
  <c r="W11" i="2" s="1"/>
  <c r="H15" i="7"/>
  <c r="H17" i="7"/>
  <c r="H23" i="2"/>
  <c r="U23" i="2" s="1"/>
  <c r="W23" i="2" s="1"/>
  <c r="U20" i="2"/>
  <c r="W20" i="2" s="1"/>
  <c r="D13" i="8"/>
  <c r="D14" i="8" s="1"/>
  <c r="D12" i="8"/>
  <c r="H14" i="7"/>
  <c r="U43" i="2"/>
  <c r="W43" i="2" s="1"/>
  <c r="U10" i="2"/>
  <c r="W10" i="2" s="1"/>
  <c r="G5" i="8"/>
  <c r="G6" i="8" s="1"/>
  <c r="H13" i="3"/>
  <c r="I7" i="3" s="1"/>
  <c r="I9" i="3" l="1"/>
  <c r="I13" i="3" s="1"/>
  <c r="J7" i="3" s="1"/>
  <c r="J36" i="3"/>
  <c r="J37" i="3" s="1"/>
  <c r="K33" i="3" s="1"/>
  <c r="D15" i="17"/>
  <c r="H51" i="2"/>
  <c r="F9" i="11"/>
  <c r="G20" i="8"/>
  <c r="I4" i="10"/>
  <c r="G7" i="11"/>
  <c r="E19" i="8"/>
  <c r="I14" i="2"/>
  <c r="U14" i="2"/>
  <c r="W14" i="2" s="1"/>
  <c r="D15" i="8"/>
  <c r="U47" i="2"/>
  <c r="W47" i="2" s="1"/>
  <c r="H50" i="2"/>
  <c r="H13" i="2"/>
  <c r="U13" i="2" s="1"/>
  <c r="W13" i="2" s="1"/>
  <c r="H5" i="8"/>
  <c r="E21" i="3"/>
  <c r="D24" i="3"/>
  <c r="E28" i="3"/>
  <c r="F21" i="3"/>
  <c r="F24" i="3" s="1"/>
  <c r="E24" i="3"/>
  <c r="G21" i="3"/>
  <c r="G24" i="3" s="1"/>
  <c r="H52" i="2" l="1"/>
  <c r="D18" i="17" s="1"/>
  <c r="D21" i="17" s="1"/>
  <c r="I52" i="2"/>
  <c r="E18" i="17" s="1"/>
  <c r="H6" i="8"/>
  <c r="I6" i="8"/>
  <c r="K36" i="3"/>
  <c r="K37" i="3"/>
  <c r="L33" i="3" s="1"/>
  <c r="L36" i="3" s="1"/>
  <c r="L37" i="3" s="1"/>
  <c r="M33" i="3" s="1"/>
  <c r="E9" i="17"/>
  <c r="I9" i="7"/>
  <c r="I18" i="1"/>
  <c r="I19" i="1" s="1"/>
  <c r="J9" i="3"/>
  <c r="J13" i="3" s="1"/>
  <c r="K7" i="3" s="1"/>
  <c r="G9" i="11"/>
  <c r="H7" i="11"/>
  <c r="H20" i="8"/>
  <c r="F19" i="8"/>
  <c r="G28" i="3"/>
  <c r="H28" i="3" s="1"/>
  <c r="F28" i="3"/>
  <c r="U50" i="2"/>
  <c r="W50" i="2" s="1"/>
  <c r="H25" i="3"/>
  <c r="J9" i="7" l="1"/>
  <c r="F9" i="17"/>
  <c r="E7" i="17"/>
  <c r="E10" i="17"/>
  <c r="E17" i="17"/>
  <c r="M36" i="3"/>
  <c r="M37" i="3"/>
  <c r="N33" i="3" s="1"/>
  <c r="N36" i="3" s="1"/>
  <c r="N37" i="3" s="1"/>
  <c r="O33" i="3" s="1"/>
  <c r="K9" i="3"/>
  <c r="K13" i="3" s="1"/>
  <c r="L7" i="3" s="1"/>
  <c r="D29" i="17"/>
  <c r="D22" i="17"/>
  <c r="H9" i="11"/>
  <c r="O12" i="11" s="1"/>
  <c r="G19" i="8"/>
  <c r="J14" i="2"/>
  <c r="L9" i="3" l="1"/>
  <c r="L13" i="3" s="1"/>
  <c r="M7" i="3" s="1"/>
  <c r="K9" i="7"/>
  <c r="G9" i="17"/>
  <c r="O36" i="3"/>
  <c r="O37" i="3"/>
  <c r="P33" i="3" s="1"/>
  <c r="E11" i="17"/>
  <c r="E8" i="17"/>
  <c r="F7" i="17"/>
  <c r="F10" i="17"/>
  <c r="F17" i="17"/>
  <c r="I13" i="2"/>
  <c r="E9" i="8"/>
  <c r="E17" i="8" s="1"/>
  <c r="H19" i="8"/>
  <c r="F5" i="10"/>
  <c r="F6" i="10" s="1"/>
  <c r="J18" i="1"/>
  <c r="J19" i="1" s="1"/>
  <c r="F8" i="17" l="1"/>
  <c r="F11" i="17"/>
  <c r="E13" i="17"/>
  <c r="E14" i="17" s="1"/>
  <c r="E12" i="17"/>
  <c r="P36" i="3"/>
  <c r="P37" i="3"/>
  <c r="Q33" i="3" s="1"/>
  <c r="Q36" i="3" s="1"/>
  <c r="Q37" i="3" s="1"/>
  <c r="G17" i="17"/>
  <c r="G10" i="17"/>
  <c r="G7" i="17"/>
  <c r="M9" i="3"/>
  <c r="M13" i="3" s="1"/>
  <c r="N7" i="3" s="1"/>
  <c r="L9" i="7"/>
  <c r="H9" i="17"/>
  <c r="E7" i="8"/>
  <c r="E8" i="8" s="1"/>
  <c r="E10" i="8"/>
  <c r="J13" i="2"/>
  <c r="K14" i="2"/>
  <c r="F9" i="8"/>
  <c r="F17" i="8" s="1"/>
  <c r="E11" i="11"/>
  <c r="E25" i="11"/>
  <c r="E27" i="11" s="1"/>
  <c r="N9" i="3" l="1"/>
  <c r="N13" i="3" s="1"/>
  <c r="O7" i="3" s="1"/>
  <c r="M9" i="7"/>
  <c r="I9" i="17"/>
  <c r="I9" i="8"/>
  <c r="G8" i="17"/>
  <c r="G11" i="17"/>
  <c r="H7" i="17"/>
  <c r="H10" i="17"/>
  <c r="H17" i="17"/>
  <c r="E21" i="17"/>
  <c r="E15" i="17"/>
  <c r="F13" i="17"/>
  <c r="F14" i="17" s="1"/>
  <c r="F12" i="17"/>
  <c r="E11" i="8"/>
  <c r="E13" i="8" s="1"/>
  <c r="E14" i="8" s="1"/>
  <c r="E15" i="8" s="1"/>
  <c r="G5" i="10"/>
  <c r="G6" i="10" s="1"/>
  <c r="F10" i="8"/>
  <c r="F7" i="8"/>
  <c r="H20" i="6"/>
  <c r="H21" i="6" s="1"/>
  <c r="E25" i="17" l="1"/>
  <c r="E29" i="17" s="1"/>
  <c r="E22" i="17"/>
  <c r="H8" i="17"/>
  <c r="H11" i="17"/>
  <c r="H12" i="17" s="1"/>
  <c r="G12" i="17"/>
  <c r="G13" i="17"/>
  <c r="G14" i="17"/>
  <c r="I17" i="8"/>
  <c r="I7" i="8"/>
  <c r="I17" i="17"/>
  <c r="I10" i="17"/>
  <c r="I7" i="17"/>
  <c r="O9" i="3"/>
  <c r="O13" i="3"/>
  <c r="P7" i="3" s="1"/>
  <c r="F21" i="17"/>
  <c r="F15" i="17"/>
  <c r="N9" i="7"/>
  <c r="J9" i="17"/>
  <c r="J9" i="8"/>
  <c r="K18" i="1"/>
  <c r="K19" i="1" s="1"/>
  <c r="E12" i="8"/>
  <c r="K13" i="2"/>
  <c r="L14" i="2"/>
  <c r="G9" i="8"/>
  <c r="G17" i="8" s="1"/>
  <c r="F11" i="11"/>
  <c r="F25" i="11"/>
  <c r="F27" i="11" s="1"/>
  <c r="F11" i="8"/>
  <c r="F8" i="8"/>
  <c r="I11" i="8" l="1"/>
  <c r="J17" i="8"/>
  <c r="J10" i="8"/>
  <c r="J7" i="8"/>
  <c r="J7" i="17"/>
  <c r="J11" i="17" s="1"/>
  <c r="J10" i="17"/>
  <c r="J17" i="17"/>
  <c r="G21" i="17"/>
  <c r="G15" i="17"/>
  <c r="F22" i="17"/>
  <c r="F25" i="17"/>
  <c r="F29" i="17" s="1"/>
  <c r="P9" i="3"/>
  <c r="P13" i="3" s="1"/>
  <c r="Q7" i="3" s="1"/>
  <c r="H13" i="17"/>
  <c r="H14" i="17" s="1"/>
  <c r="O9" i="7"/>
  <c r="K9" i="17"/>
  <c r="K9" i="8"/>
  <c r="J8" i="17"/>
  <c r="I11" i="17"/>
  <c r="I8" i="17"/>
  <c r="H5" i="10"/>
  <c r="H6" i="10" s="1"/>
  <c r="F13" i="8"/>
  <c r="F14" i="8" s="1"/>
  <c r="F15" i="8" s="1"/>
  <c r="F12" i="8"/>
  <c r="G10" i="8"/>
  <c r="G7" i="8"/>
  <c r="I12" i="17" l="1"/>
  <c r="I13" i="17"/>
  <c r="I14" i="17" s="1"/>
  <c r="G25" i="17"/>
  <c r="G29" i="17" s="1"/>
  <c r="G22" i="17"/>
  <c r="K7" i="8"/>
  <c r="K10" i="8"/>
  <c r="K17" i="8"/>
  <c r="K7" i="17"/>
  <c r="K10" i="17"/>
  <c r="K17" i="17"/>
  <c r="J13" i="17"/>
  <c r="J14" i="17" s="1"/>
  <c r="J12" i="17"/>
  <c r="J11" i="8"/>
  <c r="J8" i="8"/>
  <c r="H21" i="17"/>
  <c r="H15" i="17"/>
  <c r="Q9" i="3"/>
  <c r="Q13" i="3"/>
  <c r="P9" i="7"/>
  <c r="L9" i="17"/>
  <c r="L9" i="8"/>
  <c r="I13" i="8"/>
  <c r="I14" i="8" s="1"/>
  <c r="L18" i="1"/>
  <c r="L19" i="1" s="1"/>
  <c r="M14" i="2"/>
  <c r="H9" i="8"/>
  <c r="G11" i="11"/>
  <c r="G25" i="11"/>
  <c r="G27" i="11" s="1"/>
  <c r="L13" i="2"/>
  <c r="G8" i="8"/>
  <c r="G11" i="8"/>
  <c r="I21" i="8" l="1"/>
  <c r="L7" i="8"/>
  <c r="L10" i="8"/>
  <c r="L17" i="8"/>
  <c r="Q9" i="7"/>
  <c r="M9" i="17"/>
  <c r="M9" i="8"/>
  <c r="K8" i="8"/>
  <c r="K11" i="8"/>
  <c r="H17" i="8"/>
  <c r="I10" i="8"/>
  <c r="H22" i="17"/>
  <c r="H25" i="17"/>
  <c r="H29" i="17" s="1"/>
  <c r="I21" i="17"/>
  <c r="I15" i="17"/>
  <c r="J21" i="17"/>
  <c r="J15" i="17"/>
  <c r="K11" i="17"/>
  <c r="K8" i="17"/>
  <c r="J13" i="8"/>
  <c r="J14" i="8" s="1"/>
  <c r="J12" i="8"/>
  <c r="L17" i="17"/>
  <c r="L10" i="17"/>
  <c r="L7" i="17"/>
  <c r="N14" i="2"/>
  <c r="G12" i="8"/>
  <c r="G13" i="8"/>
  <c r="G14" i="8" s="1"/>
  <c r="G15" i="8" s="1"/>
  <c r="H10" i="8"/>
  <c r="H7" i="8"/>
  <c r="I8" i="8" s="1"/>
  <c r="L11" i="17" l="1"/>
  <c r="L8" i="17"/>
  <c r="K12" i="8"/>
  <c r="K13" i="8"/>
  <c r="K14" i="8" s="1"/>
  <c r="J21" i="8"/>
  <c r="J15" i="8"/>
  <c r="M10" i="8"/>
  <c r="M17" i="8"/>
  <c r="M7" i="8"/>
  <c r="K12" i="17"/>
  <c r="K13" i="17"/>
  <c r="K14" i="17" s="1"/>
  <c r="M10" i="17"/>
  <c r="M17" i="17"/>
  <c r="M7" i="17"/>
  <c r="J25" i="17"/>
  <c r="J29" i="17" s="1"/>
  <c r="J22" i="17"/>
  <c r="I22" i="17"/>
  <c r="I25" i="17"/>
  <c r="I29" i="17" s="1"/>
  <c r="L11" i="8"/>
  <c r="L8" i="8"/>
  <c r="I25" i="8"/>
  <c r="I29" i="8" s="1"/>
  <c r="M13" i="2"/>
  <c r="O14" i="2"/>
  <c r="I5" i="10"/>
  <c r="I6" i="10" s="1"/>
  <c r="H11" i="11"/>
  <c r="H25" i="11"/>
  <c r="H27" i="11" s="1"/>
  <c r="H8" i="8"/>
  <c r="H11" i="8"/>
  <c r="I12" i="8" s="1"/>
  <c r="K15" i="17" l="1"/>
  <c r="K21" i="17"/>
  <c r="M11" i="8"/>
  <c r="M8" i="8"/>
  <c r="L12" i="8"/>
  <c r="L13" i="8"/>
  <c r="L14" i="8" s="1"/>
  <c r="J25" i="8"/>
  <c r="J29" i="8" s="1"/>
  <c r="J22" i="8"/>
  <c r="K15" i="8"/>
  <c r="K21" i="8"/>
  <c r="M8" i="17"/>
  <c r="M11" i="17"/>
  <c r="L12" i="17"/>
  <c r="L13" i="17"/>
  <c r="L14" i="17"/>
  <c r="M18" i="1"/>
  <c r="M19" i="1" s="1"/>
  <c r="H13" i="8"/>
  <c r="H14" i="8" s="1"/>
  <c r="I15" i="8" s="1"/>
  <c r="H12" i="8"/>
  <c r="M12" i="17" l="1"/>
  <c r="M13" i="17"/>
  <c r="M14" i="17"/>
  <c r="K22" i="8"/>
  <c r="K25" i="8"/>
  <c r="K29" i="8" s="1"/>
  <c r="L15" i="8"/>
  <c r="L21" i="8"/>
  <c r="L21" i="17"/>
  <c r="L15" i="17"/>
  <c r="M13" i="8"/>
  <c r="M14" i="8" s="1"/>
  <c r="M12" i="8"/>
  <c r="K22" i="17"/>
  <c r="K25" i="17"/>
  <c r="K29" i="17" s="1"/>
  <c r="C46" i="11"/>
  <c r="H47" i="11" s="1"/>
  <c r="C51" i="11"/>
  <c r="N13" i="2"/>
  <c r="N18" i="1"/>
  <c r="N19" i="1" s="1"/>
  <c r="P14" i="2"/>
  <c r="H15" i="8"/>
  <c r="L25" i="17" l="1"/>
  <c r="L29" i="17" s="1"/>
  <c r="L22" i="17"/>
  <c r="L25" i="8"/>
  <c r="L29" i="8" s="1"/>
  <c r="L22" i="8"/>
  <c r="M21" i="8"/>
  <c r="M15" i="8"/>
  <c r="M21" i="17"/>
  <c r="M15" i="17"/>
  <c r="C49" i="11"/>
  <c r="E56" i="11" s="1"/>
  <c r="H51" i="11"/>
  <c r="Q14" i="2"/>
  <c r="U41" i="2"/>
  <c r="W41" i="2"/>
  <c r="H45" i="2"/>
  <c r="U45" i="2" s="1"/>
  <c r="W45" i="2" s="1"/>
  <c r="D18" i="8"/>
  <c r="D21" i="8" s="1"/>
  <c r="D22" i="8" s="1"/>
  <c r="M22" i="17" l="1"/>
  <c r="M25" i="17"/>
  <c r="M29" i="17" s="1"/>
  <c r="D35" i="17" s="1"/>
  <c r="M25" i="8"/>
  <c r="M29" i="8" s="1"/>
  <c r="D35" i="8" s="1"/>
  <c r="M22" i="8"/>
  <c r="O13" i="2"/>
  <c r="O18" i="1"/>
  <c r="O19" i="1" s="1"/>
  <c r="F18" i="8"/>
  <c r="F26" i="11" s="1"/>
  <c r="H18" i="8"/>
  <c r="H26" i="11" s="1"/>
  <c r="G18" i="8"/>
  <c r="G26" i="11" s="1"/>
  <c r="E18" i="8"/>
  <c r="E26" i="11" s="1"/>
  <c r="D26" i="11"/>
  <c r="D33" i="17" l="1"/>
  <c r="E21" i="8"/>
  <c r="E22" i="8" s="1"/>
  <c r="H21" i="8"/>
  <c r="F21" i="8"/>
  <c r="F25" i="8" s="1"/>
  <c r="F29" i="8" s="1"/>
  <c r="G21" i="8"/>
  <c r="G25" i="8" s="1"/>
  <c r="G29" i="8" s="1"/>
  <c r="D36" i="17" l="1"/>
  <c r="D41" i="17" s="1"/>
  <c r="D43" i="17" s="1"/>
  <c r="H25" i="8"/>
  <c r="H29" i="8" s="1"/>
  <c r="I22" i="8"/>
  <c r="P13" i="2"/>
  <c r="P18" i="1"/>
  <c r="P19" i="1" s="1"/>
  <c r="E25" i="8"/>
  <c r="E29" i="8" s="1"/>
  <c r="F22" i="8"/>
  <c r="G22" i="8"/>
  <c r="D45" i="17" l="1"/>
  <c r="G34" i="17" s="1"/>
  <c r="D33" i="8"/>
  <c r="D36" i="8" s="1"/>
  <c r="D13" i="11"/>
  <c r="D14" i="11" s="1"/>
  <c r="Q13" i="2" l="1"/>
  <c r="D15" i="11"/>
  <c r="D24" i="11" s="1"/>
  <c r="D28" i="11" s="1"/>
  <c r="E13" i="11"/>
  <c r="F13" i="11"/>
  <c r="G13" i="11"/>
  <c r="H13" i="11"/>
  <c r="D41" i="8" l="1"/>
  <c r="D43" i="8" s="1"/>
  <c r="D45" i="8" s="1"/>
  <c r="Q18" i="1"/>
  <c r="Q19" i="1" s="1"/>
  <c r="G14" i="11"/>
  <c r="G15" i="11"/>
  <c r="G24" i="11" s="1"/>
  <c r="G28" i="11" s="1"/>
  <c r="F14" i="11"/>
  <c r="F15" i="11" s="1"/>
  <c r="F24" i="11" s="1"/>
  <c r="F28" i="11" s="1"/>
  <c r="E14" i="11"/>
  <c r="E15" i="11" s="1"/>
  <c r="E24" i="11" s="1"/>
  <c r="E28" i="11" s="1"/>
  <c r="H14" i="11"/>
  <c r="H15" i="11" s="1"/>
  <c r="H24" i="11" s="1"/>
  <c r="H28" i="11" s="1"/>
  <c r="G34" i="8" l="1"/>
  <c r="B9" i="12"/>
  <c r="B11" i="12"/>
  <c r="G18" i="12"/>
  <c r="G21" i="12"/>
  <c r="B25" i="12"/>
  <c r="B26" i="12"/>
  <c r="G26" i="12"/>
  <c r="G27" i="12"/>
  <c r="D28" i="12"/>
  <c r="D29" i="12"/>
  <c r="D32" i="12"/>
  <c r="G32" i="12"/>
  <c r="D34" i="12"/>
  <c r="D36" i="12"/>
  <c r="D38" i="12"/>
  <c r="D39" i="12"/>
  <c r="D40" i="12"/>
  <c r="D41" i="12"/>
  <c r="H4" i="2"/>
  <c r="I4" i="2"/>
  <c r="J4" i="2"/>
  <c r="K4" i="2"/>
  <c r="L4" i="2"/>
  <c r="M4" i="2"/>
  <c r="N4" i="2"/>
  <c r="O4" i="2"/>
  <c r="P4" i="2"/>
  <c r="Q4" i="2"/>
  <c r="H8" i="2"/>
  <c r="I8" i="2"/>
  <c r="J8" i="2"/>
  <c r="K8" i="2"/>
  <c r="L8" i="2"/>
  <c r="M8" i="2"/>
  <c r="N8" i="2"/>
  <c r="O8" i="2"/>
  <c r="P8" i="2"/>
  <c r="Q8" i="2"/>
  <c r="U8" i="2"/>
  <c r="W8" i="2"/>
  <c r="H12" i="2"/>
  <c r="I12" i="2"/>
  <c r="J12" i="2"/>
  <c r="K12" i="2"/>
  <c r="L12" i="2"/>
  <c r="M12" i="2"/>
  <c r="N12" i="2"/>
  <c r="O12" i="2"/>
  <c r="P12" i="2"/>
  <c r="Q12" i="2"/>
  <c r="U12" i="2"/>
  <c r="W12" i="2"/>
  <c r="H17" i="2"/>
  <c r="I17" i="2"/>
  <c r="J17" i="2"/>
  <c r="K17" i="2"/>
  <c r="L17" i="2"/>
  <c r="M17" i="2"/>
  <c r="N17" i="2"/>
  <c r="O17" i="2"/>
  <c r="P17" i="2"/>
  <c r="Q17" i="2"/>
  <c r="U17" i="2"/>
  <c r="W17" i="2"/>
  <c r="H35" i="2"/>
  <c r="I35" i="2"/>
  <c r="J35" i="2"/>
  <c r="K35" i="2"/>
  <c r="L35" i="2"/>
  <c r="M35" i="2"/>
  <c r="N35" i="2"/>
  <c r="O35" i="2"/>
  <c r="P35" i="2"/>
  <c r="Q35" i="2"/>
  <c r="U35" i="2"/>
  <c r="W35" i="2"/>
  <c r="H36" i="2"/>
  <c r="I36" i="2"/>
  <c r="J36" i="2"/>
  <c r="K36" i="2"/>
  <c r="L36" i="2"/>
  <c r="M36" i="2"/>
  <c r="N36" i="2"/>
  <c r="O36" i="2"/>
  <c r="P36" i="2"/>
  <c r="Q36" i="2"/>
  <c r="U36" i="2"/>
  <c r="W36" i="2"/>
  <c r="H37" i="2"/>
  <c r="I37" i="2"/>
  <c r="J37" i="2"/>
  <c r="K37" i="2"/>
  <c r="L37" i="2"/>
  <c r="M37" i="2"/>
  <c r="N37" i="2"/>
  <c r="O37" i="2"/>
  <c r="P37" i="2"/>
  <c r="Q37" i="2"/>
  <c r="U37" i="2"/>
  <c r="W37" i="2"/>
  <c r="H38" i="2"/>
  <c r="I38" i="2"/>
  <c r="J38" i="2"/>
  <c r="K38" i="2"/>
  <c r="L38" i="2"/>
  <c r="M38" i="2"/>
  <c r="N38" i="2"/>
  <c r="O38" i="2"/>
  <c r="P38" i="2"/>
  <c r="Q38" i="2"/>
  <c r="U38" i="2"/>
  <c r="W38" i="2"/>
  <c r="H7" i="7"/>
  <c r="I7" i="7"/>
  <c r="J7" i="7"/>
  <c r="K7" i="7"/>
  <c r="L7" i="7"/>
  <c r="M7" i="7"/>
  <c r="N7" i="7"/>
  <c r="O7" i="7"/>
  <c r="P7" i="7"/>
  <c r="Q7" i="7"/>
  <c r="H20" i="7"/>
  <c r="I20" i="7"/>
  <c r="J20" i="7"/>
  <c r="K20" i="7"/>
  <c r="L20" i="7"/>
  <c r="M20" i="7"/>
  <c r="N20" i="7"/>
  <c r="O20" i="7"/>
  <c r="P20" i="7"/>
  <c r="Q20" i="7"/>
  <c r="H42" i="7"/>
  <c r="I42" i="7"/>
  <c r="J42" i="7"/>
  <c r="K42" i="7"/>
  <c r="L42" i="7"/>
  <c r="M42" i="7"/>
  <c r="N42" i="7"/>
  <c r="O42" i="7"/>
  <c r="P42" i="7"/>
  <c r="Q42" i="7"/>
  <c r="I43" i="7"/>
  <c r="J43" i="7"/>
  <c r="K43" i="7"/>
  <c r="L43" i="7"/>
  <c r="M43" i="7"/>
  <c r="N43" i="7"/>
  <c r="O43" i="7"/>
  <c r="P43" i="7"/>
  <c r="Q43" i="7"/>
  <c r="H44" i="7"/>
  <c r="I44" i="7"/>
  <c r="J44" i="7"/>
  <c r="K44" i="7"/>
  <c r="L44" i="7"/>
  <c r="M44" i="7"/>
  <c r="N44" i="7"/>
  <c r="O44" i="7"/>
  <c r="P44" i="7"/>
  <c r="Q44" i="7"/>
  <c r="I12" i="5"/>
  <c r="J12" i="5"/>
  <c r="K12" i="5"/>
  <c r="L12" i="5"/>
  <c r="M12" i="5"/>
  <c r="N12" i="5"/>
  <c r="O12" i="5"/>
  <c r="P12" i="5"/>
  <c r="Q12" i="5"/>
  <c r="I14" i="5"/>
  <c r="J14" i="5"/>
  <c r="K14" i="5"/>
  <c r="L14" i="5"/>
  <c r="M14" i="5"/>
  <c r="N14" i="5"/>
  <c r="O14" i="5"/>
  <c r="P14" i="5"/>
  <c r="Q14" i="5"/>
  <c r="I16" i="5"/>
  <c r="J16" i="5"/>
  <c r="K16" i="5"/>
  <c r="L16" i="5"/>
  <c r="M16" i="5"/>
  <c r="N16" i="5"/>
  <c r="O16" i="5"/>
  <c r="P16" i="5"/>
  <c r="Q16" i="5"/>
  <c r="J19" i="5"/>
  <c r="K19" i="5"/>
  <c r="L19" i="5"/>
  <c r="M19" i="5"/>
  <c r="N19" i="5"/>
  <c r="O19" i="5"/>
  <c r="P19" i="5"/>
  <c r="Q19" i="5"/>
  <c r="I20" i="5"/>
  <c r="J20" i="5"/>
  <c r="K20" i="5"/>
  <c r="L20" i="5"/>
  <c r="M20" i="5"/>
  <c r="N20" i="5"/>
  <c r="O20" i="5"/>
  <c r="P20" i="5"/>
  <c r="Q20" i="5"/>
  <c r="I21" i="5"/>
  <c r="J21" i="5"/>
  <c r="K21" i="5"/>
  <c r="L21" i="5"/>
  <c r="M21" i="5"/>
  <c r="N21" i="5"/>
  <c r="O21" i="5"/>
  <c r="P21" i="5"/>
  <c r="Q21" i="5"/>
  <c r="I29" i="5"/>
  <c r="J29" i="5"/>
  <c r="K29" i="5"/>
  <c r="L29" i="5"/>
  <c r="M29" i="5"/>
  <c r="N29" i="5"/>
  <c r="O29" i="5"/>
  <c r="P29" i="5"/>
  <c r="Q29" i="5"/>
  <c r="I30" i="5"/>
  <c r="J30" i="5"/>
  <c r="K30" i="5"/>
  <c r="L30" i="5"/>
  <c r="M30" i="5"/>
  <c r="N30" i="5"/>
  <c r="O30" i="5"/>
  <c r="P30" i="5"/>
  <c r="Q30" i="5"/>
  <c r="H33" i="5"/>
  <c r="I33" i="5"/>
  <c r="J33" i="5"/>
  <c r="K33" i="5"/>
  <c r="L33" i="5"/>
  <c r="M33" i="5"/>
  <c r="N33" i="5"/>
  <c r="O33" i="5"/>
  <c r="P33" i="5"/>
  <c r="Q33" i="5"/>
  <c r="H34" i="5"/>
  <c r="I34" i="5"/>
  <c r="J34" i="5"/>
  <c r="K34" i="5"/>
  <c r="L34" i="5"/>
  <c r="M34" i="5"/>
  <c r="N34" i="5"/>
  <c r="O34" i="5"/>
  <c r="P34" i="5"/>
  <c r="Q34" i="5"/>
  <c r="H21" i="1"/>
  <c r="I21" i="1"/>
  <c r="J21" i="1"/>
  <c r="K21" i="1"/>
  <c r="L21" i="1"/>
  <c r="M21" i="1"/>
  <c r="N21" i="1"/>
  <c r="O21" i="1"/>
  <c r="P21" i="1"/>
  <c r="Q21" i="1"/>
  <c r="I22" i="1"/>
  <c r="J22" i="1"/>
  <c r="K22" i="1"/>
  <c r="L22" i="1"/>
  <c r="M22" i="1"/>
  <c r="N22" i="1"/>
  <c r="O22" i="1"/>
  <c r="P22" i="1"/>
  <c r="Q22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H27" i="1"/>
  <c r="I27" i="1"/>
  <c r="J27" i="1"/>
  <c r="K27" i="1"/>
  <c r="L27" i="1"/>
  <c r="M27" i="1"/>
  <c r="N27" i="1"/>
  <c r="O27" i="1"/>
  <c r="P27" i="1"/>
  <c r="Q27" i="1"/>
  <c r="H28" i="1"/>
  <c r="I28" i="1"/>
  <c r="J28" i="1"/>
  <c r="K28" i="1"/>
  <c r="L28" i="1"/>
  <c r="M28" i="1"/>
  <c r="N28" i="1"/>
  <c r="O28" i="1"/>
  <c r="P28" i="1"/>
  <c r="Q28" i="1"/>
  <c r="H4" i="3"/>
  <c r="I4" i="3"/>
  <c r="J4" i="3"/>
  <c r="K4" i="3"/>
  <c r="L4" i="3"/>
  <c r="M4" i="3"/>
  <c r="N4" i="3"/>
  <c r="O4" i="3"/>
  <c r="P4" i="3"/>
  <c r="Q4" i="3"/>
  <c r="AO31" i="13"/>
  <c r="AO32" i="13"/>
  <c r="AO33" i="13"/>
  <c r="AS33" i="13"/>
  <c r="AS34" i="13"/>
  <c r="AS35" i="13"/>
  <c r="AO37" i="13"/>
  <c r="AO38" i="13"/>
  <c r="AS39" i="13"/>
  <c r="AS40" i="13"/>
  <c r="H4" i="6"/>
  <c r="I4" i="6"/>
  <c r="J4" i="6"/>
  <c r="K4" i="6"/>
  <c r="L4" i="6"/>
  <c r="M4" i="6"/>
  <c r="N4" i="6"/>
  <c r="O4" i="6"/>
  <c r="P4" i="6"/>
  <c r="Q4" i="6"/>
  <c r="I6" i="6"/>
  <c r="J6" i="6"/>
  <c r="K6" i="6"/>
  <c r="L6" i="6"/>
  <c r="M6" i="6"/>
  <c r="N6" i="6"/>
  <c r="O6" i="6"/>
  <c r="P6" i="6"/>
  <c r="Q6" i="6"/>
  <c r="H7" i="6"/>
  <c r="I7" i="6"/>
  <c r="J7" i="6"/>
  <c r="K7" i="6"/>
  <c r="L7" i="6"/>
  <c r="M7" i="6"/>
  <c r="N7" i="6"/>
  <c r="O7" i="6"/>
  <c r="P7" i="6"/>
  <c r="Q7" i="6"/>
  <c r="T10" i="6"/>
  <c r="H12" i="6"/>
  <c r="I12" i="6"/>
  <c r="J12" i="6"/>
  <c r="K12" i="6"/>
  <c r="L12" i="6"/>
  <c r="M12" i="6"/>
  <c r="N12" i="6"/>
  <c r="O12" i="6"/>
  <c r="P12" i="6"/>
  <c r="Q12" i="6"/>
  <c r="H55" i="6"/>
  <c r="I55" i="6"/>
  <c r="J55" i="6"/>
  <c r="K55" i="6"/>
  <c r="L55" i="6"/>
  <c r="M55" i="6"/>
  <c r="N55" i="6"/>
  <c r="O55" i="6"/>
  <c r="P55" i="6"/>
  <c r="Q55" i="6"/>
  <c r="H57" i="6"/>
  <c r="I57" i="6"/>
  <c r="J57" i="6"/>
  <c r="K57" i="6"/>
  <c r="L57" i="6"/>
  <c r="M57" i="6"/>
  <c r="N57" i="6"/>
  <c r="O57" i="6"/>
  <c r="P57" i="6"/>
  <c r="Q57" i="6"/>
  <c r="H59" i="6"/>
  <c r="I59" i="6"/>
  <c r="J59" i="6"/>
  <c r="K59" i="6"/>
  <c r="L59" i="6"/>
  <c r="M59" i="6"/>
  <c r="N59" i="6"/>
  <c r="O59" i="6"/>
  <c r="P59" i="6"/>
  <c r="Q59" i="6"/>
  <c r="H64" i="6"/>
  <c r="I64" i="6"/>
  <c r="J64" i="6"/>
  <c r="K64" i="6"/>
  <c r="L64" i="6"/>
  <c r="M64" i="6"/>
  <c r="N64" i="6"/>
  <c r="O64" i="6"/>
  <c r="P64" i="6"/>
  <c r="Q64" i="6"/>
  <c r="H65" i="6"/>
  <c r="I65" i="6"/>
  <c r="J65" i="6"/>
  <c r="K65" i="6"/>
  <c r="L65" i="6"/>
  <c r="M65" i="6"/>
  <c r="N65" i="6"/>
  <c r="O65" i="6"/>
  <c r="P65" i="6"/>
  <c r="Q65" i="6"/>
  <c r="H66" i="6"/>
  <c r="I66" i="6"/>
  <c r="J66" i="6"/>
  <c r="K66" i="6"/>
  <c r="L66" i="6"/>
  <c r="M66" i="6"/>
  <c r="N66" i="6"/>
  <c r="O66" i="6"/>
  <c r="P66" i="6"/>
  <c r="Q66" i="6"/>
  <c r="H76" i="6"/>
  <c r="I76" i="6"/>
  <c r="J76" i="6"/>
  <c r="K76" i="6"/>
  <c r="L76" i="6"/>
  <c r="M76" i="6"/>
  <c r="N76" i="6"/>
  <c r="O76" i="6"/>
  <c r="P76" i="6"/>
  <c r="Q76" i="6"/>
  <c r="H77" i="6"/>
  <c r="I77" i="6"/>
  <c r="J77" i="6"/>
  <c r="K77" i="6"/>
  <c r="L77" i="6"/>
  <c r="M77" i="6"/>
  <c r="N77" i="6"/>
  <c r="O77" i="6"/>
  <c r="P77" i="6"/>
  <c r="Q7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tc={B343E715-F785-450E-B776-CE3DAF70F07F}</author>
    <author>tc={A88C9318-229F-4BFB-8154-4F6F380311E5}</author>
    <author>tc={9F8E554C-EE9D-44C8-8DA4-82E928C01D07}</author>
    <author>tc={00DA52F1-4AD5-4B3F-B165-66A654D3B440}</author>
    <author>tc={BB4A22A0-4EB2-4ACC-8624-42D9D2F1C9D4}</author>
    <author>tc={09F9712B-D849-4D7C-BCC6-1EAA87580CCA}</author>
    <author>tc={89F31B47-2483-468C-95B1-3BE5D3995EB5}</author>
    <author>tc={4402A344-F6C5-44D3-8980-6CB259B1FF32}</author>
    <author>tc={9CE09432-9682-4F86-8108-D273E938926D}</author>
    <author>tc={ABA9AD18-A5E5-4204-AF97-23BF4948F91B}</author>
  </authors>
  <commentList>
    <comment ref="H57" authorId="0" shapeId="0" xr:uid="{B343E715-F785-450E-B776-CE3DAF70F07F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I57" authorId="1" shapeId="0" xr:uid="{A88C9318-229F-4BFB-8154-4F6F380311E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J57" authorId="2" shapeId="0" xr:uid="{9F8E554C-EE9D-44C8-8DA4-82E928C01D07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K57" authorId="3" shapeId="0" xr:uid="{00DA52F1-4AD5-4B3F-B165-66A654D3B44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L57" authorId="4" shapeId="0" xr:uid="{BB4A22A0-4EB2-4ACC-8624-42D9D2F1C9D4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H59" authorId="5" shapeId="0" xr:uid="{09F9712B-D849-4D7C-BCC6-1EAA87580CC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  <comment ref="I59" authorId="6" shapeId="0" xr:uid="{89F31B47-2483-468C-95B1-3BE5D3995EB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  <comment ref="J59" authorId="7" shapeId="0" xr:uid="{4402A344-F6C5-44D3-8980-6CB259B1FF32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  <comment ref="K59" authorId="8" shapeId="0" xr:uid="{9CE09432-9682-4F86-8108-D273E938926D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  <comment ref="L59" authorId="9" shapeId="0" xr:uid="{ABA9AD18-A5E5-4204-AF97-23BF4948F91B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Sameer Merchant</author>
  </authors>
  <commentList>
    <comment ref="D65" authorId="0" shapeId="0" xr:uid="{E9DAAD36-5371-46E2-9522-9BCD57710A55}">
      <text>
        <r>
          <rPr>
            <b/>
            <sz val="9"/>
            <color indexed="81"/>
            <rFont val="Tahoma"/>
            <family val="2"/>
          </rPr>
          <t>Sameer Merchant:</t>
        </r>
        <r>
          <rPr>
            <sz val="9"/>
            <color indexed="81"/>
            <rFont val="Tahoma"/>
            <family val="2"/>
          </rPr>
          <t xml:space="preserve">
https://assets.kpmg/content/dam/kpmg/nl/pdf/2019/advisory/equity-market-risk-premium-research-summary-31032019.pdf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Sameer Merchant</author>
  </authors>
  <commentList>
    <comment ref="D65" authorId="0" shapeId="0" xr:uid="{08B4A09A-6B44-40C4-BB20-A046896D6849}">
      <text>
        <r>
          <rPr>
            <b/>
            <sz val="9"/>
            <color indexed="81"/>
            <rFont val="Tahoma"/>
            <family val="2"/>
          </rPr>
          <t>Sameer Merchant:</t>
        </r>
        <r>
          <rPr>
            <sz val="9"/>
            <color indexed="81"/>
            <rFont val="Tahoma"/>
            <family val="2"/>
          </rPr>
          <t xml:space="preserve">
https://assets.kpmg/content/dam/kpmg/nl/pdf/2019/advisory/equity-market-risk-premium-research-summary-31032019.pdf</t>
        </r>
      </text>
    </comment>
  </commentList>
</comments>
</file>

<file path=xl/sharedStrings.xml><?xml version="1.0" encoding="utf-8"?>
<sst xmlns="http://schemas.openxmlformats.org/spreadsheetml/2006/main" count="826" uniqueCount="546">
  <si>
    <t>Amazon Income Statement</t>
  </si>
  <si>
    <t>Amazon Balance Sheet</t>
  </si>
  <si>
    <t>Net income (loss)</t>
  </si>
  <si>
    <t>Inventories</t>
  </si>
  <si>
    <t>Accounts receivable, net and other</t>
  </si>
  <si>
    <t>Other assets</t>
  </si>
  <si>
    <t>Accounts payable</t>
  </si>
  <si>
    <t>Accrued expenses and other</t>
  </si>
  <si>
    <t>Unearned revenue</t>
  </si>
  <si>
    <t>—</t>
  </si>
  <si>
    <t>ASSETS</t>
  </si>
  <si>
    <t>Current assets:</t>
  </si>
  <si>
    <t>Cash and cash equivalents</t>
  </si>
  <si>
    <t>Marketable securities</t>
  </si>
  <si>
    <t>Total current assets</t>
  </si>
  <si>
    <t>Property and equipment, net</t>
  </si>
  <si>
    <t>Operating leases</t>
  </si>
  <si>
    <t>Goodwill</t>
  </si>
  <si>
    <t>Total assets</t>
  </si>
  <si>
    <t>LIABILITIES AND STOCKHOLDERS’ EQUITY</t>
  </si>
  <si>
    <t>Current liabilities:</t>
  </si>
  <si>
    <t>Total current liabilities</t>
  </si>
  <si>
    <t>Long-term lease liabilities</t>
  </si>
  <si>
    <t>Long-term debt</t>
  </si>
  <si>
    <t>Other long-term liabilities</t>
  </si>
  <si>
    <t>Commitments and contingencies (Note 7)</t>
  </si>
  <si>
    <t>Stockholders’ equity:</t>
  </si>
  <si>
    <t>Preferred stock ($0.01 par value; 500 shares authorized; no shares issued or outstanding)</t>
  </si>
  <si>
    <t>Common stock ($0.01 par value; 100,000 shares authorized; 10,757 and 10,898 shares</t>
  </si>
  <si>
    <t>issued; 10,242 and 10,383 shares outstanding)</t>
  </si>
  <si>
    <t>Treasury stock, at cost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</si>
  <si>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</si>
  <si>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</si>
  <si>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</si>
  <si>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</si>
  <si>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</si>
  <si>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Net product sales</t>
  </si>
  <si>
    <t>Net service sales</t>
  </si>
  <si>
    <t>Total net sales</t>
  </si>
  <si>
    <t>Operating expenses:</t>
  </si>
  <si>
    <t>Cost of sales</t>
  </si>
  <si>
    <t>Fulfillment</t>
  </si>
  <si>
    <t>Technology and infrastructure</t>
  </si>
  <si>
    <t>Sales and marketing</t>
  </si>
  <si>
    <t>General and administrative</t>
  </si>
  <si>
    <t>Other operating expense (income),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</si>
  <si>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</si>
  <si>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</si>
  <si>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</si>
  <si>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</si>
  <si>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</si>
  <si>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</si>
  <si>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(loss) before income taxes</t>
  </si>
  <si>
    <t>Benefit (provision) for income taxes</t>
  </si>
  <si>
    <t>Equity-method investment activity, net of tax</t>
  </si>
  <si>
    <t>Basic earnings per share</t>
  </si>
  <si>
    <t>Diluted earnings per share</t>
  </si>
  <si>
    <t>Weighted-average shares used in computation of earnings per share:</t>
  </si>
  <si>
    <t>Basic</t>
  </si>
  <si>
    <t>Diluted</t>
  </si>
  <si>
    <t>Ratios and Assumptions</t>
  </si>
  <si>
    <t>Check</t>
  </si>
  <si>
    <t>Ratios and assumptions</t>
  </si>
  <si>
    <t>Revenue YoY (CAGR)</t>
  </si>
  <si>
    <t>COGS Margin</t>
  </si>
  <si>
    <t>SG&amp;A margin</t>
  </si>
  <si>
    <t>Working capital</t>
  </si>
  <si>
    <t>Inventories as % of COGS</t>
  </si>
  <si>
    <t>Trade receivables as % of revenue</t>
  </si>
  <si>
    <t>Trade payables as % of COGS</t>
  </si>
  <si>
    <t>Days of inventory outstanding</t>
  </si>
  <si>
    <t>Days of receivable outstanding</t>
  </si>
  <si>
    <t>Cash on cash cycle</t>
  </si>
  <si>
    <t>Revenue</t>
  </si>
  <si>
    <t>fulfillment margin</t>
  </si>
  <si>
    <t>Tech &amp; infrastructure</t>
  </si>
  <si>
    <t>Sales and marketing margin</t>
  </si>
  <si>
    <t>Other operating expenses margin</t>
  </si>
  <si>
    <t>General and administrative margin</t>
  </si>
  <si>
    <t>Cash and cash equivalent as % of revenue</t>
  </si>
  <si>
    <t>Marketable securities as % of revenue</t>
  </si>
  <si>
    <t>Accrued expense as % of revenue</t>
  </si>
  <si>
    <t>Unearned revenue as % of revenue</t>
  </si>
  <si>
    <t>Days of payables OS</t>
  </si>
  <si>
    <t>Days of cash and cash equivalent OS</t>
  </si>
  <si>
    <t>Days of marketable securities OS</t>
  </si>
  <si>
    <t>Days of accrued expense OS</t>
  </si>
  <si>
    <t>Days of unearned revenue OS</t>
  </si>
  <si>
    <t>Capex</t>
  </si>
  <si>
    <t>Disposals</t>
  </si>
  <si>
    <t>Depreciation schedule</t>
  </si>
  <si>
    <t>Other changes</t>
  </si>
  <si>
    <t>(Amortization Expense)</t>
  </si>
  <si>
    <t>Beginning net intangibles</t>
  </si>
  <si>
    <t>Amortisation schedule</t>
  </si>
  <si>
    <t>Depreciation as % of opening PP&amp;E</t>
  </si>
  <si>
    <t>Capex as % of revenue</t>
  </si>
  <si>
    <t>Ending net PP&amp;E</t>
  </si>
  <si>
    <t>Other items</t>
  </si>
  <si>
    <t>Impairment</t>
  </si>
  <si>
    <t>Depreciation</t>
  </si>
  <si>
    <t>Beginning PP&amp;E</t>
  </si>
  <si>
    <t xml:space="preserve">Amazon PP&amp;E </t>
  </si>
  <si>
    <t>Additions to intangibles</t>
  </si>
  <si>
    <t>Ending Net Intangible</t>
  </si>
  <si>
    <t>Additions to intangible as % of revenue</t>
  </si>
  <si>
    <t>Amortization Intangible as % of Beg net intangible</t>
  </si>
  <si>
    <t>All numbers are in $ millions except per share data</t>
  </si>
  <si>
    <t>All numbers are in $ million</t>
  </si>
  <si>
    <t>Average interest rate</t>
  </si>
  <si>
    <t xml:space="preserve">Total cash and financial assets balance </t>
  </si>
  <si>
    <t>Total interest bearing debt</t>
  </si>
  <si>
    <t>Interest expense/income schedule</t>
  </si>
  <si>
    <t>Net Borrowings (Repayments)</t>
  </si>
  <si>
    <t>Beginning balance</t>
  </si>
  <si>
    <t>(Discretionary paydown)/new capital raised</t>
  </si>
  <si>
    <t>Cash available for short term financing liabilities</t>
  </si>
  <si>
    <t>Long-term debt Net borrowed/(repayments)</t>
  </si>
  <si>
    <t>Cash available for debt payments</t>
  </si>
  <si>
    <t>Less: Minimum cash balance</t>
  </si>
  <si>
    <t>Add: beginning cash balance</t>
  </si>
  <si>
    <t>Effect of exchange rate on cash and cash equivalents</t>
  </si>
  <si>
    <t>CF</t>
  </si>
  <si>
    <t>Intragroup financing and equity transactions</t>
  </si>
  <si>
    <t>Payment of dividend for the previous year</t>
  </si>
  <si>
    <t>Payments into equity</t>
  </si>
  <si>
    <t>Issue / buy-back of treasury shares</t>
  </si>
  <si>
    <t>CFO+CFI</t>
  </si>
  <si>
    <t xml:space="preserve">Alt E A A - delete the format and the contents of the cell. </t>
  </si>
  <si>
    <t>Amazon Debt Schedule</t>
  </si>
  <si>
    <t>Current Debt</t>
  </si>
  <si>
    <t>Ending balance of current debt</t>
  </si>
  <si>
    <t>Ending balance of long-term debt</t>
  </si>
  <si>
    <t>Beginning Equity balance</t>
  </si>
  <si>
    <t>Retained Earnings</t>
  </si>
  <si>
    <t>Options issued</t>
  </si>
  <si>
    <t>Effects of exchange rates on cash &amp; others</t>
  </si>
  <si>
    <t>Ending Equity Balance</t>
  </si>
  <si>
    <t>Share repurchase assumption</t>
  </si>
  <si>
    <t>Current year EPS</t>
  </si>
  <si>
    <t>Assumed current year PE multiple</t>
  </si>
  <si>
    <t>Average share price</t>
  </si>
  <si>
    <t>Shares repurchased (millions)</t>
  </si>
  <si>
    <t xml:space="preserve"> Amount purchased (€m)</t>
  </si>
  <si>
    <t>YoY growth in Shares bought back</t>
  </si>
  <si>
    <t xml:space="preserve">Dividend assumptions </t>
  </si>
  <si>
    <t>Total dividends</t>
  </si>
  <si>
    <t>Net Income</t>
  </si>
  <si>
    <t>Dividend payout ratio</t>
  </si>
  <si>
    <t>Net income</t>
  </si>
  <si>
    <t>Beginning balance of total # of shares outstanding</t>
  </si>
  <si>
    <t>Shares bought back</t>
  </si>
  <si>
    <t>Shares issued</t>
  </si>
  <si>
    <t>Other</t>
  </si>
  <si>
    <t>Ending balance of total shares outstanding</t>
  </si>
  <si>
    <t>Average balance of shares OS</t>
  </si>
  <si>
    <t>EPS</t>
  </si>
  <si>
    <t>Outstanding</t>
  </si>
  <si>
    <t>Granted</t>
  </si>
  <si>
    <t>Exercised</t>
  </si>
  <si>
    <t>Forfeited</t>
  </si>
  <si>
    <t>Ending Balance</t>
  </si>
  <si>
    <t>Forefeited as % of opening balance</t>
  </si>
  <si>
    <t xml:space="preserve">Converted </t>
  </si>
  <si>
    <t>Weighted average life (years)</t>
  </si>
  <si>
    <t>Stock based compensation expense</t>
  </si>
  <si>
    <t>CAGR 1st 4 years</t>
  </si>
  <si>
    <t>Exercised as % of opening balance</t>
  </si>
  <si>
    <t>RSUS (Pricing)</t>
  </si>
  <si>
    <t>Stock expense as % of Revenue</t>
  </si>
  <si>
    <t>= either % of revenue or operating expense</t>
  </si>
  <si>
    <t>RSUS (#)</t>
  </si>
  <si>
    <t>Stock based compensation expense (Calcualted)</t>
  </si>
  <si>
    <t>Stock based compensation expense (SH Equity)</t>
  </si>
  <si>
    <t>Amazon Shareholders Equity</t>
  </si>
  <si>
    <t>use additional paid in capital page 41.</t>
  </si>
  <si>
    <t>forecast as % of revenue</t>
  </si>
  <si>
    <t>Issuance of stock based compensation</t>
  </si>
  <si>
    <t>Repurchase of equity</t>
  </si>
  <si>
    <t>Cash inflow / outflow from operating activities</t>
  </si>
  <si>
    <t>Proceeds from the disposal of intangible assets and property, plant and equipment</t>
  </si>
  <si>
    <t>Cash inflow / outflow from investing activities</t>
  </si>
  <si>
    <t>Cash inflow / outflow from financing activities</t>
  </si>
  <si>
    <t>Effect of changes in composition of Group on cash and cash equivalents</t>
  </si>
  <si>
    <t>Change in cash and cash equivalents</t>
  </si>
  <si>
    <t>Cash and cash equivalents as at 1 January</t>
  </si>
  <si>
    <t>Cash and cash equivalents as at 31 December</t>
  </si>
  <si>
    <t>Amazon Cash flow statement</t>
  </si>
  <si>
    <r>
      <t>All numbers in $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million except for per share data</t>
    </r>
  </si>
  <si>
    <t>Revenue YOY</t>
  </si>
  <si>
    <t>other assets as % of revenue</t>
  </si>
  <si>
    <t>Ghost column</t>
  </si>
  <si>
    <t>Wrong</t>
  </si>
  <si>
    <t>Purchase of PPE</t>
  </si>
  <si>
    <t>Acquisitions, net of cash aquired, non-marketable investments and other</t>
  </si>
  <si>
    <t>Sales and maturities of marketable securities</t>
  </si>
  <si>
    <t>Purchases of marketable securities</t>
  </si>
  <si>
    <t>Common stock repurchased</t>
  </si>
  <si>
    <t>Repayment of short-term debt, and other</t>
  </si>
  <si>
    <t>Principal repayment of finance leases</t>
  </si>
  <si>
    <t>Principal repayments of financing obligations</t>
  </si>
  <si>
    <t>Repayment of long-term debt, and other</t>
  </si>
  <si>
    <t>Proceeds from short-term debt, and other</t>
  </si>
  <si>
    <t>Adjustment to reconcile net income (loss) to net cash from operating activities:</t>
  </si>
  <si>
    <t>Cash, cash equivalents, and restricted cash, beg of period</t>
  </si>
  <si>
    <t>Depreciation and amortization of PPE and capitalized content costs, operating lease assets and other</t>
  </si>
  <si>
    <t>Stock based compensation</t>
  </si>
  <si>
    <t>Non-operating expense (income), net</t>
  </si>
  <si>
    <t>Deferred income taxes</t>
  </si>
  <si>
    <t>Changes in operating assets and liabilities</t>
  </si>
  <si>
    <t>Acc receivable, net and other</t>
  </si>
  <si>
    <t>Acc payable</t>
  </si>
  <si>
    <t xml:space="preserve">Accrued expense and other </t>
  </si>
  <si>
    <t>Proceeds from long-term debt, and other</t>
  </si>
  <si>
    <t>Additions to intangible</t>
  </si>
  <si>
    <t>YoY</t>
  </si>
  <si>
    <t>EBITDA</t>
  </si>
  <si>
    <t>D&amp;A</t>
  </si>
  <si>
    <t>EBIT</t>
  </si>
  <si>
    <t>NOPAT</t>
  </si>
  <si>
    <t>Changes in WC</t>
  </si>
  <si>
    <t>FCFF</t>
  </si>
  <si>
    <t>Availability of FCFF %</t>
  </si>
  <si>
    <t xml:space="preserve">Availability of FCFF </t>
  </si>
  <si>
    <t>Period - Disocunt factors</t>
  </si>
  <si>
    <t>PV of FCFF</t>
  </si>
  <si>
    <t>WACC</t>
  </si>
  <si>
    <t>LT Growth of FCFF</t>
  </si>
  <si>
    <t>Data table</t>
  </si>
  <si>
    <t>PV of FCFF(2023 -2028E)</t>
  </si>
  <si>
    <t>LT growth in FCFF</t>
  </si>
  <si>
    <t>Terminal value</t>
  </si>
  <si>
    <t>PV of Terminal value</t>
  </si>
  <si>
    <t>Fair value of the firm</t>
  </si>
  <si>
    <t>Net Debt</t>
  </si>
  <si>
    <t>Provisions</t>
  </si>
  <si>
    <t>Minority interest</t>
  </si>
  <si>
    <t>Equity investment</t>
  </si>
  <si>
    <t>FV of Equity</t>
  </si>
  <si>
    <t># of shares outstanding</t>
  </si>
  <si>
    <t>FV of Equity share</t>
  </si>
  <si>
    <t>Current share price</t>
  </si>
  <si>
    <t>% Upside/Downside</t>
  </si>
  <si>
    <t>Cost of Debt</t>
  </si>
  <si>
    <t>Risk free rate</t>
  </si>
  <si>
    <t>Credit spread</t>
  </si>
  <si>
    <t>Pre-tax cost of debt</t>
  </si>
  <si>
    <t>Tax rate</t>
  </si>
  <si>
    <t>After tax cost of debt</t>
  </si>
  <si>
    <t>Total capital</t>
  </si>
  <si>
    <t>% of Debt</t>
  </si>
  <si>
    <t>% of Equity</t>
  </si>
  <si>
    <t>Total Net Debt</t>
  </si>
  <si>
    <t>Total Market cap of Equity</t>
  </si>
  <si>
    <t>Cost of Equity</t>
  </si>
  <si>
    <t>Risk Free rate</t>
  </si>
  <si>
    <t>Beta</t>
  </si>
  <si>
    <t>Equity market premium</t>
  </si>
  <si>
    <t>Credit spreads over risk free rate</t>
  </si>
  <si>
    <t>For large manufacturing firms</t>
  </si>
  <si>
    <t>For financial service firms (default spreads are slighty different)/ Technology</t>
  </si>
  <si>
    <t>If interest coverage ratio is</t>
  </si>
  <si>
    <t>If long term interest coverage ratio is</t>
  </si>
  <si>
    <t>&gt;</t>
  </si>
  <si>
    <t>≤ to</t>
  </si>
  <si>
    <t>Rating is</t>
  </si>
  <si>
    <t>Spread is</t>
  </si>
  <si>
    <t>greater than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</si>
  <si>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</si>
  <si>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</si>
  <si>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</si>
  <si>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</si>
  <si>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</si>
  <si>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</si>
  <si>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</si>
  <si>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</si>
  <si>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</si>
  <si>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</si>
  <si>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</si>
  <si>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</si>
  <si>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</si>
  <si>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</si>
  <si>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</si>
  <si>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For smaller and riskier firms</t>
  </si>
  <si>
    <t>Tax @20%</t>
  </si>
  <si>
    <t>Amazon DCF Valuations</t>
  </si>
  <si>
    <t>All numbers in $ million except for per share data</t>
  </si>
  <si>
    <t>Net Capex and additions intangibles</t>
  </si>
  <si>
    <t>&gt;&gt;&gt; Increase in line with revenue</t>
  </si>
  <si>
    <t>Stock Based compensation</t>
  </si>
  <si>
    <t>Operating leases depreciation schedule</t>
  </si>
  <si>
    <t>Beginning operating leases</t>
  </si>
  <si>
    <t>Operating lease cost</t>
  </si>
  <si>
    <t>Ending net operating leases</t>
  </si>
  <si>
    <t>Operaitng lease cost as % of revenue</t>
  </si>
  <si>
    <t>Revenues</t>
  </si>
  <si>
    <t>Share price</t>
  </si>
  <si>
    <t># of shares</t>
  </si>
  <si>
    <t>Gross profit</t>
  </si>
  <si>
    <t>Market Cap of Equity</t>
  </si>
  <si>
    <t>Selling and administrative expenses</t>
  </si>
  <si>
    <t>Existing Net Debt</t>
  </si>
  <si>
    <t>Equity investments</t>
  </si>
  <si>
    <t>Depreciation &amp; Amortization</t>
  </si>
  <si>
    <t>Pension provisions</t>
  </si>
  <si>
    <t>Interest expenses</t>
  </si>
  <si>
    <t>Enterprise value</t>
  </si>
  <si>
    <t>EBT</t>
  </si>
  <si>
    <t>Current EBITDA</t>
  </si>
  <si>
    <t>EV/EBITDA multiple</t>
  </si>
  <si>
    <t>Revenue Growth</t>
  </si>
  <si>
    <t>COGS margins</t>
  </si>
  <si>
    <t>Debt facilities</t>
  </si>
  <si>
    <t>SG&amp;A</t>
  </si>
  <si>
    <t>Term A</t>
  </si>
  <si>
    <t>Term B</t>
  </si>
  <si>
    <t>Max Debt</t>
  </si>
  <si>
    <t>Cash flow statement</t>
  </si>
  <si>
    <t>Add: D&amp;A</t>
  </si>
  <si>
    <t>Total Debt</t>
  </si>
  <si>
    <t>Change in working capital</t>
  </si>
  <si>
    <t>Cash available for debt paydown</t>
  </si>
  <si>
    <t>Debt structure</t>
  </si>
  <si>
    <t>Financial Sponsors</t>
  </si>
  <si>
    <t>Term A outstanding</t>
  </si>
  <si>
    <t>Acquisition premium</t>
  </si>
  <si>
    <t>Term B outstanding</t>
  </si>
  <si>
    <t>Equity value incl. premium</t>
  </si>
  <si>
    <t>EV at acquisition</t>
  </si>
  <si>
    <t>Interest on Term A</t>
  </si>
  <si>
    <t>Equity investment (PE)</t>
  </si>
  <si>
    <t>Interest on Term B</t>
  </si>
  <si>
    <t>Lenders covenants</t>
  </si>
  <si>
    <t>Term A payment</t>
  </si>
  <si>
    <t>No dividends until 2031</t>
  </si>
  <si>
    <t>Term B payment</t>
  </si>
  <si>
    <t>Term A needs to be paid back in 7 years</t>
  </si>
  <si>
    <t>Outstanding in 2028</t>
  </si>
  <si>
    <t>Implied EV (EV@Exit)</t>
  </si>
  <si>
    <t>Net Debt at Exit</t>
  </si>
  <si>
    <t>Implied Equity value at exit</t>
  </si>
  <si>
    <t>Sponsor cash flow</t>
  </si>
  <si>
    <t>IRR</t>
  </si>
  <si>
    <t>Acquirer</t>
  </si>
  <si>
    <t>Target</t>
  </si>
  <si>
    <t>Pro</t>
  </si>
  <si>
    <t>Deal Asumptions</t>
  </si>
  <si>
    <t>Forma</t>
  </si>
  <si>
    <t>Deal date:</t>
  </si>
  <si>
    <t>Form of consideration</t>
  </si>
  <si>
    <t>2024 Earnings per share (EPS) forecast</t>
  </si>
  <si>
    <t>% Stock</t>
  </si>
  <si>
    <t>Acquirer shares issued in transaction</t>
  </si>
  <si>
    <t>% Cash</t>
  </si>
  <si>
    <t>PE</t>
  </si>
  <si>
    <t>Tax rate:</t>
  </si>
  <si>
    <t>Pre-deal share price</t>
  </si>
  <si>
    <t>Offer price per share</t>
  </si>
  <si>
    <t>Uses of funds</t>
  </si>
  <si>
    <t>% Offer Premium</t>
  </si>
  <si>
    <t>Purchasing target (offer value)</t>
  </si>
  <si>
    <t>Financing fees</t>
  </si>
  <si>
    <t>Offer value</t>
  </si>
  <si>
    <t>Transaction fees</t>
  </si>
  <si>
    <t>2024 EPS forecast</t>
  </si>
  <si>
    <t>Total</t>
  </si>
  <si>
    <t>PE (Incl premium)</t>
  </si>
  <si>
    <t>Accretion / dilution analysis</t>
  </si>
  <si>
    <t>Sources of funds</t>
  </si>
  <si>
    <t>Implied standalone net income</t>
  </si>
  <si>
    <t>Value of acquirer stock issued</t>
  </si>
  <si>
    <t>Implied standalone pretax income</t>
  </si>
  <si>
    <t>New debt raised by acquirer</t>
  </si>
  <si>
    <t>Pro forma pretax income - unadjusted</t>
  </si>
  <si>
    <t>Less: Interest expense from new deal debt</t>
  </si>
  <si>
    <t>Deal debt terms</t>
  </si>
  <si>
    <t>Less: Incremental D&amp;A expense</t>
  </si>
  <si>
    <t>Term of loan</t>
  </si>
  <si>
    <t>Less: Deal fees</t>
  </si>
  <si>
    <t>Interest rate on new debt</t>
  </si>
  <si>
    <t>Less: Financing fees amortization</t>
  </si>
  <si>
    <t>Annual financing fee amortization</t>
  </si>
  <si>
    <t>Plus: Synergies</t>
  </si>
  <si>
    <t>Pro forma pretax income - adjusted</t>
  </si>
  <si>
    <t>Synergies: (5% of EBT)</t>
  </si>
  <si>
    <t xml:space="preserve">Pro Forma Net Income </t>
  </si>
  <si>
    <t>Asset write-ups:</t>
  </si>
  <si>
    <t>Book value of target assets</t>
  </si>
  <si>
    <t>Pro Forma EPS</t>
  </si>
  <si>
    <t>Asset write-up</t>
  </si>
  <si>
    <t>Acquirer standalone EPS</t>
  </si>
  <si>
    <t>Useful life</t>
  </si>
  <si>
    <t>Accretion / Dilution per share</t>
  </si>
  <si>
    <t>Incremental D&amp;A expense</t>
  </si>
  <si>
    <t>Accretion / Dilution %</t>
  </si>
  <si>
    <t>Amazon LBO analysis</t>
  </si>
  <si>
    <t>Tax @ 15%</t>
  </si>
  <si>
    <t>Other Assets as % of Revenue</t>
  </si>
  <si>
    <t>EV/EBITDA multiple @exit</t>
  </si>
  <si>
    <t>Rev Growth</t>
  </si>
  <si>
    <t>Exit Multiple</t>
  </si>
  <si>
    <t>ASOS M&amp;A Accretion Dilution Analysis</t>
  </si>
  <si>
    <t>Amazon</t>
  </si>
  <si>
    <t>ASOS</t>
  </si>
  <si>
    <t>WC</t>
  </si>
  <si>
    <t>Shares outstanding (million)</t>
  </si>
  <si>
    <t>Diluted shares outstanding (million)</t>
  </si>
  <si>
    <t>buyer PE &lt; target PE with premim = dilution.</t>
  </si>
  <si>
    <t>buyer EPS standalone &gt; EPS with target = dilution.</t>
  </si>
  <si>
    <t>Inventories write down @5% in the AR 2023</t>
  </si>
  <si>
    <t>Company</t>
  </si>
  <si>
    <t>Stock price</t>
  </si>
  <si>
    <t xml:space="preserve">Market </t>
  </si>
  <si>
    <t>Enterprise</t>
  </si>
  <si>
    <t xml:space="preserve">Exchange </t>
  </si>
  <si>
    <t>Currency</t>
  </si>
  <si>
    <t>EBIT margins</t>
  </si>
  <si>
    <t>EBITDA margins</t>
  </si>
  <si>
    <t>NI margins</t>
  </si>
  <si>
    <t>Rev growth</t>
  </si>
  <si>
    <t>EBIT growth</t>
  </si>
  <si>
    <t>EBITDA growth</t>
  </si>
  <si>
    <t>NI growth</t>
  </si>
  <si>
    <t>EV/EBIT</t>
  </si>
  <si>
    <t>EV/EBITDA</t>
  </si>
  <si>
    <t>P/E</t>
  </si>
  <si>
    <t>Cap</t>
  </si>
  <si>
    <t>Value</t>
  </si>
  <si>
    <t>Rate</t>
  </si>
  <si>
    <t>3 years</t>
  </si>
  <si>
    <t>USD</t>
  </si>
  <si>
    <t>Mean</t>
  </si>
  <si>
    <t>Median</t>
  </si>
  <si>
    <t>EV/EBITDA (Max)</t>
  </si>
  <si>
    <t>EV/EBITDA (Min)</t>
  </si>
  <si>
    <t>EV/EBIT (Max)</t>
  </si>
  <si>
    <t>EV/EBIT (Min)</t>
  </si>
  <si>
    <t>PE (Max)</t>
  </si>
  <si>
    <t>PE (Min)</t>
  </si>
  <si>
    <t>EV High (BMW)</t>
  </si>
  <si>
    <t>EV Low (BMW)</t>
  </si>
  <si>
    <t>Equity value High (BMW)</t>
  </si>
  <si>
    <t xml:space="preserve">Equity value Low  </t>
  </si>
  <si>
    <t>Equity value (High)</t>
  </si>
  <si>
    <t># of shares OS</t>
  </si>
  <si>
    <t>Equity value (Low)</t>
  </si>
  <si>
    <t>Price/share (High)</t>
  </si>
  <si>
    <t>Price/share (Low)</t>
  </si>
  <si>
    <t>Amazon Public comparables</t>
  </si>
  <si>
    <t>Walmart</t>
  </si>
  <si>
    <t>2026E</t>
  </si>
  <si>
    <t>2024E</t>
  </si>
  <si>
    <t>2025E</t>
  </si>
  <si>
    <t>Ebay</t>
  </si>
  <si>
    <t>Alibaba</t>
  </si>
  <si>
    <t>Google Cloud Platform</t>
  </si>
  <si>
    <t>Rakuten</t>
  </si>
  <si>
    <t>Shopify</t>
  </si>
  <si>
    <t>Costco</t>
  </si>
  <si>
    <t>Microsoft</t>
  </si>
  <si>
    <t>Alphabet</t>
  </si>
  <si>
    <t>million</t>
  </si>
  <si>
    <t>Netflix</t>
  </si>
  <si>
    <t>Tesla</t>
  </si>
  <si>
    <t>IBM</t>
  </si>
  <si>
    <t>https://finbox.com/NASDAQGS:AMZN/compare/NASDAQGS:EBAY,NASDAQGS:TSLA,NASDAQGS:MSFT,NASDAQGS:NFLX,NASDAQGS:GOOGL,NYSE:IBM,NASDAQGS:COST,NYSE:TGT,NYSE:WMT</t>
  </si>
  <si>
    <t>HKD</t>
  </si>
  <si>
    <t>EBTDA margin</t>
  </si>
  <si>
    <t>Charts</t>
  </si>
  <si>
    <t>Market Share Charts</t>
  </si>
  <si>
    <t>Apple</t>
  </si>
  <si>
    <t>The Home depot</t>
  </si>
  <si>
    <t>Best Buy</t>
  </si>
  <si>
    <t>Market share of leading retail e-commerce companies in the United States in 2023</t>
  </si>
  <si>
    <t>Football Chart</t>
  </si>
  <si>
    <t>Low</t>
  </si>
  <si>
    <t>High</t>
  </si>
  <si>
    <t>xxx</t>
  </si>
  <si>
    <t>Sources of return</t>
  </si>
  <si>
    <t>Beginning EV</t>
  </si>
  <si>
    <t xml:space="preserve">Operational </t>
  </si>
  <si>
    <t>Deleveraging</t>
  </si>
  <si>
    <t>Arbitrage</t>
  </si>
  <si>
    <t>Ending EV</t>
  </si>
  <si>
    <t>no change of intangibles as they were included in PP&amp;E from 2019 so 0 in PP&amp;E.</t>
  </si>
  <si>
    <t>Exchange rate GBX to USD</t>
  </si>
  <si>
    <t>Benefit (provision) for income taxes as % of EBT</t>
  </si>
  <si>
    <t>Equity-method investment activity, net of tax as % of EBT</t>
  </si>
  <si>
    <t>LTM High Low</t>
  </si>
  <si>
    <t>DCF</t>
  </si>
  <si>
    <t>LBO valuation</t>
  </si>
  <si>
    <t>Amazon Data</t>
  </si>
  <si>
    <t>Total revenue</t>
  </si>
  <si>
    <t>Geographical revenue</t>
  </si>
  <si>
    <t>Rest of World</t>
  </si>
  <si>
    <t>International</t>
  </si>
  <si>
    <t>AWS</t>
  </si>
  <si>
    <t>Product and Services revenue</t>
  </si>
  <si>
    <t>Online stores</t>
  </si>
  <si>
    <t>Physical stores</t>
  </si>
  <si>
    <t>Third-party seller services</t>
  </si>
  <si>
    <t>Advertising services</t>
  </si>
  <si>
    <t>Subsciption services</t>
  </si>
  <si>
    <t>United States</t>
  </si>
  <si>
    <t>Germany</t>
  </si>
  <si>
    <t>United Kingdom</t>
  </si>
  <si>
    <t>Japan</t>
  </si>
  <si>
    <t>Net Sales</t>
  </si>
  <si>
    <t xml:space="preserve">North America </t>
  </si>
  <si>
    <t>Total Revenue</t>
  </si>
  <si>
    <t xml:space="preserve">Breakdown of Segments </t>
  </si>
  <si>
    <t>Contribution</t>
  </si>
  <si>
    <t>Total revenue YOY</t>
  </si>
  <si>
    <t>Currency adjusted growth</t>
  </si>
  <si>
    <t>FX gains/losses</t>
  </si>
  <si>
    <t>Volume</t>
  </si>
  <si>
    <t>Price/Mix</t>
  </si>
  <si>
    <t>M&amp;A others</t>
  </si>
  <si>
    <t>Amazon Revenue Sheet</t>
  </si>
  <si>
    <t>YOY</t>
  </si>
  <si>
    <t>Segments</t>
  </si>
  <si>
    <t>coud computing</t>
  </si>
  <si>
    <t xml:space="preserve">e-commerce </t>
  </si>
  <si>
    <t>CAGR</t>
  </si>
  <si>
    <t>Cloud computing</t>
  </si>
  <si>
    <t>E-commerce</t>
  </si>
  <si>
    <t>Acquisition</t>
  </si>
  <si>
    <t>Date</t>
  </si>
  <si>
    <t>Key Impact</t>
  </si>
  <si>
    <t>Whole Foods Market</t>
  </si>
  <si>
    <t>Expanded Amazon's footprint in grocery retail, offering both online and physical stores, and providing opportunities for private label products.</t>
  </si>
  <si>
    <t>Twitch Interactive</t>
  </si>
  <si>
    <t>Strengthened Amazon's position in the gaming and live streaming market, providing a platform for content creators and viewers.</t>
  </si>
  <si>
    <t>Audible</t>
  </si>
  <si>
    <t>Entered the audiobook market, expanding digital content offerings and complementing Amazon's Kindle ecosystem.</t>
  </si>
  <si>
    <t>Zappos</t>
  </si>
  <si>
    <t>Expanded Amazon's presence in the online apparel and footwear market, enhancing customer experience through Zappos' strong brand and customer service.</t>
  </si>
  <si>
    <t>MGM Studios</t>
  </si>
  <si>
    <t>Entered the entertainment industry, acquiring a vast library of films and TV shows, and expanding content production capabilities.</t>
  </si>
  <si>
    <t>Ring</t>
  </si>
  <si>
    <t>Strengthened Amazon's presence in the smart home and security market, providing a range of doorbell cameras and security systems.</t>
  </si>
  <si>
    <t>Alexa.com</t>
  </si>
  <si>
    <t>Acquired valuable web traffic data, which was used to develop Amazon's Alexa ranking system and inform business decisions.</t>
  </si>
  <si>
    <t>Kiva Systems (now Amazon Robotics)</t>
  </si>
  <si>
    <t>Accelerated Amazon's focus on automation and robotics, improving warehouse efficiency and order fulfillment speed.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</si>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</sst>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43" formatCode="_-* #,##0.00_-;\-* #,##0.00_-;_-* &quot;-&quot;??_-;_-@_-"/>
    <numFmt numFmtId="164" formatCode="0&quot;E&quot;"/>
    <numFmt numFmtId="165" formatCode="0.0%"/>
    <numFmt numFmtId="166" formatCode="_-* #,##0_-;\-* #,##0_-;_-* &quot;-&quot;??_-;_-@_-"/>
    <numFmt numFmtId="167" formatCode="0.0\x"/>
    <numFmt numFmtId="168" formatCode="0.0"/>
    <numFmt numFmtId="169" formatCode="#,##0.0"/>
    <numFmt numFmtId="170" formatCode="[$€-C07]\ #,##0.0"/>
    <numFmt numFmtId="171" formatCode="[$€-2]\ #,##0.00"/>
    <numFmt numFmtId="172" formatCode="[$€-C07]\ #,##0.00"/>
    <numFmt numFmtId="173" formatCode="0.0&quot;x&quot;"/>
    <numFmt numFmtId="174" formatCode="#,##0.0_);\(#,##0.0\);@_)"/>
    <numFmt numFmtId="175" formatCode="&quot;$&quot;#,##0.00_);\(&quot;$&quot;#,##0.00\)"/>
    <numFmt numFmtId="176" formatCode="&quot;$&quot;#,##0.00_);\(&quot;$&quot;#,##0.00\);@_)"/>
    <numFmt numFmtId="177" formatCode="0.0%_);\(0.0%\);@_)"/>
    <numFmt numFmtId="178" formatCode="#,##0.0_);\(#,##0.0\)"/>
    <numFmt numFmtId="179" formatCode="#,##0.0_);\(#,##0.0\);\-_);@_)"/>
    <numFmt numFmtId="180" formatCode="#,##0_);\(#,##0\);@_)"/>
    <numFmt numFmtId="181" formatCode="0\ &quot;years&quot;"/>
    <numFmt numFmtId="182" formatCode="#,##0_);\(#,##0\);\-_);@_)"/>
    <numFmt numFmtId="183" formatCode="[$$-409]#,##0.00"/>
    <numFmt numFmtId="184" formatCode="[$$-409]#,##0.00_ ;\-[$$-409]#,##0.00\ "/>
    <numFmt numFmtId="185" formatCode="[$$-409]#,##0.00_ ;[Red]\-[$$-409]#,##0.00\ "/>
    <numFmt numFmtId="186" formatCode="[$$-409]#,##0"/>
    <numFmt numFmtId="187" formatCode="#,##0.000_);\(#,##0.000\);\-_);@_)"/>
    <numFmt numFmtId="188" formatCode="[$$-409]#,##0.0"/>
    <numFmt numFmtId="189" formatCode="_-* #,##0.0_-;\-* #,##0.0_-;_-* &quot;-&quot;??_-;_-@_-"/>
    <numFmt numFmtId="190" formatCode="[$$-3C09]#,##0.00"/>
    <numFmt numFmtId="191" formatCode="0.00000000"/>
    <numFmt numFmtId="192" formatCode="####&quot;E&quot;"/>
    <numFmt numFmtId="193" formatCode="0.00000000000000%"/>
  </numFmts>
  <fonts count="7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Arial"/>
      <family val="2"/>
    </font>
    <font>
      <sz val="11"/>
      <color theme="4"/>
      <name val="Arial"/>
      <family val="2"/>
    </font>
    <font>
      <sz val="11"/>
      <name val="Arial"/>
      <family val="2"/>
    </font>
    <font>
      <b/>
      <sz val="11"/>
      <color theme="4"/>
      <name val="Arial"/>
      <family val="2"/>
    </font>
    <font>
      <b/>
      <sz val="11"/>
      <name val="Arial"/>
      <family val="2"/>
    </font>
    <font>
      <sz val="11"/>
      <color rgb="FFFF66FF"/>
      <name val="Arial"/>
      <family val="2"/>
    </font>
    <font>
      <i/>
      <sz val="11"/>
      <color theme="1"/>
      <name val="Calibri"/>
      <family val="2"/>
    </font>
    <font>
      <sz val="11"/>
      <color rgb="FFFFC000"/>
      <name val="Calibri"/>
      <family val="2"/>
      <scheme val="minor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theme="4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0"/>
      <name val="Times"/>
      <family val="1"/>
    </font>
    <font>
      <sz val="10"/>
      <name val="Geneva"/>
      <family val="2"/>
    </font>
    <font>
      <i/>
      <sz val="10"/>
      <name val="Times"/>
      <family val="1"/>
    </font>
    <font>
      <sz val="10"/>
      <name val="Times"/>
      <family val="1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Geneva"/>
      <family val="2"/>
    </font>
    <font>
      <b/>
      <sz val="10"/>
      <name val="Geneva"/>
    </font>
    <font>
      <sz val="11"/>
      <color rgb="FF000000"/>
      <name val="Calibri"/>
      <family val="2"/>
    </font>
    <font>
      <b/>
      <sz val="16"/>
      <color rgb="FF0070C0"/>
      <name val="Calibri"/>
      <family val="2"/>
    </font>
    <font>
      <i/>
      <sz val="11"/>
      <color rgb="FF000000"/>
      <name val="Calibri"/>
      <family val="2"/>
    </font>
    <font>
      <b/>
      <sz val="11"/>
      <color rgb="FF5B9BD5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B050"/>
      <name val="Calibri"/>
      <family val="2"/>
    </font>
    <font>
      <b/>
      <sz val="11"/>
      <color rgb="FF000000"/>
      <name val="Calibri"/>
      <family val="2"/>
    </font>
    <font>
      <sz val="11"/>
      <color rgb="FF0070C0"/>
      <name val="Calibri"/>
      <family val="2"/>
    </font>
    <font>
      <sz val="11"/>
      <color rgb="FF5B9BD5"/>
      <name val="Calibri"/>
      <family val="2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4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7"/>
      <color rgb="FF232A31"/>
      <name val="Arial"/>
      <family val="2"/>
    </font>
    <font>
      <b/>
      <sz val="7"/>
      <color rgb="FF444444"/>
      <name val="Arial"/>
      <family val="2"/>
    </font>
    <font>
      <b/>
      <sz val="14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D9E1F2"/>
        <bgColor rgb="FFD9E1F2"/>
      </patternFill>
    </fill>
    <fill>
      <patternFill patternType="solid">
        <fgColor rgb="FFF4B084"/>
        <bgColor rgb="FFF4B08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52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5B9BD5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0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4"/>
      </left>
      <right/>
      <top style="thin">
        <color theme="8"/>
      </top>
      <bottom style="thin">
        <color theme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41" fillId="0" borderId="0"/>
    <xf numFmtId="9" fontId="17" fillId="0" borderId="0" applyFont="0" applyFill="0" applyBorder="0" applyAlignment="0" applyProtection="0"/>
    <xf numFmtId="0" fontId="67" fillId="0" borderId="0" applyNumberFormat="0" applyFill="0" applyBorder="0" applyAlignment="0" applyProtection="0"/>
  </cellStyleXfs>
  <cellXfs count="369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  <xf numFmtId="164" fontId="0" fillId="0" borderId="0" xfId="0" applyNumberFormat="1"/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3" fontId="0" fillId="0" borderId="0" xfId="0" applyNumberFormat="1"/>
    <xf numFmtId="0" fontId="2" fillId="2" borderId="5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6" fillId="0" borderId="0" xfId="0" applyNumberFormat="1" applyFont="1"/>
    <xf numFmtId="4" fontId="5" fillId="0" borderId="0" xfId="0" applyNumberFormat="1" applyFont="1"/>
    <xf numFmtId="0" fontId="6" fillId="0" borderId="0" xfId="0" applyFont="1"/>
    <xf numFmtId="0" fontId="0" fillId="0" borderId="0" xfId="0" applyAlignment="1">
      <alignment horizontal="left" indent="1"/>
    </xf>
    <xf numFmtId="0" fontId="1" fillId="3" borderId="0" xfId="0" applyFont="1" applyFill="1"/>
    <xf numFmtId="0" fontId="7" fillId="0" borderId="6" xfId="0" applyFont="1" applyBorder="1" applyAlignment="1">
      <alignment horizontal="left"/>
    </xf>
    <xf numFmtId="0" fontId="7" fillId="0" borderId="0" xfId="0" applyFont="1"/>
    <xf numFmtId="3" fontId="8" fillId="0" borderId="6" xfId="0" applyNumberFormat="1" applyFont="1" applyBorder="1"/>
    <xf numFmtId="0" fontId="7" fillId="0" borderId="6" xfId="0" applyFont="1" applyBorder="1"/>
    <xf numFmtId="3" fontId="9" fillId="0" borderId="0" xfId="0" applyNumberFormat="1" applyFont="1"/>
    <xf numFmtId="0" fontId="9" fillId="0" borderId="0" xfId="0" applyFont="1"/>
    <xf numFmtId="0" fontId="8" fillId="0" borderId="6" xfId="0" applyFont="1" applyBorder="1"/>
    <xf numFmtId="0" fontId="0" fillId="3" borderId="0" xfId="0" applyFill="1"/>
    <xf numFmtId="3" fontId="0" fillId="3" borderId="0" xfId="0" applyNumberFormat="1" applyFill="1"/>
    <xf numFmtId="165" fontId="0" fillId="0" borderId="0" xfId="0" applyNumberFormat="1"/>
    <xf numFmtId="3" fontId="7" fillId="0" borderId="6" xfId="0" applyNumberFormat="1" applyFont="1" applyBorder="1"/>
    <xf numFmtId="3" fontId="10" fillId="0" borderId="0" xfId="0" applyNumberFormat="1" applyFont="1"/>
    <xf numFmtId="0" fontId="7" fillId="0" borderId="6" xfId="0" applyFont="1" applyBorder="1" applyAlignment="1">
      <alignment horizontal="left" indent="1"/>
    </xf>
    <xf numFmtId="0" fontId="7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0" fillId="0" borderId="0" xfId="0" quotePrefix="1"/>
    <xf numFmtId="3" fontId="8" fillId="4" borderId="8" xfId="0" applyNumberFormat="1" applyFont="1" applyFill="1" applyBorder="1"/>
    <xf numFmtId="3" fontId="7" fillId="0" borderId="8" xfId="0" applyNumberFormat="1" applyFont="1" applyBorder="1"/>
    <xf numFmtId="0" fontId="7" fillId="0" borderId="9" xfId="0" applyFont="1" applyBorder="1" applyAlignment="1">
      <alignment horizontal="left" indent="1"/>
    </xf>
    <xf numFmtId="0" fontId="0" fillId="0" borderId="0" xfId="0" applyAlignment="1">
      <alignment horizontal="left" indent="2"/>
    </xf>
    <xf numFmtId="3" fontId="6" fillId="4" borderId="7" xfId="0" applyNumberFormat="1" applyFont="1" applyFill="1" applyBorder="1"/>
    <xf numFmtId="3" fontId="5" fillId="4" borderId="7" xfId="0" applyNumberFormat="1" applyFont="1" applyFill="1" applyBorder="1"/>
    <xf numFmtId="3" fontId="11" fillId="0" borderId="7" xfId="0" applyNumberFormat="1" applyFont="1" applyBorder="1"/>
    <xf numFmtId="3" fontId="6" fillId="0" borderId="7" xfId="0" applyNumberFormat="1" applyFont="1" applyBorder="1"/>
    <xf numFmtId="0" fontId="7" fillId="5" borderId="7" xfId="0" applyFont="1" applyFill="1" applyBorder="1"/>
    <xf numFmtId="0" fontId="7" fillId="5" borderId="0" xfId="0" applyFont="1" applyFill="1"/>
    <xf numFmtId="3" fontId="7" fillId="6" borderId="10" xfId="0" applyNumberFormat="1" applyFont="1" applyFill="1" applyBorder="1"/>
    <xf numFmtId="0" fontId="12" fillId="6" borderId="0" xfId="0" applyFont="1" applyFill="1"/>
    <xf numFmtId="165" fontId="5" fillId="0" borderId="0" xfId="0" applyNumberFormat="1" applyFont="1"/>
    <xf numFmtId="3" fontId="13" fillId="0" borderId="8" xfId="0" applyNumberFormat="1" applyFont="1" applyBorder="1"/>
    <xf numFmtId="0" fontId="7" fillId="0" borderId="9" xfId="0" applyFont="1" applyBorder="1" applyAlignment="1">
      <alignment horizontal="left"/>
    </xf>
    <xf numFmtId="3" fontId="0" fillId="0" borderId="7" xfId="0" applyNumberFormat="1" applyBorder="1"/>
    <xf numFmtId="3" fontId="7" fillId="0" borderId="7" xfId="0" applyNumberFormat="1" applyFont="1" applyBorder="1"/>
    <xf numFmtId="3" fontId="14" fillId="0" borderId="7" xfId="0" applyNumberFormat="1" applyFont="1" applyBorder="1"/>
    <xf numFmtId="164" fontId="1" fillId="7" borderId="11" xfId="0" applyNumberFormat="1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5" fillId="0" borderId="14" xfId="0" applyFont="1" applyBorder="1"/>
    <xf numFmtId="3" fontId="5" fillId="0" borderId="7" xfId="0" applyNumberFormat="1" applyFont="1" applyBorder="1"/>
    <xf numFmtId="0" fontId="16" fillId="0" borderId="0" xfId="0" applyFont="1"/>
    <xf numFmtId="166" fontId="0" fillId="0" borderId="0" xfId="0" applyNumberFormat="1"/>
    <xf numFmtId="0" fontId="7" fillId="0" borderId="15" xfId="0" applyFont="1" applyBorder="1"/>
    <xf numFmtId="166" fontId="5" fillId="0" borderId="0" xfId="0" applyNumberFormat="1" applyFont="1"/>
    <xf numFmtId="3" fontId="18" fillId="0" borderId="0" xfId="1" applyNumberFormat="1" applyFont="1"/>
    <xf numFmtId="3" fontId="18" fillId="0" borderId="0" xfId="0" applyNumberFormat="1" applyFont="1"/>
    <xf numFmtId="0" fontId="0" fillId="0" borderId="0" xfId="0" applyAlignment="1">
      <alignment horizontal="right"/>
    </xf>
    <xf numFmtId="164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9" fontId="0" fillId="0" borderId="0" xfId="0" applyNumberFormat="1"/>
    <xf numFmtId="3" fontId="6" fillId="0" borderId="0" xfId="1" applyNumberFormat="1" applyFont="1"/>
    <xf numFmtId="166" fontId="13" fillId="0" borderId="15" xfId="0" applyNumberFormat="1" applyFont="1" applyBorder="1"/>
    <xf numFmtId="166" fontId="8" fillId="0" borderId="15" xfId="0" applyNumberFormat="1" applyFont="1" applyBorder="1"/>
    <xf numFmtId="0" fontId="3" fillId="0" borderId="14" xfId="2" applyFont="1" applyBorder="1"/>
    <xf numFmtId="0" fontId="17" fillId="0" borderId="13" xfId="2" applyBorder="1"/>
    <xf numFmtId="0" fontId="17" fillId="0" borderId="12" xfId="2" applyBorder="1"/>
    <xf numFmtId="0" fontId="4" fillId="0" borderId="0" xfId="2" applyFont="1"/>
    <xf numFmtId="0" fontId="17" fillId="0" borderId="0" xfId="2"/>
    <xf numFmtId="0" fontId="1" fillId="7" borderId="11" xfId="2" applyFont="1" applyFill="1" applyBorder="1" applyAlignment="1">
      <alignment horizontal="center"/>
    </xf>
    <xf numFmtId="164" fontId="1" fillId="7" borderId="11" xfId="2" applyNumberFormat="1" applyFont="1" applyFill="1" applyBorder="1" applyAlignment="1">
      <alignment horizontal="center"/>
    </xf>
    <xf numFmtId="3" fontId="17" fillId="0" borderId="0" xfId="2" applyNumberFormat="1"/>
    <xf numFmtId="0" fontId="17" fillId="0" borderId="0" xfId="2" applyAlignment="1">
      <alignment horizontal="left" indent="1"/>
    </xf>
    <xf numFmtId="0" fontId="7" fillId="0" borderId="0" xfId="2" applyFont="1"/>
    <xf numFmtId="0" fontId="7" fillId="0" borderId="6" xfId="2" applyFont="1" applyBorder="1"/>
    <xf numFmtId="3" fontId="13" fillId="0" borderId="6" xfId="2" applyNumberFormat="1" applyFont="1" applyBorder="1"/>
    <xf numFmtId="9" fontId="17" fillId="0" borderId="0" xfId="2" quotePrefix="1" applyNumberFormat="1"/>
    <xf numFmtId="9" fontId="17" fillId="0" borderId="0" xfId="2" applyNumberFormat="1"/>
    <xf numFmtId="0" fontId="5" fillId="0" borderId="0" xfId="2" applyFont="1"/>
    <xf numFmtId="2" fontId="6" fillId="0" borderId="0" xfId="2" applyNumberFormat="1" applyFont="1"/>
    <xf numFmtId="167" fontId="17" fillId="0" borderId="0" xfId="2" applyNumberFormat="1"/>
    <xf numFmtId="2" fontId="11" fillId="0" borderId="0" xfId="2" applyNumberFormat="1" applyFont="1"/>
    <xf numFmtId="168" fontId="6" fillId="0" borderId="0" xfId="2" applyNumberFormat="1" applyFont="1"/>
    <xf numFmtId="0" fontId="19" fillId="0" borderId="0" xfId="2" applyFont="1"/>
    <xf numFmtId="9" fontId="5" fillId="0" borderId="0" xfId="2" applyNumberFormat="1" applyFont="1"/>
    <xf numFmtId="165" fontId="5" fillId="0" borderId="0" xfId="2" applyNumberFormat="1" applyFont="1"/>
    <xf numFmtId="3" fontId="11" fillId="0" borderId="0" xfId="2" applyNumberFormat="1" applyFont="1"/>
    <xf numFmtId="3" fontId="10" fillId="0" borderId="0" xfId="2" applyNumberFormat="1" applyFont="1"/>
    <xf numFmtId="165" fontId="17" fillId="0" borderId="0" xfId="2" applyNumberFormat="1"/>
    <xf numFmtId="3" fontId="7" fillId="0" borderId="6" xfId="2" applyNumberFormat="1" applyFont="1" applyBorder="1"/>
    <xf numFmtId="2" fontId="0" fillId="0" borderId="0" xfId="0" applyNumberFormat="1"/>
    <xf numFmtId="0" fontId="20" fillId="0" borderId="6" xfId="0" applyFont="1" applyBorder="1"/>
    <xf numFmtId="0" fontId="20" fillId="0" borderId="0" xfId="0" applyFont="1"/>
    <xf numFmtId="0" fontId="21" fillId="0" borderId="0" xfId="0" applyFont="1"/>
    <xf numFmtId="168" fontId="0" fillId="0" borderId="0" xfId="0" applyNumberFormat="1"/>
    <xf numFmtId="9" fontId="20" fillId="0" borderId="0" xfId="0" applyNumberFormat="1" applyFont="1"/>
    <xf numFmtId="0" fontId="22" fillId="0" borderId="0" xfId="0" applyFont="1"/>
    <xf numFmtId="168" fontId="22" fillId="0" borderId="0" xfId="0" applyNumberFormat="1" applyFont="1"/>
    <xf numFmtId="0" fontId="5" fillId="4" borderId="0" xfId="0" applyFont="1" applyFill="1"/>
    <xf numFmtId="9" fontId="23" fillId="0" borderId="0" xfId="0" applyNumberFormat="1" applyFont="1"/>
    <xf numFmtId="0" fontId="23" fillId="0" borderId="0" xfId="0" applyFont="1"/>
    <xf numFmtId="168" fontId="21" fillId="0" borderId="0" xfId="0" applyNumberFormat="1" applyFont="1"/>
    <xf numFmtId="168" fontId="24" fillId="0" borderId="6" xfId="0" applyNumberFormat="1" applyFont="1" applyBorder="1"/>
    <xf numFmtId="0" fontId="17" fillId="0" borderId="0" xfId="3"/>
    <xf numFmtId="3" fontId="17" fillId="0" borderId="0" xfId="3" applyNumberFormat="1"/>
    <xf numFmtId="165" fontId="17" fillId="0" borderId="0" xfId="3" applyNumberFormat="1"/>
    <xf numFmtId="0" fontId="17" fillId="0" borderId="0" xfId="3" quotePrefix="1" applyAlignment="1">
      <alignment horizontal="left" indent="2"/>
    </xf>
    <xf numFmtId="165" fontId="17" fillId="4" borderId="0" xfId="3" applyNumberFormat="1" applyFill="1"/>
    <xf numFmtId="3" fontId="18" fillId="4" borderId="0" xfId="1" applyNumberFormat="1" applyFont="1" applyFill="1"/>
    <xf numFmtId="3" fontId="5" fillId="4" borderId="0" xfId="1" applyNumberFormat="1" applyFont="1" applyFill="1"/>
    <xf numFmtId="3" fontId="7" fillId="4" borderId="6" xfId="0" applyNumberFormat="1" applyFont="1" applyFill="1" applyBorder="1"/>
    <xf numFmtId="0" fontId="0" fillId="4" borderId="0" xfId="0" applyFill="1"/>
    <xf numFmtId="166" fontId="0" fillId="4" borderId="0" xfId="0" applyNumberFormat="1" applyFill="1"/>
    <xf numFmtId="3" fontId="6" fillId="4" borderId="0" xfId="1" applyNumberFormat="1" applyFont="1" applyFill="1"/>
    <xf numFmtId="3" fontId="13" fillId="0" borderId="0" xfId="2" applyNumberFormat="1" applyFont="1"/>
    <xf numFmtId="1" fontId="22" fillId="0" borderId="0" xfId="0" applyNumberFormat="1" applyFont="1"/>
    <xf numFmtId="3" fontId="10" fillId="0" borderId="0" xfId="3" applyNumberFormat="1" applyFont="1"/>
    <xf numFmtId="9" fontId="25" fillId="0" borderId="0" xfId="0" applyNumberFormat="1" applyFont="1"/>
    <xf numFmtId="0" fontId="16" fillId="4" borderId="0" xfId="0" applyFont="1" applyFill="1"/>
    <xf numFmtId="0" fontId="2" fillId="3" borderId="16" xfId="0" applyFont="1" applyFill="1" applyBorder="1"/>
    <xf numFmtId="0" fontId="1" fillId="3" borderId="16" xfId="0" applyFont="1" applyFill="1" applyBorder="1" applyAlignment="1">
      <alignment horizontal="center"/>
    </xf>
    <xf numFmtId="164" fontId="1" fillId="3" borderId="16" xfId="0" applyNumberFormat="1" applyFont="1" applyFill="1" applyBorder="1" applyAlignment="1">
      <alignment horizontal="center"/>
    </xf>
    <xf numFmtId="1" fontId="0" fillId="0" borderId="0" xfId="0" applyNumberFormat="1"/>
    <xf numFmtId="3" fontId="27" fillId="0" borderId="0" xfId="0" applyNumberFormat="1" applyFont="1"/>
    <xf numFmtId="165" fontId="10" fillId="0" borderId="0" xfId="0" applyNumberFormat="1" applyFont="1"/>
    <xf numFmtId="2" fontId="7" fillId="0" borderId="6" xfId="0" applyNumberFormat="1" applyFont="1" applyBorder="1"/>
    <xf numFmtId="0" fontId="0" fillId="4" borderId="0" xfId="0" applyFill="1" applyAlignment="1">
      <alignment horizontal="left" indent="1"/>
    </xf>
    <xf numFmtId="166" fontId="0" fillId="0" borderId="0" xfId="4" applyNumberFormat="1" applyFont="1"/>
    <xf numFmtId="0" fontId="4" fillId="0" borderId="0" xfId="0" applyFont="1" applyAlignment="1">
      <alignment horizontal="left" indent="1"/>
    </xf>
    <xf numFmtId="165" fontId="4" fillId="0" borderId="0" xfId="0" applyNumberFormat="1" applyFont="1"/>
    <xf numFmtId="0" fontId="29" fillId="0" borderId="0" xfId="0" applyFont="1"/>
    <xf numFmtId="9" fontId="11" fillId="0" borderId="0" xfId="0" applyNumberFormat="1" applyFont="1"/>
    <xf numFmtId="14" fontId="0" fillId="0" borderId="0" xfId="0" applyNumberFormat="1"/>
    <xf numFmtId="169" fontId="0" fillId="0" borderId="0" xfId="0" applyNumberFormat="1"/>
    <xf numFmtId="165" fontId="0" fillId="8" borderId="0" xfId="0" applyNumberFormat="1" applyFill="1"/>
    <xf numFmtId="9" fontId="5" fillId="0" borderId="0" xfId="0" applyNumberFormat="1" applyFont="1"/>
    <xf numFmtId="165" fontId="11" fillId="0" borderId="0" xfId="0" applyNumberFormat="1" applyFont="1"/>
    <xf numFmtId="3" fontId="0" fillId="0" borderId="0" xfId="0" quotePrefix="1" applyNumberFormat="1"/>
    <xf numFmtId="165" fontId="5" fillId="9" borderId="0" xfId="0" applyNumberFormat="1" applyFont="1" applyFill="1"/>
    <xf numFmtId="3" fontId="0" fillId="0" borderId="6" xfId="0" applyNumberFormat="1" applyBorder="1"/>
    <xf numFmtId="2" fontId="10" fillId="0" borderId="0" xfId="0" applyNumberFormat="1" applyFont="1"/>
    <xf numFmtId="170" fontId="0" fillId="0" borderId="0" xfId="0" applyNumberFormat="1"/>
    <xf numFmtId="171" fontId="0" fillId="0" borderId="0" xfId="0" applyNumberFormat="1"/>
    <xf numFmtId="170" fontId="11" fillId="0" borderId="0" xfId="0" applyNumberFormat="1" applyFont="1"/>
    <xf numFmtId="171" fontId="5" fillId="0" borderId="0" xfId="0" applyNumberFormat="1" applyFont="1"/>
    <xf numFmtId="172" fontId="0" fillId="0" borderId="0" xfId="0" applyNumberFormat="1"/>
    <xf numFmtId="0" fontId="0" fillId="9" borderId="0" xfId="0" applyFill="1"/>
    <xf numFmtId="165" fontId="0" fillId="9" borderId="0" xfId="0" applyNumberFormat="1" applyFill="1"/>
    <xf numFmtId="165" fontId="2" fillId="10" borderId="0" xfId="0" applyNumberFormat="1" applyFont="1" applyFill="1"/>
    <xf numFmtId="165" fontId="0" fillId="0" borderId="0" xfId="0" quotePrefix="1" applyNumberFormat="1"/>
    <xf numFmtId="165" fontId="0" fillId="10" borderId="0" xfId="0" applyNumberFormat="1" applyFill="1"/>
    <xf numFmtId="0" fontId="8" fillId="0" borderId="6" xfId="0" applyFont="1" applyBorder="1" applyAlignment="1">
      <alignment horizontal="left" indent="1"/>
    </xf>
    <xf numFmtId="165" fontId="0" fillId="0" borderId="6" xfId="0" applyNumberFormat="1" applyBorder="1"/>
    <xf numFmtId="0" fontId="8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3" fontId="11" fillId="0" borderId="0" xfId="0" applyNumberFormat="1" applyFont="1"/>
    <xf numFmtId="10" fontId="11" fillId="0" borderId="0" xfId="0" applyNumberFormat="1" applyFont="1"/>
    <xf numFmtId="10" fontId="5" fillId="0" borderId="0" xfId="0" applyNumberFormat="1" applyFont="1"/>
    <xf numFmtId="0" fontId="31" fillId="0" borderId="0" xfId="0" applyFont="1"/>
    <xf numFmtId="0" fontId="32" fillId="0" borderId="17" xfId="0" applyFont="1" applyBorder="1"/>
    <xf numFmtId="0" fontId="0" fillId="0" borderId="18" xfId="0" applyBorder="1"/>
    <xf numFmtId="0" fontId="0" fillId="0" borderId="19" xfId="0" applyBorder="1"/>
    <xf numFmtId="0" fontId="33" fillId="0" borderId="0" xfId="0" applyFont="1"/>
    <xf numFmtId="0" fontId="34" fillId="0" borderId="0" xfId="0" applyFont="1"/>
    <xf numFmtId="0" fontId="35" fillId="0" borderId="20" xfId="0" applyFont="1" applyBorder="1" applyAlignment="1">
      <alignment horizontal="centerContinuous"/>
    </xf>
    <xf numFmtId="0" fontId="35" fillId="0" borderId="20" xfId="0" applyFont="1" applyBorder="1"/>
    <xf numFmtId="0" fontId="35" fillId="0" borderId="0" xfId="0" applyFont="1"/>
    <xf numFmtId="0" fontId="36" fillId="0" borderId="0" xfId="0" applyFont="1" applyAlignment="1">
      <alignment horizontal="centerContinuous"/>
    </xf>
    <xf numFmtId="0" fontId="36" fillId="0" borderId="0" xfId="0" applyFont="1"/>
    <xf numFmtId="0" fontId="35" fillId="0" borderId="20" xfId="0" applyFont="1" applyBorder="1" applyAlignment="1">
      <alignment horizontal="center"/>
    </xf>
    <xf numFmtId="0" fontId="36" fillId="0" borderId="20" xfId="0" applyFont="1" applyBorder="1" applyAlignment="1">
      <alignment horizontal="center"/>
    </xf>
    <xf numFmtId="0" fontId="37" fillId="0" borderId="20" xfId="0" applyFont="1" applyBorder="1" applyAlignment="1">
      <alignment horizontal="center"/>
    </xf>
    <xf numFmtId="10" fontId="38" fillId="11" borderId="21" xfId="0" applyNumberFormat="1" applyFont="1" applyFill="1" applyBorder="1" applyAlignment="1">
      <alignment horizontal="center"/>
    </xf>
    <xf numFmtId="10" fontId="38" fillId="0" borderId="21" xfId="0" applyNumberFormat="1" applyFont="1" applyBorder="1" applyAlignment="1">
      <alignment horizontal="center"/>
    </xf>
    <xf numFmtId="2" fontId="36" fillId="0" borderId="20" xfId="0" applyNumberFormat="1" applyFont="1" applyBorder="1" applyAlignment="1">
      <alignment horizontal="center"/>
    </xf>
    <xf numFmtId="0" fontId="36" fillId="0" borderId="20" xfId="0" applyFont="1" applyBorder="1" applyAlignment="1">
      <alignment horizontal="centerContinuous"/>
    </xf>
    <xf numFmtId="10" fontId="34" fillId="0" borderId="0" xfId="0" applyNumberFormat="1" applyFont="1"/>
    <xf numFmtId="0" fontId="34" fillId="0" borderId="0" xfId="0" quotePrefix="1" applyFont="1"/>
    <xf numFmtId="9" fontId="34" fillId="0" borderId="0" xfId="0" applyNumberFormat="1" applyFont="1"/>
    <xf numFmtId="165" fontId="34" fillId="0" borderId="0" xfId="0" applyNumberFormat="1" applyFont="1"/>
    <xf numFmtId="0" fontId="39" fillId="0" borderId="0" xfId="0" applyFont="1"/>
    <xf numFmtId="10" fontId="39" fillId="0" borderId="0" xfId="0" applyNumberFormat="1" applyFont="1"/>
    <xf numFmtId="0" fontId="40" fillId="0" borderId="0" xfId="0" applyFont="1"/>
    <xf numFmtId="165" fontId="40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14" fontId="0" fillId="0" borderId="0" xfId="0" quotePrefix="1" applyNumberFormat="1"/>
    <xf numFmtId="3" fontId="13" fillId="0" borderId="0" xfId="0" applyNumberFormat="1" applyFont="1"/>
    <xf numFmtId="0" fontId="42" fillId="0" borderId="0" xfId="5" applyFont="1"/>
    <xf numFmtId="0" fontId="41" fillId="0" borderId="0" xfId="5"/>
    <xf numFmtId="0" fontId="43" fillId="0" borderId="0" xfId="5" applyFont="1"/>
    <xf numFmtId="0" fontId="44" fillId="0" borderId="22" xfId="5" applyFont="1" applyBorder="1"/>
    <xf numFmtId="0" fontId="45" fillId="12" borderId="23" xfId="5" applyFont="1" applyFill="1" applyBorder="1" applyAlignment="1">
      <alignment horizontal="center"/>
    </xf>
    <xf numFmtId="0" fontId="46" fillId="12" borderId="23" xfId="5" applyFont="1" applyFill="1" applyBorder="1" applyAlignment="1">
      <alignment horizontal="center"/>
    </xf>
    <xf numFmtId="164" fontId="46" fillId="12" borderId="23" xfId="5" applyNumberFormat="1" applyFont="1" applyFill="1" applyBorder="1" applyAlignment="1">
      <alignment horizontal="center"/>
    </xf>
    <xf numFmtId="3" fontId="47" fillId="0" borderId="0" xfId="5" applyNumberFormat="1" applyFont="1"/>
    <xf numFmtId="3" fontId="41" fillId="0" borderId="0" xfId="5" applyNumberFormat="1"/>
    <xf numFmtId="0" fontId="41" fillId="0" borderId="0" xfId="5" quotePrefix="1"/>
    <xf numFmtId="0" fontId="48" fillId="0" borderId="24" xfId="5" applyFont="1" applyBorder="1"/>
    <xf numFmtId="3" fontId="48" fillId="0" borderId="24" xfId="5" applyNumberFormat="1" applyFont="1" applyBorder="1"/>
    <xf numFmtId="0" fontId="48" fillId="0" borderId="6" xfId="5" applyFont="1" applyBorder="1"/>
    <xf numFmtId="3" fontId="48" fillId="0" borderId="6" xfId="5" applyNumberFormat="1" applyFont="1" applyBorder="1"/>
    <xf numFmtId="173" fontId="41" fillId="0" borderId="0" xfId="5" applyNumberFormat="1"/>
    <xf numFmtId="9" fontId="49" fillId="0" borderId="0" xfId="5" applyNumberFormat="1" applyFont="1"/>
    <xf numFmtId="165" fontId="49" fillId="0" borderId="0" xfId="5" applyNumberFormat="1" applyFont="1"/>
    <xf numFmtId="165" fontId="41" fillId="0" borderId="0" xfId="5" applyNumberFormat="1"/>
    <xf numFmtId="0" fontId="43" fillId="0" borderId="0" xfId="5" applyFont="1" applyAlignment="1">
      <alignment horizontal="right"/>
    </xf>
    <xf numFmtId="173" fontId="49" fillId="0" borderId="0" xfId="5" applyNumberFormat="1" applyFont="1"/>
    <xf numFmtId="9" fontId="50" fillId="0" borderId="0" xfId="5" applyNumberFormat="1" applyFont="1"/>
    <xf numFmtId="9" fontId="41" fillId="0" borderId="0" xfId="5" applyNumberFormat="1"/>
    <xf numFmtId="0" fontId="31" fillId="0" borderId="25" xfId="0" applyFont="1" applyBorder="1"/>
    <xf numFmtId="0" fontId="31" fillId="0" borderId="26" xfId="0" applyFont="1" applyBorder="1"/>
    <xf numFmtId="0" fontId="31" fillId="0" borderId="27" xfId="0" applyFont="1" applyBorder="1"/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14" fontId="51" fillId="0" borderId="0" xfId="0" applyNumberFormat="1" applyFont="1"/>
    <xf numFmtId="0" fontId="0" fillId="13" borderId="0" xfId="0" applyFill="1" applyAlignment="1">
      <alignment horizontal="left" indent="1"/>
    </xf>
    <xf numFmtId="165" fontId="51" fillId="0" borderId="0" xfId="0" applyNumberFormat="1" applyFont="1"/>
    <xf numFmtId="174" fontId="52" fillId="0" borderId="20" xfId="0" applyNumberFormat="1" applyFont="1" applyBorder="1"/>
    <xf numFmtId="165" fontId="52" fillId="0" borderId="0" xfId="0" applyNumberFormat="1" applyFont="1"/>
    <xf numFmtId="173" fontId="52" fillId="0" borderId="0" xfId="0" applyNumberFormat="1" applyFont="1"/>
    <xf numFmtId="175" fontId="0" fillId="0" borderId="0" xfId="0" applyNumberFormat="1"/>
    <xf numFmtId="176" fontId="0" fillId="0" borderId="0" xfId="0" applyNumberFormat="1"/>
    <xf numFmtId="10" fontId="51" fillId="0" borderId="0" xfId="0" applyNumberFormat="1" applyFont="1"/>
    <xf numFmtId="177" fontId="53" fillId="0" borderId="20" xfId="0" applyNumberFormat="1" applyFont="1" applyBorder="1"/>
    <xf numFmtId="178" fontId="0" fillId="0" borderId="0" xfId="0" applyNumberFormat="1"/>
    <xf numFmtId="174" fontId="51" fillId="0" borderId="0" xfId="0" applyNumberFormat="1" applyFont="1"/>
    <xf numFmtId="178" fontId="51" fillId="0" borderId="0" xfId="0" applyNumberFormat="1" applyFont="1"/>
    <xf numFmtId="37" fontId="52" fillId="0" borderId="20" xfId="0" applyNumberFormat="1" applyFont="1" applyBorder="1"/>
    <xf numFmtId="179" fontId="54" fillId="0" borderId="0" xfId="0" applyNumberFormat="1" applyFont="1"/>
    <xf numFmtId="180" fontId="0" fillId="0" borderId="0" xfId="0" quotePrefix="1" applyNumberFormat="1"/>
    <xf numFmtId="180" fontId="0" fillId="0" borderId="0" xfId="0" applyNumberFormat="1"/>
    <xf numFmtId="178" fontId="56" fillId="0" borderId="0" xfId="0" applyNumberFormat="1" applyFont="1"/>
    <xf numFmtId="180" fontId="55" fillId="0" borderId="0" xfId="0" applyNumberFormat="1" applyFont="1"/>
    <xf numFmtId="178" fontId="52" fillId="0" borderId="0" xfId="0" applyNumberFormat="1" applyFont="1"/>
    <xf numFmtId="181" fontId="51" fillId="0" borderId="0" xfId="0" applyNumberFormat="1" applyFont="1"/>
    <xf numFmtId="179" fontId="52" fillId="0" borderId="0" xfId="0" applyNumberFormat="1" applyFont="1"/>
    <xf numFmtId="37" fontId="57" fillId="0" borderId="20" xfId="0" applyNumberFormat="1" applyFont="1" applyBorder="1"/>
    <xf numFmtId="0" fontId="7" fillId="0" borderId="36" xfId="0" applyFont="1" applyBorder="1" applyAlignment="1">
      <alignment horizontal="left" indent="1"/>
    </xf>
    <xf numFmtId="0" fontId="0" fillId="0" borderId="37" xfId="0" applyBorder="1"/>
    <xf numFmtId="182" fontId="52" fillId="0" borderId="0" xfId="0" applyNumberFormat="1" applyFont="1"/>
    <xf numFmtId="0" fontId="4" fillId="0" borderId="38" xfId="0" applyFont="1" applyBorder="1" applyAlignment="1">
      <alignment horizontal="left" indent="1"/>
    </xf>
    <xf numFmtId="0" fontId="59" fillId="0" borderId="38" xfId="0" applyFont="1" applyBorder="1" applyAlignment="1">
      <alignment horizontal="left" indent="1"/>
    </xf>
    <xf numFmtId="0" fontId="59" fillId="0" borderId="0" xfId="0" applyFont="1"/>
    <xf numFmtId="0" fontId="59" fillId="0" borderId="39" xfId="0" applyFont="1" applyBorder="1" applyAlignment="1">
      <alignment horizontal="left" indent="1"/>
    </xf>
    <xf numFmtId="0" fontId="7" fillId="0" borderId="40" xfId="0" applyFont="1" applyBorder="1"/>
    <xf numFmtId="165" fontId="58" fillId="0" borderId="20" xfId="0" applyNumberFormat="1" applyFont="1" applyBorder="1"/>
    <xf numFmtId="174" fontId="52" fillId="0" borderId="0" xfId="0" applyNumberFormat="1" applyFont="1"/>
    <xf numFmtId="166" fontId="47" fillId="0" borderId="0" xfId="4" applyNumberFormat="1" applyFont="1"/>
    <xf numFmtId="166" fontId="41" fillId="0" borderId="0" xfId="4" applyNumberFormat="1" applyFont="1"/>
    <xf numFmtId="165" fontId="41" fillId="15" borderId="0" xfId="5" applyNumberFormat="1" applyFill="1"/>
    <xf numFmtId="165" fontId="41" fillId="16" borderId="0" xfId="5" applyNumberFormat="1" applyFill="1"/>
    <xf numFmtId="3" fontId="8" fillId="0" borderId="8" xfId="0" applyNumberFormat="1" applyFont="1" applyBorder="1"/>
    <xf numFmtId="3" fontId="8" fillId="8" borderId="0" xfId="0" applyNumberFormat="1" applyFont="1" applyFill="1"/>
    <xf numFmtId="3" fontId="10" fillId="8" borderId="0" xfId="0" applyNumberFormat="1" applyFont="1" applyFill="1"/>
    <xf numFmtId="180" fontId="5" fillId="0" borderId="0" xfId="0" applyNumberFormat="1" applyFont="1"/>
    <xf numFmtId="183" fontId="9" fillId="0" borderId="0" xfId="0" applyNumberFormat="1" applyFont="1"/>
    <xf numFmtId="184" fontId="47" fillId="0" borderId="0" xfId="5" applyNumberFormat="1" applyFont="1"/>
    <xf numFmtId="2" fontId="51" fillId="0" borderId="0" xfId="0" applyNumberFormat="1" applyFont="1"/>
    <xf numFmtId="186" fontId="55" fillId="0" borderId="0" xfId="0" applyNumberFormat="1" applyFont="1"/>
    <xf numFmtId="183" fontId="55" fillId="0" borderId="0" xfId="0" applyNumberFormat="1" applyFont="1"/>
    <xf numFmtId="3" fontId="62" fillId="0" borderId="0" xfId="0" applyNumberFormat="1" applyFont="1"/>
    <xf numFmtId="2" fontId="51" fillId="0" borderId="0" xfId="6" applyNumberFormat="1" applyFont="1"/>
    <xf numFmtId="187" fontId="51" fillId="0" borderId="0" xfId="0" applyNumberFormat="1" applyFont="1"/>
    <xf numFmtId="0" fontId="63" fillId="0" borderId="0" xfId="0" applyFont="1"/>
    <xf numFmtId="185" fontId="0" fillId="0" borderId="0" xfId="0" applyNumberFormat="1"/>
    <xf numFmtId="39" fontId="52" fillId="0" borderId="20" xfId="0" applyNumberFormat="1" applyFont="1" applyBorder="1"/>
    <xf numFmtId="180" fontId="51" fillId="0" borderId="0" xfId="0" applyNumberFormat="1" applyFont="1"/>
    <xf numFmtId="0" fontId="64" fillId="0" borderId="41" xfId="0" applyFont="1" applyBorder="1"/>
    <xf numFmtId="0" fontId="0" fillId="0" borderId="42" xfId="0" applyBorder="1"/>
    <xf numFmtId="0" fontId="0" fillId="0" borderId="43" xfId="0" applyBorder="1"/>
    <xf numFmtId="0" fontId="0" fillId="17" borderId="0" xfId="0" applyFill="1"/>
    <xf numFmtId="0" fontId="1" fillId="2" borderId="30" xfId="0" applyFont="1" applyFill="1" applyBorder="1"/>
    <xf numFmtId="0" fontId="1" fillId="2" borderId="45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14" fontId="1" fillId="2" borderId="34" xfId="0" applyNumberFormat="1" applyFont="1" applyFill="1" applyBorder="1"/>
    <xf numFmtId="0" fontId="1" fillId="2" borderId="46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65" fontId="0" fillId="18" borderId="0" xfId="0" applyNumberFormat="1" applyFill="1"/>
    <xf numFmtId="173" fontId="0" fillId="0" borderId="48" xfId="0" applyNumberFormat="1" applyBorder="1"/>
    <xf numFmtId="173" fontId="0" fillId="0" borderId="0" xfId="0" applyNumberFormat="1"/>
    <xf numFmtId="0" fontId="0" fillId="0" borderId="48" xfId="0" applyBorder="1"/>
    <xf numFmtId="0" fontId="7" fillId="0" borderId="49" xfId="0" applyFont="1" applyBorder="1"/>
    <xf numFmtId="3" fontId="7" fillId="0" borderId="49" xfId="0" applyNumberFormat="1" applyFont="1" applyBorder="1"/>
    <xf numFmtId="4" fontId="7" fillId="0" borderId="49" xfId="0" applyNumberFormat="1" applyFont="1" applyBorder="1"/>
    <xf numFmtId="0" fontId="7" fillId="0" borderId="49" xfId="0" applyFont="1" applyBorder="1" applyAlignment="1">
      <alignment horizontal="right"/>
    </xf>
    <xf numFmtId="165" fontId="7" fillId="18" borderId="49" xfId="0" applyNumberFormat="1" applyFont="1" applyFill="1" applyBorder="1"/>
    <xf numFmtId="165" fontId="7" fillId="0" borderId="49" xfId="0" applyNumberFormat="1" applyFont="1" applyBorder="1"/>
    <xf numFmtId="173" fontId="7" fillId="0" borderId="50" xfId="0" applyNumberFormat="1" applyFont="1" applyBorder="1"/>
    <xf numFmtId="173" fontId="7" fillId="0" borderId="49" xfId="0" applyNumberFormat="1" applyFont="1" applyBorder="1"/>
    <xf numFmtId="189" fontId="0" fillId="0" borderId="0" xfId="0" applyNumberFormat="1"/>
    <xf numFmtId="183" fontId="58" fillId="0" borderId="20" xfId="0" applyNumberFormat="1" applyFont="1" applyBorder="1"/>
    <xf numFmtId="4" fontId="0" fillId="0" borderId="0" xfId="0" applyNumberFormat="1"/>
    <xf numFmtId="183" fontId="0" fillId="0" borderId="0" xfId="0" applyNumberFormat="1"/>
    <xf numFmtId="188" fontId="7" fillId="0" borderId="49" xfId="0" applyNumberFormat="1" applyFont="1" applyBorder="1"/>
    <xf numFmtId="173" fontId="7" fillId="18" borderId="49" xfId="0" applyNumberFormat="1" applyFont="1" applyFill="1" applyBorder="1"/>
    <xf numFmtId="0" fontId="0" fillId="19" borderId="0" xfId="0" applyFill="1"/>
    <xf numFmtId="183" fontId="0" fillId="19" borderId="0" xfId="0" applyNumberFormat="1" applyFill="1"/>
    <xf numFmtId="3" fontId="0" fillId="19" borderId="0" xfId="0" applyNumberFormat="1" applyFill="1"/>
    <xf numFmtId="4" fontId="0" fillId="19" borderId="0" xfId="0" applyNumberFormat="1" applyFill="1"/>
    <xf numFmtId="0" fontId="0" fillId="19" borderId="0" xfId="0" applyFill="1" applyAlignment="1">
      <alignment horizontal="right"/>
    </xf>
    <xf numFmtId="165" fontId="0" fillId="19" borderId="0" xfId="0" applyNumberFormat="1" applyFill="1"/>
    <xf numFmtId="173" fontId="0" fillId="19" borderId="47" xfId="0" applyNumberFormat="1" applyFill="1" applyBorder="1"/>
    <xf numFmtId="173" fontId="0" fillId="19" borderId="0" xfId="0" applyNumberFormat="1" applyFill="1"/>
    <xf numFmtId="173" fontId="0" fillId="19" borderId="48" xfId="0" applyNumberFormat="1" applyFill="1" applyBorder="1"/>
    <xf numFmtId="190" fontId="0" fillId="19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0" fontId="66" fillId="0" borderId="0" xfId="0" applyFont="1"/>
    <xf numFmtId="191" fontId="0" fillId="0" borderId="0" xfId="0" applyNumberFormat="1"/>
    <xf numFmtId="183" fontId="51" fillId="0" borderId="0" xfId="0" applyNumberFormat="1" applyFont="1"/>
    <xf numFmtId="0" fontId="65" fillId="0" borderId="0" xfId="0" applyFont="1"/>
    <xf numFmtId="0" fontId="67" fillId="0" borderId="0" xfId="7"/>
    <xf numFmtId="184" fontId="0" fillId="0" borderId="0" xfId="0" applyNumberFormat="1"/>
    <xf numFmtId="0" fontId="7" fillId="20" borderId="0" xfId="0" applyFont="1" applyFill="1"/>
    <xf numFmtId="165" fontId="7" fillId="0" borderId="0" xfId="0" applyNumberFormat="1" applyFont="1"/>
    <xf numFmtId="165" fontId="7" fillId="0" borderId="6" xfId="0" applyNumberFormat="1" applyFont="1" applyBorder="1"/>
    <xf numFmtId="9" fontId="7" fillId="0" borderId="6" xfId="0" applyNumberFormat="1" applyFont="1" applyBorder="1"/>
    <xf numFmtId="192" fontId="1" fillId="3" borderId="11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3" fontId="0" fillId="0" borderId="0" xfId="0" applyNumberFormat="1" applyAlignment="1">
      <alignment horizontal="left" indent="1"/>
    </xf>
    <xf numFmtId="166" fontId="7" fillId="0" borderId="6" xfId="4" applyNumberFormat="1" applyFont="1" applyBorder="1"/>
    <xf numFmtId="3" fontId="5" fillId="0" borderId="0" xfId="0" applyNumberFormat="1" applyFont="1" applyAlignment="1">
      <alignment horizontal="center"/>
    </xf>
    <xf numFmtId="9" fontId="7" fillId="0" borderId="0" xfId="0" applyNumberFormat="1" applyFont="1"/>
    <xf numFmtId="0" fontId="0" fillId="0" borderId="6" xfId="0" applyBorder="1" applyAlignment="1">
      <alignment horizontal="left"/>
    </xf>
    <xf numFmtId="0" fontId="9" fillId="0" borderId="41" xfId="0" applyFont="1" applyBorder="1"/>
    <xf numFmtId="10" fontId="0" fillId="0" borderId="0" xfId="0" applyNumberFormat="1"/>
    <xf numFmtId="3" fontId="8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2" fontId="7" fillId="0" borderId="0" xfId="0" applyNumberFormat="1" applyFont="1"/>
    <xf numFmtId="164" fontId="1" fillId="7" borderId="0" xfId="2" applyNumberFormat="1" applyFont="1" applyFill="1" applyAlignment="1">
      <alignment horizontal="center"/>
    </xf>
    <xf numFmtId="168" fontId="24" fillId="0" borderId="0" xfId="0" applyNumberFormat="1" applyFont="1"/>
    <xf numFmtId="3" fontId="7" fillId="0" borderId="0" xfId="2" applyNumberFormat="1" applyFont="1"/>
    <xf numFmtId="173" fontId="41" fillId="18" borderId="0" xfId="5" applyNumberFormat="1" applyFill="1"/>
    <xf numFmtId="193" fontId="0" fillId="0" borderId="0" xfId="0" applyNumberFormat="1"/>
    <xf numFmtId="0" fontId="68" fillId="0" borderId="51" xfId="0" applyFont="1" applyBorder="1" applyAlignment="1">
      <alignment wrapText="1"/>
    </xf>
    <xf numFmtId="0" fontId="69" fillId="0" borderId="51" xfId="0" applyFont="1" applyBorder="1" applyAlignment="1">
      <alignment wrapText="1"/>
    </xf>
    <xf numFmtId="17" fontId="69" fillId="0" borderId="51" xfId="0" applyNumberFormat="1" applyFont="1" applyBorder="1" applyAlignment="1">
      <alignment horizontal="right" wrapText="1"/>
    </xf>
    <xf numFmtId="0" fontId="69" fillId="0" borderId="51" xfId="0" applyFont="1" applyBorder="1" applyAlignment="1">
      <alignment vertical="center"/>
    </xf>
    <xf numFmtId="0" fontId="67" fillId="0" borderId="51" xfId="7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textRotation="90"/>
    </xf>
    <xf numFmtId="0" fontId="60" fillId="14" borderId="0" xfId="5" applyFont="1" applyFill="1" applyAlignment="1">
      <alignment horizontal="center"/>
    </xf>
    <xf numFmtId="0" fontId="61" fillId="14" borderId="0" xfId="5" applyFont="1" applyFill="1" applyAlignment="1">
      <alignment horizontal="center" vertical="center" textRotation="90" wrapText="1"/>
    </xf>
    <xf numFmtId="0" fontId="1" fillId="3" borderId="31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</cellXfs>
  <cellStyles count="8">
    <cellStyle name="Comma" xfId="4" builtinId="3"/>
    <cellStyle name="Comma 2" xfId="1" xr:uid="{7244F052-A3E1-46D2-9ACE-19B4EE9448E4}"/>
    <cellStyle name="Hyperlink" xfId="7" builtinId="8"/>
    <cellStyle name="Normal" xfId="0" builtinId="0"/>
    <cellStyle name="Normal 2" xfId="2" xr:uid="{39EF3373-78DF-40B8-8D2D-4BEA332C1B24}"/>
    <cellStyle name="Normal 3" xfId="5" xr:uid="{4F750DC5-F124-4558-B27E-FF743FE2118A}"/>
    <cellStyle name="Normal 4" xfId="3" xr:uid="{59DC8078-8E53-4809-9691-F643E8DCA70F}"/>
    <cellStyle name="Percent" xfId="6" builtinId="5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536574899022813E-2"/>
          <c:y val="4.9618396526641205E-2"/>
          <c:w val="0.87028081550001279"/>
          <c:h val="0.742555464629932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Charts!$C$4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Charts!$D$3:$N$3</c:f>
              <c:numCache>
                <c:formatCode>0"E"</c:formatCode>
                <c:ptCount val="11"/>
                <c:pt idx="0" formatCode="General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Charts!$D$4:$N$4</c:f>
              <c:numCache>
                <c:formatCode>#,##0</c:formatCode>
                <c:ptCount val="11"/>
                <c:pt idx="0">
                  <c:v>574785</c:v>
                </c:pt>
                <c:pt idx="1">
                  <c:v>638011.35000000009</c:v>
                </c:pt>
                <c:pt idx="2">
                  <c:v>708192.5985000002</c:v>
                </c:pt>
                <c:pt idx="3">
                  <c:v>786093.78433500032</c:v>
                </c:pt>
                <c:pt idx="4">
                  <c:v>872564.10061185039</c:v>
                </c:pt>
                <c:pt idx="5">
                  <c:v>968546.15167915402</c:v>
                </c:pt>
                <c:pt idx="6">
                  <c:v>1075086.2283638611</c:v>
                </c:pt>
                <c:pt idx="7">
                  <c:v>1193345.7134838859</c:v>
                </c:pt>
                <c:pt idx="8">
                  <c:v>1324613.7419671135</c:v>
                </c:pt>
                <c:pt idx="9">
                  <c:v>1470321.253583496</c:v>
                </c:pt>
                <c:pt idx="10">
                  <c:v>1632056.5914776807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4-47A8-B2CB-6FB05C5A6679}"/>
            </c:ext>
          </c:extLst>
        </c:ser>
        <c:ser>
          <c:idx val="1"/>
          <c:order val="1"/>
          <c:tx>
            <c:strRef>
              <c:f>Charts!$C$5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Charts!$D$3:$N$3</c:f>
              <c:numCache>
                <c:formatCode>0"E"</c:formatCode>
                <c:ptCount val="11"/>
                <c:pt idx="0" formatCode="General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Charts!$D$5:$N$5</c:f>
              <c:numCache>
                <c:formatCode>#,##0</c:formatCode>
                <c:ptCount val="11"/>
                <c:pt idx="0">
                  <c:v>85873</c:v>
                </c:pt>
                <c:pt idx="1">
                  <c:v>93909.964216450389</c:v>
                </c:pt>
                <c:pt idx="2">
                  <c:v>103748.16855882591</c:v>
                </c:pt>
                <c:pt idx="3">
                  <c:v>114856.81554589685</c:v>
                </c:pt>
                <c:pt idx="4">
                  <c:v>127339.80454223818</c:v>
                </c:pt>
                <c:pt idx="5">
                  <c:v>141319.74235260801</c:v>
                </c:pt>
                <c:pt idx="6">
                  <c:v>156938.41829861366</c:v>
                </c:pt>
                <c:pt idx="7">
                  <c:v>174357.69863957184</c:v>
                </c:pt>
                <c:pt idx="8">
                  <c:v>193760.79665825464</c:v>
                </c:pt>
                <c:pt idx="9">
                  <c:v>215353.89279072866</c:v>
                </c:pt>
                <c:pt idx="10">
                  <c:v>239368.09324233752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4-47A8-B2CB-6FB05C5A6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161167807"/>
        <c:axId val="1161169247"/>
      </c:barChart>
      <c:lineChart>
        <c:grouping val="standard"/>
        <c:varyColors val="0"/>
        <c:ser>
          <c:idx val="2"/>
          <c:order val="2"/>
          <c:tx>
            <c:strRef>
              <c:f>Charts!$C$6</c:f>
              <c:strCache>
                <c:ptCount val="1"/>
                <c:pt idx="0">
                  <c:v>EBTDA margin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>
                    <a:alpha val="96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Charts!$D$3:$N$3</c:f>
              <c:numCache>
                <c:formatCode>0"E"</c:formatCode>
                <c:ptCount val="11"/>
                <c:pt idx="0" formatCode="General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Charts!$D$6:$N$6</c:f>
              <c:numCache>
                <c:formatCode>0.0%</c:formatCode>
                <c:ptCount val="11"/>
                <c:pt idx="0">
                  <c:v>0.14940021051349636</c:v>
                </c:pt>
                <c:pt idx="1">
                  <c:v>0.14719168274428093</c:v>
                </c:pt>
                <c:pt idx="2">
                  <c:v>0.14649710937190186</c:v>
                </c:pt>
                <c:pt idx="3">
                  <c:v>0.14611083032931052</c:v>
                </c:pt>
                <c:pt idx="4">
                  <c:v>0.14593747835023957</c:v>
                </c:pt>
                <c:pt idx="5">
                  <c:v>0.14590914651573814</c:v>
                </c:pt>
                <c:pt idx="6">
                  <c:v>0.14597751711270002</c:v>
                </c:pt>
                <c:pt idx="7">
                  <c:v>0.14610828753936464</c:v>
                </c:pt>
                <c:pt idx="8">
                  <c:v>0.14627720558788013</c:v>
                </c:pt>
                <c:pt idx="9">
                  <c:v>0.14646723786782234</c:v>
                </c:pt>
                <c:pt idx="10">
                  <c:v>0.14666653993021847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54-47A8-B2CB-6FB05C5A6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104799"/>
        <c:axId val="1673103359"/>
      </c:lineChart>
      <c:catAx>
        <c:axId val="116116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69247"/>
        <c:crosses val="autoZero"/>
        <c:auto val="1"/>
        <c:lblAlgn val="ctr"/>
        <c:lblOffset val="100"/>
        <c:noMultiLvlLbl val="0"/>
      </c:catAx>
      <c:valAx>
        <c:axId val="1161169247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67807"/>
        <c:crosses val="autoZero"/>
        <c:crossBetween val="between"/>
      </c:valAx>
      <c:valAx>
        <c:axId val="167310335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104799"/>
        <c:crosses val="max"/>
        <c:crossBetween val="between"/>
      </c:valAx>
      <c:catAx>
        <c:axId val="1673104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310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Charts!$C$28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35-4ECA-B34D-7986D12B608B}"/>
              </c:ext>
            </c:extLst>
          </c:dPt>
          <c:dPt>
            <c:idx val="1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35-4ECA-B34D-7986D12B608B}"/>
              </c:ext>
            </c:extLst>
          </c:dPt>
          <c:dPt>
            <c:idx val="2"/>
            <c:bubble3D val="0"/>
            <c:spPr>
              <a:solidFill>
                <a:schemeClr val="accent5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35-4ECA-B34D-7986D12B608B}"/>
              </c:ext>
            </c:extLst>
          </c:dPt>
          <c:dPt>
            <c:idx val="3"/>
            <c:bubble3D val="0"/>
            <c:spPr>
              <a:solidFill>
                <a:schemeClr val="accent5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35-4ECA-B34D-7986D12B60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35-4ECA-B34D-7986D12B608B}"/>
              </c:ext>
            </c:extLst>
          </c:dPt>
          <c:dPt>
            <c:idx val="5"/>
            <c:bubble3D val="0"/>
            <c:spPr>
              <a:solidFill>
                <a:schemeClr val="accent5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E35-4ECA-B34D-7986D12B608B}"/>
              </c:ext>
            </c:extLst>
          </c:dPt>
          <c:dPt>
            <c:idx val="6"/>
            <c:bubble3D val="0"/>
            <c:spPr>
              <a:solidFill>
                <a:schemeClr val="accent5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35-4ECA-B34D-7986D12B608B}"/>
              </c:ext>
            </c:extLst>
          </c:dPt>
          <c:dPt>
            <c:idx val="7"/>
            <c:bubble3D val="0"/>
            <c:spPr>
              <a:solidFill>
                <a:schemeClr val="accent5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E35-4ECA-B34D-7986D12B608B}"/>
              </c:ext>
            </c:extLst>
          </c:dPt>
          <c:dPt>
            <c:idx val="8"/>
            <c:bubble3D val="0"/>
            <c:spPr>
              <a:solidFill>
                <a:schemeClr val="accent5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9E35-4ECA-B34D-7986D12B608B}"/>
              </c:ext>
            </c:extLst>
          </c:dPt>
          <c:dLbls>
            <c:dLbl>
              <c:idx val="0"/>
              <c:layout>
                <c:manualLayout>
                  <c:x val="-0.11713517722519574"/>
                  <c:y val="3.860132946918809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35-4ECA-B34D-7986D12B608B}"/>
                </c:ext>
              </c:extLst>
            </c:dLbl>
            <c:dLbl>
              <c:idx val="1"/>
              <c:layout>
                <c:manualLayout>
                  <c:x val="1.7416683689616522E-2"/>
                  <c:y val="-0.2898400600951432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35-4ECA-B34D-7986D12B608B}"/>
                </c:ext>
              </c:extLst>
            </c:dLbl>
            <c:dLbl>
              <c:idx val="2"/>
              <c:layout>
                <c:manualLayout>
                  <c:x val="-4.4334587454427192E-3"/>
                  <c:y val="-0.1882903864811628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E35-4ECA-B34D-7986D12B608B}"/>
                </c:ext>
              </c:extLst>
            </c:dLbl>
            <c:dLbl>
              <c:idx val="3"/>
              <c:layout>
                <c:manualLayout>
                  <c:x val="-3.5943813110817992E-2"/>
                  <c:y val="-0.3193043355829902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E35-4ECA-B34D-7986D12B608B}"/>
                </c:ext>
              </c:extLst>
            </c:dLbl>
            <c:dLbl>
              <c:idx val="4"/>
              <c:layout>
                <c:manualLayout>
                  <c:x val="-1.2686051686171132E-2"/>
                  <c:y val="-0.2270608608590152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E35-4ECA-B34D-7986D12B608B}"/>
                </c:ext>
              </c:extLst>
            </c:dLbl>
            <c:dLbl>
              <c:idx val="5"/>
              <c:layout>
                <c:manualLayout>
                  <c:x val="-1.9029077529256661E-2"/>
                  <c:y val="-0.2696347722700806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E35-4ECA-B34D-7986D12B608B}"/>
                </c:ext>
              </c:extLst>
            </c:dLbl>
            <c:dLbl>
              <c:idx val="6"/>
              <c:layout>
                <c:manualLayout>
                  <c:x val="-4.1470736258816802E-2"/>
                  <c:y val="-0.3376275995158195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E35-4ECA-B34D-7986D12B608B}"/>
                </c:ext>
              </c:extLst>
            </c:dLbl>
            <c:dLbl>
              <c:idx val="7"/>
              <c:layout>
                <c:manualLayout>
                  <c:x val="-7.7700401741618463E-2"/>
                  <c:y val="-0.210257854313974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E35-4ECA-B34D-7986D12B608B}"/>
                </c:ext>
              </c:extLst>
            </c:dLbl>
            <c:dLbl>
              <c:idx val="8"/>
              <c:layout>
                <c:manualLayout>
                  <c:x val="0.15646130412944301"/>
                  <c:y val="-0.1099826044785855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E35-4ECA-B34D-7986D12B60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Charts!$B$29:$B$37</c:f>
              <c:strCache>
                <c:ptCount val="9"/>
                <c:pt idx="0">
                  <c:v>Amazon</c:v>
                </c:pt>
                <c:pt idx="1">
                  <c:v>Walmart</c:v>
                </c:pt>
                <c:pt idx="2">
                  <c:v>Costco</c:v>
                </c:pt>
                <c:pt idx="3">
                  <c:v>Apple</c:v>
                </c:pt>
                <c:pt idx="4">
                  <c:v>Ebay</c:v>
                </c:pt>
                <c:pt idx="5">
                  <c:v>Target</c:v>
                </c:pt>
                <c:pt idx="6">
                  <c:v>The Home depot</c:v>
                </c:pt>
                <c:pt idx="7">
                  <c:v>Best Buy</c:v>
                </c:pt>
                <c:pt idx="8">
                  <c:v>Other</c:v>
                </c:pt>
              </c:strCache>
            </c:strRef>
          </c:cat>
          <c:val>
            <c:numRef>
              <c:f>Charts!$C$29:$C$37</c:f>
              <c:numCache>
                <c:formatCode>0%</c:formatCode>
                <c:ptCount val="9"/>
                <c:pt idx="0">
                  <c:v>0.38700000000000001</c:v>
                </c:pt>
                <c:pt idx="1">
                  <c:v>5.2999999999999999E-2</c:v>
                </c:pt>
                <c:pt idx="2">
                  <c:v>1.2E-2</c:v>
                </c:pt>
                <c:pt idx="3">
                  <c:v>3.6999999999999998E-2</c:v>
                </c:pt>
                <c:pt idx="4">
                  <c:v>4.7E-2</c:v>
                </c:pt>
                <c:pt idx="5">
                  <c:v>1.2E-2</c:v>
                </c:pt>
                <c:pt idx="6">
                  <c:v>1.7000000000000001E-2</c:v>
                </c:pt>
                <c:pt idx="7">
                  <c:v>1.3000000000000001E-2</c:v>
                </c:pt>
                <c:pt idx="8">
                  <c:v>0.42199999999999993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35-4ECA-B34D-7986D12B6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94914865124819"/>
          <c:y val="1.2413981980791979E-3"/>
          <c:w val="0.51486496699753115"/>
          <c:h val="0.91091966772808741"/>
        </c:manualLayout>
      </c:layout>
      <c:doughnutChart>
        <c:varyColors val="1"/>
        <c:ser>
          <c:idx val="0"/>
          <c:order val="0"/>
          <c:tx>
            <c:strRef>
              <c:f>Charts!$D$28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8-4687-A6D3-390C3E36CC5C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8-4687-A6D3-390C3E36CC5C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8-4687-A6D3-390C3E36CC5C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18-4687-A6D3-390C3E36CC5C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18-4687-A6D3-390C3E36CC5C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818-4687-A6D3-390C3E36CC5C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18-4687-A6D3-390C3E36CC5C}"/>
              </c:ext>
            </c:extLst>
          </c:dPt>
          <c:dPt>
            <c:idx val="7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18-4687-A6D3-390C3E36CC5C}"/>
              </c:ext>
            </c:extLst>
          </c:dPt>
          <c:dPt>
            <c:idx val="8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4818-4687-A6D3-390C3E36CC5C}"/>
              </c:ext>
            </c:extLst>
          </c:dPt>
          <c:dLbls>
            <c:dLbl>
              <c:idx val="0"/>
              <c:layout>
                <c:manualLayout>
                  <c:x val="0.10297634386838952"/>
                  <c:y val="-0.11245485540322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8-4687-A6D3-390C3E36CC5C}"/>
                </c:ext>
              </c:extLst>
            </c:dLbl>
            <c:dLbl>
              <c:idx val="1"/>
              <c:layout>
                <c:manualLayout>
                  <c:x val="7.1261580497992486E-2"/>
                  <c:y val="9.192625884070944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8-4687-A6D3-390C3E36CC5C}"/>
                </c:ext>
              </c:extLst>
            </c:dLbl>
            <c:dLbl>
              <c:idx val="2"/>
              <c:layout>
                <c:manualLayout>
                  <c:x val="0.10286742074751486"/>
                  <c:y val="0.1624073130637273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8-4687-A6D3-390C3E36CC5C}"/>
                </c:ext>
              </c:extLst>
            </c:dLbl>
            <c:dLbl>
              <c:idx val="3"/>
              <c:layout>
                <c:manualLayout>
                  <c:x val="3.9267736613370831E-2"/>
                  <c:y val="0.1045310634014739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18-4687-A6D3-390C3E36CC5C}"/>
                </c:ext>
              </c:extLst>
            </c:dLbl>
            <c:dLbl>
              <c:idx val="4"/>
              <c:layout>
                <c:manualLayout>
                  <c:x val="8.5302587982007197E-3"/>
                  <c:y val="0.1301197736943386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818-4687-A6D3-390C3E36CC5C}"/>
                </c:ext>
              </c:extLst>
            </c:dLbl>
            <c:dLbl>
              <c:idx val="5"/>
              <c:layout>
                <c:manualLayout>
                  <c:x val="-3.8796669303359961E-2"/>
                  <c:y val="0.1664365521181607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818-4687-A6D3-390C3E36CC5C}"/>
                </c:ext>
              </c:extLst>
            </c:dLbl>
            <c:dLbl>
              <c:idx val="6"/>
              <c:layout>
                <c:manualLayout>
                  <c:x val="-0.10796352618038769"/>
                  <c:y val="9.666666666666666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818-4687-A6D3-390C3E36CC5C}"/>
                </c:ext>
              </c:extLst>
            </c:dLbl>
            <c:dLbl>
              <c:idx val="7"/>
              <c:layout>
                <c:manualLayout>
                  <c:x val="-0.13945288798300076"/>
                  <c:y val="1.999999999999987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818-4687-A6D3-390C3E36CC5C}"/>
                </c:ext>
              </c:extLst>
            </c:dLbl>
            <c:dLbl>
              <c:idx val="8"/>
              <c:layout>
                <c:manualLayout>
                  <c:x val="-9.8966565665355333E-2"/>
                  <c:y val="-8.33333333333333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818-4687-A6D3-390C3E36CC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Charts!$B$29:$B$37</c:f>
              <c:strCache>
                <c:ptCount val="9"/>
                <c:pt idx="0">
                  <c:v>Amazon</c:v>
                </c:pt>
                <c:pt idx="1">
                  <c:v>Walmart</c:v>
                </c:pt>
                <c:pt idx="2">
                  <c:v>Costco</c:v>
                </c:pt>
                <c:pt idx="3">
                  <c:v>Apple</c:v>
                </c:pt>
                <c:pt idx="4">
                  <c:v>Ebay</c:v>
                </c:pt>
                <c:pt idx="5">
                  <c:v>Target</c:v>
                </c:pt>
                <c:pt idx="6">
                  <c:v>The Home depot</c:v>
                </c:pt>
                <c:pt idx="7">
                  <c:v>Best Buy</c:v>
                </c:pt>
                <c:pt idx="8">
                  <c:v>Other</c:v>
                </c:pt>
              </c:strCache>
            </c:strRef>
          </c:cat>
          <c:val>
            <c:numRef>
              <c:f>Charts!$D$29:$D$37</c:f>
              <c:numCache>
                <c:formatCode>0%</c:formatCode>
                <c:ptCount val="9"/>
                <c:pt idx="0">
                  <c:v>0.376</c:v>
                </c:pt>
                <c:pt idx="1">
                  <c:v>6.4000000000000001E-2</c:v>
                </c:pt>
                <c:pt idx="2">
                  <c:v>1.4999999999999999E-2</c:v>
                </c:pt>
                <c:pt idx="3">
                  <c:v>3.5999999999999997E-2</c:v>
                </c:pt>
                <c:pt idx="4">
                  <c:v>0.03</c:v>
                </c:pt>
                <c:pt idx="5">
                  <c:v>1.9E-2</c:v>
                </c:pt>
                <c:pt idx="6">
                  <c:v>1.9E-2</c:v>
                </c:pt>
                <c:pt idx="7">
                  <c:v>1.3999999999999999E-2</c:v>
                </c:pt>
                <c:pt idx="8">
                  <c:v>0.42699999999999994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18-4687-A6D3-390C3E36C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775170291142675E-2"/>
          <c:y val="2.7441831911105649E-2"/>
          <c:w val="0.74030796150481182"/>
          <c:h val="0.842045056867891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[1]Sheet4!$C$53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[1]Sheet4!$B$54:$B$57</c:f>
              <c:strCache>
                <c:ptCount val="4"/>
                <c:pt idx="0">
                  <c:v>PE</c:v>
                </c:pt>
                <c:pt idx="1">
                  <c:v>EV/EBITDA</c:v>
                </c:pt>
                <c:pt idx="2">
                  <c:v>EV/EBIT</c:v>
                </c:pt>
                <c:pt idx="3">
                  <c:v>12M High Low</c:v>
                </c:pt>
              </c:strCache>
            </c:strRef>
          </c:cat>
          <c:val>
            <c:numRef>
              <c:f>[1]Sheet4!$C$54:$C$57</c:f>
              <c:numCache>
                <c:formatCode>General</c:formatCode>
                <c:ptCount val="4"/>
                <c:pt idx="0">
                  <c:v>52.8</c:v>
                </c:pt>
                <c:pt idx="1">
                  <c:v>6</c:v>
                </c:pt>
                <c:pt idx="2">
                  <c:v>7.6</c:v>
                </c:pt>
                <c:pt idx="3">
                  <c:v>131.30000000000001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D-4B17-AB75-84C326499F44}"/>
            </c:ext>
          </c:extLst>
        </c:ser>
        <c:ser>
          <c:idx val="1"/>
          <c:order val="1"/>
          <c:tx>
            <c:strRef>
              <c:f>[1]Sheet4!$D$53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7777777777777779E-3"/>
                  <c:y val="-0.20833333333333334"/>
                </c:manualLayout>
              </c:layout>
              <c:tx>
                <c:rich>
                  <a:bodyPr/>
                  <a:lstStyle/>
                  <a:p>
                    <a:fld id="{319B46FC-9BE0-4D4B-A444-901EFE05F4B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4D-4B17-AB75-84C326499F44}"/>
                </c:ext>
              </c:extLst>
            </c:dLbl>
            <c:dLbl>
              <c:idx val="1"/>
              <c:layout>
                <c:manualLayout>
                  <c:x val="0"/>
                  <c:y val="-0.125"/>
                </c:manualLayout>
              </c:layout>
              <c:tx>
                <c:rich>
                  <a:bodyPr/>
                  <a:lstStyle/>
                  <a:p>
                    <a:fld id="{D20E3BB2-F97F-4CC4-B243-232AEE8A114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84D-4B17-AB75-84C326499F44}"/>
                </c:ext>
              </c:extLst>
            </c:dLbl>
            <c:dLbl>
              <c:idx val="2"/>
              <c:layout>
                <c:manualLayout>
                  <c:x val="-2.7777777777777779E-3"/>
                  <c:y val="-0.17129629629629631"/>
                </c:manualLayout>
              </c:layout>
              <c:tx>
                <c:rich>
                  <a:bodyPr/>
                  <a:lstStyle/>
                  <a:p>
                    <a:fld id="{0A4590B9-213B-48B4-A0BD-E2345BBBA6B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84D-4B17-AB75-84C326499F44}"/>
                </c:ext>
              </c:extLst>
            </c:dLbl>
            <c:dLbl>
              <c:idx val="3"/>
              <c:layout>
                <c:manualLayout>
                  <c:x val="-1.0185067526415994E-16"/>
                  <c:y val="-0.16666666666666666"/>
                </c:manualLayout>
              </c:layout>
              <c:tx>
                <c:rich>
                  <a:bodyPr/>
                  <a:lstStyle/>
                  <a:p>
                    <a:fld id="{ECBCA50E-9E08-4B16-B8A2-AC691C23A49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84D-4B17-AB75-84C326499F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[1]Sheet4!$B$54:$B$57</c:f>
              <c:strCache>
                <c:ptCount val="4"/>
                <c:pt idx="0">
                  <c:v>PE</c:v>
                </c:pt>
                <c:pt idx="1">
                  <c:v>EV/EBITDA</c:v>
                </c:pt>
                <c:pt idx="2">
                  <c:v>EV/EBIT</c:v>
                </c:pt>
                <c:pt idx="3">
                  <c:v>12M High Low</c:v>
                </c:pt>
              </c:strCache>
            </c:strRef>
          </c:cat>
          <c:val>
            <c:numRef>
              <c:f>[1]Sheet4!$D$54:$D$57</c:f>
              <c:numCache>
                <c:formatCode>General</c:formatCode>
                <c:ptCount val="4"/>
                <c:pt idx="0">
                  <c:v>5.9000000000000057</c:v>
                </c:pt>
                <c:pt idx="1">
                  <c:v>2.5</c:v>
                </c:pt>
                <c:pt idx="2">
                  <c:v>3.3000000000000007</c:v>
                </c:pt>
                <c:pt idx="3">
                  <c:v>199.53999999999996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[1]Sheet4!$E$54:$E$57</c15:f>
                <c15:dlblRangeCache>
                  <c:ptCount val="4"/>
                  <c:pt idx="0">
                    <c:v>58.7</c:v>
                  </c:pt>
                  <c:pt idx="1">
                    <c:v>8.5</c:v>
                  </c:pt>
                  <c:pt idx="2">
                    <c:v>10.9</c:v>
                  </c:pt>
                  <c:pt idx="3">
                    <c:v>330.84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B84D-4B17-AB75-84C326499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2976959"/>
        <c:axId val="1952968799"/>
      </c:barChart>
      <c:catAx>
        <c:axId val="195297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68799"/>
        <c:crosses val="autoZero"/>
        <c:auto val="1"/>
        <c:lblAlgn val="ctr"/>
        <c:lblOffset val="100"/>
        <c:noMultiLvlLbl val="0"/>
      </c:catAx>
      <c:valAx>
        <c:axId val="195296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7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253205</xdr:colOff>
      <xdr:row>8</xdr:row>
      <xdr:rowOff>0</xdr:rowOff>
    </xdr:from>
    <xdr:to>
      <xdr:col>21</xdr:col>
      <xdr:colOff>327421</xdr:colOff>
      <xdr:row>33</xdr:row>
      <xdr:rowOff>102847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B5B25A-1EA3-4D7C-AC13-A2F5764A9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164043</xdr:rowOff>
    </xdr:from>
    <xdr:to>
      <xdr:col>15</xdr:col>
      <xdr:colOff>400451</xdr:colOff>
      <xdr:row>71</xdr:row>
      <xdr:rowOff>80518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816C1CB-3CD8-480F-B2B6-F77671608C76}"/>
            </a:ext>
          </a:extLst>
        </xdr:cNvPr>
        <xdr:cNvGrpSpPr/>
      </xdr:nvGrpSpPr>
      <xdr:grpSpPr>
        <a:xfrm>
          <a:off x="0" y="7700490"/>
          <a:ext cx="13033609" cy="5430949"/>
          <a:chOff x="-176752" y="6095976"/>
          <a:chExt cx="4822140" cy="3620529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693651EA-CBCB-4A85-4FE3-1A792E2AB8C7}"/>
              </a:ext>
            </a:extLst>
          </xdr:cNvPr>
          <xdr:cNvGraphicFramePr/>
        </xdr:nvGraphicFramePr>
        <xdr:xfrm>
          <a:off x="267879" y="6350500"/>
          <a:ext cx="3284946" cy="27369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06F3ED24-D988-745E-3415-8DB00E4407BE}"/>
              </a:ext>
            </a:extLst>
          </xdr:cNvPr>
          <xdr:cNvGraphicFramePr>
            <a:graphicFrameLocks/>
          </xdr:cNvGraphicFramePr>
        </xdr:nvGraphicFramePr>
        <xdr:xfrm>
          <a:off x="-176752" y="6095976"/>
          <a:ext cx="4822140" cy="362052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12</xdr:col>
      <xdr:colOff>507999</xdr:colOff>
      <xdr:row>72</xdr:row>
      <xdr:rowOff>100262</xdr:rowOff>
    </xdr:from>
    <xdr:to>
      <xdr:col>24</xdr:col>
      <xdr:colOff>392697</xdr:colOff>
      <xdr:row>101</xdr:row>
      <xdr:rowOff>173181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3D4CCB-A09D-4477-AFCD-CE1C3B08F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9863f51c8f50362/Documents/City%20investment%20training/Model%20course/BMW/BMW%20June%202024%20SH%20post%20Charts%20and%20LBO.xlsx" TargetMode="External"/><Relationship Id="rId1" Type="http://schemas.openxmlformats.org/officeDocument/2006/relationships/externalLinkPath" Target="/59863f51c8f50362/Documents/City%20investment%20training/Model%20course/BMW/BMW%20June%202024%20SH%20post%20Charts%20and%20LB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"/>
      <sheetName val="BS"/>
      <sheetName val="CF"/>
      <sheetName val="PP&amp;E"/>
      <sheetName val="Debt"/>
      <sheetName val="SH"/>
      <sheetName val="SH (BMW)"/>
      <sheetName val="DCF"/>
      <sheetName val="Charts"/>
      <sheetName val="Credit spreads"/>
      <sheetName val="LBO"/>
      <sheetName val="Porsche M&amp;A "/>
      <sheetName val="Public comps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3">
          <cell r="C53" t="str">
            <v>Low</v>
          </cell>
          <cell r="D53" t="str">
            <v>High</v>
          </cell>
        </row>
        <row r="54">
          <cell r="B54" t="str">
            <v>PE</v>
          </cell>
          <cell r="C54">
            <v>52.8</v>
          </cell>
          <cell r="D54">
            <v>5.9000000000000057</v>
          </cell>
          <cell r="E54">
            <v>58.7</v>
          </cell>
        </row>
        <row r="55">
          <cell r="B55" t="str">
            <v>EV/EBITDA</v>
          </cell>
          <cell r="C55">
            <v>6</v>
          </cell>
          <cell r="D55">
            <v>2.5</v>
          </cell>
          <cell r="E55">
            <v>8.5</v>
          </cell>
        </row>
        <row r="56">
          <cell r="B56" t="str">
            <v>EV/EBIT</v>
          </cell>
          <cell r="C56">
            <v>7.6</v>
          </cell>
          <cell r="D56">
            <v>3.3000000000000007</v>
          </cell>
          <cell r="E56">
            <v>10.9</v>
          </cell>
        </row>
        <row r="57">
          <cell r="B57" t="str">
            <v>12M High Low</v>
          </cell>
          <cell r="C57">
            <v>131.30000000000001</v>
          </cell>
          <cell r="D57">
            <v>199.53999999999996</v>
          </cell>
          <cell r="E57">
            <v>330.84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eer Merchant" id="{55CA67A7-73FB-4427-ADFC-5112D75636B7}" userId="2a29f06b8c08bbc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7" dT="2023-07-25T15:14:55.99" personId="{55CA67A7-73FB-4427-ADFC-5112D75636B7}" id="{B343E715-F785-450E-B776-CE3DAF70F07F}">
    <text>Average share price for the first seven months of 2023</text>
  </threadedComment>
  <threadedComment ref="I57" dT="2023-07-25T15:14:55.99" personId="{55CA67A7-73FB-4427-ADFC-5112D75636B7}" id="{A88C9318-229F-4BFB-8154-4F6F380311E5}">
    <text>Average share price for the first seven months of 2023</text>
  </threadedComment>
  <threadedComment ref="J57" dT="2023-07-25T15:14:55.99" personId="{55CA67A7-73FB-4427-ADFC-5112D75636B7}" id="{9F8E554C-EE9D-44C8-8DA4-82E928C01D07}">
    <text>Average share price for the first seven months of 2023</text>
  </threadedComment>
  <threadedComment ref="K57" dT="2023-07-25T15:14:55.99" personId="{55CA67A7-73FB-4427-ADFC-5112D75636B7}" id="{00DA52F1-4AD5-4B3F-B165-66A654D3B440}">
    <text>Average share price for the first seven months of 2023</text>
  </threadedComment>
  <threadedComment ref="L57" dT="2023-07-25T15:14:55.99" personId="{55CA67A7-73FB-4427-ADFC-5112D75636B7}" id="{BB4A22A0-4EB2-4ACC-8624-42D9D2F1C9D4}">
    <text>Average share price for the first seven months of 2023</text>
  </threadedComment>
  <threadedComment ref="H59" dT="2024-06-18T11:42:55.29" personId="{55CA67A7-73FB-4427-ADFC-5112D75636B7}" id="{09F9712B-D849-4D7C-BCC6-1EAA87580CCA}">
    <text>Average price for 6 months</text>
  </threadedComment>
  <threadedComment ref="I59" dT="2024-06-18T11:42:55.29" personId="{55CA67A7-73FB-4427-ADFC-5112D75636B7}" id="{89F31B47-2483-468C-95B1-3BE5D3995EB5}">
    <text>Average price for 6 months</text>
  </threadedComment>
  <threadedComment ref="J59" dT="2024-06-18T11:42:55.29" personId="{55CA67A7-73FB-4427-ADFC-5112D75636B7}" id="{4402A344-F6C5-44D3-8980-6CB259B1FF32}">
    <text>Average price for 6 months</text>
  </threadedComment>
  <threadedComment ref="K59" dT="2024-06-18T11:42:55.29" personId="{55CA67A7-73FB-4427-ADFC-5112D75636B7}" id="{9CE09432-9682-4F86-8108-D273E938926D}">
    <text>Average price for 6 months</text>
  </threadedComment>
  <threadedComment ref="L59" dT="2024-06-18T11:42:55.29" personId="{55CA67A7-73FB-4427-ADFC-5112D75636B7}" id="{ABA9AD18-A5E5-4204-AF97-23BF4948F91B}">
    <text>Average price for 6 months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AMZN/compare/NASDAQGS:EBAY,NASDAQGS:TSLA,NASDAQGS:MSFT,NASDAQGS:NFLX,NASDAQGS:GOOGL,NYSE:IBM,NASDAQGS:COST,NYSE:TGT,NYSE:WM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lex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AFC-0C9D-4A81-AD1B-9C7412CA4E43}">
  <dimension ref="A1:V54"/>
  <sheetViews>
    <sheetView showGridLines="0" zoomScale="50" zoomScaleNormal="11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37" sqref="H37"/>
    </sheetView>
  </sheetViews>
  <sheetFormatPr defaultRowHeight="15"/>
  <cols>
    <col min="1" max="1" width="5.85546875" customWidth="1"/>
    <col min="2" max="2" width="71.85546875" bestFit="1" customWidth="1"/>
    <col min="3" max="5" width="10.42578125" bestFit="1" customWidth="1"/>
    <col min="6" max="6" width="10" bestFit="1" customWidth="1"/>
    <col min="7" max="12" width="10.42578125" bestFit="1" customWidth="1"/>
    <col min="13" max="17" width="9.140625" bestFit="1" customWidth="1"/>
    <col min="21" max="21" width="21.28515625" bestFit="1" customWidth="1"/>
  </cols>
  <sheetData>
    <row r="1" spans="1:22" ht="15.75" thickBot="1"/>
    <row r="2" spans="1:22" ht="22.5" thickTop="1" thickBo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22" ht="15.75" thickTop="1">
      <c r="A3" s="4" t="s">
        <v>108</v>
      </c>
    </row>
    <row r="4" spans="1:22" ht="15.75" thickBot="1">
      <c r="H4" s="5"/>
    </row>
    <row r="5" spans="1:22" ht="16.5" thickTop="1" thickBot="1">
      <c r="B5" s="6"/>
      <c r="C5" s="7">
        <v>2019</v>
      </c>
      <c r="D5" s="7">
        <v>2020</v>
      </c>
      <c r="E5" s="7">
        <v>2021</v>
      </c>
      <c r="F5" s="7">
        <v>2022</v>
      </c>
      <c r="G5" s="7">
        <v>2023</v>
      </c>
      <c r="H5" s="8">
        <v>2024</v>
      </c>
      <c r="I5" s="8">
        <f>H5+1</f>
        <v>2025</v>
      </c>
      <c r="J5" s="8">
        <f t="shared" ref="J5:Q5" si="0">I5+1</f>
        <v>2026</v>
      </c>
      <c r="K5" s="8">
        <f t="shared" si="0"/>
        <v>2027</v>
      </c>
      <c r="L5" s="8">
        <f t="shared" si="0"/>
        <v>2028</v>
      </c>
      <c r="M5" s="8">
        <f t="shared" si="0"/>
        <v>2029</v>
      </c>
      <c r="N5" s="8">
        <f t="shared" si="0"/>
        <v>2030</v>
      </c>
      <c r="O5" s="8">
        <f t="shared" si="0"/>
        <v>2031</v>
      </c>
      <c r="P5" s="8">
        <f t="shared" si="0"/>
        <v>2032</v>
      </c>
      <c r="Q5" s="8">
        <f t="shared" si="0"/>
        <v>2033</v>
      </c>
    </row>
    <row r="6" spans="1:22" ht="15.75" thickTop="1">
      <c r="B6" s="16" t="s">
        <v>36</v>
      </c>
      <c r="C6" s="12">
        <v>160408</v>
      </c>
      <c r="D6" s="12">
        <v>215915</v>
      </c>
      <c r="E6" s="12">
        <v>241787</v>
      </c>
      <c r="F6" s="12">
        <v>242901</v>
      </c>
      <c r="G6" s="12">
        <v>255887</v>
      </c>
    </row>
    <row r="7" spans="1:22">
      <c r="B7" s="16" t="s">
        <v>37</v>
      </c>
      <c r="C7" s="12">
        <v>120114</v>
      </c>
      <c r="D7" s="12">
        <v>170149</v>
      </c>
      <c r="E7" s="12">
        <v>228035</v>
      </c>
      <c r="F7" s="12">
        <v>271082</v>
      </c>
      <c r="G7" s="12">
        <v>318898</v>
      </c>
    </row>
    <row r="8" spans="1:22">
      <c r="B8" s="21" t="s">
        <v>38</v>
      </c>
      <c r="C8" s="20">
        <f>C6+C7</f>
        <v>280522</v>
      </c>
      <c r="D8" s="20">
        <f t="shared" ref="D8:G8" si="1">D6+D7</f>
        <v>386064</v>
      </c>
      <c r="E8" s="20">
        <f t="shared" si="1"/>
        <v>469822</v>
      </c>
      <c r="F8" s="20">
        <f t="shared" si="1"/>
        <v>513983</v>
      </c>
      <c r="G8" s="20">
        <f t="shared" si="1"/>
        <v>574785</v>
      </c>
      <c r="H8" s="28">
        <f>G8*(1+H37)</f>
        <v>638011.35000000009</v>
      </c>
      <c r="I8" s="28">
        <f t="shared" ref="I8:Q8" si="2">H8*(1+I37)</f>
        <v>708192.5985000002</v>
      </c>
      <c r="J8" s="28">
        <f t="shared" si="2"/>
        <v>786093.78433500032</v>
      </c>
      <c r="K8" s="28">
        <f t="shared" si="2"/>
        <v>872564.10061185039</v>
      </c>
      <c r="L8" s="28">
        <f t="shared" si="2"/>
        <v>968546.15167915402</v>
      </c>
      <c r="M8" s="28">
        <f t="shared" si="2"/>
        <v>1075086.2283638611</v>
      </c>
      <c r="N8" s="28">
        <f t="shared" si="2"/>
        <v>1193345.7134838859</v>
      </c>
      <c r="O8" s="28">
        <f t="shared" si="2"/>
        <v>1324613.7419671135</v>
      </c>
      <c r="P8" s="28">
        <f t="shared" si="2"/>
        <v>1470321.253583496</v>
      </c>
      <c r="Q8" s="28">
        <f t="shared" si="2"/>
        <v>1632056.5914776807</v>
      </c>
    </row>
    <row r="9" spans="1:22">
      <c r="B9" s="19" t="s">
        <v>39</v>
      </c>
      <c r="C9" s="12"/>
      <c r="D9" s="12"/>
      <c r="E9" s="12"/>
      <c r="F9" s="13"/>
      <c r="G9" s="12"/>
    </row>
    <row r="10" spans="1:22">
      <c r="B10" s="16" t="s">
        <v>40</v>
      </c>
      <c r="C10" s="12">
        <v>165536</v>
      </c>
      <c r="D10" s="12">
        <f>233307</f>
        <v>233307</v>
      </c>
      <c r="E10" s="12">
        <v>272344</v>
      </c>
      <c r="F10" s="12">
        <v>288831</v>
      </c>
      <c r="G10" s="12">
        <v>304739</v>
      </c>
      <c r="H10" s="9">
        <f>H8*H38</f>
        <v>338146.01550000004</v>
      </c>
      <c r="I10" s="9">
        <f t="shared" ref="I10:Q10" si="3">I8*I38</f>
        <v>375342.0772050001</v>
      </c>
      <c r="J10" s="9">
        <f t="shared" si="3"/>
        <v>416629.70569755021</v>
      </c>
      <c r="K10" s="9">
        <f t="shared" si="3"/>
        <v>462458.97332428076</v>
      </c>
      <c r="L10" s="9">
        <f t="shared" si="3"/>
        <v>513329.46038995165</v>
      </c>
      <c r="M10" s="9">
        <f t="shared" si="3"/>
        <v>569795.70103284647</v>
      </c>
      <c r="N10" s="9">
        <f t="shared" si="3"/>
        <v>632473.22814645956</v>
      </c>
      <c r="O10" s="9">
        <f t="shared" si="3"/>
        <v>702045.28324257012</v>
      </c>
      <c r="P10" s="9">
        <f t="shared" si="3"/>
        <v>779270.26439925295</v>
      </c>
      <c r="Q10" s="9">
        <f t="shared" si="3"/>
        <v>864989.99348317087</v>
      </c>
    </row>
    <row r="11" spans="1:22">
      <c r="B11" s="16" t="s">
        <v>41</v>
      </c>
      <c r="C11" s="12">
        <v>40232</v>
      </c>
      <c r="D11" s="12">
        <v>58517</v>
      </c>
      <c r="E11" s="12">
        <v>75111</v>
      </c>
      <c r="F11" s="12">
        <v>84299</v>
      </c>
      <c r="G11" s="12">
        <v>90619</v>
      </c>
      <c r="H11" s="9">
        <f>H8*H39</f>
        <v>100587.09000000001</v>
      </c>
      <c r="I11" s="9">
        <f t="shared" ref="I11:Q11" si="4">I8*I39</f>
        <v>111651.66990000004</v>
      </c>
      <c r="J11" s="9">
        <f t="shared" si="4"/>
        <v>123933.35358900005</v>
      </c>
      <c r="K11" s="9">
        <f t="shared" si="4"/>
        <v>137566.02248379006</v>
      </c>
      <c r="L11" s="9">
        <f t="shared" si="4"/>
        <v>152698.28495700698</v>
      </c>
      <c r="M11" s="9">
        <f t="shared" si="4"/>
        <v>169495.09630227779</v>
      </c>
      <c r="N11" s="9">
        <f t="shared" si="4"/>
        <v>188139.55689552834</v>
      </c>
      <c r="O11" s="9">
        <f t="shared" si="4"/>
        <v>208834.90815403647</v>
      </c>
      <c r="P11" s="9">
        <f t="shared" si="4"/>
        <v>231806.7480509805</v>
      </c>
      <c r="Q11" s="9">
        <f t="shared" si="4"/>
        <v>257305.49033658838</v>
      </c>
    </row>
    <row r="12" spans="1:22">
      <c r="B12" s="16" t="s">
        <v>42</v>
      </c>
      <c r="C12" s="12">
        <v>35931</v>
      </c>
      <c r="D12" s="12">
        <v>42740</v>
      </c>
      <c r="E12" s="12">
        <v>56052</v>
      </c>
      <c r="F12" s="12">
        <v>73213</v>
      </c>
      <c r="G12" s="12">
        <v>85622</v>
      </c>
      <c r="H12" s="9">
        <f>H8*H40</f>
        <v>95040.420000000013</v>
      </c>
      <c r="I12" s="9">
        <f t="shared" ref="I12:Q12" si="5">I8*I40</f>
        <v>105494.86620000003</v>
      </c>
      <c r="J12" s="9">
        <f t="shared" si="5"/>
        <v>117099.30148200004</v>
      </c>
      <c r="K12" s="9">
        <f t="shared" si="5"/>
        <v>129980.22464502005</v>
      </c>
      <c r="L12" s="9">
        <f t="shared" si="5"/>
        <v>144278.04935597227</v>
      </c>
      <c r="M12" s="9">
        <f t="shared" si="5"/>
        <v>160148.63478512925</v>
      </c>
      <c r="N12" s="9">
        <f t="shared" si="5"/>
        <v>177764.98461149348</v>
      </c>
      <c r="O12" s="9">
        <f t="shared" si="5"/>
        <v>197319.13291875776</v>
      </c>
      <c r="P12" s="9">
        <f t="shared" si="5"/>
        <v>219024.23753982113</v>
      </c>
      <c r="Q12" s="9">
        <f t="shared" si="5"/>
        <v>243116.90366920148</v>
      </c>
      <c r="V12" s="9"/>
    </row>
    <row r="13" spans="1:22">
      <c r="B13" s="16" t="s">
        <v>43</v>
      </c>
      <c r="C13" s="12">
        <v>18878</v>
      </c>
      <c r="D13" s="12">
        <v>22008</v>
      </c>
      <c r="E13" s="12">
        <v>32551</v>
      </c>
      <c r="F13" s="12">
        <v>42238</v>
      </c>
      <c r="G13" s="12">
        <v>44370</v>
      </c>
      <c r="H13" s="9">
        <f>H8*H41</f>
        <v>49250.700000000012</v>
      </c>
      <c r="I13" s="9">
        <f t="shared" ref="I13:Q13" si="6">I8*I41</f>
        <v>54668.277000000016</v>
      </c>
      <c r="J13" s="9">
        <f t="shared" si="6"/>
        <v>60681.787470000025</v>
      </c>
      <c r="K13" s="9">
        <f t="shared" si="6"/>
        <v>67356.784091700029</v>
      </c>
      <c r="L13" s="9">
        <f t="shared" si="6"/>
        <v>74766.030341787045</v>
      </c>
      <c r="M13" s="9">
        <f t="shared" si="6"/>
        <v>82990.293679383627</v>
      </c>
      <c r="N13" s="9">
        <f t="shared" si="6"/>
        <v>92119.225984115837</v>
      </c>
      <c r="O13" s="9">
        <f t="shared" si="6"/>
        <v>102252.34084236859</v>
      </c>
      <c r="P13" s="9">
        <f t="shared" si="6"/>
        <v>113500.09833502914</v>
      </c>
      <c r="Q13" s="9">
        <f t="shared" si="6"/>
        <v>125985.10915188235</v>
      </c>
    </row>
    <row r="14" spans="1:22">
      <c r="B14" s="16" t="s">
        <v>44</v>
      </c>
      <c r="C14" s="12">
        <v>5203</v>
      </c>
      <c r="D14" s="12">
        <v>6668</v>
      </c>
      <c r="E14" s="12">
        <v>8823</v>
      </c>
      <c r="F14" s="12">
        <v>11891</v>
      </c>
      <c r="G14" s="12">
        <v>11816</v>
      </c>
      <c r="H14" s="9">
        <f>H8*H42</f>
        <v>13115.760000000002</v>
      </c>
      <c r="I14" s="9">
        <f t="shared" ref="I14:Q14" si="7">I8*I42</f>
        <v>14558.493600000003</v>
      </c>
      <c r="J14" s="9">
        <f t="shared" si="7"/>
        <v>16159.927896000007</v>
      </c>
      <c r="K14" s="9">
        <f t="shared" si="7"/>
        <v>17937.519964560008</v>
      </c>
      <c r="L14" s="9">
        <f t="shared" si="7"/>
        <v>19910.647160661611</v>
      </c>
      <c r="M14" s="9">
        <f t="shared" si="7"/>
        <v>22100.818348334389</v>
      </c>
      <c r="N14" s="9">
        <f t="shared" si="7"/>
        <v>24531.908366651172</v>
      </c>
      <c r="O14" s="9">
        <f t="shared" si="7"/>
        <v>27230.418286982804</v>
      </c>
      <c r="P14" s="9">
        <f t="shared" si="7"/>
        <v>30225.764298550916</v>
      </c>
      <c r="Q14" s="9">
        <f t="shared" si="7"/>
        <v>33550.598371391519</v>
      </c>
    </row>
    <row r="15" spans="1:22">
      <c r="B15" s="16" t="s">
        <v>45</v>
      </c>
      <c r="C15" s="11">
        <v>201</v>
      </c>
      <c r="D15" s="11">
        <v>-75</v>
      </c>
      <c r="E15" s="11">
        <v>62</v>
      </c>
      <c r="F15" s="12">
        <v>1263</v>
      </c>
      <c r="G15" s="11">
        <v>767</v>
      </c>
      <c r="H15" s="9">
        <f>H8*H43</f>
        <v>851.37000000000012</v>
      </c>
      <c r="I15" s="9">
        <f t="shared" ref="I15:Q15" si="8">I8*I43</f>
        <v>945.02070000000026</v>
      </c>
      <c r="J15" s="9">
        <f t="shared" si="8"/>
        <v>1048.9729770000004</v>
      </c>
      <c r="K15" s="9">
        <f t="shared" si="8"/>
        <v>1164.3600044700006</v>
      </c>
      <c r="L15" s="9">
        <f t="shared" si="8"/>
        <v>1292.4396049617008</v>
      </c>
      <c r="M15" s="9">
        <f t="shared" si="8"/>
        <v>1434.607961507488</v>
      </c>
      <c r="N15" s="9">
        <f t="shared" si="8"/>
        <v>1592.4148372733116</v>
      </c>
      <c r="O15" s="9">
        <f t="shared" si="8"/>
        <v>1767.5804693733762</v>
      </c>
      <c r="P15" s="9">
        <f t="shared" si="8"/>
        <v>1962.0143210044475</v>
      </c>
      <c r="Q15" s="9">
        <f t="shared" si="8"/>
        <v>2177.8358963149371</v>
      </c>
      <c r="V15" s="9"/>
    </row>
    <row r="16" spans="1:22">
      <c r="B16" s="21" t="s">
        <v>46</v>
      </c>
      <c r="C16" s="20">
        <f>SUM(C10:C15)</f>
        <v>265981</v>
      </c>
      <c r="D16" s="20">
        <f t="shared" ref="D16:F16" si="9">SUM(D10:D15)</f>
        <v>363165</v>
      </c>
      <c r="E16" s="20">
        <f t="shared" si="9"/>
        <v>444943</v>
      </c>
      <c r="F16" s="20">
        <f t="shared" si="9"/>
        <v>501735</v>
      </c>
      <c r="G16" s="20">
        <f>SUM(G10:G15)</f>
        <v>537933</v>
      </c>
      <c r="H16" s="20">
        <f>SUM(H10:H15)</f>
        <v>596991.35550000018</v>
      </c>
      <c r="I16" s="20">
        <f t="shared" ref="I16:Q16" si="10">SUM(I10:I15)</f>
        <v>662660.40460500016</v>
      </c>
      <c r="J16" s="20">
        <f t="shared" si="10"/>
        <v>735553.04911155032</v>
      </c>
      <c r="K16" s="20">
        <f t="shared" si="10"/>
        <v>816463.88451382087</v>
      </c>
      <c r="L16" s="20">
        <f t="shared" si="10"/>
        <v>906274.91181034117</v>
      </c>
      <c r="M16" s="20">
        <f t="shared" si="10"/>
        <v>1005965.1521094789</v>
      </c>
      <c r="N16" s="20">
        <f t="shared" si="10"/>
        <v>1116621.3188415219</v>
      </c>
      <c r="O16" s="20">
        <f t="shared" si="10"/>
        <v>1239449.6639140891</v>
      </c>
      <c r="P16" s="20">
        <f t="shared" si="10"/>
        <v>1375789.1269446393</v>
      </c>
      <c r="Q16" s="20">
        <f t="shared" si="10"/>
        <v>1527125.9309085496</v>
      </c>
    </row>
    <row r="17" spans="2:21">
      <c r="B17" s="21" t="s">
        <v>47</v>
      </c>
      <c r="C17" s="20">
        <f>C8-C16</f>
        <v>14541</v>
      </c>
      <c r="D17" s="20">
        <f t="shared" ref="D17:G17" si="11">D8-D16</f>
        <v>22899</v>
      </c>
      <c r="E17" s="20">
        <f t="shared" si="11"/>
        <v>24879</v>
      </c>
      <c r="F17" s="20">
        <f t="shared" si="11"/>
        <v>12248</v>
      </c>
      <c r="G17" s="20">
        <f t="shared" si="11"/>
        <v>36852</v>
      </c>
      <c r="H17" s="20">
        <f>H8-H16</f>
        <v>41019.994499999913</v>
      </c>
      <c r="I17" s="20">
        <f t="shared" ref="I17:Q17" si="12">I8-I16</f>
        <v>45532.193895000033</v>
      </c>
      <c r="J17" s="20">
        <f t="shared" si="12"/>
        <v>50540.735223449999</v>
      </c>
      <c r="K17" s="20">
        <f t="shared" si="12"/>
        <v>56100.216098029516</v>
      </c>
      <c r="L17" s="20">
        <f t="shared" si="12"/>
        <v>62271.239868812845</v>
      </c>
      <c r="M17" s="20">
        <f t="shared" si="12"/>
        <v>69121.076254382147</v>
      </c>
      <c r="N17" s="20">
        <f t="shared" si="12"/>
        <v>76724.394642364001</v>
      </c>
      <c r="O17" s="20">
        <f t="shared" si="12"/>
        <v>85164.078053024365</v>
      </c>
      <c r="P17" s="20">
        <f t="shared" si="12"/>
        <v>94532.126638856716</v>
      </c>
      <c r="Q17" s="20">
        <f t="shared" si="12"/>
        <v>104930.66056913114</v>
      </c>
    </row>
    <row r="18" spans="2:21">
      <c r="B18" s="16" t="s">
        <v>217</v>
      </c>
      <c r="C18" s="194">
        <f>-('PP&amp;E'!C9+'PP&amp;E'!C23+'PP&amp;E'!C36)</f>
        <v>1755</v>
      </c>
      <c r="D18" s="194">
        <f>-('PP&amp;E'!D9+'PP&amp;E'!D23+'PP&amp;E'!D36)</f>
        <v>24989</v>
      </c>
      <c r="E18" s="194">
        <f>-('PP&amp;E'!E9+'PP&amp;E'!E23+'PP&amp;E'!E36)</f>
        <v>36974</v>
      </c>
      <c r="F18" s="194">
        <f>-('PP&amp;E'!F9+'PP&amp;E'!F23+'PP&amp;E'!F36)</f>
        <v>42896</v>
      </c>
      <c r="G18" s="194">
        <f>-('PP&amp;E'!G9+'PP&amp;E'!G23+'PP&amp;E'!G36)</f>
        <v>49021</v>
      </c>
      <c r="H18" s="194">
        <f>-('PP&amp;E'!H9+'PP&amp;E'!H23+'PP&amp;E'!H36)</f>
        <v>52889.969716450476</v>
      </c>
      <c r="I18" s="194">
        <f>-('PP&amp;E'!I9+'PP&amp;E'!I23+'PP&amp;E'!I36)</f>
        <v>58215.97466382588</v>
      </c>
      <c r="J18" s="194">
        <f>-('PP&amp;E'!J9+'PP&amp;E'!J23+'PP&amp;E'!J36)</f>
        <v>64316.080322446855</v>
      </c>
      <c r="K18" s="194">
        <f>-('PP&amp;E'!K9+'PP&amp;E'!K23+'PP&amp;E'!K36)</f>
        <v>71239.588444208668</v>
      </c>
      <c r="L18" s="194">
        <f>-('PP&amp;E'!L9+'PP&amp;E'!L23+'PP&amp;E'!L36)</f>
        <v>79048.502483795164</v>
      </c>
      <c r="M18" s="194">
        <f>-('PP&amp;E'!M9+'PP&amp;E'!M23+'PP&amp;E'!M36)</f>
        <v>87817.342044231511</v>
      </c>
      <c r="N18" s="194">
        <f>-('PP&amp;E'!N9+'PP&amp;E'!N23+'PP&amp;E'!N36)</f>
        <v>97633.303997207826</v>
      </c>
      <c r="O18" s="194">
        <f>-('PP&amp;E'!O9+'PP&amp;E'!O23+'PP&amp;E'!O36)</f>
        <v>108596.71860523027</v>
      </c>
      <c r="P18" s="194">
        <f>-('PP&amp;E'!P9+'PP&amp;E'!P23+'PP&amp;E'!P36)</f>
        <v>120821.76615187195</v>
      </c>
      <c r="Q18" s="194">
        <f>-('PP&amp;E'!Q9+'PP&amp;E'!Q23+'PP&amp;E'!Q36)</f>
        <v>134437.43267320638</v>
      </c>
    </row>
    <row r="19" spans="2:21">
      <c r="B19" s="21" t="s">
        <v>216</v>
      </c>
      <c r="C19" s="20">
        <f>C17+C18</f>
        <v>16296</v>
      </c>
      <c r="D19" s="20">
        <f t="shared" ref="D19:H19" si="13">D17+D18</f>
        <v>47888</v>
      </c>
      <c r="E19" s="20">
        <f t="shared" si="13"/>
        <v>61853</v>
      </c>
      <c r="F19" s="20">
        <f t="shared" si="13"/>
        <v>55144</v>
      </c>
      <c r="G19" s="20">
        <f t="shared" si="13"/>
        <v>85873</v>
      </c>
      <c r="H19" s="20">
        <f t="shared" si="13"/>
        <v>93909.964216450389</v>
      </c>
      <c r="I19" s="20">
        <f t="shared" ref="I19:Q19" si="14">I17+I18</f>
        <v>103748.16855882591</v>
      </c>
      <c r="J19" s="20">
        <f t="shared" si="14"/>
        <v>114856.81554589685</v>
      </c>
      <c r="K19" s="20">
        <f t="shared" si="14"/>
        <v>127339.80454223818</v>
      </c>
      <c r="L19" s="20">
        <f t="shared" si="14"/>
        <v>141319.74235260801</v>
      </c>
      <c r="M19" s="20">
        <f t="shared" si="14"/>
        <v>156938.41829861366</v>
      </c>
      <c r="N19" s="20">
        <f t="shared" si="14"/>
        <v>174357.69863957184</v>
      </c>
      <c r="O19" s="20">
        <f t="shared" si="14"/>
        <v>193760.79665825464</v>
      </c>
      <c r="P19" s="20">
        <f t="shared" si="14"/>
        <v>215353.89279072866</v>
      </c>
      <c r="Q19" s="20">
        <f t="shared" si="14"/>
        <v>239368.09324233752</v>
      </c>
    </row>
    <row r="20" spans="2:21">
      <c r="B20" s="19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</row>
    <row r="21" spans="2:21">
      <c r="B21" s="16" t="s">
        <v>48</v>
      </c>
      <c r="C21" s="11">
        <v>832</v>
      </c>
      <c r="D21" s="11">
        <v>555</v>
      </c>
      <c r="E21" s="11">
        <v>448</v>
      </c>
      <c r="F21" s="11">
        <v>989</v>
      </c>
      <c r="G21" s="12">
        <v>2949</v>
      </c>
      <c r="H21" s="9">
        <f ca="1">Debt!H34</f>
        <v>4980.7493758700966</v>
      </c>
      <c r="I21" s="9">
        <f ca="1">Debt!I34</f>
        <v>6713.6724558234664</v>
      </c>
      <c r="J21" s="9">
        <f ca="1">Debt!J34</f>
        <v>8642.2397747135437</v>
      </c>
      <c r="K21" s="9">
        <f ca="1">Debt!K34</f>
        <v>10754.331688956427</v>
      </c>
      <c r="L21" s="9">
        <f ca="1">Debt!L34</f>
        <v>13063.743729965097</v>
      </c>
      <c r="M21" s="9">
        <f ca="1">Debt!M34</f>
        <v>15596.288390951035</v>
      </c>
      <c r="N21" s="9">
        <f ca="1">Debt!N34</f>
        <v>18379.89206191813</v>
      </c>
      <c r="O21" s="9">
        <f ca="1">Debt!O34</f>
        <v>21444.969788994062</v>
      </c>
      <c r="P21" s="9">
        <f ca="1">Debt!P34</f>
        <v>24824.811751096386</v>
      </c>
      <c r="Q21" s="9">
        <f ca="1">Debt!Q34</f>
        <v>28555.989308742013</v>
      </c>
    </row>
    <row r="22" spans="2:21">
      <c r="B22" s="16" t="s">
        <v>49</v>
      </c>
      <c r="C22" s="12">
        <v>-1600</v>
      </c>
      <c r="D22" s="12">
        <v>-1647</v>
      </c>
      <c r="E22" s="12">
        <v>-1809</v>
      </c>
      <c r="F22" s="12">
        <v>-2367</v>
      </c>
      <c r="G22" s="12">
        <v>-3182</v>
      </c>
      <c r="H22" s="9">
        <f>Debt!H30</f>
        <v>-3138.5572420105254</v>
      </c>
      <c r="I22" s="9">
        <f ca="1">Debt!I30</f>
        <v>-2603.4628309429713</v>
      </c>
      <c r="J22" s="9">
        <f ca="1">Debt!J30</f>
        <v>-1534.5014403150242</v>
      </c>
      <c r="K22" s="9">
        <f ca="1">Debt!K30</f>
        <v>-1403.5594180010498</v>
      </c>
      <c r="L22" s="9">
        <f ca="1">Debt!L30</f>
        <v>-1546.3223427117778</v>
      </c>
      <c r="M22" s="9">
        <f ca="1">Debt!M30</f>
        <v>-1689.0852674225057</v>
      </c>
      <c r="N22" s="9">
        <f ca="1">Debt!N30</f>
        <v>-1831.8481921332334</v>
      </c>
      <c r="O22" s="9">
        <f ca="1">Debt!O30</f>
        <v>-1974.6111168439613</v>
      </c>
      <c r="P22" s="9">
        <f ca="1">Debt!P30</f>
        <v>-2117.374041554689</v>
      </c>
      <c r="Q22" s="9">
        <f ca="1">Debt!Q30</f>
        <v>-2260.136966265417</v>
      </c>
    </row>
    <row r="23" spans="2:21">
      <c r="B23" s="16" t="s">
        <v>50</v>
      </c>
      <c r="C23" s="11">
        <v>203</v>
      </c>
      <c r="D23" s="12">
        <v>2371</v>
      </c>
      <c r="E23" s="12">
        <v>14633</v>
      </c>
      <c r="F23" s="12">
        <v>-16806</v>
      </c>
      <c r="G23" s="12">
        <v>938</v>
      </c>
    </row>
    <row r="24" spans="2:21">
      <c r="B24" s="21" t="s">
        <v>51</v>
      </c>
      <c r="C24" s="24">
        <f>SUM(C21:C23)</f>
        <v>-565</v>
      </c>
      <c r="D24" s="24">
        <f t="shared" ref="D24:F24" si="15">SUM(D21:D23)</f>
        <v>1279</v>
      </c>
      <c r="E24" s="24">
        <f t="shared" si="15"/>
        <v>13272</v>
      </c>
      <c r="F24" s="24">
        <f t="shared" si="15"/>
        <v>-18184</v>
      </c>
      <c r="G24" s="20">
        <f>SUM(G21:G23)</f>
        <v>705</v>
      </c>
      <c r="H24" s="20">
        <f ca="1">SUM(H21:H23)</f>
        <v>1842.1921338595712</v>
      </c>
      <c r="I24" s="20">
        <f t="shared" ref="I24:Q24" ca="1" si="16">SUM(I21:I23)</f>
        <v>4110.2096248804955</v>
      </c>
      <c r="J24" s="20">
        <f t="shared" ca="1" si="16"/>
        <v>7107.7383343985193</v>
      </c>
      <c r="K24" s="20">
        <f t="shared" ca="1" si="16"/>
        <v>9350.7722709553764</v>
      </c>
      <c r="L24" s="20">
        <f t="shared" ca="1" si="16"/>
        <v>11517.42138725332</v>
      </c>
      <c r="M24" s="20">
        <f t="shared" ca="1" si="16"/>
        <v>13907.203123528529</v>
      </c>
      <c r="N24" s="20">
        <f t="shared" ca="1" si="16"/>
        <v>16548.043869784895</v>
      </c>
      <c r="O24" s="20">
        <f t="shared" ca="1" si="16"/>
        <v>19470.358672150101</v>
      </c>
      <c r="P24" s="20">
        <f t="shared" ca="1" si="16"/>
        <v>22707.437709541697</v>
      </c>
      <c r="Q24" s="20">
        <f t="shared" ca="1" si="16"/>
        <v>26295.852342476595</v>
      </c>
    </row>
    <row r="25" spans="2:21">
      <c r="B25" s="21" t="s">
        <v>52</v>
      </c>
      <c r="C25" s="20">
        <f>C17+C24</f>
        <v>13976</v>
      </c>
      <c r="D25" s="20">
        <f t="shared" ref="D25:H25" si="17">D17+D24</f>
        <v>24178</v>
      </c>
      <c r="E25" s="20">
        <f t="shared" si="17"/>
        <v>38151</v>
      </c>
      <c r="F25" s="20">
        <f t="shared" si="17"/>
        <v>-5936</v>
      </c>
      <c r="G25" s="20">
        <f>G17+G24</f>
        <v>37557</v>
      </c>
      <c r="H25" s="20">
        <f t="shared" ca="1" si="17"/>
        <v>42862.186633859485</v>
      </c>
      <c r="I25" s="20">
        <f t="shared" ref="I25:Q25" ca="1" si="18">I17+I24</f>
        <v>49642.403519880529</v>
      </c>
      <c r="J25" s="20">
        <f t="shared" ca="1" si="18"/>
        <v>57648.47355784852</v>
      </c>
      <c r="K25" s="20">
        <f t="shared" ca="1" si="18"/>
        <v>65450.988368984894</v>
      </c>
      <c r="L25" s="20">
        <f t="shared" ca="1" si="18"/>
        <v>73788.66125606616</v>
      </c>
      <c r="M25" s="20">
        <f t="shared" ca="1" si="18"/>
        <v>83028.279377910672</v>
      </c>
      <c r="N25" s="20">
        <f t="shared" ca="1" si="18"/>
        <v>93272.438512148889</v>
      </c>
      <c r="O25" s="20">
        <f t="shared" ca="1" si="18"/>
        <v>104634.43672517447</v>
      </c>
      <c r="P25" s="20">
        <f t="shared" ca="1" si="18"/>
        <v>117239.56434839842</v>
      </c>
      <c r="Q25" s="20">
        <f t="shared" ca="1" si="18"/>
        <v>131226.51291160774</v>
      </c>
    </row>
    <row r="26" spans="2:21">
      <c r="B26" s="16" t="s">
        <v>53</v>
      </c>
      <c r="C26" s="12">
        <v>-2374</v>
      </c>
      <c r="D26" s="12">
        <v>-2863</v>
      </c>
      <c r="E26" s="12">
        <v>-4791</v>
      </c>
      <c r="F26" s="12">
        <v>3217</v>
      </c>
      <c r="G26" s="12">
        <v>-7120</v>
      </c>
      <c r="H26" s="9">
        <f ca="1">H48*H25</f>
        <v>-8125.749363183415</v>
      </c>
      <c r="I26" s="9">
        <f t="shared" ref="I26:Q26" ca="1" si="19">I48*I25</f>
        <v>-9411.1327598463504</v>
      </c>
      <c r="J26" s="9">
        <f t="shared" ca="1" si="19"/>
        <v>-10928.911567267925</v>
      </c>
      <c r="K26" s="9">
        <f t="shared" ca="1" si="19"/>
        <v>-12408.100678626419</v>
      </c>
      <c r="L26" s="9">
        <f t="shared" ca="1" si="19"/>
        <v>-13988.744259211093</v>
      </c>
      <c r="M26" s="9">
        <f t="shared" ca="1" si="19"/>
        <v>-15740.377271100566</v>
      </c>
      <c r="N26" s="9">
        <f t="shared" ca="1" si="19"/>
        <v>-17682.449668676945</v>
      </c>
      <c r="O26" s="9">
        <f t="shared" ca="1" si="19"/>
        <v>-19836.440330251145</v>
      </c>
      <c r="P26" s="9">
        <f t="shared" ca="1" si="19"/>
        <v>-22226.10160983563</v>
      </c>
      <c r="Q26" s="9">
        <f t="shared" ca="1" si="19"/>
        <v>-24877.726440627503</v>
      </c>
    </row>
    <row r="27" spans="2:21">
      <c r="B27" s="16" t="s">
        <v>54</v>
      </c>
      <c r="C27" s="11">
        <v>-14</v>
      </c>
      <c r="D27" s="11">
        <v>16</v>
      </c>
      <c r="E27" s="11">
        <v>4</v>
      </c>
      <c r="F27" s="11">
        <v>-3</v>
      </c>
      <c r="G27" s="12">
        <v>-12</v>
      </c>
      <c r="H27" s="9">
        <f ca="1">H49*H25</f>
        <v>-13.695083196376542</v>
      </c>
      <c r="I27" s="9">
        <f t="shared" ref="I27:Q27" ca="1" si="20">I49*I25</f>
        <v>-15.861459707606208</v>
      </c>
      <c r="J27" s="9">
        <f t="shared" ca="1" si="20"/>
        <v>-18.419513877417852</v>
      </c>
      <c r="K27" s="9">
        <f t="shared" ca="1" si="20"/>
        <v>-20.912529233640033</v>
      </c>
      <c r="L27" s="9">
        <f t="shared" ca="1" si="20"/>
        <v>-23.576535268333306</v>
      </c>
      <c r="M27" s="9">
        <f t="shared" ca="1" si="20"/>
        <v>-26.528725737809943</v>
      </c>
      <c r="N27" s="9">
        <f t="shared" ca="1" si="20"/>
        <v>-29.801881464062269</v>
      </c>
      <c r="O27" s="9">
        <f t="shared" ca="1" si="20"/>
        <v>-33.432202803794063</v>
      </c>
      <c r="P27" s="9">
        <f t="shared" ca="1" si="20"/>
        <v>-37.459721814329711</v>
      </c>
      <c r="Q27" s="9">
        <f t="shared" ca="1" si="20"/>
        <v>-41.928752428023884</v>
      </c>
    </row>
    <row r="28" spans="2:21">
      <c r="B28" s="21" t="s">
        <v>2</v>
      </c>
      <c r="C28" s="20">
        <f>SUM(C25:C27)</f>
        <v>11588</v>
      </c>
      <c r="D28" s="20">
        <f t="shared" ref="D28:F28" si="21">SUM(D25:D27)</f>
        <v>21331</v>
      </c>
      <c r="E28" s="20">
        <f t="shared" si="21"/>
        <v>33364</v>
      </c>
      <c r="F28" s="20">
        <f t="shared" si="21"/>
        <v>-2722</v>
      </c>
      <c r="G28" s="20">
        <f>SUM(G25:G27)</f>
        <v>30425</v>
      </c>
      <c r="H28" s="20">
        <f ca="1">SUM(H25:H27)</f>
        <v>34722.742187479693</v>
      </c>
      <c r="I28" s="20">
        <f t="shared" ref="I28:Q28" ca="1" si="22">SUM(I25:I27)</f>
        <v>40215.409300326573</v>
      </c>
      <c r="J28" s="20">
        <f t="shared" ca="1" si="22"/>
        <v>46701.142476703179</v>
      </c>
      <c r="K28" s="20">
        <f t="shared" ca="1" si="22"/>
        <v>53021.975161124836</v>
      </c>
      <c r="L28" s="20">
        <f t="shared" ca="1" si="22"/>
        <v>59776.34046158674</v>
      </c>
      <c r="M28" s="20">
        <f t="shared" ca="1" si="22"/>
        <v>67261.373381072292</v>
      </c>
      <c r="N28" s="20">
        <f t="shared" ca="1" si="22"/>
        <v>75560.18696200788</v>
      </c>
      <c r="O28" s="20">
        <f t="shared" ca="1" si="22"/>
        <v>84764.56419211952</v>
      </c>
      <c r="P28" s="20">
        <f t="shared" ca="1" si="22"/>
        <v>94976.003016748451</v>
      </c>
      <c r="Q28" s="20">
        <f t="shared" ca="1" si="22"/>
        <v>106306.85771855222</v>
      </c>
      <c r="U28" s="350"/>
    </row>
    <row r="29" spans="2:21">
      <c r="C29" s="13"/>
      <c r="D29" s="13"/>
      <c r="E29" s="13"/>
      <c r="F29" s="13"/>
      <c r="G29" s="13"/>
      <c r="R29" s="9"/>
    </row>
    <row r="30" spans="2:21">
      <c r="B30" t="s">
        <v>55</v>
      </c>
      <c r="C30" s="11">
        <v>23.46</v>
      </c>
      <c r="D30" s="11">
        <v>2.13</v>
      </c>
      <c r="E30" s="11">
        <v>3.3</v>
      </c>
      <c r="F30" s="11">
        <v>-0.27</v>
      </c>
      <c r="G30" s="14">
        <v>2.95</v>
      </c>
    </row>
    <row r="31" spans="2:21">
      <c r="B31" t="s">
        <v>56</v>
      </c>
      <c r="C31" s="11">
        <v>23.01</v>
      </c>
      <c r="D31" s="11">
        <v>2.09</v>
      </c>
      <c r="E31" s="11">
        <v>3.24</v>
      </c>
      <c r="F31" s="11">
        <v>-0.27</v>
      </c>
      <c r="G31" s="14">
        <v>2.9</v>
      </c>
    </row>
    <row r="32" spans="2:21">
      <c r="B32" t="s">
        <v>57</v>
      </c>
      <c r="C32" s="11"/>
      <c r="D32" s="11"/>
      <c r="E32" s="11"/>
      <c r="F32" s="11"/>
      <c r="G32" s="12"/>
    </row>
    <row r="33" spans="2:17">
      <c r="B33" t="s">
        <v>58</v>
      </c>
      <c r="C33" s="11">
        <v>494</v>
      </c>
      <c r="D33" s="12">
        <v>10005</v>
      </c>
      <c r="E33" s="12">
        <v>10117</v>
      </c>
      <c r="F33" s="12">
        <v>10189</v>
      </c>
      <c r="G33" s="12">
        <v>10304</v>
      </c>
    </row>
    <row r="34" spans="2:17">
      <c r="B34" t="s">
        <v>59</v>
      </c>
      <c r="C34" s="11">
        <v>504</v>
      </c>
      <c r="D34" s="12">
        <v>10198</v>
      </c>
      <c r="E34" s="12">
        <v>10296</v>
      </c>
      <c r="F34" s="12">
        <v>10189</v>
      </c>
      <c r="G34" s="12">
        <v>10492</v>
      </c>
    </row>
    <row r="35" spans="2:17">
      <c r="G35" s="9"/>
    </row>
    <row r="36" spans="2:17">
      <c r="B36" s="17" t="s">
        <v>62</v>
      </c>
      <c r="C36" s="25"/>
      <c r="D36" s="25"/>
      <c r="E36" s="25"/>
      <c r="F36" s="25"/>
      <c r="G36" s="26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2:17">
      <c r="B37" t="s">
        <v>63</v>
      </c>
      <c r="C37" s="27"/>
      <c r="D37" s="27">
        <f>D8/C8-1</f>
        <v>0.37623430604373276</v>
      </c>
      <c r="E37" s="27">
        <f t="shared" ref="E37:F37" si="23">E8/D8-1</f>
        <v>0.21695366571345676</v>
      </c>
      <c r="F37" s="27">
        <f t="shared" si="23"/>
        <v>9.399517263985091E-2</v>
      </c>
      <c r="G37" s="27">
        <f>G8/F8-1</f>
        <v>0.1182957412988368</v>
      </c>
      <c r="H37" s="27">
        <v>0.11</v>
      </c>
      <c r="I37" s="27">
        <v>0.11</v>
      </c>
      <c r="J37" s="27">
        <v>0.11</v>
      </c>
      <c r="K37" s="27">
        <v>0.11</v>
      </c>
      <c r="L37" s="27">
        <v>0.11</v>
      </c>
      <c r="M37" s="27">
        <v>0.11</v>
      </c>
      <c r="N37" s="27">
        <v>0.11</v>
      </c>
      <c r="O37" s="27">
        <v>0.11</v>
      </c>
      <c r="P37" s="27">
        <v>0.11</v>
      </c>
      <c r="Q37" s="27">
        <v>0.11</v>
      </c>
    </row>
    <row r="38" spans="2:17">
      <c r="B38" t="s">
        <v>64</v>
      </c>
      <c r="C38" s="27">
        <f>C10/C8</f>
        <v>0.59009988521399392</v>
      </c>
      <c r="D38" s="27">
        <f t="shared" ref="D38:F38" si="24">D10/D8</f>
        <v>0.60432208131294296</v>
      </c>
      <c r="E38" s="27">
        <f t="shared" si="24"/>
        <v>0.57967485558360399</v>
      </c>
      <c r="F38" s="27">
        <f t="shared" si="24"/>
        <v>0.56194660134673713</v>
      </c>
      <c r="G38" s="27">
        <f>G10/G8</f>
        <v>0.53017911044999433</v>
      </c>
      <c r="H38" s="27">
        <v>0.53</v>
      </c>
      <c r="I38" s="27">
        <v>0.53</v>
      </c>
      <c r="J38" s="27">
        <v>0.53</v>
      </c>
      <c r="K38" s="27">
        <v>0.53</v>
      </c>
      <c r="L38" s="27">
        <v>0.53</v>
      </c>
      <c r="M38" s="27">
        <v>0.53</v>
      </c>
      <c r="N38" s="27">
        <v>0.53</v>
      </c>
      <c r="O38" s="27">
        <v>0.53</v>
      </c>
      <c r="P38" s="27">
        <v>0.53</v>
      </c>
      <c r="Q38" s="27">
        <v>0.53</v>
      </c>
    </row>
    <row r="39" spans="2:17">
      <c r="B39" t="s">
        <v>74</v>
      </c>
      <c r="C39" s="27">
        <f>C11/C8</f>
        <v>0.14341834152045116</v>
      </c>
      <c r="D39" s="27">
        <f t="shared" ref="D39:G39" si="25">D11/D8</f>
        <v>0.15157331426913673</v>
      </c>
      <c r="E39" s="27">
        <f t="shared" si="25"/>
        <v>0.15987118525739535</v>
      </c>
      <c r="F39" s="27">
        <f t="shared" si="25"/>
        <v>0.16401126107283703</v>
      </c>
      <c r="G39" s="27">
        <f t="shared" si="25"/>
        <v>0.1576572109571405</v>
      </c>
      <c r="H39" s="27">
        <f>G39</f>
        <v>0.1576572109571405</v>
      </c>
      <c r="I39" s="27">
        <f t="shared" ref="I39:Q40" si="26">H39</f>
        <v>0.1576572109571405</v>
      </c>
      <c r="J39" s="27">
        <f t="shared" si="26"/>
        <v>0.1576572109571405</v>
      </c>
      <c r="K39" s="27">
        <f t="shared" si="26"/>
        <v>0.1576572109571405</v>
      </c>
      <c r="L39" s="27">
        <f t="shared" si="26"/>
        <v>0.1576572109571405</v>
      </c>
      <c r="M39" s="27">
        <f t="shared" si="26"/>
        <v>0.1576572109571405</v>
      </c>
      <c r="N39" s="27">
        <f t="shared" si="26"/>
        <v>0.1576572109571405</v>
      </c>
      <c r="O39" s="27">
        <f t="shared" si="26"/>
        <v>0.1576572109571405</v>
      </c>
      <c r="P39" s="27">
        <f t="shared" si="26"/>
        <v>0.1576572109571405</v>
      </c>
      <c r="Q39" s="27">
        <f t="shared" si="26"/>
        <v>0.1576572109571405</v>
      </c>
    </row>
    <row r="40" spans="2:17">
      <c r="B40" t="s">
        <v>75</v>
      </c>
      <c r="C40" s="27">
        <f>C12/C8</f>
        <v>0.12808621070718162</v>
      </c>
      <c r="D40" s="27">
        <f t="shared" ref="D40:G40" si="27">D12/D8</f>
        <v>0.11070703303079282</v>
      </c>
      <c r="E40" s="27">
        <f t="shared" si="27"/>
        <v>0.11930475797216818</v>
      </c>
      <c r="F40" s="27">
        <f t="shared" si="27"/>
        <v>0.14244245432241923</v>
      </c>
      <c r="G40" s="27">
        <f t="shared" si="27"/>
        <v>0.14896352549214054</v>
      </c>
      <c r="H40" s="27">
        <f t="shared" ref="H40" si="28">G40</f>
        <v>0.14896352549214054</v>
      </c>
      <c r="I40" s="27">
        <f t="shared" si="26"/>
        <v>0.14896352549214054</v>
      </c>
      <c r="J40" s="27">
        <f t="shared" si="26"/>
        <v>0.14896352549214054</v>
      </c>
      <c r="K40" s="27">
        <f t="shared" si="26"/>
        <v>0.14896352549214054</v>
      </c>
      <c r="L40" s="27">
        <f t="shared" si="26"/>
        <v>0.14896352549214054</v>
      </c>
      <c r="M40" s="27">
        <f t="shared" si="26"/>
        <v>0.14896352549214054</v>
      </c>
      <c r="N40" s="27">
        <f t="shared" si="26"/>
        <v>0.14896352549214054</v>
      </c>
      <c r="O40" s="27">
        <f t="shared" si="26"/>
        <v>0.14896352549214054</v>
      </c>
      <c r="P40" s="27">
        <f t="shared" si="26"/>
        <v>0.14896352549214054</v>
      </c>
      <c r="Q40" s="27">
        <f t="shared" si="26"/>
        <v>0.14896352549214054</v>
      </c>
    </row>
    <row r="41" spans="2:17">
      <c r="B41" t="s">
        <v>76</v>
      </c>
      <c r="C41" s="27">
        <f>C13/C8</f>
        <v>6.7295969656568824E-2</v>
      </c>
      <c r="D41" s="27">
        <f t="shared" ref="D41:G41" si="29">D13/D8</f>
        <v>5.7006092254134028E-2</v>
      </c>
      <c r="E41" s="27">
        <f t="shared" si="29"/>
        <v>6.9283686161993263E-2</v>
      </c>
      <c r="F41" s="27">
        <f t="shared" si="29"/>
        <v>8.2177815219569517E-2</v>
      </c>
      <c r="G41" s="27">
        <f t="shared" si="29"/>
        <v>7.7194081265168718E-2</v>
      </c>
      <c r="H41" s="27">
        <f>G41</f>
        <v>7.7194081265168718E-2</v>
      </c>
      <c r="I41" s="27">
        <f t="shared" ref="I41:Q43" si="30">H41</f>
        <v>7.7194081265168718E-2</v>
      </c>
      <c r="J41" s="27">
        <f t="shared" si="30"/>
        <v>7.7194081265168718E-2</v>
      </c>
      <c r="K41" s="27">
        <f t="shared" si="30"/>
        <v>7.7194081265168718E-2</v>
      </c>
      <c r="L41" s="27">
        <f t="shared" si="30"/>
        <v>7.7194081265168718E-2</v>
      </c>
      <c r="M41" s="27">
        <f t="shared" si="30"/>
        <v>7.7194081265168718E-2</v>
      </c>
      <c r="N41" s="27">
        <f t="shared" si="30"/>
        <v>7.7194081265168718E-2</v>
      </c>
      <c r="O41" s="27">
        <f t="shared" si="30"/>
        <v>7.7194081265168718E-2</v>
      </c>
      <c r="P41" s="27">
        <f t="shared" si="30"/>
        <v>7.7194081265168718E-2</v>
      </c>
      <c r="Q41" s="27">
        <f t="shared" si="30"/>
        <v>7.7194081265168718E-2</v>
      </c>
    </row>
    <row r="42" spans="2:17">
      <c r="B42" t="s">
        <v>78</v>
      </c>
      <c r="C42" s="27">
        <f>C14/C8</f>
        <v>1.8547564896870834E-2</v>
      </c>
      <c r="D42" s="27">
        <f t="shared" ref="D42:G42" si="31">D14/D8</f>
        <v>1.7271747689502258E-2</v>
      </c>
      <c r="E42" s="27">
        <f t="shared" si="31"/>
        <v>1.8779452643767215E-2</v>
      </c>
      <c r="F42" s="27">
        <f t="shared" si="31"/>
        <v>2.3135006410717866E-2</v>
      </c>
      <c r="G42" s="27">
        <f t="shared" si="31"/>
        <v>2.0557251841993092E-2</v>
      </c>
      <c r="H42" s="27">
        <f t="shared" ref="H42" si="32">G42</f>
        <v>2.0557251841993092E-2</v>
      </c>
      <c r="I42" s="27">
        <f t="shared" si="30"/>
        <v>2.0557251841993092E-2</v>
      </c>
      <c r="J42" s="27">
        <f t="shared" si="30"/>
        <v>2.0557251841993092E-2</v>
      </c>
      <c r="K42" s="27">
        <f t="shared" si="30"/>
        <v>2.0557251841993092E-2</v>
      </c>
      <c r="L42" s="27">
        <f t="shared" si="30"/>
        <v>2.0557251841993092E-2</v>
      </c>
      <c r="M42" s="27">
        <f t="shared" si="30"/>
        <v>2.0557251841993092E-2</v>
      </c>
      <c r="N42" s="27">
        <f t="shared" si="30"/>
        <v>2.0557251841993092E-2</v>
      </c>
      <c r="O42" s="27">
        <f t="shared" si="30"/>
        <v>2.0557251841993092E-2</v>
      </c>
      <c r="P42" s="27">
        <f t="shared" si="30"/>
        <v>2.0557251841993092E-2</v>
      </c>
      <c r="Q42" s="27">
        <f t="shared" si="30"/>
        <v>2.0557251841993092E-2</v>
      </c>
    </row>
    <row r="43" spans="2:17">
      <c r="B43" t="str">
        <f>B15</f>
        <v>Other operating expense (income), net</v>
      </c>
      <c r="C43" s="27">
        <f>C15/C8</f>
        <v>7.1652134235461028E-4</v>
      </c>
      <c r="D43" s="27">
        <f t="shared" ref="D43:G43" si="33">D15/D8</f>
        <v>-1.9426830784533136E-4</v>
      </c>
      <c r="E43" s="27">
        <f t="shared" si="33"/>
        <v>1.3196487180251244E-4</v>
      </c>
      <c r="F43" s="27">
        <f t="shared" si="33"/>
        <v>2.4572797154769712E-3</v>
      </c>
      <c r="G43" s="27">
        <f t="shared" si="33"/>
        <v>1.334411997529511E-3</v>
      </c>
      <c r="H43" s="27">
        <f t="shared" ref="H43" si="34">G43</f>
        <v>1.334411997529511E-3</v>
      </c>
      <c r="I43" s="27">
        <f t="shared" si="30"/>
        <v>1.334411997529511E-3</v>
      </c>
      <c r="J43" s="27">
        <f t="shared" si="30"/>
        <v>1.334411997529511E-3</v>
      </c>
      <c r="K43" s="27">
        <f t="shared" si="30"/>
        <v>1.334411997529511E-3</v>
      </c>
      <c r="L43" s="27">
        <f t="shared" si="30"/>
        <v>1.334411997529511E-3</v>
      </c>
      <c r="M43" s="27">
        <f t="shared" si="30"/>
        <v>1.334411997529511E-3</v>
      </c>
      <c r="N43" s="27">
        <f t="shared" si="30"/>
        <v>1.334411997529511E-3</v>
      </c>
      <c r="O43" s="27">
        <f t="shared" si="30"/>
        <v>1.334411997529511E-3</v>
      </c>
      <c r="P43" s="27">
        <f t="shared" si="30"/>
        <v>1.334411997529511E-3</v>
      </c>
      <c r="Q43" s="27">
        <f t="shared" si="30"/>
        <v>1.334411997529511E-3</v>
      </c>
    </row>
    <row r="44" spans="2:17"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2:17">
      <c r="B45" t="s">
        <v>77</v>
      </c>
      <c r="C45" s="27">
        <f>(C11+C12+C15)/C8</f>
        <v>0.27222107356998737</v>
      </c>
      <c r="D45" s="27">
        <f>(D11+D12+D15)/D8</f>
        <v>0.26208607899208419</v>
      </c>
      <c r="E45" s="27">
        <f>(E11+E12+E15)/E8</f>
        <v>0.27930790810136608</v>
      </c>
      <c r="F45" s="27">
        <f>(F11+F12+F15)/F8</f>
        <v>0.30891099511073322</v>
      </c>
      <c r="G45" s="27">
        <f>(G11+G12+G15)/G8</f>
        <v>0.30795514844681054</v>
      </c>
      <c r="H45" s="27">
        <f>G45</f>
        <v>0.30795514844681054</v>
      </c>
      <c r="I45" s="27">
        <f t="shared" ref="I45:Q45" si="35">H45</f>
        <v>0.30795514844681054</v>
      </c>
      <c r="J45" s="27">
        <f t="shared" si="35"/>
        <v>0.30795514844681054</v>
      </c>
      <c r="K45" s="27">
        <f t="shared" si="35"/>
        <v>0.30795514844681054</v>
      </c>
      <c r="L45" s="27">
        <f t="shared" si="35"/>
        <v>0.30795514844681054</v>
      </c>
      <c r="M45" s="27">
        <f t="shared" si="35"/>
        <v>0.30795514844681054</v>
      </c>
      <c r="N45" s="27">
        <f t="shared" si="35"/>
        <v>0.30795514844681054</v>
      </c>
      <c r="O45" s="27">
        <f t="shared" si="35"/>
        <v>0.30795514844681054</v>
      </c>
      <c r="P45" s="27">
        <f t="shared" si="35"/>
        <v>0.30795514844681054</v>
      </c>
      <c r="Q45" s="27">
        <f t="shared" si="35"/>
        <v>0.30795514844681054</v>
      </c>
    </row>
    <row r="46" spans="2:17">
      <c r="B46" t="s">
        <v>65</v>
      </c>
      <c r="C46" s="27">
        <f>(C13+C14)/C8</f>
        <v>8.5843534553439654E-2</v>
      </c>
      <c r="D46" s="27">
        <f>(D13+D14)/D8</f>
        <v>7.4277839943636292E-2</v>
      </c>
      <c r="E46" s="27">
        <f>(E13+E14)/E8</f>
        <v>8.8063138805760485E-2</v>
      </c>
      <c r="F46" s="27">
        <f>(F13+F14)/F8</f>
        <v>0.10531282163028738</v>
      </c>
      <c r="G46" s="27">
        <f>(G13+G14)/G8</f>
        <v>9.7751333107161803E-2</v>
      </c>
      <c r="H46" s="27">
        <v>9.8000000000000004E-2</v>
      </c>
      <c r="I46" s="27">
        <v>9.8000000000000004E-2</v>
      </c>
      <c r="J46" s="27">
        <v>9.8000000000000004E-2</v>
      </c>
      <c r="K46" s="27">
        <v>9.8000000000000004E-2</v>
      </c>
      <c r="L46" s="27">
        <v>9.8000000000000004E-2</v>
      </c>
      <c r="M46" s="27">
        <v>9.8000000000000004E-2</v>
      </c>
      <c r="N46" s="27">
        <v>9.8000000000000004E-2</v>
      </c>
      <c r="O46" s="27">
        <v>9.8000000000000004E-2</v>
      </c>
      <c r="P46" s="27">
        <v>9.8000000000000004E-2</v>
      </c>
      <c r="Q46" s="27">
        <v>9.8000000000000004E-2</v>
      </c>
    </row>
    <row r="47" spans="2:17"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2:17">
      <c r="B48" s="16" t="s">
        <v>486</v>
      </c>
      <c r="C48" s="27">
        <f>C26/C25</f>
        <v>-0.16986262163709215</v>
      </c>
      <c r="D48" s="27">
        <f t="shared" ref="D48:G48" si="36">D26/D25</f>
        <v>-0.1184134337000579</v>
      </c>
      <c r="E48" s="27">
        <f t="shared" si="36"/>
        <v>-0.12557993237398757</v>
      </c>
      <c r="F48" s="27">
        <f t="shared" si="36"/>
        <v>-0.54194743935309975</v>
      </c>
      <c r="G48" s="27">
        <f t="shared" si="36"/>
        <v>-0.18957850733551668</v>
      </c>
      <c r="H48" s="27">
        <f>G48</f>
        <v>-0.18957850733551668</v>
      </c>
      <c r="I48" s="27">
        <f t="shared" ref="I48:Q48" si="37">H48</f>
        <v>-0.18957850733551668</v>
      </c>
      <c r="J48" s="27">
        <f t="shared" si="37"/>
        <v>-0.18957850733551668</v>
      </c>
      <c r="K48" s="27">
        <f t="shared" si="37"/>
        <v>-0.18957850733551668</v>
      </c>
      <c r="L48" s="27">
        <f t="shared" si="37"/>
        <v>-0.18957850733551668</v>
      </c>
      <c r="M48" s="27">
        <f t="shared" si="37"/>
        <v>-0.18957850733551668</v>
      </c>
      <c r="N48" s="27">
        <f t="shared" si="37"/>
        <v>-0.18957850733551668</v>
      </c>
      <c r="O48" s="27">
        <f t="shared" si="37"/>
        <v>-0.18957850733551668</v>
      </c>
      <c r="P48" s="27">
        <f t="shared" si="37"/>
        <v>-0.18957850733551668</v>
      </c>
      <c r="Q48" s="27">
        <f t="shared" si="37"/>
        <v>-0.18957850733551668</v>
      </c>
    </row>
    <row r="49" spans="2:17">
      <c r="B49" s="16" t="s">
        <v>487</v>
      </c>
      <c r="C49" s="27">
        <f>C27/C25</f>
        <v>-1.0017172295363481E-3</v>
      </c>
      <c r="D49" s="27">
        <f t="shared" ref="D49:G49" si="38">D27/D25</f>
        <v>6.6175862354206306E-4</v>
      </c>
      <c r="E49" s="27">
        <f t="shared" si="38"/>
        <v>1.0484653089040917E-4</v>
      </c>
      <c r="F49" s="27">
        <f t="shared" si="38"/>
        <v>5.0539083557951485E-4</v>
      </c>
      <c r="G49" s="27">
        <f t="shared" si="38"/>
        <v>-3.1951433820592699E-4</v>
      </c>
      <c r="H49" s="27">
        <f>G49</f>
        <v>-3.1951433820592699E-4</v>
      </c>
      <c r="I49" s="27">
        <f t="shared" ref="I49:Q49" si="39">H49</f>
        <v>-3.1951433820592699E-4</v>
      </c>
      <c r="J49" s="27">
        <f t="shared" si="39"/>
        <v>-3.1951433820592699E-4</v>
      </c>
      <c r="K49" s="27">
        <f t="shared" si="39"/>
        <v>-3.1951433820592699E-4</v>
      </c>
      <c r="L49" s="27">
        <f t="shared" si="39"/>
        <v>-3.1951433820592699E-4</v>
      </c>
      <c r="M49" s="27">
        <f t="shared" si="39"/>
        <v>-3.1951433820592699E-4</v>
      </c>
      <c r="N49" s="27">
        <f t="shared" si="39"/>
        <v>-3.1951433820592699E-4</v>
      </c>
      <c r="O49" s="27">
        <f t="shared" si="39"/>
        <v>-3.1951433820592699E-4</v>
      </c>
      <c r="P49" s="27">
        <f t="shared" si="39"/>
        <v>-3.1951433820592699E-4</v>
      </c>
      <c r="Q49" s="27">
        <f t="shared" si="39"/>
        <v>-3.1951433820592699E-4</v>
      </c>
    </row>
    <row r="51" spans="2:17">
      <c r="B51" t="s">
        <v>420</v>
      </c>
      <c r="D51" s="67">
        <f>(D19/C19)-1</f>
        <v>1.9386352479135986</v>
      </c>
      <c r="E51" s="67">
        <f t="shared" ref="E51:G51" si="40">(E19/D19)-1</f>
        <v>0.29161794186435008</v>
      </c>
      <c r="F51" s="67">
        <f t="shared" si="40"/>
        <v>-0.10846684881897406</v>
      </c>
      <c r="G51" s="67">
        <f t="shared" si="40"/>
        <v>0.55725010880603509</v>
      </c>
      <c r="H51" s="67">
        <f>G51</f>
        <v>0.55725010880603509</v>
      </c>
      <c r="I51" s="67">
        <f t="shared" ref="I51:Q51" si="41">H51</f>
        <v>0.55725010880603509</v>
      </c>
      <c r="J51" s="67">
        <f t="shared" si="41"/>
        <v>0.55725010880603509</v>
      </c>
      <c r="K51" s="67">
        <f t="shared" si="41"/>
        <v>0.55725010880603509</v>
      </c>
      <c r="L51" s="67">
        <f t="shared" si="41"/>
        <v>0.55725010880603509</v>
      </c>
      <c r="M51" s="67">
        <f t="shared" si="41"/>
        <v>0.55725010880603509</v>
      </c>
      <c r="N51" s="67">
        <f t="shared" si="41"/>
        <v>0.55725010880603509</v>
      </c>
      <c r="O51" s="67">
        <f t="shared" si="41"/>
        <v>0.55725010880603509</v>
      </c>
      <c r="P51" s="67">
        <f t="shared" si="41"/>
        <v>0.55725010880603509</v>
      </c>
      <c r="Q51" s="67">
        <f t="shared" si="41"/>
        <v>0.55725010880603509</v>
      </c>
    </row>
    <row r="53" spans="2:17">
      <c r="G53" s="9"/>
    </row>
    <row r="54" spans="2:17">
      <c r="G5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95B0-80BF-4C0E-B44C-9C655F8D159A}">
  <dimension ref="A1:W76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38" sqref="C38"/>
    </sheetView>
  </sheetViews>
  <sheetFormatPr defaultRowHeight="15"/>
  <cols>
    <col min="1" max="1" width="8.85546875" customWidth="1"/>
    <col min="2" max="2" width="33.85546875" customWidth="1"/>
    <col min="3" max="7" width="13.5703125" customWidth="1"/>
    <col min="8" max="12" width="14.85546875" bestFit="1" customWidth="1"/>
    <col min="13" max="19" width="14.85546875" customWidth="1"/>
    <col min="20" max="20" width="6.140625" customWidth="1"/>
    <col min="21" max="21" width="15.140625" bestFit="1" customWidth="1"/>
    <col min="22" max="22" width="2.140625" bestFit="1" customWidth="1"/>
    <col min="23" max="23" width="14.42578125" bestFit="1" customWidth="1"/>
    <col min="24" max="79" width="2.140625" bestFit="1" customWidth="1"/>
    <col min="80" max="80" width="2.140625" customWidth="1"/>
    <col min="81" max="16239" width="2.140625" bestFit="1" customWidth="1"/>
  </cols>
  <sheetData>
    <row r="1" spans="1:23" ht="15.75" thickBot="1"/>
    <row r="2" spans="1:23" ht="22.5" thickTop="1" thickBo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23" ht="15.75" thickTop="1">
      <c r="A3" s="4" t="s">
        <v>108</v>
      </c>
    </row>
    <row r="4" spans="1:23" ht="15.75" thickBot="1">
      <c r="H4" s="134">
        <f ca="1">H38</f>
        <v>0</v>
      </c>
      <c r="I4" s="134">
        <f t="shared" ref="I4:Q4" ca="1" si="0">I38</f>
        <v>0</v>
      </c>
      <c r="J4" s="134">
        <f t="shared" ca="1" si="0"/>
        <v>0</v>
      </c>
      <c r="K4" s="134">
        <f t="shared" ca="1" si="0"/>
        <v>0</v>
      </c>
      <c r="L4" s="134">
        <f t="shared" ca="1" si="0"/>
        <v>0</v>
      </c>
      <c r="M4" s="134">
        <f t="shared" ca="1" si="0"/>
        <v>0</v>
      </c>
      <c r="N4" s="134">
        <f t="shared" ca="1" si="0"/>
        <v>0</v>
      </c>
      <c r="O4" s="134">
        <f t="shared" ca="1" si="0"/>
        <v>0</v>
      </c>
      <c r="P4" s="134">
        <f t="shared" ca="1" si="0"/>
        <v>0</v>
      </c>
      <c r="Q4" s="134">
        <f t="shared" ca="1" si="0"/>
        <v>0</v>
      </c>
      <c r="R4" s="134"/>
      <c r="S4" s="134"/>
    </row>
    <row r="5" spans="1:23" ht="16.5" thickTop="1" thickBot="1">
      <c r="B5" s="10"/>
      <c r="C5" s="7">
        <v>2019</v>
      </c>
      <c r="D5" s="7">
        <v>2020</v>
      </c>
      <c r="E5" s="7">
        <v>2021</v>
      </c>
      <c r="F5" s="7">
        <v>2022</v>
      </c>
      <c r="G5" s="7">
        <v>2023</v>
      </c>
      <c r="H5" s="8">
        <v>2024</v>
      </c>
      <c r="I5" s="8">
        <f>H5+1</f>
        <v>2025</v>
      </c>
      <c r="J5" s="8">
        <f t="shared" ref="J5:Q5" si="1">I5+1</f>
        <v>2026</v>
      </c>
      <c r="K5" s="8">
        <f t="shared" si="1"/>
        <v>2027</v>
      </c>
      <c r="L5" s="8">
        <f t="shared" si="1"/>
        <v>2028</v>
      </c>
      <c r="M5" s="8">
        <f t="shared" si="1"/>
        <v>2029</v>
      </c>
      <c r="N5" s="8">
        <f t="shared" si="1"/>
        <v>2030</v>
      </c>
      <c r="O5" s="8">
        <f t="shared" si="1"/>
        <v>2031</v>
      </c>
      <c r="P5" s="8">
        <f t="shared" si="1"/>
        <v>2032</v>
      </c>
      <c r="Q5" s="8">
        <f t="shared" si="1"/>
        <v>2033</v>
      </c>
      <c r="R5" s="343"/>
      <c r="S5" s="343"/>
      <c r="U5" t="s">
        <v>191</v>
      </c>
      <c r="W5" t="s">
        <v>192</v>
      </c>
    </row>
    <row r="6" spans="1:23" ht="15.75" thickTop="1">
      <c r="B6" s="18" t="s">
        <v>10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333"/>
      <c r="S6" s="333"/>
    </row>
    <row r="7" spans="1:23">
      <c r="B7" s="19" t="s">
        <v>11</v>
      </c>
      <c r="C7" s="11"/>
      <c r="D7" s="11"/>
      <c r="E7" s="11"/>
      <c r="F7" s="11"/>
      <c r="G7" s="11"/>
    </row>
    <row r="8" spans="1:23">
      <c r="B8" s="16" t="s">
        <v>12</v>
      </c>
      <c r="C8" s="12">
        <v>36092</v>
      </c>
      <c r="D8" s="12">
        <v>42122</v>
      </c>
      <c r="E8" s="12">
        <v>36220</v>
      </c>
      <c r="F8" s="12">
        <v>53888</v>
      </c>
      <c r="G8" s="12">
        <v>73387</v>
      </c>
      <c r="H8" s="29">
        <f ca="1">CF!H44</f>
        <v>107481.32872395161</v>
      </c>
      <c r="I8" s="29">
        <f ca="1">CF!I44</f>
        <v>144876.68053830648</v>
      </c>
      <c r="J8" s="29">
        <f ca="1">CF!J44</f>
        <v>186493.9076511811</v>
      </c>
      <c r="K8" s="29">
        <f ca="1">CF!K44</f>
        <v>232071.47604474891</v>
      </c>
      <c r="L8" s="29">
        <f ca="1">CF!L44</f>
        <v>281907.08430507081</v>
      </c>
      <c r="M8" s="29">
        <f ca="1">CF!M44</f>
        <v>336557.74922995811</v>
      </c>
      <c r="N8" s="29">
        <f ca="1">CF!N44</f>
        <v>396626.10413371143</v>
      </c>
      <c r="O8" s="29">
        <f ca="1">CF!O44</f>
        <v>462768.48590949801</v>
      </c>
      <c r="P8" s="29">
        <f ca="1">CF!P44</f>
        <v>535703.27494418318</v>
      </c>
      <c r="Q8" s="29">
        <f ca="1">CF!Q44</f>
        <v>616219.65738727362</v>
      </c>
      <c r="R8" s="29"/>
      <c r="S8" s="29"/>
      <c r="U8" s="9">
        <f ca="1">H8-G8</f>
        <v>34094.328723951607</v>
      </c>
      <c r="V8" s="9"/>
      <c r="W8" s="9">
        <f ca="1">U8*2</f>
        <v>68188.657447903213</v>
      </c>
    </row>
    <row r="9" spans="1:23">
      <c r="B9" s="16" t="s">
        <v>13</v>
      </c>
      <c r="C9" s="12">
        <v>18929</v>
      </c>
      <c r="D9" s="12">
        <v>42274</v>
      </c>
      <c r="E9" s="12">
        <v>59829</v>
      </c>
      <c r="F9" s="12">
        <v>16138</v>
      </c>
      <c r="G9" s="12">
        <v>13393</v>
      </c>
      <c r="H9" s="130">
        <f>G9</f>
        <v>13393</v>
      </c>
      <c r="I9" s="130">
        <f t="shared" ref="I9:Q9" si="2">H9</f>
        <v>13393</v>
      </c>
      <c r="J9" s="130">
        <f t="shared" si="2"/>
        <v>13393</v>
      </c>
      <c r="K9" s="130">
        <f t="shared" si="2"/>
        <v>13393</v>
      </c>
      <c r="L9" s="130">
        <f t="shared" si="2"/>
        <v>13393</v>
      </c>
      <c r="M9" s="130">
        <f t="shared" si="2"/>
        <v>13393</v>
      </c>
      <c r="N9" s="130">
        <f t="shared" si="2"/>
        <v>13393</v>
      </c>
      <c r="O9" s="130">
        <f t="shared" si="2"/>
        <v>13393</v>
      </c>
      <c r="P9" s="130">
        <f t="shared" si="2"/>
        <v>13393</v>
      </c>
      <c r="Q9" s="130">
        <f t="shared" si="2"/>
        <v>13393</v>
      </c>
      <c r="R9" s="130"/>
      <c r="S9" s="130"/>
      <c r="U9" s="9">
        <f t="shared" ref="U9:U72" si="3">H9-G9</f>
        <v>0</v>
      </c>
      <c r="V9" s="9"/>
      <c r="W9" s="9">
        <f t="shared" ref="W9:W72" si="4">U9*2</f>
        <v>0</v>
      </c>
    </row>
    <row r="10" spans="1:23">
      <c r="B10" s="16" t="s">
        <v>3</v>
      </c>
      <c r="C10" s="12">
        <v>20497</v>
      </c>
      <c r="D10" s="12">
        <v>23795</v>
      </c>
      <c r="E10" s="12">
        <v>32640</v>
      </c>
      <c r="F10" s="12">
        <v>34405</v>
      </c>
      <c r="G10" s="12">
        <v>33318</v>
      </c>
      <c r="H10" s="9">
        <f>H58*H55</f>
        <v>36970.486036998875</v>
      </c>
      <c r="I10" s="9">
        <f t="shared" ref="I10:Q10" si="5">I58*I55</f>
        <v>41037.239501068761</v>
      </c>
      <c r="J10" s="9">
        <f t="shared" si="5"/>
        <v>45551.335846186332</v>
      </c>
      <c r="K10" s="9">
        <f t="shared" si="5"/>
        <v>50561.982789266833</v>
      </c>
      <c r="L10" s="9">
        <f t="shared" si="5"/>
        <v>56123.800896086192</v>
      </c>
      <c r="M10" s="9">
        <f t="shared" si="5"/>
        <v>62297.418994655687</v>
      </c>
      <c r="N10" s="9">
        <f t="shared" si="5"/>
        <v>69150.135084067806</v>
      </c>
      <c r="O10" s="9">
        <f t="shared" si="5"/>
        <v>76756.649943315264</v>
      </c>
      <c r="P10" s="9">
        <f t="shared" si="5"/>
        <v>85199.881437079952</v>
      </c>
      <c r="Q10" s="9">
        <f t="shared" si="5"/>
        <v>94571.868395158759</v>
      </c>
      <c r="R10" s="9"/>
      <c r="S10" s="9"/>
      <c r="U10" s="9">
        <f t="shared" si="3"/>
        <v>3652.4860369988746</v>
      </c>
      <c r="V10" s="9"/>
      <c r="W10" s="9">
        <f t="shared" si="4"/>
        <v>7304.9720739977492</v>
      </c>
    </row>
    <row r="11" spans="1:23">
      <c r="B11" s="16" t="s">
        <v>4</v>
      </c>
      <c r="C11" s="12">
        <v>20816</v>
      </c>
      <c r="D11" s="12">
        <v>24542</v>
      </c>
      <c r="E11" s="12">
        <v>32891</v>
      </c>
      <c r="F11" s="12">
        <v>42360</v>
      </c>
      <c r="G11" s="12">
        <v>52253</v>
      </c>
      <c r="H11" s="9">
        <f>H59*H54</f>
        <v>58000.830000000009</v>
      </c>
      <c r="I11" s="9">
        <f t="shared" ref="I11:Q11" si="6">I59*I54</f>
        <v>64380.921300000016</v>
      </c>
      <c r="J11" s="9">
        <f t="shared" si="6"/>
        <v>71462.822643000021</v>
      </c>
      <c r="K11" s="9">
        <f t="shared" si="6"/>
        <v>79323.733133730027</v>
      </c>
      <c r="L11" s="9">
        <f t="shared" si="6"/>
        <v>88049.34377844035</v>
      </c>
      <c r="M11" s="9">
        <f t="shared" si="6"/>
        <v>97734.771594068792</v>
      </c>
      <c r="N11" s="9">
        <f t="shared" si="6"/>
        <v>108485.59646941637</v>
      </c>
      <c r="O11" s="9">
        <f t="shared" si="6"/>
        <v>120419.01208105218</v>
      </c>
      <c r="P11" s="9">
        <f t="shared" si="6"/>
        <v>133665.10340996794</v>
      </c>
      <c r="Q11" s="9">
        <f t="shared" si="6"/>
        <v>148368.26478506441</v>
      </c>
      <c r="R11" s="9"/>
      <c r="S11" s="9"/>
      <c r="U11" s="9">
        <f t="shared" si="3"/>
        <v>5747.830000000009</v>
      </c>
      <c r="V11" s="9"/>
      <c r="W11" s="9">
        <f t="shared" si="4"/>
        <v>11495.660000000018</v>
      </c>
    </row>
    <row r="12" spans="1:23">
      <c r="B12" s="18" t="s">
        <v>14</v>
      </c>
      <c r="C12" s="20">
        <f>SUM(C8:C11)</f>
        <v>96334</v>
      </c>
      <c r="D12" s="20">
        <f t="shared" ref="D12:G12" si="7">SUM(D8:D11)</f>
        <v>132733</v>
      </c>
      <c r="E12" s="20">
        <f t="shared" si="7"/>
        <v>161580</v>
      </c>
      <c r="F12" s="20">
        <f t="shared" si="7"/>
        <v>146791</v>
      </c>
      <c r="G12" s="20">
        <f t="shared" si="7"/>
        <v>172351</v>
      </c>
      <c r="H12" s="20">
        <f ca="1">SUM(H8:H11)</f>
        <v>215845.6447609505</v>
      </c>
      <c r="I12" s="20">
        <f t="shared" ref="I12:Q12" ca="1" si="8">SUM(I8:I11)</f>
        <v>263687.84133937524</v>
      </c>
      <c r="J12" s="20">
        <f t="shared" ca="1" si="8"/>
        <v>316901.06614036742</v>
      </c>
      <c r="K12" s="20">
        <f t="shared" ca="1" si="8"/>
        <v>375350.19196774578</v>
      </c>
      <c r="L12" s="20">
        <f t="shared" ca="1" si="8"/>
        <v>439473.22897959733</v>
      </c>
      <c r="M12" s="20">
        <f t="shared" ca="1" si="8"/>
        <v>509982.93981868256</v>
      </c>
      <c r="N12" s="20">
        <f t="shared" ca="1" si="8"/>
        <v>587654.83568719565</v>
      </c>
      <c r="O12" s="20">
        <f t="shared" ca="1" si="8"/>
        <v>673337.14793386543</v>
      </c>
      <c r="P12" s="20">
        <f t="shared" ca="1" si="8"/>
        <v>767961.25979123113</v>
      </c>
      <c r="Q12" s="20">
        <f t="shared" ca="1" si="8"/>
        <v>872552.79056749679</v>
      </c>
      <c r="R12" s="192"/>
      <c r="S12" s="192"/>
      <c r="U12" s="9">
        <f t="shared" ca="1" si="3"/>
        <v>43494.644760950498</v>
      </c>
      <c r="V12" s="9"/>
      <c r="W12" s="9">
        <f t="shared" ca="1" si="4"/>
        <v>86989.289521900995</v>
      </c>
    </row>
    <row r="13" spans="1:23">
      <c r="B13" s="16" t="s">
        <v>15</v>
      </c>
      <c r="C13" s="12">
        <v>72705</v>
      </c>
      <c r="D13" s="12">
        <v>113114</v>
      </c>
      <c r="E13" s="12">
        <v>160281</v>
      </c>
      <c r="F13" s="12">
        <v>186715</v>
      </c>
      <c r="G13" s="12">
        <v>204177</v>
      </c>
      <c r="H13" s="29">
        <f>'PP&amp;E'!H13</f>
        <v>224681.81916744771</v>
      </c>
      <c r="I13" s="29">
        <f>'PP&amp;E'!I13</f>
        <v>248308.32116346617</v>
      </c>
      <c r="J13" s="29">
        <f>'PP&amp;E'!J13</f>
        <v>275259.79623725032</v>
      </c>
      <c r="K13" s="29">
        <f>'PP&amp;E'!K13</f>
        <v>305784.55604552786</v>
      </c>
      <c r="L13" s="29">
        <f>'PP&amp;E'!L13</f>
        <v>340177.22097619215</v>
      </c>
      <c r="M13" s="29">
        <f>'PP&amp;E'!M13</f>
        <v>378780.74187373312</v>
      </c>
      <c r="N13" s="29">
        <f>'PP&amp;E'!N13</f>
        <v>421989.14106953319</v>
      </c>
      <c r="O13" s="29">
        <f>'PP&amp;E'!O13</f>
        <v>470250.97146761592</v>
      </c>
      <c r="P13" s="29">
        <f>'PP&amp;E'!P13</f>
        <v>524073.50529882649</v>
      </c>
      <c r="Q13" s="29">
        <f>'PP&amp;E'!Q13</f>
        <v>584027.67633103998</v>
      </c>
      <c r="R13" s="29"/>
      <c r="S13" s="29"/>
      <c r="U13" s="9">
        <f t="shared" si="3"/>
        <v>20504.819167447713</v>
      </c>
      <c r="V13" s="9"/>
      <c r="W13" s="9">
        <f t="shared" si="4"/>
        <v>41009.638334895426</v>
      </c>
    </row>
    <row r="14" spans="1:23">
      <c r="B14" s="16" t="s">
        <v>16</v>
      </c>
      <c r="C14" s="12">
        <v>25141</v>
      </c>
      <c r="D14" s="12">
        <v>37553</v>
      </c>
      <c r="E14" s="12">
        <v>56082</v>
      </c>
      <c r="F14" s="12">
        <v>66123</v>
      </c>
      <c r="G14" s="12">
        <v>72513</v>
      </c>
      <c r="H14" s="9">
        <f>'PP&amp;E'!H37</f>
        <v>79847.951116101816</v>
      </c>
      <c r="I14" s="9">
        <f>'PP&amp;E'!I37</f>
        <v>88165.485856257525</v>
      </c>
      <c r="J14" s="9">
        <f>'PP&amp;E'!J37</f>
        <v>97525.543114026543</v>
      </c>
      <c r="K14" s="9">
        <f>'PP&amp;E'!K37</f>
        <v>108007.84490748035</v>
      </c>
      <c r="L14" s="9">
        <f>'PP&amp;E'!L37</f>
        <v>119710.45904401434</v>
      </c>
      <c r="M14" s="9">
        <f>'PP&amp;E'!M37</f>
        <v>132749.19362384465</v>
      </c>
      <c r="N14" s="9">
        <f>'PP&amp;E'!N37</f>
        <v>147257.64367981581</v>
      </c>
      <c r="O14" s="9">
        <f>'PP&amp;E'!O37</f>
        <v>163387.76478286961</v>
      </c>
      <c r="P14" s="9">
        <f>'PP&amp;E'!P37</f>
        <v>181310.88861785422</v>
      </c>
      <c r="Q14" s="9">
        <f>'PP&amp;E'!Q37</f>
        <v>201219.12535048884</v>
      </c>
      <c r="R14" s="9"/>
      <c r="S14" s="9"/>
      <c r="T14" t="s">
        <v>288</v>
      </c>
      <c r="U14" s="9">
        <f t="shared" si="3"/>
        <v>7334.9511161018163</v>
      </c>
      <c r="V14" s="9"/>
      <c r="W14" s="9">
        <f t="shared" si="4"/>
        <v>14669.902232203633</v>
      </c>
    </row>
    <row r="15" spans="1:23">
      <c r="B15" s="16" t="s">
        <v>17</v>
      </c>
      <c r="C15" s="12">
        <v>14754</v>
      </c>
      <c r="D15" s="12">
        <v>15017</v>
      </c>
      <c r="E15" s="12">
        <v>15371</v>
      </c>
      <c r="F15" s="12">
        <v>20288</v>
      </c>
      <c r="G15" s="12">
        <v>22789</v>
      </c>
      <c r="H15" s="9">
        <f>G15</f>
        <v>22789</v>
      </c>
      <c r="I15" s="9">
        <f t="shared" ref="I15:Q15" si="9">H15</f>
        <v>22789</v>
      </c>
      <c r="J15" s="9">
        <f t="shared" si="9"/>
        <v>22789</v>
      </c>
      <c r="K15" s="9">
        <f t="shared" si="9"/>
        <v>22789</v>
      </c>
      <c r="L15" s="9">
        <f t="shared" si="9"/>
        <v>22789</v>
      </c>
      <c r="M15" s="9">
        <f t="shared" si="9"/>
        <v>22789</v>
      </c>
      <c r="N15" s="9">
        <f t="shared" si="9"/>
        <v>22789</v>
      </c>
      <c r="O15" s="9">
        <f t="shared" si="9"/>
        <v>22789</v>
      </c>
      <c r="P15" s="9">
        <f t="shared" si="9"/>
        <v>22789</v>
      </c>
      <c r="Q15" s="9">
        <f t="shared" si="9"/>
        <v>22789</v>
      </c>
      <c r="R15" s="9"/>
      <c r="S15" s="9"/>
      <c r="U15" s="9">
        <f t="shared" si="3"/>
        <v>0</v>
      </c>
      <c r="V15" s="9"/>
      <c r="W15" s="9">
        <f t="shared" si="4"/>
        <v>0</v>
      </c>
    </row>
    <row r="16" spans="1:23">
      <c r="B16" s="16" t="s">
        <v>5</v>
      </c>
      <c r="C16" s="11">
        <v>16314</v>
      </c>
      <c r="D16" s="12">
        <v>22778</v>
      </c>
      <c r="E16" s="12">
        <v>27235</v>
      </c>
      <c r="F16" s="12">
        <v>42758</v>
      </c>
      <c r="G16" s="12">
        <v>56024</v>
      </c>
      <c r="H16" s="9">
        <f>G16</f>
        <v>56024</v>
      </c>
      <c r="I16" s="9">
        <f t="shared" ref="I16:Q16" si="10">H16</f>
        <v>56024</v>
      </c>
      <c r="J16" s="9">
        <f t="shared" si="10"/>
        <v>56024</v>
      </c>
      <c r="K16" s="9">
        <f t="shared" si="10"/>
        <v>56024</v>
      </c>
      <c r="L16" s="9">
        <f t="shared" si="10"/>
        <v>56024</v>
      </c>
      <c r="M16" s="9">
        <f t="shared" si="10"/>
        <v>56024</v>
      </c>
      <c r="N16" s="9">
        <f t="shared" si="10"/>
        <v>56024</v>
      </c>
      <c r="O16" s="9">
        <f t="shared" si="10"/>
        <v>56024</v>
      </c>
      <c r="P16" s="9">
        <f t="shared" si="10"/>
        <v>56024</v>
      </c>
      <c r="Q16" s="9">
        <f t="shared" si="10"/>
        <v>56024</v>
      </c>
      <c r="R16" s="9"/>
      <c r="S16" s="9"/>
      <c r="U16" s="9">
        <f t="shared" si="3"/>
        <v>0</v>
      </c>
      <c r="V16" s="9"/>
      <c r="W16" s="9">
        <f t="shared" si="4"/>
        <v>0</v>
      </c>
    </row>
    <row r="17" spans="1:23">
      <c r="B17" s="21" t="s">
        <v>18</v>
      </c>
      <c r="C17" s="20">
        <f t="shared" ref="C17:H17" si="11">SUM(C12:C16)</f>
        <v>225248</v>
      </c>
      <c r="D17" s="20">
        <f t="shared" si="11"/>
        <v>321195</v>
      </c>
      <c r="E17" s="20">
        <f t="shared" si="11"/>
        <v>420549</v>
      </c>
      <c r="F17" s="20">
        <f t="shared" si="11"/>
        <v>462675</v>
      </c>
      <c r="G17" s="20">
        <f t="shared" si="11"/>
        <v>527854</v>
      </c>
      <c r="H17" s="20">
        <f t="shared" ca="1" si="11"/>
        <v>599188.41504450003</v>
      </c>
      <c r="I17" s="20">
        <f t="shared" ref="I17:Q17" ca="1" si="12">SUM(I12:I16)</f>
        <v>678974.64835909894</v>
      </c>
      <c r="J17" s="20">
        <f t="shared" ca="1" si="12"/>
        <v>768499.40549164428</v>
      </c>
      <c r="K17" s="20">
        <f t="shared" ca="1" si="12"/>
        <v>867955.59292075387</v>
      </c>
      <c r="L17" s="20">
        <f t="shared" ca="1" si="12"/>
        <v>978173.90899980383</v>
      </c>
      <c r="M17" s="20">
        <f t="shared" ca="1" si="12"/>
        <v>1100325.8753162604</v>
      </c>
      <c r="N17" s="20">
        <f t="shared" ca="1" si="12"/>
        <v>1235714.6204365445</v>
      </c>
      <c r="O17" s="20">
        <f t="shared" ca="1" si="12"/>
        <v>1385788.8841843512</v>
      </c>
      <c r="P17" s="20">
        <f t="shared" ca="1" si="12"/>
        <v>1552158.6537079117</v>
      </c>
      <c r="Q17" s="20">
        <f t="shared" ca="1" si="12"/>
        <v>1736612.5922490256</v>
      </c>
      <c r="R17" s="192"/>
      <c r="S17" s="192"/>
      <c r="U17" s="9">
        <f t="shared" ca="1" si="3"/>
        <v>71334.415044500027</v>
      </c>
      <c r="V17" s="9"/>
      <c r="W17" s="9">
        <f t="shared" ca="1" si="4"/>
        <v>142668.83008900005</v>
      </c>
    </row>
    <row r="18" spans="1:23">
      <c r="B18" s="19" t="s">
        <v>19</v>
      </c>
      <c r="C18" s="22"/>
      <c r="D18" s="22"/>
      <c r="E18" s="22"/>
      <c r="F18" s="22"/>
      <c r="G18" s="2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9">
        <f t="shared" si="3"/>
        <v>0</v>
      </c>
      <c r="V18" s="9"/>
      <c r="W18" s="9">
        <f t="shared" si="4"/>
        <v>0</v>
      </c>
    </row>
    <row r="19" spans="1:23">
      <c r="B19" s="19" t="s">
        <v>20</v>
      </c>
      <c r="C19" s="23"/>
      <c r="D19" s="22"/>
      <c r="E19" s="22"/>
      <c r="F19" s="22"/>
      <c r="G19" s="2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9">
        <f t="shared" si="3"/>
        <v>0</v>
      </c>
      <c r="V19" s="9"/>
      <c r="W19" s="9">
        <f t="shared" si="4"/>
        <v>0</v>
      </c>
    </row>
    <row r="20" spans="1:23">
      <c r="B20" s="16" t="s">
        <v>6</v>
      </c>
      <c r="C20" s="12">
        <v>47183</v>
      </c>
      <c r="D20" s="12">
        <v>72539</v>
      </c>
      <c r="E20" s="12">
        <v>78664</v>
      </c>
      <c r="F20" s="12">
        <v>79600</v>
      </c>
      <c r="G20" s="12">
        <v>84981</v>
      </c>
      <c r="H20" s="9">
        <f>H64*H55</f>
        <v>94297.042857020278</v>
      </c>
      <c r="I20" s="9">
        <f t="shared" ref="I20:Q20" si="13">I64*I55</f>
        <v>104669.71757129252</v>
      </c>
      <c r="J20" s="9">
        <f t="shared" si="13"/>
        <v>116183.38650413473</v>
      </c>
      <c r="K20" s="9">
        <f t="shared" si="13"/>
        <v>128963.55901958956</v>
      </c>
      <c r="L20" s="9">
        <f t="shared" si="13"/>
        <v>143149.55051174443</v>
      </c>
      <c r="M20" s="9">
        <f t="shared" si="13"/>
        <v>158896.00106803633</v>
      </c>
      <c r="N20" s="9">
        <f t="shared" si="13"/>
        <v>176374.56118552032</v>
      </c>
      <c r="O20" s="9">
        <f t="shared" si="13"/>
        <v>195775.76291592757</v>
      </c>
      <c r="P20" s="9">
        <f t="shared" si="13"/>
        <v>217311.09683667964</v>
      </c>
      <c r="Q20" s="9">
        <f t="shared" si="13"/>
        <v>241215.31748871441</v>
      </c>
      <c r="R20" s="9"/>
      <c r="S20" s="9"/>
      <c r="U20" s="9">
        <f t="shared" si="3"/>
        <v>9316.0428570202785</v>
      </c>
      <c r="V20" s="9"/>
      <c r="W20" s="9">
        <f t="shared" si="4"/>
        <v>18632.085714040557</v>
      </c>
    </row>
    <row r="21" spans="1:23">
      <c r="B21" s="16" t="s">
        <v>7</v>
      </c>
      <c r="C21" s="12">
        <v>32439</v>
      </c>
      <c r="D21" s="12">
        <v>44138</v>
      </c>
      <c r="E21" s="12">
        <v>51775</v>
      </c>
      <c r="F21" s="12">
        <v>62566</v>
      </c>
      <c r="G21" s="12">
        <v>64709</v>
      </c>
      <c r="H21" s="9">
        <f>H54*H65</f>
        <v>71826.990000000005</v>
      </c>
      <c r="I21" s="9">
        <f t="shared" ref="I21:Q21" si="14">I54*I65</f>
        <v>79727.958900000027</v>
      </c>
      <c r="J21" s="9">
        <f t="shared" si="14"/>
        <v>88498.034379000033</v>
      </c>
      <c r="K21" s="9">
        <f t="shared" si="14"/>
        <v>98232.818160690047</v>
      </c>
      <c r="L21" s="9">
        <f t="shared" si="14"/>
        <v>109038.42815836596</v>
      </c>
      <c r="M21" s="9">
        <f t="shared" si="14"/>
        <v>121032.65525578623</v>
      </c>
      <c r="N21" s="9">
        <f t="shared" si="14"/>
        <v>134346.24733392271</v>
      </c>
      <c r="O21" s="9">
        <f t="shared" si="14"/>
        <v>149124.33454065424</v>
      </c>
      <c r="P21" s="9">
        <f t="shared" si="14"/>
        <v>165528.01134012622</v>
      </c>
      <c r="Q21" s="9">
        <f t="shared" si="14"/>
        <v>183736.0925875401</v>
      </c>
      <c r="R21" s="9"/>
      <c r="S21" s="9"/>
      <c r="U21" s="9">
        <f t="shared" si="3"/>
        <v>7117.9900000000052</v>
      </c>
      <c r="V21" s="9"/>
      <c r="W21" s="9">
        <f t="shared" si="4"/>
        <v>14235.98000000001</v>
      </c>
    </row>
    <row r="22" spans="1:23">
      <c r="B22" s="16" t="s">
        <v>8</v>
      </c>
      <c r="C22" s="12">
        <v>8190</v>
      </c>
      <c r="D22" s="12">
        <v>9708</v>
      </c>
      <c r="E22" s="12">
        <v>11827</v>
      </c>
      <c r="F22" s="12">
        <v>13227</v>
      </c>
      <c r="G22" s="12">
        <v>15227</v>
      </c>
      <c r="H22" s="9">
        <f>H66*H54</f>
        <v>16901.970000000005</v>
      </c>
      <c r="I22" s="9">
        <f t="shared" ref="I22:Q22" si="15">I66*I54</f>
        <v>18761.186700000006</v>
      </c>
      <c r="J22" s="9">
        <f t="shared" si="15"/>
        <v>20824.917237000009</v>
      </c>
      <c r="K22" s="9">
        <f t="shared" si="15"/>
        <v>23115.65813307001</v>
      </c>
      <c r="L22" s="9">
        <f t="shared" si="15"/>
        <v>25658.380527707715</v>
      </c>
      <c r="M22" s="9">
        <f t="shared" si="15"/>
        <v>28480.802385755567</v>
      </c>
      <c r="N22" s="9">
        <f t="shared" si="15"/>
        <v>31613.69064818868</v>
      </c>
      <c r="O22" s="9">
        <f t="shared" si="15"/>
        <v>35091.196619489441</v>
      </c>
      <c r="P22" s="9">
        <f t="shared" si="15"/>
        <v>38951.228247633277</v>
      </c>
      <c r="Q22" s="9">
        <f t="shared" si="15"/>
        <v>43235.863354872941</v>
      </c>
      <c r="R22" s="9"/>
      <c r="S22" s="9"/>
      <c r="U22" s="9">
        <f t="shared" si="3"/>
        <v>1674.9700000000048</v>
      </c>
      <c r="V22" s="9"/>
      <c r="W22" s="9">
        <f t="shared" si="4"/>
        <v>3349.9400000000096</v>
      </c>
    </row>
    <row r="23" spans="1:23">
      <c r="B23" s="30" t="s">
        <v>21</v>
      </c>
      <c r="C23" s="20">
        <f>SUM(C20:C22)</f>
        <v>87812</v>
      </c>
      <c r="D23" s="20">
        <f t="shared" ref="D23:G23" si="16">SUM(D20:D22)</f>
        <v>126385</v>
      </c>
      <c r="E23" s="20">
        <f t="shared" si="16"/>
        <v>142266</v>
      </c>
      <c r="F23" s="20">
        <f t="shared" si="16"/>
        <v>155393</v>
      </c>
      <c r="G23" s="20">
        <f t="shared" si="16"/>
        <v>164917</v>
      </c>
      <c r="H23" s="20">
        <f>SUM(H20:H22)</f>
        <v>183026.00285702027</v>
      </c>
      <c r="I23" s="20">
        <f t="shared" ref="I23:Q23" si="17">SUM(I20:I22)</f>
        <v>203158.86317129259</v>
      </c>
      <c r="J23" s="20">
        <f t="shared" si="17"/>
        <v>225506.33812013478</v>
      </c>
      <c r="K23" s="20">
        <f t="shared" si="17"/>
        <v>250312.03531334962</v>
      </c>
      <c r="L23" s="20">
        <f t="shared" si="17"/>
        <v>277846.35919781809</v>
      </c>
      <c r="M23" s="20">
        <f t="shared" si="17"/>
        <v>308409.45870957815</v>
      </c>
      <c r="N23" s="20">
        <f t="shared" si="17"/>
        <v>342334.49916763173</v>
      </c>
      <c r="O23" s="20">
        <f t="shared" si="17"/>
        <v>379991.29407607124</v>
      </c>
      <c r="P23" s="20">
        <f t="shared" si="17"/>
        <v>421790.33642443916</v>
      </c>
      <c r="Q23" s="20">
        <f t="shared" si="17"/>
        <v>468187.27343112743</v>
      </c>
      <c r="R23" s="192"/>
      <c r="S23" s="192"/>
      <c r="U23" s="9">
        <f t="shared" si="3"/>
        <v>18109.00285702027</v>
      </c>
      <c r="V23" s="9"/>
      <c r="W23" s="9">
        <f t="shared" si="4"/>
        <v>36218.005714040541</v>
      </c>
    </row>
    <row r="24" spans="1:23">
      <c r="B24" s="16" t="s">
        <v>22</v>
      </c>
      <c r="C24" s="12">
        <v>39791</v>
      </c>
      <c r="D24" s="12">
        <v>52573</v>
      </c>
      <c r="E24" s="12">
        <v>67651</v>
      </c>
      <c r="F24" s="12">
        <v>72968</v>
      </c>
      <c r="G24" s="12">
        <v>77297</v>
      </c>
      <c r="H24" s="9">
        <f>G24*(1+IS!H37)</f>
        <v>85799.670000000013</v>
      </c>
      <c r="I24" s="9">
        <f>H24*(1+IS!I37)</f>
        <v>95237.63370000002</v>
      </c>
      <c r="J24" s="9">
        <f>I24*(1+IS!J37)</f>
        <v>105713.77340700003</v>
      </c>
      <c r="K24" s="9">
        <f>J24*(1+IS!K37)</f>
        <v>117342.28848177004</v>
      </c>
      <c r="L24" s="9">
        <f>K24*(1+IS!L37)</f>
        <v>130249.94021476475</v>
      </c>
      <c r="M24" s="9">
        <f>L24*(1+IS!M37)</f>
        <v>144577.43363838887</v>
      </c>
      <c r="N24" s="9">
        <f>M24*(1+IS!N37)</f>
        <v>160480.95133861166</v>
      </c>
      <c r="O24" s="9">
        <f>N24*(1+IS!O37)</f>
        <v>178133.85598585894</v>
      </c>
      <c r="P24" s="9">
        <f>O24*(1+IS!P37)</f>
        <v>197728.58014430344</v>
      </c>
      <c r="Q24" s="9">
        <f>P24*(1+IS!Q37)</f>
        <v>219478.72396017684</v>
      </c>
      <c r="R24" s="9"/>
      <c r="S24" s="9"/>
      <c r="U24" s="9">
        <f t="shared" si="3"/>
        <v>8502.6700000000128</v>
      </c>
      <c r="V24" s="9"/>
      <c r="W24" s="9">
        <f t="shared" si="4"/>
        <v>17005.340000000026</v>
      </c>
    </row>
    <row r="25" spans="1:23">
      <c r="B25" s="16" t="s">
        <v>23</v>
      </c>
      <c r="C25" s="12">
        <v>23414</v>
      </c>
      <c r="D25" s="12">
        <v>31816</v>
      </c>
      <c r="E25" s="12">
        <v>48744</v>
      </c>
      <c r="F25" s="12">
        <v>67150</v>
      </c>
      <c r="G25" s="12">
        <v>58314</v>
      </c>
      <c r="H25" s="9">
        <f>Debt!H26</f>
        <v>68314</v>
      </c>
      <c r="I25" s="9">
        <f>Debt!I26</f>
        <v>78314</v>
      </c>
      <c r="J25" s="9">
        <f>Debt!J26</f>
        <v>88314</v>
      </c>
      <c r="K25" s="9">
        <f>Debt!K26</f>
        <v>98314</v>
      </c>
      <c r="L25" s="9">
        <f>Debt!L26</f>
        <v>108314</v>
      </c>
      <c r="M25" s="9">
        <f>Debt!M26</f>
        <v>118314</v>
      </c>
      <c r="N25" s="9">
        <f>Debt!N26</f>
        <v>128314</v>
      </c>
      <c r="O25" s="9">
        <f>Debt!O26</f>
        <v>138314</v>
      </c>
      <c r="P25" s="9">
        <f>Debt!P26</f>
        <v>148314</v>
      </c>
      <c r="Q25" s="9">
        <f>Debt!Q26</f>
        <v>158314</v>
      </c>
      <c r="R25" s="9"/>
      <c r="S25" s="9"/>
      <c r="U25" s="9">
        <f t="shared" si="3"/>
        <v>10000</v>
      </c>
      <c r="V25" s="9"/>
      <c r="W25" s="9">
        <f t="shared" si="4"/>
        <v>20000</v>
      </c>
    </row>
    <row r="26" spans="1:23">
      <c r="A26" s="9"/>
      <c r="B26" s="16" t="s">
        <v>24</v>
      </c>
      <c r="C26" s="12">
        <v>12171</v>
      </c>
      <c r="D26" s="12">
        <v>17017</v>
      </c>
      <c r="E26" s="12">
        <v>23643</v>
      </c>
      <c r="F26" s="12">
        <v>21121</v>
      </c>
      <c r="G26" s="12">
        <v>25451</v>
      </c>
      <c r="H26" s="9">
        <f>G26</f>
        <v>25451</v>
      </c>
      <c r="I26" s="9">
        <f t="shared" ref="I26:Q26" si="18">H26</f>
        <v>25451</v>
      </c>
      <c r="J26" s="9">
        <f t="shared" si="18"/>
        <v>25451</v>
      </c>
      <c r="K26" s="9">
        <f t="shared" si="18"/>
        <v>25451</v>
      </c>
      <c r="L26" s="9">
        <f t="shared" si="18"/>
        <v>25451</v>
      </c>
      <c r="M26" s="9">
        <f t="shared" si="18"/>
        <v>25451</v>
      </c>
      <c r="N26" s="9">
        <f t="shared" si="18"/>
        <v>25451</v>
      </c>
      <c r="O26" s="9">
        <f t="shared" si="18"/>
        <v>25451</v>
      </c>
      <c r="P26" s="9">
        <f t="shared" si="18"/>
        <v>25451</v>
      </c>
      <c r="Q26" s="9">
        <f t="shared" si="18"/>
        <v>25451</v>
      </c>
      <c r="R26" s="9"/>
      <c r="S26" s="9"/>
      <c r="U26" s="9">
        <f t="shared" si="3"/>
        <v>0</v>
      </c>
      <c r="V26" s="9"/>
      <c r="W26" s="9">
        <f t="shared" si="4"/>
        <v>0</v>
      </c>
    </row>
    <row r="27" spans="1:23">
      <c r="A27" s="9"/>
      <c r="B27" s="16" t="s">
        <v>25</v>
      </c>
      <c r="C27" s="12"/>
      <c r="D27" s="12"/>
      <c r="E27" s="12"/>
      <c r="F27" s="12"/>
      <c r="G27" s="12"/>
      <c r="U27" s="9">
        <f t="shared" si="3"/>
        <v>0</v>
      </c>
      <c r="V27" s="9"/>
      <c r="W27" s="9">
        <f t="shared" si="4"/>
        <v>0</v>
      </c>
    </row>
    <row r="28" spans="1:23">
      <c r="A28" s="9"/>
      <c r="B28" s="19" t="s">
        <v>26</v>
      </c>
      <c r="C28" s="11"/>
      <c r="D28" s="12"/>
      <c r="E28" s="12"/>
      <c r="F28" s="12"/>
      <c r="G28" s="12"/>
      <c r="U28" s="9">
        <f t="shared" si="3"/>
        <v>0</v>
      </c>
      <c r="V28" s="9"/>
      <c r="W28" s="9">
        <f t="shared" si="4"/>
        <v>0</v>
      </c>
    </row>
    <row r="29" spans="1:23">
      <c r="B29" s="16" t="s">
        <v>27</v>
      </c>
      <c r="C29" s="11" t="s">
        <v>9</v>
      </c>
      <c r="D29" s="11" t="s">
        <v>9</v>
      </c>
      <c r="E29" s="11" t="s">
        <v>9</v>
      </c>
      <c r="F29" s="11" t="s">
        <v>9</v>
      </c>
      <c r="G29" s="11" t="s">
        <v>9</v>
      </c>
      <c r="U29" s="9"/>
      <c r="V29" s="9"/>
      <c r="W29" s="9"/>
    </row>
    <row r="30" spans="1:23">
      <c r="B30" s="16" t="s">
        <v>28</v>
      </c>
      <c r="C30" s="11"/>
      <c r="D30" s="11"/>
      <c r="E30" s="11"/>
      <c r="F30" s="11"/>
      <c r="G30" s="11"/>
      <c r="U30" s="9">
        <f t="shared" si="3"/>
        <v>0</v>
      </c>
      <c r="V30" s="9"/>
      <c r="W30" s="9">
        <f t="shared" si="4"/>
        <v>0</v>
      </c>
    </row>
    <row r="31" spans="1:23">
      <c r="A31" s="9"/>
      <c r="B31" s="16" t="s">
        <v>29</v>
      </c>
      <c r="C31" s="11">
        <v>5</v>
      </c>
      <c r="D31" s="11">
        <v>5</v>
      </c>
      <c r="E31" s="11">
        <v>106</v>
      </c>
      <c r="F31" s="11">
        <v>108</v>
      </c>
      <c r="G31" s="11">
        <v>109</v>
      </c>
      <c r="H31">
        <f>G31</f>
        <v>109</v>
      </c>
      <c r="I31">
        <f t="shared" ref="I31:Q31" si="19">H31</f>
        <v>109</v>
      </c>
      <c r="J31">
        <f t="shared" si="19"/>
        <v>109</v>
      </c>
      <c r="K31">
        <f t="shared" si="19"/>
        <v>109</v>
      </c>
      <c r="L31">
        <f t="shared" si="19"/>
        <v>109</v>
      </c>
      <c r="M31">
        <f t="shared" si="19"/>
        <v>109</v>
      </c>
      <c r="N31">
        <f t="shared" si="19"/>
        <v>109</v>
      </c>
      <c r="O31">
        <f t="shared" si="19"/>
        <v>109</v>
      </c>
      <c r="P31">
        <f t="shared" si="19"/>
        <v>109</v>
      </c>
      <c r="Q31">
        <f t="shared" si="19"/>
        <v>109</v>
      </c>
      <c r="U31" s="9">
        <f t="shared" si="3"/>
        <v>0</v>
      </c>
      <c r="V31" s="9"/>
      <c r="W31" s="9">
        <f t="shared" si="4"/>
        <v>0</v>
      </c>
    </row>
    <row r="32" spans="1:23">
      <c r="A32" s="9"/>
      <c r="B32" s="16" t="s">
        <v>30</v>
      </c>
      <c r="C32" s="12">
        <v>-1837</v>
      </c>
      <c r="D32" s="12">
        <v>-1837</v>
      </c>
      <c r="E32" s="12">
        <v>-1837</v>
      </c>
      <c r="F32" s="12">
        <v>-7837</v>
      </c>
      <c r="G32" s="12">
        <v>-7837</v>
      </c>
      <c r="H32" s="130">
        <f>G32</f>
        <v>-7837</v>
      </c>
      <c r="I32" s="130">
        <f t="shared" ref="I32:Q32" si="20">H32</f>
        <v>-7837</v>
      </c>
      <c r="J32" s="130">
        <f t="shared" si="20"/>
        <v>-7837</v>
      </c>
      <c r="K32" s="130">
        <f t="shared" si="20"/>
        <v>-7837</v>
      </c>
      <c r="L32" s="130">
        <f t="shared" si="20"/>
        <v>-7837</v>
      </c>
      <c r="M32" s="130">
        <f t="shared" si="20"/>
        <v>-7837</v>
      </c>
      <c r="N32" s="130">
        <f t="shared" si="20"/>
        <v>-7837</v>
      </c>
      <c r="O32" s="130">
        <f t="shared" si="20"/>
        <v>-7837</v>
      </c>
      <c r="P32" s="130">
        <f t="shared" si="20"/>
        <v>-7837</v>
      </c>
      <c r="Q32" s="130">
        <f t="shared" si="20"/>
        <v>-7837</v>
      </c>
      <c r="R32" s="130"/>
      <c r="S32" s="130"/>
      <c r="U32" s="9">
        <f t="shared" si="3"/>
        <v>0</v>
      </c>
      <c r="V32" s="9"/>
      <c r="W32" s="9">
        <f t="shared" si="4"/>
        <v>0</v>
      </c>
    </row>
    <row r="33" spans="1:23">
      <c r="A33" s="9"/>
      <c r="B33" s="16" t="s">
        <v>31</v>
      </c>
      <c r="C33" s="12">
        <v>33658</v>
      </c>
      <c r="D33" s="12">
        <v>42865</v>
      </c>
      <c r="E33" s="12">
        <v>55437</v>
      </c>
      <c r="F33" s="12">
        <v>75066</v>
      </c>
      <c r="G33" s="12">
        <v>99025</v>
      </c>
      <c r="H33" s="130">
        <f>G33</f>
        <v>99025</v>
      </c>
      <c r="I33" s="130">
        <f t="shared" ref="I33:Q33" si="21">H33</f>
        <v>99025</v>
      </c>
      <c r="J33" s="130">
        <f t="shared" si="21"/>
        <v>99025</v>
      </c>
      <c r="K33" s="130">
        <f t="shared" si="21"/>
        <v>99025</v>
      </c>
      <c r="L33" s="130">
        <f t="shared" si="21"/>
        <v>99025</v>
      </c>
      <c r="M33" s="130">
        <f t="shared" si="21"/>
        <v>99025</v>
      </c>
      <c r="N33" s="130">
        <f t="shared" si="21"/>
        <v>99025</v>
      </c>
      <c r="O33" s="130">
        <f t="shared" si="21"/>
        <v>99025</v>
      </c>
      <c r="P33" s="130">
        <f t="shared" si="21"/>
        <v>99025</v>
      </c>
      <c r="Q33" s="130">
        <f t="shared" si="21"/>
        <v>99025</v>
      </c>
      <c r="R33" s="130"/>
      <c r="S33" s="130"/>
      <c r="U33" s="9">
        <f t="shared" si="3"/>
        <v>0</v>
      </c>
      <c r="V33" s="9"/>
      <c r="W33" s="9">
        <f t="shared" si="4"/>
        <v>0</v>
      </c>
    </row>
    <row r="34" spans="1:23">
      <c r="B34" s="16" t="s">
        <v>32</v>
      </c>
      <c r="C34" s="11">
        <v>-986</v>
      </c>
      <c r="D34" s="11">
        <v>-180</v>
      </c>
      <c r="E34" s="12">
        <v>-1376</v>
      </c>
      <c r="F34" s="12">
        <v>-4487</v>
      </c>
      <c r="G34" s="12">
        <v>-3040</v>
      </c>
      <c r="H34" s="9">
        <f>G34</f>
        <v>-3040</v>
      </c>
      <c r="I34" s="9">
        <f t="shared" ref="I34:Q34" si="22">H34</f>
        <v>-3040</v>
      </c>
      <c r="J34" s="9">
        <f t="shared" si="22"/>
        <v>-3040</v>
      </c>
      <c r="K34" s="9">
        <f t="shared" si="22"/>
        <v>-3040</v>
      </c>
      <c r="L34" s="9">
        <f t="shared" si="22"/>
        <v>-3040</v>
      </c>
      <c r="M34" s="9">
        <f t="shared" si="22"/>
        <v>-3040</v>
      </c>
      <c r="N34" s="9">
        <f t="shared" si="22"/>
        <v>-3040</v>
      </c>
      <c r="O34" s="9">
        <f t="shared" si="22"/>
        <v>-3040</v>
      </c>
      <c r="P34" s="9">
        <f t="shared" si="22"/>
        <v>-3040</v>
      </c>
      <c r="Q34" s="9">
        <f t="shared" si="22"/>
        <v>-3040</v>
      </c>
      <c r="R34" s="9"/>
      <c r="S34" s="9">
        <f>D35-C35</f>
        <v>21331</v>
      </c>
      <c r="U34" s="9">
        <f t="shared" si="3"/>
        <v>0</v>
      </c>
      <c r="V34" s="9"/>
      <c r="W34" s="9">
        <f t="shared" si="4"/>
        <v>0</v>
      </c>
    </row>
    <row r="35" spans="1:23">
      <c r="B35" s="16" t="s">
        <v>33</v>
      </c>
      <c r="C35" s="12">
        <v>31220</v>
      </c>
      <c r="D35" s="12">
        <v>52551</v>
      </c>
      <c r="E35" s="12">
        <v>85915</v>
      </c>
      <c r="F35" s="12">
        <v>83193</v>
      </c>
      <c r="G35" s="12">
        <v>113618</v>
      </c>
      <c r="H35" s="9">
        <f ca="1">G35+SH!H66</f>
        <v>148340.74218747969</v>
      </c>
      <c r="I35" s="9">
        <f ca="1">H35+SH!I66</f>
        <v>188556.15148780626</v>
      </c>
      <c r="J35" s="9">
        <f ca="1">I35+SH!J66</f>
        <v>235257.29396450944</v>
      </c>
      <c r="K35" s="9">
        <f ca="1">J35+SH!K66</f>
        <v>288279.26912563428</v>
      </c>
      <c r="L35" s="9">
        <f ca="1">K35+SH!L66</f>
        <v>348055.609587221</v>
      </c>
      <c r="M35" s="9">
        <f ca="1">L35+SH!M66</f>
        <v>415316.98296829331</v>
      </c>
      <c r="N35" s="9">
        <f ca="1">M35+SH!N66</f>
        <v>490877.1699303012</v>
      </c>
      <c r="O35" s="9">
        <f ca="1">N35+SH!O66</f>
        <v>575641.73412242066</v>
      </c>
      <c r="P35" s="9">
        <f ca="1">O35+SH!P66</f>
        <v>670617.73713916913</v>
      </c>
      <c r="Q35" s="9">
        <f ca="1">P35+SH!Q66</f>
        <v>776924.59485772136</v>
      </c>
      <c r="R35" s="9"/>
      <c r="S35" s="9"/>
      <c r="U35" s="9">
        <f t="shared" ca="1" si="3"/>
        <v>34722.742187479686</v>
      </c>
      <c r="V35" s="9"/>
      <c r="W35" s="9">
        <f t="shared" ca="1" si="4"/>
        <v>69445.484374959371</v>
      </c>
    </row>
    <row r="36" spans="1:23">
      <c r="B36" s="21" t="s">
        <v>34</v>
      </c>
      <c r="C36" s="20">
        <f>SUM(C31:C35)</f>
        <v>62060</v>
      </c>
      <c r="D36" s="20">
        <f t="shared" ref="D36:G36" si="23">SUM(D31:D35)</f>
        <v>93404</v>
      </c>
      <c r="E36" s="20">
        <f t="shared" si="23"/>
        <v>138245</v>
      </c>
      <c r="F36" s="20">
        <f t="shared" si="23"/>
        <v>146043</v>
      </c>
      <c r="G36" s="20">
        <f t="shared" si="23"/>
        <v>201875</v>
      </c>
      <c r="H36" s="20">
        <f t="shared" ref="H36:Q36" ca="1" si="24">SUM(H31:H35)</f>
        <v>236597.74218747969</v>
      </c>
      <c r="I36" s="20">
        <f t="shared" ca="1" si="24"/>
        <v>276813.15148780623</v>
      </c>
      <c r="J36" s="20">
        <f t="shared" ca="1" si="24"/>
        <v>323514.29396450944</v>
      </c>
      <c r="K36" s="20">
        <f t="shared" ca="1" si="24"/>
        <v>376536.26912563428</v>
      </c>
      <c r="L36" s="20">
        <f t="shared" ca="1" si="24"/>
        <v>436312.609587221</v>
      </c>
      <c r="M36" s="20">
        <f t="shared" ca="1" si="24"/>
        <v>503573.98296829331</v>
      </c>
      <c r="N36" s="20">
        <f t="shared" ca="1" si="24"/>
        <v>579134.16993030114</v>
      </c>
      <c r="O36" s="20">
        <f t="shared" ca="1" si="24"/>
        <v>663898.73412242066</v>
      </c>
      <c r="P36" s="20">
        <f t="shared" ca="1" si="24"/>
        <v>758874.73713916913</v>
      </c>
      <c r="Q36" s="20">
        <f t="shared" ca="1" si="24"/>
        <v>865181.59485772136</v>
      </c>
      <c r="R36" s="192"/>
      <c r="S36" s="192"/>
      <c r="U36" s="9">
        <f t="shared" ca="1" si="3"/>
        <v>34722.742187479686</v>
      </c>
      <c r="V36" s="9"/>
      <c r="W36" s="9">
        <f t="shared" ca="1" si="4"/>
        <v>69445.484374959371</v>
      </c>
    </row>
    <row r="37" spans="1:23">
      <c r="B37" s="21" t="s">
        <v>35</v>
      </c>
      <c r="C37" s="20">
        <f>SUM(C23:C26)+C36</f>
        <v>225248</v>
      </c>
      <c r="D37" s="20">
        <f t="shared" ref="D37:G37" si="25">SUM(D23:D26)+D36</f>
        <v>321195</v>
      </c>
      <c r="E37" s="20">
        <f t="shared" si="25"/>
        <v>420549</v>
      </c>
      <c r="F37" s="20">
        <f t="shared" si="25"/>
        <v>462675</v>
      </c>
      <c r="G37" s="20">
        <f t="shared" si="25"/>
        <v>527854</v>
      </c>
      <c r="H37" s="20">
        <f t="shared" ref="H37:Q37" ca="1" si="26">SUM(H23:H26)+H36</f>
        <v>599188.41504450003</v>
      </c>
      <c r="I37" s="20">
        <f t="shared" ca="1" si="26"/>
        <v>678974.64835909882</v>
      </c>
      <c r="J37" s="20">
        <f t="shared" ca="1" si="26"/>
        <v>768499.40549164428</v>
      </c>
      <c r="K37" s="20">
        <f t="shared" ca="1" si="26"/>
        <v>867955.59292075387</v>
      </c>
      <c r="L37" s="20">
        <f t="shared" ca="1" si="26"/>
        <v>978173.90899980371</v>
      </c>
      <c r="M37" s="20">
        <f t="shared" ca="1" si="26"/>
        <v>1100325.8753162604</v>
      </c>
      <c r="N37" s="20">
        <f t="shared" ca="1" si="26"/>
        <v>1235714.6204365445</v>
      </c>
      <c r="O37" s="20">
        <f t="shared" ca="1" si="26"/>
        <v>1385788.8841843507</v>
      </c>
      <c r="P37" s="20">
        <f t="shared" ca="1" si="26"/>
        <v>1552158.6537079117</v>
      </c>
      <c r="Q37" s="20">
        <f t="shared" ca="1" si="26"/>
        <v>1736612.5922490256</v>
      </c>
      <c r="R37" s="192"/>
      <c r="S37" s="192"/>
      <c r="U37" s="9">
        <f t="shared" ca="1" si="3"/>
        <v>71334.415044500027</v>
      </c>
      <c r="V37" s="9"/>
      <c r="W37" s="9">
        <f t="shared" ca="1" si="4"/>
        <v>142668.83008900005</v>
      </c>
    </row>
    <row r="38" spans="1:23">
      <c r="B38" s="16" t="s">
        <v>61</v>
      </c>
      <c r="C38" s="9">
        <f>C17-C37</f>
        <v>0</v>
      </c>
      <c r="D38" s="9">
        <f t="shared" ref="D38:F38" si="27">D17-D37</f>
        <v>0</v>
      </c>
      <c r="E38" s="9">
        <f t="shared" si="27"/>
        <v>0</v>
      </c>
      <c r="F38" s="9">
        <f t="shared" si="27"/>
        <v>0</v>
      </c>
      <c r="G38" s="9">
        <f>G17-G37</f>
        <v>0</v>
      </c>
      <c r="H38" s="9">
        <f ca="1">H17-H37</f>
        <v>0</v>
      </c>
      <c r="I38" s="9">
        <f t="shared" ref="I38:Q38" ca="1" si="28">I17-I37</f>
        <v>0</v>
      </c>
      <c r="J38" s="9">
        <f t="shared" ca="1" si="28"/>
        <v>0</v>
      </c>
      <c r="K38" s="9">
        <f t="shared" ca="1" si="28"/>
        <v>0</v>
      </c>
      <c r="L38" s="9">
        <f t="shared" ca="1" si="28"/>
        <v>0</v>
      </c>
      <c r="M38" s="9">
        <f t="shared" ca="1" si="28"/>
        <v>0</v>
      </c>
      <c r="N38" s="9">
        <f t="shared" ca="1" si="28"/>
        <v>0</v>
      </c>
      <c r="O38" s="9">
        <f t="shared" ca="1" si="28"/>
        <v>0</v>
      </c>
      <c r="P38" s="9">
        <f t="shared" ca="1" si="28"/>
        <v>0</v>
      </c>
      <c r="Q38" s="9">
        <f t="shared" ca="1" si="28"/>
        <v>0</v>
      </c>
      <c r="R38" s="9"/>
      <c r="S38" s="9"/>
      <c r="U38" s="9">
        <f ca="1">H38-G38</f>
        <v>0</v>
      </c>
      <c r="V38" s="9"/>
      <c r="W38" s="9">
        <f t="shared" ca="1" si="4"/>
        <v>0</v>
      </c>
    </row>
    <row r="39" spans="1:23">
      <c r="G39" s="9"/>
      <c r="U39" s="9">
        <f t="shared" si="3"/>
        <v>0</v>
      </c>
      <c r="V39" s="9"/>
      <c r="W39" s="9">
        <f t="shared" si="4"/>
        <v>0</v>
      </c>
    </row>
    <row r="40" spans="1:23">
      <c r="B40" s="17" t="s">
        <v>60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344"/>
      <c r="S40" s="344"/>
      <c r="U40" s="9">
        <f t="shared" si="3"/>
        <v>0</v>
      </c>
      <c r="V40" s="9"/>
      <c r="W40" s="9">
        <f t="shared" si="4"/>
        <v>0</v>
      </c>
    </row>
    <row r="41" spans="1:23">
      <c r="B41" s="15" t="s">
        <v>66</v>
      </c>
      <c r="C41" s="12"/>
      <c r="D41" s="12"/>
      <c r="E41" s="12"/>
      <c r="F41" s="12"/>
      <c r="G41" s="12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U41" s="9">
        <f t="shared" si="3"/>
        <v>0</v>
      </c>
      <c r="V41" s="9"/>
      <c r="W41" s="9">
        <f t="shared" si="4"/>
        <v>0</v>
      </c>
    </row>
    <row r="42" spans="1:23">
      <c r="B42" s="19" t="s">
        <v>11</v>
      </c>
      <c r="C42" s="12"/>
      <c r="D42" s="12"/>
      <c r="E42" s="12"/>
      <c r="F42" s="12"/>
      <c r="G42" s="12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U42" s="9">
        <f t="shared" si="3"/>
        <v>0</v>
      </c>
      <c r="V42" s="9"/>
      <c r="W42" s="9">
        <f t="shared" si="4"/>
        <v>0</v>
      </c>
    </row>
    <row r="43" spans="1:23">
      <c r="B43" s="16" t="s">
        <v>3</v>
      </c>
      <c r="C43" s="12">
        <v>20497</v>
      </c>
      <c r="D43" s="12">
        <v>23795</v>
      </c>
      <c r="E43" s="12">
        <v>32640</v>
      </c>
      <c r="F43" s="12">
        <v>34405</v>
      </c>
      <c r="G43" s="12">
        <v>33318</v>
      </c>
      <c r="H43" s="9">
        <f>H10</f>
        <v>36970.486036998875</v>
      </c>
      <c r="I43" s="9">
        <f t="shared" ref="I43:Q43" si="29">I10</f>
        <v>41037.239501068761</v>
      </c>
      <c r="J43" s="9">
        <f t="shared" si="29"/>
        <v>45551.335846186332</v>
      </c>
      <c r="K43" s="9">
        <f t="shared" si="29"/>
        <v>50561.982789266833</v>
      </c>
      <c r="L43" s="9">
        <f t="shared" si="29"/>
        <v>56123.800896086192</v>
      </c>
      <c r="M43" s="9">
        <f t="shared" si="29"/>
        <v>62297.418994655687</v>
      </c>
      <c r="N43" s="9">
        <f t="shared" si="29"/>
        <v>69150.135084067806</v>
      </c>
      <c r="O43" s="9">
        <f t="shared" si="29"/>
        <v>76756.649943315264</v>
      </c>
      <c r="P43" s="9">
        <f t="shared" si="29"/>
        <v>85199.881437079952</v>
      </c>
      <c r="Q43" s="9">
        <f t="shared" si="29"/>
        <v>94571.868395158759</v>
      </c>
      <c r="R43" s="9"/>
      <c r="S43" s="9"/>
      <c r="U43" s="9">
        <f t="shared" si="3"/>
        <v>3652.4860369988746</v>
      </c>
      <c r="V43" s="9"/>
      <c r="W43" s="9">
        <f t="shared" si="4"/>
        <v>7304.9720739977492</v>
      </c>
    </row>
    <row r="44" spans="1:23">
      <c r="B44" s="16" t="s">
        <v>4</v>
      </c>
      <c r="C44" s="12">
        <v>20816</v>
      </c>
      <c r="D44" s="12">
        <v>24542</v>
      </c>
      <c r="E44" s="12">
        <v>32891</v>
      </c>
      <c r="F44" s="12">
        <v>42360</v>
      </c>
      <c r="G44" s="12">
        <v>52253</v>
      </c>
      <c r="H44" s="9">
        <f t="shared" ref="H44" si="30">H11</f>
        <v>58000.830000000009</v>
      </c>
      <c r="I44" s="9">
        <f t="shared" ref="I44:Q44" si="31">I11</f>
        <v>64380.921300000016</v>
      </c>
      <c r="J44" s="9">
        <f t="shared" si="31"/>
        <v>71462.822643000021</v>
      </c>
      <c r="K44" s="9">
        <f t="shared" si="31"/>
        <v>79323.733133730027</v>
      </c>
      <c r="L44" s="9">
        <f t="shared" si="31"/>
        <v>88049.34377844035</v>
      </c>
      <c r="M44" s="9">
        <f t="shared" si="31"/>
        <v>97734.771594068792</v>
      </c>
      <c r="N44" s="9">
        <f t="shared" si="31"/>
        <v>108485.59646941637</v>
      </c>
      <c r="O44" s="9">
        <f t="shared" si="31"/>
        <v>120419.01208105218</v>
      </c>
      <c r="P44" s="9">
        <f t="shared" si="31"/>
        <v>133665.10340996794</v>
      </c>
      <c r="Q44" s="9">
        <f t="shared" si="31"/>
        <v>148368.26478506441</v>
      </c>
      <c r="R44" s="9"/>
      <c r="S44" s="9"/>
      <c r="U44" s="9">
        <f t="shared" si="3"/>
        <v>5747.830000000009</v>
      </c>
      <c r="V44" s="9"/>
      <c r="W44" s="9">
        <f t="shared" si="4"/>
        <v>11495.660000000018</v>
      </c>
    </row>
    <row r="45" spans="1:23">
      <c r="B45" s="18" t="s">
        <v>14</v>
      </c>
      <c r="C45" s="20">
        <f>SUM(C41:C44)</f>
        <v>41313</v>
      </c>
      <c r="D45" s="20">
        <f t="shared" ref="D45:H45" si="32">SUM(D41:D44)</f>
        <v>48337</v>
      </c>
      <c r="E45" s="20">
        <f t="shared" si="32"/>
        <v>65531</v>
      </c>
      <c r="F45" s="20">
        <f t="shared" si="32"/>
        <v>76765</v>
      </c>
      <c r="G45" s="20">
        <f t="shared" si="32"/>
        <v>85571</v>
      </c>
      <c r="H45" s="20">
        <f t="shared" si="32"/>
        <v>94971.316036998876</v>
      </c>
      <c r="I45" s="20">
        <f t="shared" ref="I45:Q45" si="33">SUM(I41:I44)</f>
        <v>105418.16080106878</v>
      </c>
      <c r="J45" s="20">
        <f t="shared" si="33"/>
        <v>117014.15848918635</v>
      </c>
      <c r="K45" s="20">
        <f t="shared" si="33"/>
        <v>129885.71592299687</v>
      </c>
      <c r="L45" s="20">
        <f t="shared" si="33"/>
        <v>144173.14467452653</v>
      </c>
      <c r="M45" s="20">
        <f t="shared" si="33"/>
        <v>160032.19058872448</v>
      </c>
      <c r="N45" s="20">
        <f t="shared" si="33"/>
        <v>177635.73155348416</v>
      </c>
      <c r="O45" s="20">
        <f t="shared" si="33"/>
        <v>197175.66202436743</v>
      </c>
      <c r="P45" s="20">
        <f t="shared" si="33"/>
        <v>218864.98484704789</v>
      </c>
      <c r="Q45" s="20">
        <f t="shared" si="33"/>
        <v>242940.13318022317</v>
      </c>
      <c r="R45" s="192"/>
      <c r="S45" s="192"/>
      <c r="U45" s="9">
        <f t="shared" si="3"/>
        <v>9400.3160369988764</v>
      </c>
      <c r="V45" s="9"/>
      <c r="W45" s="9">
        <f t="shared" si="4"/>
        <v>18800.632073997753</v>
      </c>
    </row>
    <row r="46" spans="1:23">
      <c r="B46" s="19" t="s">
        <v>20</v>
      </c>
      <c r="C46" s="23"/>
      <c r="D46" s="22"/>
      <c r="E46" s="22"/>
      <c r="F46" s="22"/>
      <c r="G46" s="22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U46" s="9">
        <f t="shared" si="3"/>
        <v>0</v>
      </c>
      <c r="V46" s="9"/>
      <c r="W46" s="9">
        <f t="shared" si="4"/>
        <v>0</v>
      </c>
    </row>
    <row r="47" spans="1:23">
      <c r="B47" s="16" t="s">
        <v>6</v>
      </c>
      <c r="C47" s="12">
        <v>47183</v>
      </c>
      <c r="D47" s="12">
        <v>72539</v>
      </c>
      <c r="E47" s="12">
        <v>78664</v>
      </c>
      <c r="F47" s="12">
        <v>79600</v>
      </c>
      <c r="G47" s="12">
        <v>84981</v>
      </c>
      <c r="H47" s="191">
        <f>H20</f>
        <v>94297.042857020278</v>
      </c>
      <c r="I47" s="191">
        <f t="shared" ref="I47:Q47" si="34">I20</f>
        <v>104669.71757129252</v>
      </c>
      <c r="J47" s="191">
        <f t="shared" si="34"/>
        <v>116183.38650413473</v>
      </c>
      <c r="K47" s="191">
        <f t="shared" si="34"/>
        <v>128963.55901958956</v>
      </c>
      <c r="L47" s="191">
        <f t="shared" si="34"/>
        <v>143149.55051174443</v>
      </c>
      <c r="M47" s="191">
        <f t="shared" si="34"/>
        <v>158896.00106803633</v>
      </c>
      <c r="N47" s="191">
        <f t="shared" si="34"/>
        <v>176374.56118552032</v>
      </c>
      <c r="O47" s="191">
        <f t="shared" si="34"/>
        <v>195775.76291592757</v>
      </c>
      <c r="P47" s="191">
        <f t="shared" si="34"/>
        <v>217311.09683667964</v>
      </c>
      <c r="Q47" s="191">
        <f t="shared" si="34"/>
        <v>241215.31748871441</v>
      </c>
      <c r="R47" s="191"/>
      <c r="S47" s="191"/>
      <c r="U47" s="9">
        <f t="shared" si="3"/>
        <v>9316.0428570202785</v>
      </c>
      <c r="V47" s="9"/>
      <c r="W47" s="9">
        <f t="shared" si="4"/>
        <v>18632.085714040557</v>
      </c>
    </row>
    <row r="48" spans="1:23">
      <c r="B48" s="16" t="s">
        <v>7</v>
      </c>
      <c r="C48" s="12">
        <v>32439</v>
      </c>
      <c r="D48" s="12">
        <v>44138</v>
      </c>
      <c r="E48" s="12">
        <v>51775</v>
      </c>
      <c r="F48" s="12">
        <v>62566</v>
      </c>
      <c r="G48" s="12">
        <v>64709</v>
      </c>
      <c r="H48" s="9">
        <f t="shared" ref="H48:H49" si="35">H21</f>
        <v>71826.990000000005</v>
      </c>
      <c r="I48" s="9">
        <f t="shared" ref="I48:Q48" si="36">I21</f>
        <v>79727.958900000027</v>
      </c>
      <c r="J48" s="9">
        <f t="shared" si="36"/>
        <v>88498.034379000033</v>
      </c>
      <c r="K48" s="9">
        <f t="shared" si="36"/>
        <v>98232.818160690047</v>
      </c>
      <c r="L48" s="9">
        <f t="shared" si="36"/>
        <v>109038.42815836596</v>
      </c>
      <c r="M48" s="9">
        <f t="shared" si="36"/>
        <v>121032.65525578623</v>
      </c>
      <c r="N48" s="9">
        <f t="shared" si="36"/>
        <v>134346.24733392271</v>
      </c>
      <c r="O48" s="9">
        <f t="shared" si="36"/>
        <v>149124.33454065424</v>
      </c>
      <c r="P48" s="9">
        <f t="shared" si="36"/>
        <v>165528.01134012622</v>
      </c>
      <c r="Q48" s="9">
        <f t="shared" si="36"/>
        <v>183736.0925875401</v>
      </c>
      <c r="R48" s="9"/>
      <c r="S48" s="9"/>
      <c r="U48" s="9">
        <f t="shared" si="3"/>
        <v>7117.9900000000052</v>
      </c>
      <c r="V48" s="9"/>
      <c r="W48" s="9">
        <f t="shared" si="4"/>
        <v>14235.98000000001</v>
      </c>
    </row>
    <row r="49" spans="2:23">
      <c r="B49" s="16" t="s">
        <v>8</v>
      </c>
      <c r="C49" s="12">
        <v>8190</v>
      </c>
      <c r="D49" s="12">
        <v>9708</v>
      </c>
      <c r="E49" s="12">
        <v>11827</v>
      </c>
      <c r="F49" s="12">
        <v>13227</v>
      </c>
      <c r="G49" s="12">
        <v>15227</v>
      </c>
      <c r="H49" s="9">
        <f t="shared" si="35"/>
        <v>16901.970000000005</v>
      </c>
      <c r="I49" s="9">
        <f t="shared" ref="I49:Q49" si="37">I22</f>
        <v>18761.186700000006</v>
      </c>
      <c r="J49" s="9">
        <f t="shared" si="37"/>
        <v>20824.917237000009</v>
      </c>
      <c r="K49" s="9">
        <f t="shared" si="37"/>
        <v>23115.65813307001</v>
      </c>
      <c r="L49" s="9">
        <f t="shared" si="37"/>
        <v>25658.380527707715</v>
      </c>
      <c r="M49" s="9">
        <f t="shared" si="37"/>
        <v>28480.802385755567</v>
      </c>
      <c r="N49" s="9">
        <f t="shared" si="37"/>
        <v>31613.69064818868</v>
      </c>
      <c r="O49" s="9">
        <f t="shared" si="37"/>
        <v>35091.196619489441</v>
      </c>
      <c r="P49" s="9">
        <f t="shared" si="37"/>
        <v>38951.228247633277</v>
      </c>
      <c r="Q49" s="9">
        <f t="shared" si="37"/>
        <v>43235.863354872941</v>
      </c>
      <c r="R49" s="9"/>
      <c r="S49" s="9"/>
      <c r="U49" s="9">
        <f t="shared" si="3"/>
        <v>1674.9700000000048</v>
      </c>
      <c r="V49" s="9"/>
      <c r="W49" s="9">
        <f t="shared" si="4"/>
        <v>3349.9400000000096</v>
      </c>
    </row>
    <row r="50" spans="2:23">
      <c r="B50" s="30" t="s">
        <v>21</v>
      </c>
      <c r="C50" s="20">
        <f>SUM(C47:C49)</f>
        <v>87812</v>
      </c>
      <c r="D50" s="20">
        <f t="shared" ref="D50:H50" si="38">SUM(D47:D49)</f>
        <v>126385</v>
      </c>
      <c r="E50" s="20">
        <f t="shared" si="38"/>
        <v>142266</v>
      </c>
      <c r="F50" s="20">
        <f t="shared" si="38"/>
        <v>155393</v>
      </c>
      <c r="G50" s="20">
        <f t="shared" si="38"/>
        <v>164917</v>
      </c>
      <c r="H50" s="20">
        <f t="shared" si="38"/>
        <v>183026.00285702027</v>
      </c>
      <c r="I50" s="20">
        <f t="shared" ref="I50:Q50" si="39">SUM(I47:I49)</f>
        <v>203158.86317129259</v>
      </c>
      <c r="J50" s="20">
        <f t="shared" si="39"/>
        <v>225506.33812013478</v>
      </c>
      <c r="K50" s="20">
        <f t="shared" si="39"/>
        <v>250312.03531334962</v>
      </c>
      <c r="L50" s="20">
        <f t="shared" si="39"/>
        <v>277846.35919781809</v>
      </c>
      <c r="M50" s="20">
        <f t="shared" si="39"/>
        <v>308409.45870957815</v>
      </c>
      <c r="N50" s="20">
        <f t="shared" si="39"/>
        <v>342334.49916763173</v>
      </c>
      <c r="O50" s="20">
        <f t="shared" si="39"/>
        <v>379991.29407607124</v>
      </c>
      <c r="P50" s="20">
        <f t="shared" si="39"/>
        <v>421790.33642443916</v>
      </c>
      <c r="Q50" s="20">
        <f t="shared" si="39"/>
        <v>468187.27343112743</v>
      </c>
      <c r="R50" s="192"/>
      <c r="S50" s="192"/>
      <c r="U50" s="9">
        <f t="shared" si="3"/>
        <v>18109.00285702027</v>
      </c>
      <c r="V50" s="9"/>
      <c r="W50" s="9">
        <f t="shared" si="4"/>
        <v>36218.005714040541</v>
      </c>
    </row>
    <row r="51" spans="2:23">
      <c r="B51" s="31" t="s">
        <v>404</v>
      </c>
      <c r="C51" s="264">
        <f>SUM(C41:C44)-SUM(C47:C49)</f>
        <v>-46499</v>
      </c>
      <c r="D51" s="264">
        <f>SUM(D41:D44)-SUM(D47:D49)</f>
        <v>-78048</v>
      </c>
      <c r="E51" s="264">
        <f t="shared" ref="E51:G51" si="40">SUM(E41:E44)-SUM(E47:E49)</f>
        <v>-76735</v>
      </c>
      <c r="F51" s="264">
        <f t="shared" si="40"/>
        <v>-78628</v>
      </c>
      <c r="G51" s="264">
        <f t="shared" si="40"/>
        <v>-79346</v>
      </c>
      <c r="H51" s="264">
        <f>SUM(H41:H44)-SUM(H47:H49)</f>
        <v>-88054.686820021394</v>
      </c>
      <c r="I51" s="264">
        <f t="shared" ref="I51:Q51" si="41">SUM(I41:I44)-SUM(I47:I49)</f>
        <v>-97740.702370223808</v>
      </c>
      <c r="J51" s="264">
        <f t="shared" si="41"/>
        <v>-108492.17963094843</v>
      </c>
      <c r="K51" s="264">
        <f t="shared" si="41"/>
        <v>-120426.31939035276</v>
      </c>
      <c r="L51" s="264">
        <f t="shared" si="41"/>
        <v>-133673.21452329156</v>
      </c>
      <c r="M51" s="264">
        <f t="shared" si="41"/>
        <v>-148377.26812085367</v>
      </c>
      <c r="N51" s="264">
        <f t="shared" si="41"/>
        <v>-164698.76761414757</v>
      </c>
      <c r="O51" s="264">
        <f t="shared" si="41"/>
        <v>-182815.63205170381</v>
      </c>
      <c r="P51" s="264">
        <f t="shared" si="41"/>
        <v>-202925.35157739127</v>
      </c>
      <c r="Q51" s="264">
        <f t="shared" si="41"/>
        <v>-225247.14025090425</v>
      </c>
      <c r="R51" s="192"/>
      <c r="S51" s="192"/>
      <c r="U51" s="9"/>
      <c r="V51" s="9"/>
      <c r="W51" s="9"/>
    </row>
    <row r="52" spans="2:23">
      <c r="B52" s="31" t="s">
        <v>220</v>
      </c>
      <c r="C52" s="264"/>
      <c r="D52" s="264">
        <f>-D51+C51</f>
        <v>31549</v>
      </c>
      <c r="E52" s="264">
        <f t="shared" ref="E52:F52" si="42">-E51+D51</f>
        <v>-1313</v>
      </c>
      <c r="F52" s="264">
        <f t="shared" si="42"/>
        <v>1893</v>
      </c>
      <c r="G52" s="264">
        <f>-G51+F51</f>
        <v>718</v>
      </c>
      <c r="H52" s="264">
        <f>-H51+G51</f>
        <v>8708.6868200213939</v>
      </c>
      <c r="I52" s="264">
        <f t="shared" ref="I52:Q52" si="43">-I51+H51</f>
        <v>9686.0155502024136</v>
      </c>
      <c r="J52" s="264">
        <f t="shared" si="43"/>
        <v>10751.477260724627</v>
      </c>
      <c r="K52" s="264">
        <f t="shared" si="43"/>
        <v>11934.139759404323</v>
      </c>
      <c r="L52" s="264">
        <f t="shared" si="43"/>
        <v>13246.895132938807</v>
      </c>
      <c r="M52" s="264">
        <f t="shared" si="43"/>
        <v>14704.053597562102</v>
      </c>
      <c r="N52" s="264">
        <f t="shared" si="43"/>
        <v>16321.499493293901</v>
      </c>
      <c r="O52" s="264">
        <f t="shared" si="43"/>
        <v>18116.864437556244</v>
      </c>
      <c r="P52" s="264">
        <f t="shared" si="43"/>
        <v>20109.719525687455</v>
      </c>
      <c r="Q52" s="264">
        <f t="shared" si="43"/>
        <v>22321.788673512987</v>
      </c>
      <c r="R52" s="192"/>
      <c r="S52" s="192"/>
      <c r="U52" s="9"/>
      <c r="V52" s="9"/>
      <c r="W52" s="9"/>
    </row>
    <row r="53" spans="2:23">
      <c r="B53" s="31"/>
      <c r="U53" s="9">
        <f t="shared" si="3"/>
        <v>0</v>
      </c>
      <c r="V53" s="9"/>
      <c r="W53" s="9">
        <f t="shared" si="4"/>
        <v>0</v>
      </c>
    </row>
    <row r="54" spans="2:23">
      <c r="B54" s="32" t="s">
        <v>73</v>
      </c>
      <c r="C54" s="29">
        <f>IS!C8</f>
        <v>280522</v>
      </c>
      <c r="D54" s="29">
        <f>IS!D8</f>
        <v>386064</v>
      </c>
      <c r="E54" s="29">
        <f>IS!E8</f>
        <v>469822</v>
      </c>
      <c r="F54" s="29">
        <f>IS!F8</f>
        <v>513983</v>
      </c>
      <c r="G54" s="29">
        <f>IS!G8</f>
        <v>574785</v>
      </c>
      <c r="H54" s="29">
        <f>IS!H8</f>
        <v>638011.35000000009</v>
      </c>
      <c r="I54" s="29">
        <f>IS!I8</f>
        <v>708192.5985000002</v>
      </c>
      <c r="J54" s="29">
        <f>IS!J8</f>
        <v>786093.78433500032</v>
      </c>
      <c r="K54" s="29">
        <f>IS!K8</f>
        <v>872564.10061185039</v>
      </c>
      <c r="L54" s="29">
        <f>IS!L8</f>
        <v>968546.15167915402</v>
      </c>
      <c r="M54" s="29">
        <f>IS!M8</f>
        <v>1075086.2283638611</v>
      </c>
      <c r="N54" s="29">
        <f>IS!N8</f>
        <v>1193345.7134838859</v>
      </c>
      <c r="O54" s="29">
        <f>IS!O8</f>
        <v>1324613.7419671135</v>
      </c>
      <c r="P54" s="29">
        <f>IS!P8</f>
        <v>1470321.253583496</v>
      </c>
      <c r="Q54" s="29">
        <f>IS!Q8</f>
        <v>1632056.5914776807</v>
      </c>
      <c r="R54" s="29"/>
      <c r="S54" s="29"/>
      <c r="U54" s="9">
        <f t="shared" si="3"/>
        <v>63226.350000000093</v>
      </c>
      <c r="V54" s="9"/>
      <c r="W54" s="9">
        <f t="shared" si="4"/>
        <v>126452.70000000019</v>
      </c>
    </row>
    <row r="55" spans="2:23">
      <c r="B55" s="32" t="s">
        <v>40</v>
      </c>
      <c r="C55" s="29">
        <f>IS!C10</f>
        <v>165536</v>
      </c>
      <c r="D55" s="29">
        <f>IS!D10</f>
        <v>233307</v>
      </c>
      <c r="E55" s="29">
        <f>IS!E10</f>
        <v>272344</v>
      </c>
      <c r="F55" s="29">
        <f>IS!F10</f>
        <v>288831</v>
      </c>
      <c r="G55" s="29">
        <f>IS!G10</f>
        <v>304739</v>
      </c>
      <c r="H55" s="29">
        <f>IS!H10</f>
        <v>338146.01550000004</v>
      </c>
      <c r="I55" s="29">
        <f>IS!I10</f>
        <v>375342.0772050001</v>
      </c>
      <c r="J55" s="29">
        <f>IS!J10</f>
        <v>416629.70569755021</v>
      </c>
      <c r="K55" s="29">
        <f>IS!K10</f>
        <v>462458.97332428076</v>
      </c>
      <c r="L55" s="29">
        <f>IS!L10</f>
        <v>513329.46038995165</v>
      </c>
      <c r="M55" s="29">
        <f>IS!M10</f>
        <v>569795.70103284647</v>
      </c>
      <c r="N55" s="29">
        <f>IS!N10</f>
        <v>632473.22814645956</v>
      </c>
      <c r="O55" s="29">
        <f>IS!O10</f>
        <v>702045.28324257012</v>
      </c>
      <c r="P55" s="29">
        <f>IS!P10</f>
        <v>779270.26439925295</v>
      </c>
      <c r="Q55" s="29">
        <f>IS!Q10</f>
        <v>864989.99348317087</v>
      </c>
      <c r="R55" s="29"/>
      <c r="S55" s="29"/>
      <c r="U55" s="9">
        <f t="shared" si="3"/>
        <v>33407.015500000038</v>
      </c>
      <c r="V55" s="9"/>
      <c r="W55" s="9">
        <f t="shared" si="4"/>
        <v>66814.031000000075</v>
      </c>
    </row>
    <row r="56" spans="2:23">
      <c r="B56" s="32" t="s">
        <v>189</v>
      </c>
      <c r="C56" s="29"/>
      <c r="D56" s="131">
        <f>D54/C54-1</f>
        <v>0.37623430604373276</v>
      </c>
      <c r="E56" s="131">
        <f t="shared" ref="E56:H56" si="44">E54/D54-1</f>
        <v>0.21695366571345676</v>
      </c>
      <c r="F56" s="131">
        <f t="shared" si="44"/>
        <v>9.399517263985091E-2</v>
      </c>
      <c r="G56" s="131">
        <f t="shared" si="44"/>
        <v>0.1182957412988368</v>
      </c>
      <c r="H56" s="131">
        <f t="shared" si="44"/>
        <v>0.1100000000000001</v>
      </c>
      <c r="I56" s="131">
        <f t="shared" ref="I56" si="45">I54/H54-1</f>
        <v>0.1100000000000001</v>
      </c>
      <c r="J56" s="131">
        <f t="shared" ref="J56" si="46">J54/I54-1</f>
        <v>0.1100000000000001</v>
      </c>
      <c r="K56" s="131">
        <f t="shared" ref="K56" si="47">K54/J54-1</f>
        <v>0.1100000000000001</v>
      </c>
      <c r="L56" s="131">
        <f t="shared" ref="L56" si="48">L54/K54-1</f>
        <v>0.1100000000000001</v>
      </c>
      <c r="M56" s="131">
        <f t="shared" ref="M56" si="49">M54/L54-1</f>
        <v>0.1100000000000001</v>
      </c>
      <c r="N56" s="131">
        <f t="shared" ref="N56" si="50">N54/M54-1</f>
        <v>0.1100000000000001</v>
      </c>
      <c r="O56" s="131">
        <f t="shared" ref="O56" si="51">O54/N54-1</f>
        <v>0.1100000000000001</v>
      </c>
      <c r="P56" s="131">
        <f t="shared" ref="P56" si="52">P54/O54-1</f>
        <v>0.1100000000000001</v>
      </c>
      <c r="Q56" s="131">
        <f t="shared" ref="Q56" si="53">Q54/P54-1</f>
        <v>0.1100000000000001</v>
      </c>
      <c r="R56" s="131"/>
      <c r="S56" s="131"/>
      <c r="U56" s="9">
        <f t="shared" si="3"/>
        <v>-8.2957412988367008E-3</v>
      </c>
      <c r="V56" s="9"/>
      <c r="W56" s="9">
        <f t="shared" si="4"/>
        <v>-1.6591482597673402E-2</v>
      </c>
    </row>
    <row r="57" spans="2:23">
      <c r="B57" s="31"/>
      <c r="U57" s="9">
        <f t="shared" si="3"/>
        <v>0</v>
      </c>
      <c r="V57" s="9"/>
      <c r="W57" s="9">
        <f t="shared" si="4"/>
        <v>0</v>
      </c>
    </row>
    <row r="58" spans="2:23">
      <c r="B58" t="s">
        <v>67</v>
      </c>
      <c r="C58" s="27">
        <f>C43/C55</f>
        <v>0.12382200850570269</v>
      </c>
      <c r="D58" s="27">
        <f t="shared" ref="D58:G58" si="54">D43/D55</f>
        <v>0.10199008173779613</v>
      </c>
      <c r="E58" s="27">
        <f t="shared" si="54"/>
        <v>0.11984842698939577</v>
      </c>
      <c r="F58" s="27">
        <f t="shared" si="54"/>
        <v>0.11911810020392548</v>
      </c>
      <c r="G58" s="27">
        <f t="shared" si="54"/>
        <v>0.10933290455110767</v>
      </c>
      <c r="H58" s="27">
        <f>G58</f>
        <v>0.10933290455110767</v>
      </c>
      <c r="I58" s="27">
        <f t="shared" ref="I58:Q58" si="55">H58</f>
        <v>0.10933290455110767</v>
      </c>
      <c r="J58" s="27">
        <f t="shared" si="55"/>
        <v>0.10933290455110767</v>
      </c>
      <c r="K58" s="27">
        <f t="shared" si="55"/>
        <v>0.10933290455110767</v>
      </c>
      <c r="L58" s="27">
        <f t="shared" si="55"/>
        <v>0.10933290455110767</v>
      </c>
      <c r="M58" s="27">
        <f t="shared" si="55"/>
        <v>0.10933290455110767</v>
      </c>
      <c r="N58" s="27">
        <f t="shared" si="55"/>
        <v>0.10933290455110767</v>
      </c>
      <c r="O58" s="27">
        <f t="shared" si="55"/>
        <v>0.10933290455110767</v>
      </c>
      <c r="P58" s="27">
        <f t="shared" si="55"/>
        <v>0.10933290455110767</v>
      </c>
      <c r="Q58" s="27">
        <f t="shared" si="55"/>
        <v>0.10933290455110767</v>
      </c>
      <c r="R58" s="27"/>
      <c r="S58" s="27"/>
      <c r="U58" s="9">
        <f t="shared" si="3"/>
        <v>0</v>
      </c>
      <c r="V58" s="9"/>
      <c r="W58" s="9">
        <f t="shared" si="4"/>
        <v>0</v>
      </c>
    </row>
    <row r="59" spans="2:23">
      <c r="B59" t="s">
        <v>68</v>
      </c>
      <c r="C59" s="27">
        <f>C44/C54</f>
        <v>7.4204518718674464E-2</v>
      </c>
      <c r="D59" s="27">
        <f t="shared" ref="D59:G59" si="56">D44/D54</f>
        <v>6.3569770815201626E-2</v>
      </c>
      <c r="E59" s="27">
        <f t="shared" si="56"/>
        <v>7.0007364491232849E-2</v>
      </c>
      <c r="F59" s="27">
        <f t="shared" si="56"/>
        <v>8.2415177155664682E-2</v>
      </c>
      <c r="G59" s="27">
        <f t="shared" si="56"/>
        <v>9.0908774585279711E-2</v>
      </c>
      <c r="H59" s="27">
        <f>G59</f>
        <v>9.0908774585279711E-2</v>
      </c>
      <c r="I59" s="27">
        <f t="shared" ref="I59:Q59" si="57">H59</f>
        <v>9.0908774585279711E-2</v>
      </c>
      <c r="J59" s="27">
        <f t="shared" si="57"/>
        <v>9.0908774585279711E-2</v>
      </c>
      <c r="K59" s="27">
        <f t="shared" si="57"/>
        <v>9.0908774585279711E-2</v>
      </c>
      <c r="L59" s="27">
        <f t="shared" si="57"/>
        <v>9.0908774585279711E-2</v>
      </c>
      <c r="M59" s="27">
        <f t="shared" si="57"/>
        <v>9.0908774585279711E-2</v>
      </c>
      <c r="N59" s="27">
        <f t="shared" si="57"/>
        <v>9.0908774585279711E-2</v>
      </c>
      <c r="O59" s="27">
        <f t="shared" si="57"/>
        <v>9.0908774585279711E-2</v>
      </c>
      <c r="P59" s="27">
        <f t="shared" si="57"/>
        <v>9.0908774585279711E-2</v>
      </c>
      <c r="Q59" s="27">
        <f t="shared" si="57"/>
        <v>9.0908774585279711E-2</v>
      </c>
      <c r="R59" s="27"/>
      <c r="S59" s="27"/>
      <c r="U59" s="9">
        <f t="shared" si="3"/>
        <v>0</v>
      </c>
      <c r="V59" s="9"/>
      <c r="W59" s="9">
        <f t="shared" si="4"/>
        <v>0</v>
      </c>
    </row>
    <row r="60" spans="2:23">
      <c r="B60" t="s">
        <v>79</v>
      </c>
      <c r="C60" s="27">
        <f>C41/C54</f>
        <v>0</v>
      </c>
      <c r="D60" s="27">
        <f t="shared" ref="D60:G60" si="58">D41/D54</f>
        <v>0</v>
      </c>
      <c r="E60" s="27">
        <f t="shared" si="58"/>
        <v>0</v>
      </c>
      <c r="F60" s="27">
        <f t="shared" si="58"/>
        <v>0</v>
      </c>
      <c r="G60" s="27">
        <f t="shared" si="58"/>
        <v>0</v>
      </c>
      <c r="H60" s="27">
        <f>G60</f>
        <v>0</v>
      </c>
      <c r="I60" s="27">
        <f t="shared" ref="I60:Q60" si="59">H60</f>
        <v>0</v>
      </c>
      <c r="J60" s="27">
        <f t="shared" si="59"/>
        <v>0</v>
      </c>
      <c r="K60" s="27">
        <f t="shared" si="59"/>
        <v>0</v>
      </c>
      <c r="L60" s="27">
        <f t="shared" si="59"/>
        <v>0</v>
      </c>
      <c r="M60" s="27">
        <f t="shared" si="59"/>
        <v>0</v>
      </c>
      <c r="N60" s="27">
        <f t="shared" si="59"/>
        <v>0</v>
      </c>
      <c r="O60" s="27">
        <f t="shared" si="59"/>
        <v>0</v>
      </c>
      <c r="P60" s="27">
        <f t="shared" si="59"/>
        <v>0</v>
      </c>
      <c r="Q60" s="27">
        <f t="shared" si="59"/>
        <v>0</v>
      </c>
      <c r="R60" s="27"/>
      <c r="S60" s="27"/>
      <c r="U60" s="9">
        <f t="shared" si="3"/>
        <v>0</v>
      </c>
      <c r="V60" s="9"/>
      <c r="W60" s="9">
        <f t="shared" si="4"/>
        <v>0</v>
      </c>
    </row>
    <row r="61" spans="2:23">
      <c r="B61" t="s">
        <v>80</v>
      </c>
      <c r="C61" s="27">
        <f>C42/C54</f>
        <v>0</v>
      </c>
      <c r="D61" s="27">
        <f t="shared" ref="D61:G61" si="60">D42/D54</f>
        <v>0</v>
      </c>
      <c r="E61" s="27">
        <f t="shared" si="60"/>
        <v>0</v>
      </c>
      <c r="F61" s="27">
        <f t="shared" si="60"/>
        <v>0</v>
      </c>
      <c r="G61" s="27">
        <f t="shared" si="60"/>
        <v>0</v>
      </c>
      <c r="H61" s="27">
        <f>G61</f>
        <v>0</v>
      </c>
      <c r="I61" s="27">
        <f t="shared" ref="I61:Q61" si="61">H61</f>
        <v>0</v>
      </c>
      <c r="J61" s="27">
        <f t="shared" si="61"/>
        <v>0</v>
      </c>
      <c r="K61" s="27">
        <f t="shared" si="61"/>
        <v>0</v>
      </c>
      <c r="L61" s="27">
        <f t="shared" si="61"/>
        <v>0</v>
      </c>
      <c r="M61" s="27">
        <f t="shared" si="61"/>
        <v>0</v>
      </c>
      <c r="N61" s="27">
        <f t="shared" si="61"/>
        <v>0</v>
      </c>
      <c r="O61" s="27">
        <f t="shared" si="61"/>
        <v>0</v>
      </c>
      <c r="P61" s="27">
        <f t="shared" si="61"/>
        <v>0</v>
      </c>
      <c r="Q61" s="27">
        <f t="shared" si="61"/>
        <v>0</v>
      </c>
      <c r="R61" s="27"/>
      <c r="S61" s="27"/>
      <c r="U61" s="9">
        <f t="shared" si="3"/>
        <v>0</v>
      </c>
      <c r="V61" s="9"/>
      <c r="W61" s="9">
        <f t="shared" si="4"/>
        <v>0</v>
      </c>
    </row>
    <row r="62" spans="2:23">
      <c r="B62" t="s">
        <v>190</v>
      </c>
      <c r="C62" s="27">
        <f>C16/C54</f>
        <v>5.8155866563050315E-2</v>
      </c>
      <c r="D62" s="27">
        <f>D16/D54</f>
        <v>5.9000580214679431E-2</v>
      </c>
      <c r="E62" s="27">
        <f>E16/E54</f>
        <v>5.7968762637764938E-2</v>
      </c>
      <c r="F62" s="27">
        <f>F16/F54</f>
        <v>8.3189521832434152E-2</v>
      </c>
      <c r="G62" s="27">
        <f>G16/G54</f>
        <v>9.746948859138635E-2</v>
      </c>
      <c r="H62" s="27">
        <f>G62</f>
        <v>9.746948859138635E-2</v>
      </c>
      <c r="I62" s="27">
        <f t="shared" ref="I62:Q62" si="62">H62</f>
        <v>9.746948859138635E-2</v>
      </c>
      <c r="J62" s="27">
        <f t="shared" si="62"/>
        <v>9.746948859138635E-2</v>
      </c>
      <c r="K62" s="27">
        <f t="shared" si="62"/>
        <v>9.746948859138635E-2</v>
      </c>
      <c r="L62" s="27">
        <f t="shared" si="62"/>
        <v>9.746948859138635E-2</v>
      </c>
      <c r="M62" s="27">
        <f t="shared" si="62"/>
        <v>9.746948859138635E-2</v>
      </c>
      <c r="N62" s="27">
        <f t="shared" si="62"/>
        <v>9.746948859138635E-2</v>
      </c>
      <c r="O62" s="27">
        <f t="shared" si="62"/>
        <v>9.746948859138635E-2</v>
      </c>
      <c r="P62" s="27">
        <f t="shared" si="62"/>
        <v>9.746948859138635E-2</v>
      </c>
      <c r="Q62" s="27">
        <f t="shared" si="62"/>
        <v>9.746948859138635E-2</v>
      </c>
      <c r="R62" s="27"/>
      <c r="S62" s="27"/>
      <c r="U62" s="9">
        <f t="shared" si="3"/>
        <v>0</v>
      </c>
      <c r="V62" s="9"/>
      <c r="W62" s="9">
        <f t="shared" si="4"/>
        <v>0</v>
      </c>
    </row>
    <row r="63" spans="2:23"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U63" s="9">
        <f t="shared" si="3"/>
        <v>0</v>
      </c>
      <c r="V63" s="9"/>
      <c r="W63" s="9">
        <f t="shared" si="4"/>
        <v>0</v>
      </c>
    </row>
    <row r="64" spans="2:23">
      <c r="B64" t="s">
        <v>69</v>
      </c>
      <c r="C64" s="27">
        <f>C47/C55</f>
        <v>0.2850316547457955</v>
      </c>
      <c r="D64" s="27">
        <f t="shared" ref="D64:F64" si="63">D47/D55</f>
        <v>0.3109165177212857</v>
      </c>
      <c r="E64" s="27">
        <f t="shared" si="63"/>
        <v>0.28884058396733542</v>
      </c>
      <c r="F64" s="27">
        <f t="shared" si="63"/>
        <v>0.27559368627328784</v>
      </c>
      <c r="G64" s="27">
        <f>G47/G55</f>
        <v>0.27886486468748667</v>
      </c>
      <c r="H64" s="27">
        <f>G64</f>
        <v>0.27886486468748667</v>
      </c>
      <c r="I64" s="27">
        <f t="shared" ref="I64:Q66" si="64">H64</f>
        <v>0.27886486468748667</v>
      </c>
      <c r="J64" s="27">
        <f t="shared" si="64"/>
        <v>0.27886486468748667</v>
      </c>
      <c r="K64" s="27">
        <f t="shared" si="64"/>
        <v>0.27886486468748667</v>
      </c>
      <c r="L64" s="27">
        <f t="shared" si="64"/>
        <v>0.27886486468748667</v>
      </c>
      <c r="M64" s="27">
        <f t="shared" si="64"/>
        <v>0.27886486468748667</v>
      </c>
      <c r="N64" s="27">
        <f t="shared" si="64"/>
        <v>0.27886486468748667</v>
      </c>
      <c r="O64" s="27">
        <f t="shared" si="64"/>
        <v>0.27886486468748667</v>
      </c>
      <c r="P64" s="27">
        <f t="shared" si="64"/>
        <v>0.27886486468748667</v>
      </c>
      <c r="Q64" s="27">
        <f t="shared" si="64"/>
        <v>0.27886486468748667</v>
      </c>
      <c r="R64" s="27"/>
      <c r="S64" s="27"/>
      <c r="U64" s="9">
        <f t="shared" si="3"/>
        <v>0</v>
      </c>
      <c r="V64" s="9"/>
      <c r="W64" s="9">
        <f t="shared" si="4"/>
        <v>0</v>
      </c>
    </row>
    <row r="65" spans="2:23">
      <c r="B65" t="s">
        <v>81</v>
      </c>
      <c r="C65" s="27">
        <f>C48/C54</f>
        <v>0.11563798917731942</v>
      </c>
      <c r="D65" s="27">
        <f t="shared" ref="D65:G65" si="65">D48/D54</f>
        <v>0.11432819428902979</v>
      </c>
      <c r="E65" s="27">
        <f t="shared" si="65"/>
        <v>0.11020131028346906</v>
      </c>
      <c r="F65" s="27">
        <f t="shared" si="65"/>
        <v>0.12172776142401596</v>
      </c>
      <c r="G65" s="27">
        <f t="shared" si="65"/>
        <v>0.11257948624268205</v>
      </c>
      <c r="H65" s="27">
        <f t="shared" ref="H65" si="66">G65</f>
        <v>0.11257948624268205</v>
      </c>
      <c r="I65" s="27">
        <f t="shared" si="64"/>
        <v>0.11257948624268205</v>
      </c>
      <c r="J65" s="27">
        <f t="shared" si="64"/>
        <v>0.11257948624268205</v>
      </c>
      <c r="K65" s="27">
        <f t="shared" si="64"/>
        <v>0.11257948624268205</v>
      </c>
      <c r="L65" s="27">
        <f t="shared" si="64"/>
        <v>0.11257948624268205</v>
      </c>
      <c r="M65" s="27">
        <f t="shared" si="64"/>
        <v>0.11257948624268205</v>
      </c>
      <c r="N65" s="27">
        <f t="shared" si="64"/>
        <v>0.11257948624268205</v>
      </c>
      <c r="O65" s="27">
        <f t="shared" si="64"/>
        <v>0.11257948624268205</v>
      </c>
      <c r="P65" s="27">
        <f t="shared" si="64"/>
        <v>0.11257948624268205</v>
      </c>
      <c r="Q65" s="27">
        <f t="shared" si="64"/>
        <v>0.11257948624268205</v>
      </c>
      <c r="R65" s="27"/>
      <c r="S65" s="27"/>
      <c r="U65" s="9">
        <f t="shared" si="3"/>
        <v>0</v>
      </c>
      <c r="V65" s="9"/>
      <c r="W65" s="9">
        <f t="shared" si="4"/>
        <v>0</v>
      </c>
    </row>
    <row r="66" spans="2:23">
      <c r="B66" t="s">
        <v>82</v>
      </c>
      <c r="C66" s="27">
        <f>C49/C54</f>
        <v>2.9195571113852032E-2</v>
      </c>
      <c r="D66" s="27">
        <f t="shared" ref="D66:G66" si="67">D49/D54</f>
        <v>2.5146089767499689E-2</v>
      </c>
      <c r="E66" s="27">
        <f t="shared" si="67"/>
        <v>2.5173363529166364E-2</v>
      </c>
      <c r="F66" s="27">
        <f t="shared" si="67"/>
        <v>2.5734314169923909E-2</v>
      </c>
      <c r="G66" s="27">
        <f t="shared" si="67"/>
        <v>2.6491644701932028E-2</v>
      </c>
      <c r="H66" s="27">
        <f t="shared" ref="H66" si="68">G66</f>
        <v>2.6491644701932028E-2</v>
      </c>
      <c r="I66" s="27">
        <f t="shared" si="64"/>
        <v>2.6491644701932028E-2</v>
      </c>
      <c r="J66" s="27">
        <f t="shared" si="64"/>
        <v>2.6491644701932028E-2</v>
      </c>
      <c r="K66" s="27">
        <f t="shared" si="64"/>
        <v>2.6491644701932028E-2</v>
      </c>
      <c r="L66" s="27">
        <f t="shared" si="64"/>
        <v>2.6491644701932028E-2</v>
      </c>
      <c r="M66" s="27">
        <f t="shared" si="64"/>
        <v>2.6491644701932028E-2</v>
      </c>
      <c r="N66" s="27">
        <f t="shared" si="64"/>
        <v>2.6491644701932028E-2</v>
      </c>
      <c r="O66" s="27">
        <f t="shared" si="64"/>
        <v>2.6491644701932028E-2</v>
      </c>
      <c r="P66" s="27">
        <f t="shared" si="64"/>
        <v>2.6491644701932028E-2</v>
      </c>
      <c r="Q66" s="27">
        <f t="shared" si="64"/>
        <v>2.6491644701932028E-2</v>
      </c>
      <c r="R66" s="27"/>
      <c r="S66" s="27"/>
      <c r="U66" s="9">
        <f t="shared" si="3"/>
        <v>0</v>
      </c>
      <c r="V66" s="9"/>
      <c r="W66" s="9">
        <f t="shared" si="4"/>
        <v>0</v>
      </c>
    </row>
    <row r="67" spans="2:23">
      <c r="U67" s="9">
        <f t="shared" si="3"/>
        <v>0</v>
      </c>
      <c r="V67" s="9"/>
      <c r="W67" s="9">
        <f t="shared" si="4"/>
        <v>0</v>
      </c>
    </row>
    <row r="68" spans="2:23">
      <c r="B68" t="s">
        <v>70</v>
      </c>
      <c r="C68">
        <f>C58*C55/C55*365</f>
        <v>45.195033104581483</v>
      </c>
      <c r="D68">
        <f t="shared" ref="D68:H68" si="69">D58*D55/D55*365</f>
        <v>37.226379834295585</v>
      </c>
      <c r="E68" s="97">
        <f t="shared" si="69"/>
        <v>43.744675851129458</v>
      </c>
      <c r="F68" s="97">
        <f t="shared" si="69"/>
        <v>43.4781065744328</v>
      </c>
      <c r="G68" s="97">
        <f t="shared" si="69"/>
        <v>39.906510161154301</v>
      </c>
      <c r="H68" s="97">
        <f t="shared" si="69"/>
        <v>39.906510161154294</v>
      </c>
      <c r="I68" s="97">
        <f t="shared" ref="I68:Q68" si="70">I58*I55/I55*365</f>
        <v>39.906510161154301</v>
      </c>
      <c r="J68" s="97">
        <f t="shared" si="70"/>
        <v>39.906510161154294</v>
      </c>
      <c r="K68" s="97">
        <f t="shared" si="70"/>
        <v>39.906510161154301</v>
      </c>
      <c r="L68" s="97">
        <f t="shared" si="70"/>
        <v>39.906510161154301</v>
      </c>
      <c r="M68" s="97">
        <f t="shared" si="70"/>
        <v>39.906510161154301</v>
      </c>
      <c r="N68" s="97">
        <f t="shared" si="70"/>
        <v>39.906510161154301</v>
      </c>
      <c r="O68" s="97">
        <f t="shared" si="70"/>
        <v>39.906510161154301</v>
      </c>
      <c r="P68" s="97">
        <f t="shared" si="70"/>
        <v>39.906510161154294</v>
      </c>
      <c r="Q68" s="97">
        <f t="shared" si="70"/>
        <v>39.906510161154301</v>
      </c>
      <c r="R68" s="97"/>
      <c r="S68" s="97"/>
      <c r="U68" s="9">
        <f t="shared" si="3"/>
        <v>0</v>
      </c>
      <c r="V68" s="9"/>
      <c r="W68" s="9">
        <f t="shared" si="4"/>
        <v>0</v>
      </c>
    </row>
    <row r="69" spans="2:23">
      <c r="B69" t="s">
        <v>71</v>
      </c>
      <c r="C69">
        <f>C59*C54/C54*365</f>
        <v>27.084649332316179</v>
      </c>
      <c r="D69">
        <f t="shared" ref="D69:H69" si="71">D59*D54/D54*365</f>
        <v>23.202966347548593</v>
      </c>
      <c r="E69" s="97">
        <f t="shared" si="71"/>
        <v>25.552688039299991</v>
      </c>
      <c r="F69" s="97">
        <f t="shared" si="71"/>
        <v>30.081539661817608</v>
      </c>
      <c r="G69" s="97">
        <f t="shared" si="71"/>
        <v>33.181702723627097</v>
      </c>
      <c r="H69" s="97">
        <f t="shared" si="71"/>
        <v>33.181702723627097</v>
      </c>
      <c r="I69" s="97">
        <f t="shared" ref="I69:Q69" si="72">I59*I54/I54*365</f>
        <v>33.181702723627097</v>
      </c>
      <c r="J69" s="97">
        <f t="shared" si="72"/>
        <v>33.18170272362709</v>
      </c>
      <c r="K69" s="97">
        <f t="shared" si="72"/>
        <v>33.181702723627097</v>
      </c>
      <c r="L69" s="97">
        <f t="shared" si="72"/>
        <v>33.181702723627097</v>
      </c>
      <c r="M69" s="97">
        <f t="shared" si="72"/>
        <v>33.181702723627097</v>
      </c>
      <c r="N69" s="97">
        <f t="shared" si="72"/>
        <v>33.181702723627097</v>
      </c>
      <c r="O69" s="97">
        <f t="shared" si="72"/>
        <v>33.181702723627097</v>
      </c>
      <c r="P69" s="97">
        <f t="shared" si="72"/>
        <v>33.181702723627097</v>
      </c>
      <c r="Q69" s="97">
        <f t="shared" si="72"/>
        <v>33.181702723627097</v>
      </c>
      <c r="R69" s="97"/>
      <c r="S69" s="97"/>
      <c r="U69" s="9">
        <f t="shared" si="3"/>
        <v>0</v>
      </c>
      <c r="V69" s="9"/>
      <c r="W69" s="9">
        <f t="shared" si="4"/>
        <v>0</v>
      </c>
    </row>
    <row r="70" spans="2:23">
      <c r="B70" t="s">
        <v>84</v>
      </c>
      <c r="C70">
        <f>C60*C54/C54*365</f>
        <v>0</v>
      </c>
      <c r="D70">
        <f t="shared" ref="D70:H70" si="73">D60*D54/D54*365</f>
        <v>0</v>
      </c>
      <c r="E70" s="97">
        <f t="shared" si="73"/>
        <v>0</v>
      </c>
      <c r="F70" s="97">
        <f t="shared" si="73"/>
        <v>0</v>
      </c>
      <c r="G70" s="97">
        <f t="shared" si="73"/>
        <v>0</v>
      </c>
      <c r="H70" s="97">
        <f t="shared" si="73"/>
        <v>0</v>
      </c>
      <c r="I70" s="97">
        <f t="shared" ref="I70:Q70" si="74">I60*I54/I54*365</f>
        <v>0</v>
      </c>
      <c r="J70" s="97">
        <f t="shared" si="74"/>
        <v>0</v>
      </c>
      <c r="K70" s="97">
        <f t="shared" si="74"/>
        <v>0</v>
      </c>
      <c r="L70" s="97">
        <f t="shared" si="74"/>
        <v>0</v>
      </c>
      <c r="M70" s="97">
        <f t="shared" si="74"/>
        <v>0</v>
      </c>
      <c r="N70" s="97">
        <f t="shared" si="74"/>
        <v>0</v>
      </c>
      <c r="O70" s="97">
        <f t="shared" si="74"/>
        <v>0</v>
      </c>
      <c r="P70" s="97">
        <f t="shared" si="74"/>
        <v>0</v>
      </c>
      <c r="Q70" s="97">
        <f t="shared" si="74"/>
        <v>0</v>
      </c>
      <c r="R70" s="97"/>
      <c r="S70" s="97"/>
      <c r="U70" s="9">
        <f t="shared" si="3"/>
        <v>0</v>
      </c>
      <c r="V70" s="9"/>
      <c r="W70" s="9">
        <f t="shared" si="4"/>
        <v>0</v>
      </c>
    </row>
    <row r="71" spans="2:23">
      <c r="B71" t="s">
        <v>85</v>
      </c>
      <c r="C71">
        <f>C61*C54/C54*365</f>
        <v>0</v>
      </c>
      <c r="D71">
        <f t="shared" ref="D71:H71" si="75">D61*D54/D54*365</f>
        <v>0</v>
      </c>
      <c r="E71" s="97">
        <f t="shared" si="75"/>
        <v>0</v>
      </c>
      <c r="F71" s="97">
        <f t="shared" si="75"/>
        <v>0</v>
      </c>
      <c r="G71" s="97">
        <f t="shared" si="75"/>
        <v>0</v>
      </c>
      <c r="H71" s="97">
        <f t="shared" si="75"/>
        <v>0</v>
      </c>
      <c r="I71" s="97">
        <f t="shared" ref="I71:Q71" si="76">I61*I54/I54*365</f>
        <v>0</v>
      </c>
      <c r="J71" s="97">
        <f t="shared" si="76"/>
        <v>0</v>
      </c>
      <c r="K71" s="97">
        <f t="shared" si="76"/>
        <v>0</v>
      </c>
      <c r="L71" s="97">
        <f t="shared" si="76"/>
        <v>0</v>
      </c>
      <c r="M71" s="97">
        <f t="shared" si="76"/>
        <v>0</v>
      </c>
      <c r="N71" s="97">
        <f t="shared" si="76"/>
        <v>0</v>
      </c>
      <c r="O71" s="97">
        <f t="shared" si="76"/>
        <v>0</v>
      </c>
      <c r="P71" s="97">
        <f t="shared" si="76"/>
        <v>0</v>
      </c>
      <c r="Q71" s="97">
        <f t="shared" si="76"/>
        <v>0</v>
      </c>
      <c r="R71" s="97"/>
      <c r="S71" s="97"/>
      <c r="U71" s="9">
        <f t="shared" si="3"/>
        <v>0</v>
      </c>
      <c r="V71" s="9"/>
      <c r="W71" s="9">
        <f t="shared" si="4"/>
        <v>0</v>
      </c>
    </row>
    <row r="72" spans="2:23"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U72" s="9">
        <f t="shared" si="3"/>
        <v>0</v>
      </c>
      <c r="V72" s="9"/>
      <c r="W72" s="9">
        <f t="shared" si="4"/>
        <v>0</v>
      </c>
    </row>
    <row r="73" spans="2:23">
      <c r="B73" t="s">
        <v>83</v>
      </c>
      <c r="C73">
        <f>C64*C55/C55*365</f>
        <v>104.03655398221535</v>
      </c>
      <c r="D73">
        <f t="shared" ref="D73:H73" si="77">D64*D55/D55*365</f>
        <v>113.48452896826929</v>
      </c>
      <c r="E73" s="97">
        <f t="shared" si="77"/>
        <v>105.42681314807743</v>
      </c>
      <c r="F73" s="97">
        <f t="shared" si="77"/>
        <v>100.59169548975007</v>
      </c>
      <c r="G73" s="97">
        <f t="shared" si="77"/>
        <v>101.78567561093263</v>
      </c>
      <c r="H73" s="97">
        <f t="shared" si="77"/>
        <v>101.78567561093263</v>
      </c>
      <c r="I73" s="97">
        <f t="shared" ref="I73:Q73" si="78">I64*I55/I55*365</f>
        <v>101.78567561093263</v>
      </c>
      <c r="J73" s="97">
        <f t="shared" si="78"/>
        <v>101.78567561093263</v>
      </c>
      <c r="K73" s="97">
        <f t="shared" si="78"/>
        <v>101.78567561093263</v>
      </c>
      <c r="L73" s="97">
        <f t="shared" si="78"/>
        <v>101.78567561093263</v>
      </c>
      <c r="M73" s="97">
        <f t="shared" si="78"/>
        <v>101.78567561093263</v>
      </c>
      <c r="N73" s="97">
        <f t="shared" si="78"/>
        <v>101.78567561093263</v>
      </c>
      <c r="O73" s="97">
        <f t="shared" si="78"/>
        <v>101.78567561093263</v>
      </c>
      <c r="P73" s="97">
        <f t="shared" si="78"/>
        <v>101.78567561093263</v>
      </c>
      <c r="Q73" s="97">
        <f t="shared" si="78"/>
        <v>101.78567561093263</v>
      </c>
      <c r="R73" s="97"/>
      <c r="S73" s="97"/>
      <c r="U73" s="9">
        <f t="shared" ref="U73:U76" si="79">H73-G73</f>
        <v>0</v>
      </c>
      <c r="V73" s="9"/>
      <c r="W73" s="9">
        <f t="shared" ref="W73:W76" si="80">U73*2</f>
        <v>0</v>
      </c>
    </row>
    <row r="74" spans="2:23">
      <c r="B74" t="s">
        <v>86</v>
      </c>
      <c r="C74">
        <f>C65*C54/C54*365</f>
        <v>42.207866049721588</v>
      </c>
      <c r="D74">
        <f t="shared" ref="D74:H74" si="81">D65*D54/D54*365</f>
        <v>41.729790915495876</v>
      </c>
      <c r="E74" s="97">
        <f t="shared" si="81"/>
        <v>40.223478253466212</v>
      </c>
      <c r="F74" s="97">
        <f t="shared" si="81"/>
        <v>44.430632919765827</v>
      </c>
      <c r="G74" s="97">
        <f t="shared" si="81"/>
        <v>41.091512478578949</v>
      </c>
      <c r="H74" s="97">
        <f t="shared" si="81"/>
        <v>41.091512478578942</v>
      </c>
      <c r="I74" s="97">
        <f t="shared" ref="I74:Q74" si="82">I65*I54/I54*365</f>
        <v>41.091512478578949</v>
      </c>
      <c r="J74" s="97">
        <f t="shared" si="82"/>
        <v>41.091512478578949</v>
      </c>
      <c r="K74" s="97">
        <f t="shared" si="82"/>
        <v>41.091512478578949</v>
      </c>
      <c r="L74" s="97">
        <f t="shared" si="82"/>
        <v>41.091512478578949</v>
      </c>
      <c r="M74" s="97">
        <f t="shared" si="82"/>
        <v>41.091512478578949</v>
      </c>
      <c r="N74" s="97">
        <f t="shared" si="82"/>
        <v>41.091512478578949</v>
      </c>
      <c r="O74" s="97">
        <f t="shared" si="82"/>
        <v>41.091512478578949</v>
      </c>
      <c r="P74" s="97">
        <f t="shared" si="82"/>
        <v>41.091512478578956</v>
      </c>
      <c r="Q74" s="97">
        <f t="shared" si="82"/>
        <v>41.091512478578949</v>
      </c>
      <c r="R74" s="97"/>
      <c r="S74" s="97"/>
      <c r="U74" s="9">
        <f t="shared" si="79"/>
        <v>0</v>
      </c>
      <c r="V74" s="9"/>
      <c r="W74" s="9">
        <f t="shared" si="80"/>
        <v>0</v>
      </c>
    </row>
    <row r="75" spans="2:23">
      <c r="B75" t="s">
        <v>87</v>
      </c>
      <c r="C75">
        <f>C66*C54/C54*365</f>
        <v>10.656383456555991</v>
      </c>
      <c r="D75">
        <f t="shared" ref="D75:H75" si="83">D66*D54/D54*365</f>
        <v>9.178322765137386</v>
      </c>
      <c r="E75" s="97">
        <f t="shared" si="83"/>
        <v>9.1882776881457229</v>
      </c>
      <c r="F75" s="97">
        <f t="shared" si="83"/>
        <v>9.3930246720222268</v>
      </c>
      <c r="G75" s="97">
        <f t="shared" si="83"/>
        <v>9.6694503162051895</v>
      </c>
      <c r="H75" s="97">
        <f t="shared" si="83"/>
        <v>9.6694503162051912</v>
      </c>
      <c r="I75" s="97">
        <f t="shared" ref="I75:Q75" si="84">I66*I54/I54*365</f>
        <v>9.6694503162051895</v>
      </c>
      <c r="J75" s="97">
        <f t="shared" si="84"/>
        <v>9.6694503162051895</v>
      </c>
      <c r="K75" s="97">
        <f t="shared" si="84"/>
        <v>9.6694503162051895</v>
      </c>
      <c r="L75" s="97">
        <f t="shared" si="84"/>
        <v>9.6694503162051895</v>
      </c>
      <c r="M75" s="97">
        <f t="shared" si="84"/>
        <v>9.6694503162051895</v>
      </c>
      <c r="N75" s="97">
        <f t="shared" si="84"/>
        <v>9.6694503162051895</v>
      </c>
      <c r="O75" s="97">
        <f t="shared" si="84"/>
        <v>9.6694503162051895</v>
      </c>
      <c r="P75" s="97">
        <f t="shared" si="84"/>
        <v>9.6694503162051895</v>
      </c>
      <c r="Q75" s="97">
        <f t="shared" si="84"/>
        <v>9.6694503162051895</v>
      </c>
      <c r="R75" s="97"/>
      <c r="S75" s="97"/>
      <c r="U75" s="9">
        <f t="shared" si="79"/>
        <v>0</v>
      </c>
      <c r="V75" s="9"/>
      <c r="W75" s="9">
        <f t="shared" si="80"/>
        <v>0</v>
      </c>
    </row>
    <row r="76" spans="2:23">
      <c r="B76" s="21" t="s">
        <v>72</v>
      </c>
      <c r="C76" s="21">
        <f>-C68-C69-C70-C71+C73+C74+C75</f>
        <v>84.621121051595267</v>
      </c>
      <c r="D76" s="21">
        <f t="shared" ref="D76:H76" si="85">-D68-D69-D70-D71+D73+D74+D75</f>
        <v>103.96329646705837</v>
      </c>
      <c r="E76" s="132">
        <f t="shared" si="85"/>
        <v>85.541205199259906</v>
      </c>
      <c r="F76" s="132">
        <f t="shared" si="85"/>
        <v>80.855706845287699</v>
      </c>
      <c r="G76" s="132">
        <f t="shared" si="85"/>
        <v>79.458425520935364</v>
      </c>
      <c r="H76" s="132">
        <f t="shared" si="85"/>
        <v>79.458425520935364</v>
      </c>
      <c r="I76" s="132">
        <f t="shared" ref="I76:Q76" si="86">-I68-I69-I70-I71+I73+I74+I75</f>
        <v>79.458425520935364</v>
      </c>
      <c r="J76" s="132">
        <f t="shared" si="86"/>
        <v>79.458425520935378</v>
      </c>
      <c r="K76" s="132">
        <f t="shared" si="86"/>
        <v>79.458425520935364</v>
      </c>
      <c r="L76" s="132">
        <f t="shared" si="86"/>
        <v>79.458425520935364</v>
      </c>
      <c r="M76" s="132">
        <f t="shared" si="86"/>
        <v>79.458425520935364</v>
      </c>
      <c r="N76" s="132">
        <f t="shared" si="86"/>
        <v>79.458425520935364</v>
      </c>
      <c r="O76" s="132">
        <f t="shared" si="86"/>
        <v>79.458425520935364</v>
      </c>
      <c r="P76" s="132">
        <f t="shared" si="86"/>
        <v>79.458425520935364</v>
      </c>
      <c r="Q76" s="132">
        <f t="shared" si="86"/>
        <v>79.458425520935364</v>
      </c>
      <c r="R76" s="345"/>
      <c r="S76" s="345"/>
      <c r="U76" s="9">
        <f t="shared" si="79"/>
        <v>0</v>
      </c>
      <c r="V76" s="9"/>
      <c r="W76" s="9">
        <f t="shared" si="8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6AFF-20D7-4139-8201-9D911FB0992A}">
  <dimension ref="A1:Z67"/>
  <sheetViews>
    <sheetView showGridLines="0" zoomScale="90" zoomScaleNormal="90" workbookViewId="0">
      <pane xSplit="3" ySplit="4" topLeftCell="D22" activePane="bottomRight" state="frozen"/>
      <selection pane="topRight" activeCell="D1" sqref="D1"/>
      <selection pane="bottomLeft" activeCell="A4" sqref="A4"/>
      <selection pane="bottomRight" activeCell="I60" sqref="I60"/>
    </sheetView>
  </sheetViews>
  <sheetFormatPr defaultRowHeight="15"/>
  <cols>
    <col min="1" max="1" width="24.5703125" bestFit="1" customWidth="1"/>
    <col min="2" max="2" width="25.5703125" bestFit="1" customWidth="1"/>
    <col min="4" max="4" width="8.5703125" bestFit="1" customWidth="1"/>
    <col min="5" max="5" width="17.7109375" bestFit="1" customWidth="1"/>
    <col min="6" max="12" width="8.5703125" bestFit="1" customWidth="1"/>
    <col min="13" max="18" width="10.140625" bestFit="1" customWidth="1"/>
    <col min="24" max="24" width="14.28515625" bestFit="1" customWidth="1"/>
    <col min="26" max="26" width="11.5703125" bestFit="1" customWidth="1"/>
  </cols>
  <sheetData>
    <row r="1" spans="1:18" ht="15.75" thickBot="1">
      <c r="A1" s="339" t="s">
        <v>518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1"/>
    </row>
    <row r="2" spans="1:18">
      <c r="A2" s="4" t="s">
        <v>108</v>
      </c>
      <c r="G2" s="67"/>
      <c r="H2" s="67"/>
    </row>
    <row r="3" spans="1:18">
      <c r="A3" s="4"/>
      <c r="G3" s="67"/>
      <c r="H3" s="67"/>
    </row>
    <row r="4" spans="1:18">
      <c r="B4" s="66"/>
      <c r="C4" s="66"/>
      <c r="D4" s="66">
        <v>2019</v>
      </c>
      <c r="E4" s="66">
        <f>D4+1</f>
        <v>2020</v>
      </c>
      <c r="F4" s="66">
        <f t="shared" ref="F4:H4" si="0">E4+1</f>
        <v>2021</v>
      </c>
      <c r="G4" s="66">
        <f t="shared" si="0"/>
        <v>2022</v>
      </c>
      <c r="H4" s="66">
        <f t="shared" si="0"/>
        <v>2023</v>
      </c>
      <c r="I4" s="332">
        <f>H4+1</f>
        <v>2024</v>
      </c>
      <c r="J4" s="332">
        <f t="shared" ref="J4:R4" si="1">I4+1</f>
        <v>2025</v>
      </c>
      <c r="K4" s="332">
        <f t="shared" si="1"/>
        <v>2026</v>
      </c>
      <c r="L4" s="332">
        <f t="shared" si="1"/>
        <v>2027</v>
      </c>
      <c r="M4" s="332">
        <f t="shared" si="1"/>
        <v>2028</v>
      </c>
      <c r="N4" s="332">
        <f t="shared" si="1"/>
        <v>2029</v>
      </c>
      <c r="O4" s="332">
        <f t="shared" si="1"/>
        <v>2030</v>
      </c>
      <c r="P4" s="332">
        <f t="shared" si="1"/>
        <v>2031</v>
      </c>
      <c r="Q4" s="332">
        <f t="shared" si="1"/>
        <v>2032</v>
      </c>
      <c r="R4" s="332">
        <f t="shared" si="1"/>
        <v>2033</v>
      </c>
    </row>
    <row r="5" spans="1:18" s="16" customFormat="1">
      <c r="B5" s="16" t="s">
        <v>507</v>
      </c>
    </row>
    <row r="6" spans="1:18">
      <c r="B6" s="18" t="s">
        <v>520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>
      <c r="B7" s="16" t="s">
        <v>508</v>
      </c>
      <c r="C7" s="31"/>
      <c r="D7" s="12">
        <v>170773</v>
      </c>
      <c r="E7" s="12">
        <v>236282</v>
      </c>
      <c r="F7" s="12">
        <v>279833</v>
      </c>
      <c r="G7" s="12">
        <v>315880</v>
      </c>
      <c r="H7" s="336">
        <v>352828</v>
      </c>
      <c r="I7" s="342">
        <f>I34</f>
        <v>391453.43532931444</v>
      </c>
      <c r="J7" s="342">
        <f t="shared" ref="J7:R7" si="2">J34</f>
        <v>434307.34531024116</v>
      </c>
      <c r="K7" s="342">
        <f t="shared" si="2"/>
        <v>481852.63729196298</v>
      </c>
      <c r="L7" s="342">
        <f t="shared" si="2"/>
        <v>534602.89486783661</v>
      </c>
      <c r="M7" s="342">
        <f t="shared" si="2"/>
        <v>593127.92559833964</v>
      </c>
      <c r="N7" s="342">
        <f t="shared" si="2"/>
        <v>658059.91606454167</v>
      </c>
      <c r="O7" s="342">
        <f t="shared" si="2"/>
        <v>730100.26073890156</v>
      </c>
      <c r="P7" s="342">
        <f t="shared" si="2"/>
        <v>810027.138438761</v>
      </c>
      <c r="Q7" s="342">
        <f t="shared" si="2"/>
        <v>898703.91820328101</v>
      </c>
      <c r="R7" s="342">
        <f t="shared" si="2"/>
        <v>997088.48539398669</v>
      </c>
    </row>
    <row r="8" spans="1:18">
      <c r="B8" s="16" t="s">
        <v>495</v>
      </c>
      <c r="C8" s="31"/>
      <c r="D8" s="12">
        <v>74723</v>
      </c>
      <c r="E8" s="12">
        <v>104412</v>
      </c>
      <c r="F8" s="12">
        <v>127787</v>
      </c>
      <c r="G8" s="12">
        <v>118007</v>
      </c>
      <c r="H8" s="336">
        <v>131200</v>
      </c>
      <c r="I8" s="342">
        <f>I35</f>
        <v>145562.9675513453</v>
      </c>
      <c r="J8" s="342">
        <f t="shared" ref="J8:R8" si="3">J35</f>
        <v>161498.30428623478</v>
      </c>
      <c r="K8" s="342">
        <f t="shared" si="3"/>
        <v>179178.14349401279</v>
      </c>
      <c r="L8" s="342">
        <f t="shared" si="3"/>
        <v>198793.4625558634</v>
      </c>
      <c r="M8" s="342">
        <f t="shared" si="3"/>
        <v>220556.14587986827</v>
      </c>
      <c r="N8" s="342">
        <f t="shared" si="3"/>
        <v>244701.27367348361</v>
      </c>
      <c r="O8" s="342">
        <f t="shared" si="3"/>
        <v>271489.66127672378</v>
      </c>
      <c r="P8" s="342">
        <f t="shared" si="3"/>
        <v>301210.6764858953</v>
      </c>
      <c r="Q8" s="342">
        <f t="shared" si="3"/>
        <v>334185.36530057271</v>
      </c>
      <c r="R8" s="342">
        <f t="shared" si="3"/>
        <v>370769.9198580925</v>
      </c>
    </row>
    <row r="9" spans="1:18">
      <c r="B9" s="16" t="s">
        <v>496</v>
      </c>
      <c r="C9" s="31"/>
      <c r="D9" s="12">
        <v>35026</v>
      </c>
      <c r="E9" s="12">
        <v>45370</v>
      </c>
      <c r="F9" s="12">
        <v>62202</v>
      </c>
      <c r="G9" s="12">
        <v>80096</v>
      </c>
      <c r="H9" s="336">
        <v>90757</v>
      </c>
      <c r="I9" s="342">
        <f>I36</f>
        <v>100692.51711934029</v>
      </c>
      <c r="J9" s="342">
        <f t="shared" ref="J9:R9" si="4">J36</f>
        <v>111715.71343068454</v>
      </c>
      <c r="K9" s="342">
        <f t="shared" si="4"/>
        <v>123945.66134974177</v>
      </c>
      <c r="L9" s="342">
        <f t="shared" si="4"/>
        <v>137514.46860657391</v>
      </c>
      <c r="M9" s="342">
        <f t="shared" si="4"/>
        <v>152568.70527148785</v>
      </c>
      <c r="N9" s="342">
        <f t="shared" si="4"/>
        <v>169270.98700292953</v>
      </c>
      <c r="O9" s="342">
        <f t="shared" si="4"/>
        <v>187801.73161960079</v>
      </c>
      <c r="P9" s="342">
        <f t="shared" si="4"/>
        <v>208361.1079712683</v>
      </c>
      <c r="Q9" s="342">
        <f t="shared" si="4"/>
        <v>231171.19815993964</v>
      </c>
      <c r="R9" s="342">
        <f t="shared" si="4"/>
        <v>256478.39646768983</v>
      </c>
    </row>
    <row r="10" spans="1:18">
      <c r="B10" s="21" t="s">
        <v>509</v>
      </c>
      <c r="C10" s="21"/>
      <c r="D10" s="335">
        <f>SUM(D7:D9)</f>
        <v>280522</v>
      </c>
      <c r="E10" s="335">
        <f t="shared" ref="E10:H10" si="5">SUM(E7:E9)</f>
        <v>386064</v>
      </c>
      <c r="F10" s="335">
        <f t="shared" si="5"/>
        <v>469822</v>
      </c>
      <c r="G10" s="335">
        <f t="shared" si="5"/>
        <v>513983</v>
      </c>
      <c r="H10" s="335">
        <f t="shared" si="5"/>
        <v>574785</v>
      </c>
      <c r="I10" s="335">
        <f t="shared" ref="I10" si="6">SUM(I7:I9)</f>
        <v>637708.92000000004</v>
      </c>
      <c r="J10" s="335">
        <f t="shared" ref="J10" si="7">SUM(J7:J9)</f>
        <v>707521.36302716052</v>
      </c>
      <c r="K10" s="335">
        <f t="shared" ref="K10" si="8">SUM(K7:K9)</f>
        <v>784976.44213571749</v>
      </c>
      <c r="L10" s="335">
        <f t="shared" ref="L10" si="9">SUM(L7:L9)</f>
        <v>870910.82603027392</v>
      </c>
      <c r="M10" s="335">
        <f t="shared" ref="M10" si="10">SUM(M7:M9)</f>
        <v>966252.77674969577</v>
      </c>
      <c r="N10" s="335">
        <f t="shared" ref="N10" si="11">SUM(N7:N9)</f>
        <v>1072032.1767409549</v>
      </c>
      <c r="O10" s="335">
        <f t="shared" ref="O10" si="12">SUM(O7:O9)</f>
        <v>1189391.6536352262</v>
      </c>
      <c r="P10" s="335">
        <f t="shared" ref="P10" si="13">SUM(P7:P9)</f>
        <v>1319598.9228959247</v>
      </c>
      <c r="Q10" s="335">
        <f t="shared" ref="Q10" si="14">SUM(Q7:Q9)</f>
        <v>1464060.4816637933</v>
      </c>
      <c r="R10" s="335">
        <f t="shared" ref="R10" si="15">SUM(R7:R9)</f>
        <v>1624336.8017197691</v>
      </c>
    </row>
    <row r="11" spans="1:18">
      <c r="B11" s="333" t="s">
        <v>519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>
      <c r="B12" s="16" t="s">
        <v>508</v>
      </c>
      <c r="C12" s="19"/>
      <c r="D12" s="19"/>
      <c r="E12" s="329">
        <f>(E7-D7)/D7</f>
        <v>0.38360279435273725</v>
      </c>
      <c r="F12" s="329">
        <f t="shared" ref="F12:R12" si="16">(F7-E7)/E7</f>
        <v>0.18431789133323739</v>
      </c>
      <c r="G12" s="329">
        <f t="shared" si="16"/>
        <v>0.12881611532592654</v>
      </c>
      <c r="H12" s="329">
        <f t="shared" si="16"/>
        <v>0.11696846903887552</v>
      </c>
      <c r="I12" s="329">
        <f>(I7-H7)/H7</f>
        <v>0.10947383804379028</v>
      </c>
      <c r="J12" s="329">
        <f t="shared" si="16"/>
        <v>0.10947383804379034</v>
      </c>
      <c r="K12" s="329">
        <f t="shared" si="16"/>
        <v>0.10947383804379024</v>
      </c>
      <c r="L12" s="329">
        <f t="shared" si="16"/>
        <v>0.10947383804379041</v>
      </c>
      <c r="M12" s="329">
        <f t="shared" si="16"/>
        <v>0.10947383804379036</v>
      </c>
      <c r="N12" s="329">
        <f t="shared" si="16"/>
        <v>0.10947383804379045</v>
      </c>
      <c r="O12" s="329">
        <f t="shared" si="16"/>
        <v>0.10947383804379032</v>
      </c>
      <c r="P12" s="329">
        <f t="shared" si="16"/>
        <v>0.10947383804379011</v>
      </c>
      <c r="Q12" s="329">
        <f t="shared" si="16"/>
        <v>0.10947383804379052</v>
      </c>
      <c r="R12" s="329">
        <f t="shared" si="16"/>
        <v>0.10947383804379023</v>
      </c>
    </row>
    <row r="13" spans="1:18">
      <c r="B13" s="16" t="s">
        <v>495</v>
      </c>
      <c r="C13" s="31"/>
      <c r="D13" s="31"/>
      <c r="E13" s="329">
        <f>(E8-D8)/D8</f>
        <v>0.39732077138230532</v>
      </c>
      <c r="F13" s="329">
        <f t="shared" ref="F13:R13" si="17">(F8-E8)/E8</f>
        <v>0.22387273493468185</v>
      </c>
      <c r="G13" s="329">
        <f t="shared" si="17"/>
        <v>-7.6533606704907386E-2</v>
      </c>
      <c r="H13" s="329">
        <f t="shared" si="17"/>
        <v>0.11179845263416577</v>
      </c>
      <c r="I13" s="329">
        <f t="shared" si="17"/>
        <v>0.10947383804379036</v>
      </c>
      <c r="J13" s="329">
        <f t="shared" si="17"/>
        <v>0.10947383804379034</v>
      </c>
      <c r="K13" s="329">
        <f t="shared" si="17"/>
        <v>0.1094738380437902</v>
      </c>
      <c r="L13" s="329">
        <f t="shared" si="17"/>
        <v>0.10947383804379046</v>
      </c>
      <c r="M13" s="329">
        <f t="shared" si="17"/>
        <v>0.10947383804379025</v>
      </c>
      <c r="N13" s="329">
        <f t="shared" si="17"/>
        <v>0.10947383804379052</v>
      </c>
      <c r="O13" s="329">
        <f t="shared" si="17"/>
        <v>0.10947383804379039</v>
      </c>
      <c r="P13" s="329">
        <f t="shared" si="17"/>
        <v>0.10947383804379018</v>
      </c>
      <c r="Q13" s="329">
        <f t="shared" si="17"/>
        <v>0.10947383804379029</v>
      </c>
      <c r="R13" s="329">
        <f t="shared" si="17"/>
        <v>0.10947383804379028</v>
      </c>
    </row>
    <row r="14" spans="1:18">
      <c r="B14" s="16" t="s">
        <v>496</v>
      </c>
      <c r="C14" s="31"/>
      <c r="D14" s="31"/>
      <c r="E14" s="329">
        <f t="shared" ref="E14:R14" si="18">(E9-D9)/D9</f>
        <v>0.29532347399074971</v>
      </c>
      <c r="F14" s="329">
        <f t="shared" si="18"/>
        <v>0.37099404893101168</v>
      </c>
      <c r="G14" s="329">
        <f t="shared" si="18"/>
        <v>0.28767563743931063</v>
      </c>
      <c r="H14" s="329">
        <f t="shared" si="18"/>
        <v>0.13310277666799841</v>
      </c>
      <c r="I14" s="329">
        <f t="shared" si="18"/>
        <v>0.10947383804379049</v>
      </c>
      <c r="J14" s="329">
        <f t="shared" si="18"/>
        <v>0.10947383804379035</v>
      </c>
      <c r="K14" s="329">
        <f t="shared" si="18"/>
        <v>0.10947383804379014</v>
      </c>
      <c r="L14" s="329">
        <f t="shared" si="18"/>
        <v>0.10947383804379052</v>
      </c>
      <c r="M14" s="329">
        <f t="shared" si="18"/>
        <v>0.1094738380437902</v>
      </c>
      <c r="N14" s="329">
        <f t="shared" si="18"/>
        <v>0.10947383804379056</v>
      </c>
      <c r="O14" s="329">
        <f t="shared" si="18"/>
        <v>0.10947383804379043</v>
      </c>
      <c r="P14" s="329">
        <f t="shared" si="18"/>
        <v>0.1094738380437901</v>
      </c>
      <c r="Q14" s="329">
        <f t="shared" si="18"/>
        <v>0.10947383804379035</v>
      </c>
      <c r="R14" s="329">
        <f t="shared" si="18"/>
        <v>0.10947383804379034</v>
      </c>
    </row>
    <row r="15" spans="1:18">
      <c r="B15" s="21" t="s">
        <v>509</v>
      </c>
      <c r="C15" s="21"/>
      <c r="D15" s="21"/>
      <c r="E15" s="330">
        <f>SUM(E12:E14)</f>
        <v>1.0762470397257924</v>
      </c>
      <c r="F15" s="330">
        <f t="shared" ref="F15:H15" si="19">SUM(F12:F14)</f>
        <v>0.77918467519893087</v>
      </c>
      <c r="G15" s="330">
        <f t="shared" si="19"/>
        <v>0.33995814606032981</v>
      </c>
      <c r="H15" s="330">
        <f t="shared" si="19"/>
        <v>0.36186969834103971</v>
      </c>
      <c r="I15" s="330">
        <f t="shared" ref="I15" si="20">SUM(I12:I14)</f>
        <v>0.32842151413137111</v>
      </c>
      <c r="J15" s="330">
        <f t="shared" ref="J15" si="21">SUM(J12:J14)</f>
        <v>0.328421514131371</v>
      </c>
      <c r="K15" s="330">
        <f t="shared" ref="K15" si="22">SUM(K12:K14)</f>
        <v>0.32842151413137055</v>
      </c>
      <c r="L15" s="330">
        <f t="shared" ref="L15" si="23">SUM(L12:L14)</f>
        <v>0.32842151413137138</v>
      </c>
      <c r="M15" s="330">
        <f t="shared" ref="M15" si="24">SUM(M12:M14)</f>
        <v>0.32842151413137083</v>
      </c>
      <c r="N15" s="330">
        <f t="shared" ref="N15" si="25">SUM(N12:N14)</f>
        <v>0.32842151413137155</v>
      </c>
      <c r="O15" s="330">
        <f t="shared" ref="O15" si="26">SUM(O12:O14)</f>
        <v>0.32842151413137111</v>
      </c>
      <c r="P15" s="330">
        <f t="shared" ref="P15" si="27">SUM(P12:P14)</f>
        <v>0.32842151413137044</v>
      </c>
      <c r="Q15" s="330">
        <f t="shared" ref="Q15" si="28">SUM(Q12:Q14)</f>
        <v>0.32842151413137116</v>
      </c>
      <c r="R15" s="330">
        <f t="shared" ref="R15" si="29">SUM(R12:R14)</f>
        <v>0.32842151413137083</v>
      </c>
    </row>
    <row r="16" spans="1:18">
      <c r="B16" s="338" t="s">
        <v>497</v>
      </c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</row>
    <row r="17" spans="2:26">
      <c r="B17" s="334" t="s">
        <v>498</v>
      </c>
      <c r="C17" s="19"/>
      <c r="D17" s="336">
        <v>141247</v>
      </c>
      <c r="E17" s="336">
        <v>197346</v>
      </c>
      <c r="F17" s="336">
        <v>222075</v>
      </c>
      <c r="G17" s="336">
        <v>220004</v>
      </c>
      <c r="H17" s="336">
        <v>231872</v>
      </c>
      <c r="I17" s="329"/>
      <c r="J17" s="329"/>
      <c r="K17" s="19"/>
      <c r="L17" s="19"/>
      <c r="M17" s="19"/>
      <c r="N17" s="19"/>
      <c r="O17" s="19"/>
      <c r="P17" s="19"/>
      <c r="Q17" s="19"/>
      <c r="R17" s="19"/>
    </row>
    <row r="18" spans="2:26">
      <c r="B18" s="334" t="s">
        <v>499</v>
      </c>
      <c r="C18" s="19"/>
      <c r="D18" s="336">
        <v>17192</v>
      </c>
      <c r="E18" s="336">
        <v>16227</v>
      </c>
      <c r="F18" s="336">
        <v>17075</v>
      </c>
      <c r="G18" s="336">
        <v>18963</v>
      </c>
      <c r="H18" s="336">
        <v>20030</v>
      </c>
      <c r="I18" s="329"/>
      <c r="J18" s="329"/>
      <c r="K18" s="19"/>
      <c r="L18" s="19"/>
      <c r="M18" s="19"/>
      <c r="N18" s="19"/>
      <c r="O18" s="19"/>
      <c r="P18" s="19"/>
      <c r="Q18" s="19"/>
      <c r="R18" s="19"/>
    </row>
    <row r="19" spans="2:26">
      <c r="B19" s="334" t="s">
        <v>500</v>
      </c>
      <c r="C19" s="19"/>
      <c r="D19" s="336">
        <v>53762</v>
      </c>
      <c r="E19" s="336">
        <v>80461</v>
      </c>
      <c r="F19" s="336">
        <v>103366</v>
      </c>
      <c r="G19" s="336">
        <v>117716</v>
      </c>
      <c r="H19" s="336">
        <v>140053</v>
      </c>
      <c r="I19" s="329"/>
      <c r="J19" s="329"/>
      <c r="K19" s="19"/>
      <c r="L19" s="19"/>
      <c r="M19" s="19"/>
      <c r="N19" s="19"/>
      <c r="O19" s="19"/>
      <c r="P19" s="19"/>
      <c r="Q19" s="19"/>
      <c r="R19" s="19"/>
    </row>
    <row r="20" spans="2:26">
      <c r="B20" s="334" t="s">
        <v>501</v>
      </c>
      <c r="C20" s="19"/>
      <c r="D20" s="336">
        <v>19210</v>
      </c>
      <c r="E20" s="336">
        <v>25207</v>
      </c>
      <c r="F20" s="336">
        <v>31768</v>
      </c>
      <c r="G20" s="336">
        <v>35218</v>
      </c>
      <c r="H20" s="336">
        <v>46906</v>
      </c>
      <c r="I20" s="329"/>
      <c r="J20" s="329"/>
      <c r="K20" s="19"/>
      <c r="L20" s="19"/>
      <c r="M20" s="19"/>
      <c r="N20" s="19"/>
      <c r="O20" s="19"/>
      <c r="P20" s="19"/>
      <c r="Q20" s="19"/>
      <c r="R20" s="19"/>
      <c r="X20" t="s">
        <v>521</v>
      </c>
      <c r="Z20" t="s">
        <v>522</v>
      </c>
    </row>
    <row r="21" spans="2:26">
      <c r="B21" s="334" t="s">
        <v>502</v>
      </c>
      <c r="C21" s="19"/>
      <c r="D21" s="336">
        <v>12625</v>
      </c>
      <c r="E21" s="336">
        <v>19773</v>
      </c>
      <c r="F21" s="336">
        <v>31160</v>
      </c>
      <c r="G21" s="336">
        <v>37739</v>
      </c>
      <c r="H21" s="336">
        <v>40209</v>
      </c>
      <c r="I21" s="329"/>
      <c r="J21" s="329"/>
      <c r="K21" s="19"/>
      <c r="L21" s="19"/>
      <c r="M21" s="19"/>
      <c r="N21" s="19"/>
      <c r="O21" s="19"/>
      <c r="P21" s="19"/>
      <c r="Q21" s="19"/>
      <c r="R21" s="19"/>
      <c r="X21" s="340">
        <v>0.17199999999999999</v>
      </c>
      <c r="Z21" s="340">
        <v>8.5000000000000006E-2</v>
      </c>
    </row>
    <row r="22" spans="2:26">
      <c r="B22" s="334" t="s">
        <v>496</v>
      </c>
      <c r="C22" s="19"/>
      <c r="D22" s="336">
        <v>35026</v>
      </c>
      <c r="E22" s="336">
        <v>45370</v>
      </c>
      <c r="F22" s="336">
        <v>62202</v>
      </c>
      <c r="G22" s="336">
        <v>80096</v>
      </c>
      <c r="H22" s="336">
        <v>90757</v>
      </c>
      <c r="I22" s="329"/>
      <c r="J22" s="329"/>
      <c r="K22" s="19"/>
      <c r="L22" s="19"/>
      <c r="M22" s="19"/>
      <c r="N22" s="19"/>
      <c r="O22" s="19"/>
      <c r="P22" s="19"/>
      <c r="Q22" s="19"/>
      <c r="R22" s="19"/>
    </row>
    <row r="23" spans="2:26">
      <c r="B23" s="334" t="s">
        <v>153</v>
      </c>
      <c r="C23" s="19"/>
      <c r="D23" s="336">
        <v>1460</v>
      </c>
      <c r="E23" s="336">
        <v>1680</v>
      </c>
      <c r="F23" s="336">
        <v>2176</v>
      </c>
      <c r="G23" s="336">
        <v>4247</v>
      </c>
      <c r="H23" s="336">
        <v>4958</v>
      </c>
      <c r="I23" s="329"/>
      <c r="J23" s="329"/>
      <c r="K23" s="19"/>
      <c r="L23" s="19"/>
      <c r="M23" s="19"/>
      <c r="N23" s="19"/>
      <c r="O23" s="19"/>
      <c r="P23" s="19"/>
      <c r="Q23" s="19"/>
      <c r="R23" s="19"/>
    </row>
    <row r="24" spans="2:26">
      <c r="B24" s="28" t="s">
        <v>509</v>
      </c>
      <c r="C24" s="28"/>
      <c r="D24" s="28">
        <f>SUM(D17:D23)</f>
        <v>280522</v>
      </c>
      <c r="E24" s="28">
        <f t="shared" ref="E24:H24" si="30">SUM(E17:E23)</f>
        <v>386064</v>
      </c>
      <c r="F24" s="28">
        <f t="shared" si="30"/>
        <v>469822</v>
      </c>
      <c r="G24" s="28">
        <f t="shared" si="30"/>
        <v>513983</v>
      </c>
      <c r="H24" s="28">
        <f t="shared" si="30"/>
        <v>574785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2:26">
      <c r="B25" s="338" t="s">
        <v>493</v>
      </c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</row>
    <row r="26" spans="2:26">
      <c r="B26" s="334" t="s">
        <v>503</v>
      </c>
      <c r="C26" s="19"/>
      <c r="D26" s="336">
        <v>193636</v>
      </c>
      <c r="E26" s="336">
        <v>263520</v>
      </c>
      <c r="F26" s="336">
        <v>314006</v>
      </c>
      <c r="G26" s="336">
        <v>356113</v>
      </c>
      <c r="H26" s="336">
        <v>395637</v>
      </c>
      <c r="I26" s="329"/>
      <c r="J26" s="329"/>
      <c r="K26" s="19"/>
      <c r="L26" s="19"/>
      <c r="M26" s="19"/>
      <c r="N26" s="19"/>
      <c r="O26" s="19"/>
      <c r="P26" s="19"/>
      <c r="Q26" s="19"/>
      <c r="R26" s="19"/>
    </row>
    <row r="27" spans="2:26">
      <c r="B27" s="334" t="s">
        <v>504</v>
      </c>
      <c r="C27" s="19"/>
      <c r="D27" s="336">
        <v>22232</v>
      </c>
      <c r="E27" s="336">
        <v>29565</v>
      </c>
      <c r="F27" s="336">
        <v>37326</v>
      </c>
      <c r="G27" s="336">
        <v>33598</v>
      </c>
      <c r="H27" s="336">
        <v>37588</v>
      </c>
      <c r="I27" s="329"/>
      <c r="J27" s="329"/>
      <c r="K27" s="19"/>
      <c r="L27" s="19"/>
      <c r="M27" s="19"/>
      <c r="N27" s="19"/>
      <c r="O27" s="19"/>
      <c r="P27" s="19"/>
      <c r="Q27" s="19"/>
      <c r="R27" s="19"/>
    </row>
    <row r="28" spans="2:26">
      <c r="B28" s="334" t="s">
        <v>505</v>
      </c>
      <c r="C28" s="19"/>
      <c r="D28" s="336">
        <v>17527</v>
      </c>
      <c r="E28" s="336">
        <v>26483</v>
      </c>
      <c r="F28" s="336">
        <v>31914</v>
      </c>
      <c r="G28" s="336">
        <v>30074</v>
      </c>
      <c r="H28" s="336">
        <v>33591</v>
      </c>
      <c r="I28" s="329"/>
      <c r="J28" s="329"/>
      <c r="K28" s="19"/>
      <c r="L28" s="19"/>
      <c r="M28" s="19"/>
      <c r="N28" s="19"/>
      <c r="O28" s="19"/>
      <c r="P28" s="19"/>
      <c r="Q28" s="19"/>
      <c r="R28" s="19"/>
    </row>
    <row r="29" spans="2:26">
      <c r="B29" s="334" t="s">
        <v>506</v>
      </c>
      <c r="C29" s="19"/>
      <c r="D29" s="336">
        <v>16002</v>
      </c>
      <c r="E29" s="336">
        <v>20461</v>
      </c>
      <c r="F29" s="336">
        <v>23071</v>
      </c>
      <c r="G29" s="336">
        <v>24396</v>
      </c>
      <c r="H29" s="336">
        <v>26002</v>
      </c>
      <c r="I29" s="329"/>
      <c r="J29" s="329"/>
      <c r="K29" s="19"/>
      <c r="L29" s="19"/>
      <c r="M29" s="19"/>
      <c r="N29" s="19"/>
      <c r="O29" s="19"/>
      <c r="P29" s="19"/>
      <c r="Q29" s="19"/>
      <c r="R29" s="19"/>
    </row>
    <row r="30" spans="2:26">
      <c r="B30" s="334" t="s">
        <v>494</v>
      </c>
      <c r="C30" s="19"/>
      <c r="D30" s="336">
        <v>31125</v>
      </c>
      <c r="E30" s="336">
        <v>46035</v>
      </c>
      <c r="F30" s="336">
        <v>63505</v>
      </c>
      <c r="G30" s="336">
        <v>69802</v>
      </c>
      <c r="H30" s="336">
        <v>81967</v>
      </c>
      <c r="I30" s="329"/>
      <c r="J30" s="329"/>
      <c r="K30" s="19"/>
      <c r="L30" s="19"/>
      <c r="M30" s="19"/>
      <c r="N30" s="19"/>
      <c r="O30" s="19"/>
      <c r="P30" s="19"/>
      <c r="Q30" s="19"/>
      <c r="R30" s="19"/>
    </row>
    <row r="31" spans="2:26">
      <c r="B31" s="28" t="s">
        <v>492</v>
      </c>
      <c r="C31" s="28"/>
      <c r="D31" s="28">
        <f>SUM(D26:D30)</f>
        <v>280522</v>
      </c>
      <c r="E31" s="28">
        <f t="shared" ref="E31:H31" si="31">SUM(E26:E30)</f>
        <v>386064</v>
      </c>
      <c r="F31" s="28">
        <f t="shared" si="31"/>
        <v>469822</v>
      </c>
      <c r="G31" s="28">
        <f t="shared" si="31"/>
        <v>513983</v>
      </c>
      <c r="H31" s="28">
        <f t="shared" si="31"/>
        <v>574785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2:26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>
      <c r="B33" s="328" t="s">
        <v>510</v>
      </c>
      <c r="C33" s="328"/>
      <c r="D33" s="328"/>
      <c r="E33" s="328"/>
      <c r="F33" s="328"/>
      <c r="G33" s="328"/>
      <c r="H33" s="328"/>
      <c r="I33" s="328"/>
      <c r="J33" s="328"/>
      <c r="K33" s="328"/>
      <c r="L33" s="328"/>
      <c r="M33" s="328"/>
      <c r="N33" s="328"/>
      <c r="O33" s="328"/>
      <c r="P33" s="328"/>
      <c r="Q33" s="328"/>
      <c r="R33" s="328"/>
    </row>
    <row r="34" spans="2:18">
      <c r="B34" s="16" t="s">
        <v>508</v>
      </c>
      <c r="C34" s="31"/>
      <c r="D34" s="12">
        <f>D7</f>
        <v>170773</v>
      </c>
      <c r="E34" s="12">
        <f t="shared" ref="E34:H34" si="32">E7</f>
        <v>236282</v>
      </c>
      <c r="F34" s="12">
        <f t="shared" si="32"/>
        <v>279833</v>
      </c>
      <c r="G34" s="12">
        <f t="shared" si="32"/>
        <v>315880</v>
      </c>
      <c r="H34" s="336">
        <f t="shared" si="32"/>
        <v>352828</v>
      </c>
      <c r="I34" s="341">
        <f>I40*I37</f>
        <v>391453.43532931444</v>
      </c>
      <c r="J34" s="341">
        <f t="shared" ref="J34:R34" si="33">J40*J37</f>
        <v>434307.34531024116</v>
      </c>
      <c r="K34" s="341">
        <f t="shared" si="33"/>
        <v>481852.63729196298</v>
      </c>
      <c r="L34" s="341">
        <f t="shared" si="33"/>
        <v>534602.89486783661</v>
      </c>
      <c r="M34" s="341">
        <f t="shared" si="33"/>
        <v>593127.92559833964</v>
      </c>
      <c r="N34" s="341">
        <f t="shared" si="33"/>
        <v>658059.91606454167</v>
      </c>
      <c r="O34" s="341">
        <f t="shared" si="33"/>
        <v>730100.26073890156</v>
      </c>
      <c r="P34" s="341">
        <f t="shared" si="33"/>
        <v>810027.138438761</v>
      </c>
      <c r="Q34" s="341">
        <f t="shared" si="33"/>
        <v>898703.91820328101</v>
      </c>
      <c r="R34" s="341">
        <f t="shared" si="33"/>
        <v>997088.48539398669</v>
      </c>
    </row>
    <row r="35" spans="2:18">
      <c r="B35" s="16" t="s">
        <v>495</v>
      </c>
      <c r="C35" s="31"/>
      <c r="D35" s="12">
        <f t="shared" ref="D35:H35" si="34">D8</f>
        <v>74723</v>
      </c>
      <c r="E35" s="12">
        <f t="shared" si="34"/>
        <v>104412</v>
      </c>
      <c r="F35" s="12">
        <f t="shared" si="34"/>
        <v>127787</v>
      </c>
      <c r="G35" s="12">
        <f t="shared" si="34"/>
        <v>118007</v>
      </c>
      <c r="H35" s="336">
        <f t="shared" si="34"/>
        <v>131200</v>
      </c>
      <c r="I35" s="341">
        <f>I37*I41</f>
        <v>145562.9675513453</v>
      </c>
      <c r="J35" s="341">
        <f t="shared" ref="J35:R35" si="35">J37*J41</f>
        <v>161498.30428623478</v>
      </c>
      <c r="K35" s="341">
        <f t="shared" si="35"/>
        <v>179178.14349401279</v>
      </c>
      <c r="L35" s="341">
        <f t="shared" si="35"/>
        <v>198793.4625558634</v>
      </c>
      <c r="M35" s="341">
        <f t="shared" si="35"/>
        <v>220556.14587986827</v>
      </c>
      <c r="N35" s="341">
        <f t="shared" si="35"/>
        <v>244701.27367348361</v>
      </c>
      <c r="O35" s="341">
        <f t="shared" si="35"/>
        <v>271489.66127672378</v>
      </c>
      <c r="P35" s="341">
        <f t="shared" si="35"/>
        <v>301210.6764858953</v>
      </c>
      <c r="Q35" s="341">
        <f t="shared" si="35"/>
        <v>334185.36530057271</v>
      </c>
      <c r="R35" s="341">
        <f t="shared" si="35"/>
        <v>370769.9198580925</v>
      </c>
    </row>
    <row r="36" spans="2:18">
      <c r="B36" s="16" t="s">
        <v>496</v>
      </c>
      <c r="C36" s="31"/>
      <c r="D36" s="12">
        <f t="shared" ref="D36:H36" si="36">D9</f>
        <v>35026</v>
      </c>
      <c r="E36" s="12">
        <f t="shared" si="36"/>
        <v>45370</v>
      </c>
      <c r="F36" s="12">
        <f t="shared" si="36"/>
        <v>62202</v>
      </c>
      <c r="G36" s="12">
        <f t="shared" si="36"/>
        <v>80096</v>
      </c>
      <c r="H36" s="336">
        <f t="shared" si="36"/>
        <v>90757</v>
      </c>
      <c r="I36" s="341">
        <f>I42*I37</f>
        <v>100692.51711934029</v>
      </c>
      <c r="J36" s="341">
        <f t="shared" ref="J36:R36" si="37">J42*J37</f>
        <v>111715.71343068454</v>
      </c>
      <c r="K36" s="341">
        <f t="shared" si="37"/>
        <v>123945.66134974177</v>
      </c>
      <c r="L36" s="341">
        <f t="shared" si="37"/>
        <v>137514.46860657391</v>
      </c>
      <c r="M36" s="341">
        <f t="shared" si="37"/>
        <v>152568.70527148785</v>
      </c>
      <c r="N36" s="341">
        <f t="shared" si="37"/>
        <v>169270.98700292953</v>
      </c>
      <c r="O36" s="341">
        <f t="shared" si="37"/>
        <v>187801.73161960079</v>
      </c>
      <c r="P36" s="341">
        <f t="shared" si="37"/>
        <v>208361.1079712683</v>
      </c>
      <c r="Q36" s="341">
        <f t="shared" si="37"/>
        <v>231171.19815993964</v>
      </c>
      <c r="R36" s="341">
        <f t="shared" si="37"/>
        <v>256478.39646768983</v>
      </c>
    </row>
    <row r="37" spans="2:18">
      <c r="B37" s="21" t="s">
        <v>492</v>
      </c>
      <c r="C37" s="21"/>
      <c r="D37" s="335">
        <f t="shared" ref="D37:H37" si="38">D10</f>
        <v>280522</v>
      </c>
      <c r="E37" s="335">
        <f t="shared" si="38"/>
        <v>386064</v>
      </c>
      <c r="F37" s="335">
        <f t="shared" si="38"/>
        <v>469822</v>
      </c>
      <c r="G37" s="335">
        <f t="shared" si="38"/>
        <v>513983</v>
      </c>
      <c r="H37" s="335">
        <f t="shared" si="38"/>
        <v>574785</v>
      </c>
      <c r="I37" s="28">
        <f>(H34+H35)*(1+I53)+H36*(1+I52)</f>
        <v>637708.92000000004</v>
      </c>
      <c r="J37" s="28">
        <f t="shared" ref="J37:R37" si="39">(I34+I35)*(1+J53)+I36*(1+J52)</f>
        <v>707521.36302716052</v>
      </c>
      <c r="K37" s="28">
        <f t="shared" si="39"/>
        <v>784976.4421357176</v>
      </c>
      <c r="L37" s="28">
        <f t="shared" si="39"/>
        <v>870910.82603027392</v>
      </c>
      <c r="M37" s="28">
        <f t="shared" si="39"/>
        <v>966252.77674969577</v>
      </c>
      <c r="N37" s="28">
        <f t="shared" si="39"/>
        <v>1072032.1767409549</v>
      </c>
      <c r="O37" s="28">
        <f t="shared" si="39"/>
        <v>1189391.6536352262</v>
      </c>
      <c r="P37" s="28">
        <f t="shared" si="39"/>
        <v>1319598.9228959247</v>
      </c>
      <c r="Q37" s="28">
        <f t="shared" si="39"/>
        <v>1464060.4816637933</v>
      </c>
      <c r="R37" s="28">
        <f t="shared" si="39"/>
        <v>1624336.8017197691</v>
      </c>
    </row>
    <row r="38" spans="2:18">
      <c r="B38" s="19"/>
      <c r="C38" s="19"/>
      <c r="D38" s="19"/>
      <c r="E38" s="19"/>
      <c r="F38" s="19"/>
      <c r="G38" s="191"/>
      <c r="H38" s="191"/>
      <c r="I38" s="191"/>
      <c r="J38" s="191"/>
      <c r="K38" s="191"/>
      <c r="L38" s="191"/>
      <c r="M38" s="19"/>
      <c r="N38" s="19"/>
      <c r="O38" s="19"/>
      <c r="P38" s="19"/>
      <c r="Q38" s="19"/>
      <c r="R38" s="19"/>
    </row>
    <row r="39" spans="2:18">
      <c r="B39" s="19" t="s">
        <v>511</v>
      </c>
      <c r="C39" s="19"/>
      <c r="D39" s="19"/>
      <c r="E39" s="19"/>
      <c r="F39" s="19"/>
      <c r="G39" s="191"/>
      <c r="H39" s="191"/>
      <c r="I39" s="191"/>
      <c r="J39" s="191"/>
      <c r="K39" s="191"/>
      <c r="L39" s="191"/>
      <c r="M39" s="19"/>
      <c r="N39" s="19"/>
      <c r="O39" s="19"/>
      <c r="P39" s="19"/>
      <c r="Q39" s="19"/>
      <c r="R39" s="19"/>
    </row>
    <row r="40" spans="2:18">
      <c r="B40" s="16" t="s">
        <v>508</v>
      </c>
      <c r="C40" s="19"/>
      <c r="D40" s="337">
        <f>D34/D37</f>
        <v>0.60876865272598946</v>
      </c>
      <c r="E40" s="337">
        <f t="shared" ref="E40:H40" si="40">E34/E37</f>
        <v>0.61202805752414102</v>
      </c>
      <c r="F40" s="337">
        <f t="shared" si="40"/>
        <v>0.59561493501794294</v>
      </c>
      <c r="G40" s="337">
        <f t="shared" si="40"/>
        <v>0.61457285552245888</v>
      </c>
      <c r="H40" s="337">
        <f t="shared" si="40"/>
        <v>0.61384343711126765</v>
      </c>
      <c r="I40" s="337">
        <f>H40</f>
        <v>0.61384343711126765</v>
      </c>
      <c r="J40" s="337">
        <f t="shared" ref="J40:R40" si="41">I40</f>
        <v>0.61384343711126765</v>
      </c>
      <c r="K40" s="337">
        <f t="shared" si="41"/>
        <v>0.61384343711126765</v>
      </c>
      <c r="L40" s="337">
        <f t="shared" si="41"/>
        <v>0.61384343711126765</v>
      </c>
      <c r="M40" s="337">
        <f t="shared" si="41"/>
        <v>0.61384343711126765</v>
      </c>
      <c r="N40" s="337">
        <f t="shared" si="41"/>
        <v>0.61384343711126765</v>
      </c>
      <c r="O40" s="337">
        <f t="shared" si="41"/>
        <v>0.61384343711126765</v>
      </c>
      <c r="P40" s="337">
        <f t="shared" si="41"/>
        <v>0.61384343711126765</v>
      </c>
      <c r="Q40" s="337">
        <f t="shared" si="41"/>
        <v>0.61384343711126765</v>
      </c>
      <c r="R40" s="337">
        <f t="shared" si="41"/>
        <v>0.61384343711126765</v>
      </c>
    </row>
    <row r="41" spans="2:18">
      <c r="B41" s="16" t="s">
        <v>495</v>
      </c>
      <c r="C41" s="19"/>
      <c r="D41" s="337">
        <f>D35/D37</f>
        <v>0.26637126499882363</v>
      </c>
      <c r="E41" s="337">
        <f t="shared" ref="E41:H41" si="42">E35/E37</f>
        <v>0.27045256744995649</v>
      </c>
      <c r="F41" s="337">
        <f t="shared" si="42"/>
        <v>0.27199024311334929</v>
      </c>
      <c r="G41" s="337">
        <f t="shared" si="42"/>
        <v>0.22959319666214642</v>
      </c>
      <c r="H41" s="337">
        <f t="shared" si="42"/>
        <v>0.22825926215889419</v>
      </c>
      <c r="I41" s="337">
        <f>H41</f>
        <v>0.22825926215889419</v>
      </c>
      <c r="J41" s="337">
        <f t="shared" ref="J41:R41" si="43">I41</f>
        <v>0.22825926215889419</v>
      </c>
      <c r="K41" s="337">
        <f t="shared" si="43"/>
        <v>0.22825926215889419</v>
      </c>
      <c r="L41" s="337">
        <f t="shared" si="43"/>
        <v>0.22825926215889419</v>
      </c>
      <c r="M41" s="337">
        <f t="shared" si="43"/>
        <v>0.22825926215889419</v>
      </c>
      <c r="N41" s="337">
        <f t="shared" si="43"/>
        <v>0.22825926215889419</v>
      </c>
      <c r="O41" s="337">
        <f t="shared" si="43"/>
        <v>0.22825926215889419</v>
      </c>
      <c r="P41" s="337">
        <f t="shared" si="43"/>
        <v>0.22825926215889419</v>
      </c>
      <c r="Q41" s="337">
        <f t="shared" si="43"/>
        <v>0.22825926215889419</v>
      </c>
      <c r="R41" s="337">
        <f t="shared" si="43"/>
        <v>0.22825926215889419</v>
      </c>
    </row>
    <row r="42" spans="2:18">
      <c r="B42" s="16" t="s">
        <v>496</v>
      </c>
      <c r="C42" s="19"/>
      <c r="D42" s="337">
        <f>D36/D37</f>
        <v>0.12486008227518697</v>
      </c>
      <c r="E42" s="337">
        <f t="shared" ref="E42:H42" si="44">E36/E37</f>
        <v>0.11751937502590244</v>
      </c>
      <c r="F42" s="337">
        <f t="shared" si="44"/>
        <v>0.13239482186870771</v>
      </c>
      <c r="G42" s="337">
        <f t="shared" si="44"/>
        <v>0.15583394781539467</v>
      </c>
      <c r="H42" s="337">
        <f t="shared" si="44"/>
        <v>0.15789730072983812</v>
      </c>
      <c r="I42" s="337">
        <f>H42</f>
        <v>0.15789730072983812</v>
      </c>
      <c r="J42" s="337">
        <f t="shared" ref="J42:R42" si="45">I42</f>
        <v>0.15789730072983812</v>
      </c>
      <c r="K42" s="337">
        <f t="shared" si="45"/>
        <v>0.15789730072983812</v>
      </c>
      <c r="L42" s="337">
        <f t="shared" si="45"/>
        <v>0.15789730072983812</v>
      </c>
      <c r="M42" s="337">
        <f t="shared" si="45"/>
        <v>0.15789730072983812</v>
      </c>
      <c r="N42" s="337">
        <f t="shared" si="45"/>
        <v>0.15789730072983812</v>
      </c>
      <c r="O42" s="337">
        <f t="shared" si="45"/>
        <v>0.15789730072983812</v>
      </c>
      <c r="P42" s="337">
        <f t="shared" si="45"/>
        <v>0.15789730072983812</v>
      </c>
      <c r="Q42" s="337">
        <f t="shared" si="45"/>
        <v>0.15789730072983812</v>
      </c>
      <c r="R42" s="337">
        <f t="shared" si="45"/>
        <v>0.15789730072983812</v>
      </c>
    </row>
    <row r="43" spans="2:18">
      <c r="B43" s="21" t="s">
        <v>492</v>
      </c>
      <c r="C43" s="21"/>
      <c r="D43" s="331">
        <f>SUM(D40:D42)</f>
        <v>1</v>
      </c>
      <c r="E43" s="331">
        <f t="shared" ref="E43:H43" si="46">SUM(E40:E42)</f>
        <v>1</v>
      </c>
      <c r="F43" s="331">
        <f t="shared" si="46"/>
        <v>1</v>
      </c>
      <c r="G43" s="331">
        <f t="shared" si="46"/>
        <v>1</v>
      </c>
      <c r="H43" s="331">
        <f t="shared" si="46"/>
        <v>1</v>
      </c>
      <c r="I43" s="331">
        <f t="shared" ref="I43" si="47">SUM(I40:I42)</f>
        <v>1</v>
      </c>
      <c r="J43" s="331">
        <f t="shared" ref="J43" si="48">SUM(J40:J42)</f>
        <v>1</v>
      </c>
      <c r="K43" s="331">
        <f t="shared" ref="K43" si="49">SUM(K40:K42)</f>
        <v>1</v>
      </c>
      <c r="L43" s="331">
        <f t="shared" ref="L43" si="50">SUM(L40:L42)</f>
        <v>1</v>
      </c>
      <c r="M43" s="331">
        <f t="shared" ref="M43" si="51">SUM(M40:M42)</f>
        <v>1</v>
      </c>
      <c r="N43" s="331">
        <f t="shared" ref="N43" si="52">SUM(N40:N42)</f>
        <v>1</v>
      </c>
      <c r="O43" s="331">
        <f t="shared" ref="O43" si="53">SUM(O40:O42)</f>
        <v>1</v>
      </c>
      <c r="P43" s="331">
        <f t="shared" ref="P43" si="54">SUM(P40:P42)</f>
        <v>1</v>
      </c>
      <c r="Q43" s="331">
        <f t="shared" ref="Q43" si="55">SUM(Q40:Q42)</f>
        <v>1</v>
      </c>
      <c r="R43" s="331">
        <f t="shared" ref="R43" si="56">SUM(R40:R42)</f>
        <v>1</v>
      </c>
    </row>
    <row r="44" spans="2:18">
      <c r="B44" s="19"/>
      <c r="C44" s="19"/>
      <c r="D44" s="19"/>
      <c r="E44" s="19"/>
      <c r="F44" s="19"/>
      <c r="G44" s="19"/>
      <c r="H44" s="19"/>
      <c r="I44" s="19"/>
      <c r="J44" s="19"/>
      <c r="K44" s="191"/>
      <c r="L44" s="191"/>
      <c r="M44" s="19"/>
      <c r="N44" s="19"/>
      <c r="O44" s="19"/>
      <c r="P44" s="19"/>
      <c r="Q44" s="19"/>
      <c r="R44" s="19"/>
    </row>
    <row r="45" spans="2:18">
      <c r="B45" s="19" t="s">
        <v>215</v>
      </c>
      <c r="C45" s="19"/>
      <c r="D45" s="19"/>
      <c r="E45" s="19"/>
      <c r="F45" s="19"/>
      <c r="G45" s="19"/>
      <c r="H45" s="19"/>
      <c r="I45" s="19"/>
      <c r="J45" s="19"/>
      <c r="K45" s="191"/>
      <c r="L45" s="191"/>
      <c r="M45" s="19"/>
      <c r="N45" s="19"/>
      <c r="O45" s="19"/>
      <c r="P45" s="19"/>
      <c r="Q45" s="19"/>
      <c r="R45" s="19"/>
    </row>
    <row r="46" spans="2:18">
      <c r="B46" s="16" t="s">
        <v>508</v>
      </c>
      <c r="C46" s="31"/>
      <c r="D46" s="27"/>
      <c r="E46" s="27">
        <f>E34/D34-1</f>
        <v>0.38360279435273736</v>
      </c>
      <c r="F46" s="27">
        <f t="shared" ref="F46:R46" si="57">F34/E34-1</f>
        <v>0.1843178913332375</v>
      </c>
      <c r="G46" s="27">
        <f t="shared" si="57"/>
        <v>0.12881611532592663</v>
      </c>
      <c r="H46" s="27">
        <f t="shared" si="57"/>
        <v>0.11696846903887548</v>
      </c>
      <c r="I46" s="27">
        <f t="shared" si="57"/>
        <v>0.10947383804379029</v>
      </c>
      <c r="J46" s="27">
        <f t="shared" si="57"/>
        <v>0.10947383804379029</v>
      </c>
      <c r="K46" s="27">
        <f t="shared" si="57"/>
        <v>0.10947383804379029</v>
      </c>
      <c r="L46" s="27">
        <f t="shared" si="57"/>
        <v>0.10947383804379029</v>
      </c>
      <c r="M46" s="27">
        <f t="shared" si="57"/>
        <v>0.10947383804379029</v>
      </c>
      <c r="N46" s="27">
        <f t="shared" si="57"/>
        <v>0.10947383804379052</v>
      </c>
      <c r="O46" s="27">
        <f t="shared" si="57"/>
        <v>0.10947383804379029</v>
      </c>
      <c r="P46" s="27">
        <f t="shared" si="57"/>
        <v>0.10947383804379007</v>
      </c>
      <c r="Q46" s="27">
        <f t="shared" si="57"/>
        <v>0.10947383804379052</v>
      </c>
      <c r="R46" s="27">
        <f t="shared" si="57"/>
        <v>0.10947383804379029</v>
      </c>
    </row>
    <row r="47" spans="2:18">
      <c r="B47" s="16" t="s">
        <v>495</v>
      </c>
      <c r="C47" s="31"/>
      <c r="D47" s="27"/>
      <c r="E47" s="27">
        <f>E35/D35-1</f>
        <v>0.39732077138230526</v>
      </c>
      <c r="F47" s="27">
        <f t="shared" ref="F47:R47" si="58">F35/E35-1</f>
        <v>0.22387273493468185</v>
      </c>
      <c r="G47" s="27">
        <f t="shared" si="58"/>
        <v>-7.6533606704907386E-2</v>
      </c>
      <c r="H47" s="27">
        <f t="shared" si="58"/>
        <v>0.11179845263416577</v>
      </c>
      <c r="I47" s="27">
        <f t="shared" si="58"/>
        <v>0.10947383804379029</v>
      </c>
      <c r="J47" s="27">
        <f t="shared" si="58"/>
        <v>0.10947383804379029</v>
      </c>
      <c r="K47" s="27">
        <f t="shared" si="58"/>
        <v>0.10947383804379029</v>
      </c>
      <c r="L47" s="27">
        <f t="shared" si="58"/>
        <v>0.10947383804379052</v>
      </c>
      <c r="M47" s="27">
        <f t="shared" si="58"/>
        <v>0.10947383804379029</v>
      </c>
      <c r="N47" s="27">
        <f t="shared" si="58"/>
        <v>0.10947383804379052</v>
      </c>
      <c r="O47" s="27">
        <f t="shared" si="58"/>
        <v>0.10947383804379029</v>
      </c>
      <c r="P47" s="27">
        <f t="shared" si="58"/>
        <v>0.10947383804379007</v>
      </c>
      <c r="Q47" s="27">
        <f t="shared" si="58"/>
        <v>0.10947383804379029</v>
      </c>
      <c r="R47" s="27">
        <f t="shared" si="58"/>
        <v>0.10947383804379029</v>
      </c>
    </row>
    <row r="48" spans="2:18">
      <c r="B48" s="16" t="s">
        <v>496</v>
      </c>
      <c r="C48" s="31"/>
      <c r="D48" s="27"/>
      <c r="E48" s="27">
        <f>E36/D36-1</f>
        <v>0.29532347399074976</v>
      </c>
      <c r="F48" s="27">
        <f t="shared" ref="F48:R48" si="59">F36/E36-1</f>
        <v>0.37099404893101173</v>
      </c>
      <c r="G48" s="27">
        <f t="shared" si="59"/>
        <v>0.28767563743931057</v>
      </c>
      <c r="H48" s="27">
        <f t="shared" si="59"/>
        <v>0.13310277666799841</v>
      </c>
      <c r="I48" s="27">
        <f t="shared" si="59"/>
        <v>0.10947383804379052</v>
      </c>
      <c r="J48" s="27">
        <f t="shared" si="59"/>
        <v>0.10947383804379029</v>
      </c>
      <c r="K48" s="27">
        <f t="shared" si="59"/>
        <v>0.10947383804379007</v>
      </c>
      <c r="L48" s="27">
        <f t="shared" si="59"/>
        <v>0.10947383804379052</v>
      </c>
      <c r="M48" s="27">
        <f t="shared" si="59"/>
        <v>0.10947383804379029</v>
      </c>
      <c r="N48" s="27">
        <f t="shared" si="59"/>
        <v>0.10947383804379052</v>
      </c>
      <c r="O48" s="27">
        <f t="shared" si="59"/>
        <v>0.10947383804379052</v>
      </c>
      <c r="P48" s="27">
        <f t="shared" si="59"/>
        <v>0.10947383804379007</v>
      </c>
      <c r="Q48" s="27">
        <f t="shared" si="59"/>
        <v>0.10947383804379029</v>
      </c>
      <c r="R48" s="27">
        <f t="shared" si="59"/>
        <v>0.10947383804379029</v>
      </c>
    </row>
    <row r="49" spans="2:18">
      <c r="B49" s="18" t="s">
        <v>512</v>
      </c>
      <c r="C49" s="18"/>
      <c r="D49" s="331"/>
      <c r="E49" s="331">
        <f>E37/D37-1</f>
        <v>0.37623430604373276</v>
      </c>
      <c r="F49" s="331">
        <f t="shared" ref="F49:R49" si="60">F37/E37-1</f>
        <v>0.21695366571345676</v>
      </c>
      <c r="G49" s="331">
        <f t="shared" si="60"/>
        <v>9.399517263985091E-2</v>
      </c>
      <c r="H49" s="331">
        <f t="shared" si="60"/>
        <v>0.1182957412988368</v>
      </c>
      <c r="I49" s="331">
        <f t="shared" si="60"/>
        <v>0.10947383804379029</v>
      </c>
      <c r="J49" s="331">
        <f t="shared" si="60"/>
        <v>0.10947383804379029</v>
      </c>
      <c r="K49" s="331">
        <f t="shared" si="60"/>
        <v>0.10947383804379029</v>
      </c>
      <c r="L49" s="331">
        <f t="shared" si="60"/>
        <v>0.10947383804379029</v>
      </c>
      <c r="M49" s="331">
        <f t="shared" si="60"/>
        <v>0.10947383804379029</v>
      </c>
      <c r="N49" s="331">
        <f t="shared" si="60"/>
        <v>0.10947383804379052</v>
      </c>
      <c r="O49" s="331">
        <f t="shared" si="60"/>
        <v>0.10947383804379029</v>
      </c>
      <c r="P49" s="331">
        <f t="shared" si="60"/>
        <v>0.10947383804379007</v>
      </c>
      <c r="Q49" s="331">
        <f t="shared" si="60"/>
        <v>0.10947383804379029</v>
      </c>
      <c r="R49" s="331">
        <f t="shared" si="60"/>
        <v>0.10947383804379029</v>
      </c>
    </row>
    <row r="50" spans="2:18">
      <c r="B50" s="333"/>
      <c r="C50" s="333"/>
      <c r="D50" s="333"/>
      <c r="E50" s="333"/>
      <c r="F50" s="333"/>
      <c r="G50" s="329"/>
      <c r="H50" s="329"/>
      <c r="I50" s="329"/>
      <c r="J50" s="329"/>
      <c r="K50" s="329"/>
      <c r="L50" s="329"/>
      <c r="M50" s="19"/>
      <c r="N50" s="19"/>
      <c r="O50" s="19"/>
      <c r="P50" s="19"/>
      <c r="Q50" s="19"/>
      <c r="R50" s="19"/>
    </row>
    <row r="51" spans="2:18">
      <c r="B51" s="333" t="s">
        <v>523</v>
      </c>
      <c r="C51" s="333"/>
      <c r="D51" s="333"/>
      <c r="E51" s="333"/>
      <c r="F51" s="333"/>
      <c r="G51" s="329"/>
      <c r="H51" s="329"/>
      <c r="I51" s="329"/>
      <c r="J51" s="329"/>
      <c r="K51" s="329"/>
      <c r="L51" s="329"/>
      <c r="M51" s="19"/>
      <c r="N51" s="19"/>
      <c r="O51" s="19"/>
      <c r="P51" s="19"/>
      <c r="Q51" s="19"/>
      <c r="R51" s="19"/>
    </row>
    <row r="52" spans="2:18">
      <c r="B52" s="16" t="s">
        <v>524</v>
      </c>
      <c r="C52" s="333"/>
      <c r="D52" s="333"/>
      <c r="E52" s="333"/>
      <c r="F52" s="333"/>
      <c r="G52" s="329"/>
      <c r="H52" s="329"/>
      <c r="I52" s="27">
        <v>0.16</v>
      </c>
      <c r="J52" s="27">
        <f>I52</f>
        <v>0.16</v>
      </c>
      <c r="K52" s="27">
        <f t="shared" ref="K52:R52" si="61">J52</f>
        <v>0.16</v>
      </c>
      <c r="L52" s="27">
        <f t="shared" si="61"/>
        <v>0.16</v>
      </c>
      <c r="M52" s="27">
        <f t="shared" si="61"/>
        <v>0.16</v>
      </c>
      <c r="N52" s="27">
        <f t="shared" si="61"/>
        <v>0.16</v>
      </c>
      <c r="O52" s="27">
        <f t="shared" si="61"/>
        <v>0.16</v>
      </c>
      <c r="P52" s="27">
        <f t="shared" si="61"/>
        <v>0.16</v>
      </c>
      <c r="Q52" s="27">
        <f t="shared" si="61"/>
        <v>0.16</v>
      </c>
      <c r="R52" s="27">
        <f t="shared" si="61"/>
        <v>0.16</v>
      </c>
    </row>
    <row r="53" spans="2:18">
      <c r="B53" s="16" t="s">
        <v>525</v>
      </c>
      <c r="C53" s="333"/>
      <c r="D53" s="333"/>
      <c r="E53" s="333"/>
      <c r="F53" s="333"/>
      <c r="G53" s="329"/>
      <c r="H53" s="329"/>
      <c r="I53" s="27">
        <v>0.1</v>
      </c>
      <c r="J53" s="27">
        <f>I53</f>
        <v>0.1</v>
      </c>
      <c r="K53" s="27">
        <f t="shared" ref="K53:R53" si="62">J53</f>
        <v>0.1</v>
      </c>
      <c r="L53" s="27">
        <f t="shared" si="62"/>
        <v>0.1</v>
      </c>
      <c r="M53" s="27">
        <f t="shared" si="62"/>
        <v>0.1</v>
      </c>
      <c r="N53" s="27">
        <f t="shared" si="62"/>
        <v>0.1</v>
      </c>
      <c r="O53" s="27">
        <f t="shared" si="62"/>
        <v>0.1</v>
      </c>
      <c r="P53" s="27">
        <f t="shared" si="62"/>
        <v>0.1</v>
      </c>
      <c r="Q53" s="27">
        <f t="shared" si="62"/>
        <v>0.1</v>
      </c>
      <c r="R53" s="27">
        <f t="shared" si="62"/>
        <v>0.1</v>
      </c>
    </row>
    <row r="54" spans="2:18">
      <c r="B54" s="333"/>
      <c r="C54" s="333"/>
      <c r="D54" s="333"/>
      <c r="E54" s="333"/>
      <c r="F54" s="333"/>
      <c r="G54" s="329"/>
      <c r="H54" s="329"/>
      <c r="I54" s="329"/>
      <c r="J54" s="329"/>
      <c r="K54" s="329"/>
      <c r="L54" s="329"/>
      <c r="M54" s="19"/>
      <c r="N54" s="19"/>
      <c r="O54" s="19"/>
      <c r="P54" s="19"/>
      <c r="Q54" s="19"/>
      <c r="R54" s="19"/>
    </row>
    <row r="55" spans="2:18">
      <c r="B55" s="334" t="s">
        <v>498</v>
      </c>
      <c r="C55" s="31"/>
      <c r="D55" s="31"/>
      <c r="E55" s="27">
        <f>E17/D17-1</f>
        <v>0.39716949740525465</v>
      </c>
      <c r="F55" s="27">
        <f t="shared" ref="F55:H55" si="63">F17/E17-1</f>
        <v>0.12530783497005249</v>
      </c>
      <c r="G55" s="27">
        <f t="shared" si="63"/>
        <v>-9.3256782618484912E-3</v>
      </c>
      <c r="H55" s="27">
        <f t="shared" si="63"/>
        <v>5.3944473736841081E-2</v>
      </c>
      <c r="I55" s="27">
        <f>H55</f>
        <v>5.3944473736841081E-2</v>
      </c>
      <c r="J55" s="27">
        <f t="shared" ref="J55:R55" si="64">I55</f>
        <v>5.3944473736841081E-2</v>
      </c>
      <c r="K55" s="27">
        <f t="shared" si="64"/>
        <v>5.3944473736841081E-2</v>
      </c>
      <c r="L55" s="27">
        <f t="shared" si="64"/>
        <v>5.3944473736841081E-2</v>
      </c>
      <c r="M55" s="27">
        <f t="shared" si="64"/>
        <v>5.3944473736841081E-2</v>
      </c>
      <c r="N55" s="27">
        <f t="shared" si="64"/>
        <v>5.3944473736841081E-2</v>
      </c>
      <c r="O55" s="27">
        <f t="shared" si="64"/>
        <v>5.3944473736841081E-2</v>
      </c>
      <c r="P55" s="27">
        <f t="shared" si="64"/>
        <v>5.3944473736841081E-2</v>
      </c>
      <c r="Q55" s="27">
        <f t="shared" si="64"/>
        <v>5.3944473736841081E-2</v>
      </c>
      <c r="R55" s="27">
        <f t="shared" si="64"/>
        <v>5.3944473736841081E-2</v>
      </c>
    </row>
    <row r="56" spans="2:18">
      <c r="B56" s="334" t="s">
        <v>499</v>
      </c>
      <c r="C56" s="19"/>
      <c r="D56" s="19"/>
      <c r="E56" s="27">
        <f t="shared" ref="E56:H61" si="65">E18/D18-1</f>
        <v>-5.6130758492321964E-2</v>
      </c>
      <c r="F56" s="27">
        <f t="shared" si="65"/>
        <v>5.2258581376717794E-2</v>
      </c>
      <c r="G56" s="27">
        <f t="shared" si="65"/>
        <v>0.11057101024890192</v>
      </c>
      <c r="H56" s="27">
        <f t="shared" si="65"/>
        <v>5.6267468227601203E-2</v>
      </c>
      <c r="I56" s="27">
        <f t="shared" ref="I56:R61" si="66">H56</f>
        <v>5.6267468227601203E-2</v>
      </c>
      <c r="J56" s="27">
        <f t="shared" si="66"/>
        <v>5.6267468227601203E-2</v>
      </c>
      <c r="K56" s="27">
        <f t="shared" si="66"/>
        <v>5.6267468227601203E-2</v>
      </c>
      <c r="L56" s="27">
        <f t="shared" si="66"/>
        <v>5.6267468227601203E-2</v>
      </c>
      <c r="M56" s="27">
        <f t="shared" si="66"/>
        <v>5.6267468227601203E-2</v>
      </c>
      <c r="N56" s="27">
        <f t="shared" si="66"/>
        <v>5.6267468227601203E-2</v>
      </c>
      <c r="O56" s="27">
        <f t="shared" si="66"/>
        <v>5.6267468227601203E-2</v>
      </c>
      <c r="P56" s="27">
        <f t="shared" si="66"/>
        <v>5.6267468227601203E-2</v>
      </c>
      <c r="Q56" s="27">
        <f t="shared" si="66"/>
        <v>5.6267468227601203E-2</v>
      </c>
      <c r="R56" s="27">
        <f t="shared" si="66"/>
        <v>5.6267468227601203E-2</v>
      </c>
    </row>
    <row r="57" spans="2:18">
      <c r="B57" s="334" t="s">
        <v>500</v>
      </c>
      <c r="C57" s="19"/>
      <c r="D57" s="19"/>
      <c r="E57" s="27">
        <f t="shared" si="65"/>
        <v>0.49661470927420859</v>
      </c>
      <c r="F57" s="27">
        <f t="shared" si="65"/>
        <v>0.28467207715539211</v>
      </c>
      <c r="G57" s="27">
        <f t="shared" si="65"/>
        <v>0.13882708047133496</v>
      </c>
      <c r="H57" s="27">
        <f t="shared" si="65"/>
        <v>0.18975330456352579</v>
      </c>
      <c r="I57" s="27">
        <f t="shared" si="66"/>
        <v>0.18975330456352579</v>
      </c>
      <c r="J57" s="27">
        <f t="shared" si="66"/>
        <v>0.18975330456352579</v>
      </c>
      <c r="K57" s="27">
        <f t="shared" si="66"/>
        <v>0.18975330456352579</v>
      </c>
      <c r="L57" s="27">
        <f t="shared" si="66"/>
        <v>0.18975330456352579</v>
      </c>
      <c r="M57" s="27">
        <f t="shared" si="66"/>
        <v>0.18975330456352579</v>
      </c>
      <c r="N57" s="27">
        <f t="shared" si="66"/>
        <v>0.18975330456352579</v>
      </c>
      <c r="O57" s="27">
        <f t="shared" si="66"/>
        <v>0.18975330456352579</v>
      </c>
      <c r="P57" s="27">
        <f t="shared" si="66"/>
        <v>0.18975330456352579</v>
      </c>
      <c r="Q57" s="27">
        <f t="shared" si="66"/>
        <v>0.18975330456352579</v>
      </c>
      <c r="R57" s="27">
        <f t="shared" si="66"/>
        <v>0.18975330456352579</v>
      </c>
    </row>
    <row r="58" spans="2:18">
      <c r="B58" s="334" t="s">
        <v>501</v>
      </c>
      <c r="C58" s="19"/>
      <c r="D58" s="19"/>
      <c r="E58" s="27">
        <f t="shared" si="65"/>
        <v>0.31218115564810001</v>
      </c>
      <c r="F58" s="27">
        <f t="shared" si="65"/>
        <v>0.26028484151227826</v>
      </c>
      <c r="G58" s="27">
        <f t="shared" si="65"/>
        <v>0.10859984890455809</v>
      </c>
      <c r="H58" s="27">
        <f t="shared" si="65"/>
        <v>0.33187574535748765</v>
      </c>
      <c r="I58" s="27">
        <f t="shared" si="66"/>
        <v>0.33187574535748765</v>
      </c>
      <c r="J58" s="27">
        <f t="shared" si="66"/>
        <v>0.33187574535748765</v>
      </c>
      <c r="K58" s="27">
        <f t="shared" si="66"/>
        <v>0.33187574535748765</v>
      </c>
      <c r="L58" s="27">
        <f t="shared" si="66"/>
        <v>0.33187574535748765</v>
      </c>
      <c r="M58" s="27">
        <f t="shared" si="66"/>
        <v>0.33187574535748765</v>
      </c>
      <c r="N58" s="27">
        <f t="shared" si="66"/>
        <v>0.33187574535748765</v>
      </c>
      <c r="O58" s="27">
        <f t="shared" si="66"/>
        <v>0.33187574535748765</v>
      </c>
      <c r="P58" s="27">
        <f t="shared" si="66"/>
        <v>0.33187574535748765</v>
      </c>
      <c r="Q58" s="27">
        <f t="shared" si="66"/>
        <v>0.33187574535748765</v>
      </c>
      <c r="R58" s="27">
        <f t="shared" si="66"/>
        <v>0.33187574535748765</v>
      </c>
    </row>
    <row r="59" spans="2:18">
      <c r="B59" s="334" t="s">
        <v>502</v>
      </c>
      <c r="C59" s="19"/>
      <c r="D59" s="19"/>
      <c r="E59" s="27">
        <f t="shared" si="65"/>
        <v>0.56617821782178224</v>
      </c>
      <c r="F59" s="27">
        <f t="shared" si="65"/>
        <v>0.57588630961412024</v>
      </c>
      <c r="G59" s="27">
        <f t="shared" si="65"/>
        <v>0.21113607188703476</v>
      </c>
      <c r="H59" s="27">
        <f t="shared" si="65"/>
        <v>6.5449534963830436E-2</v>
      </c>
      <c r="I59" s="27">
        <f t="shared" si="66"/>
        <v>6.5449534963830436E-2</v>
      </c>
      <c r="J59" s="27">
        <f t="shared" si="66"/>
        <v>6.5449534963830436E-2</v>
      </c>
      <c r="K59" s="27">
        <f t="shared" si="66"/>
        <v>6.5449534963830436E-2</v>
      </c>
      <c r="L59" s="27">
        <f t="shared" si="66"/>
        <v>6.5449534963830436E-2</v>
      </c>
      <c r="M59" s="27">
        <f t="shared" si="66"/>
        <v>6.5449534963830436E-2</v>
      </c>
      <c r="N59" s="27">
        <f t="shared" si="66"/>
        <v>6.5449534963830436E-2</v>
      </c>
      <c r="O59" s="27">
        <f t="shared" si="66"/>
        <v>6.5449534963830436E-2</v>
      </c>
      <c r="P59" s="27">
        <f t="shared" si="66"/>
        <v>6.5449534963830436E-2</v>
      </c>
      <c r="Q59" s="27">
        <f t="shared" si="66"/>
        <v>6.5449534963830436E-2</v>
      </c>
      <c r="R59" s="27">
        <f t="shared" si="66"/>
        <v>6.5449534963830436E-2</v>
      </c>
    </row>
    <row r="60" spans="2:18">
      <c r="B60" s="334" t="s">
        <v>496</v>
      </c>
      <c r="C60" s="19"/>
      <c r="D60" s="19"/>
      <c r="E60" s="27">
        <f t="shared" si="65"/>
        <v>0.29532347399074976</v>
      </c>
      <c r="F60" s="27">
        <f t="shared" si="65"/>
        <v>0.37099404893101173</v>
      </c>
      <c r="G60" s="27">
        <f t="shared" si="65"/>
        <v>0.28767563743931057</v>
      </c>
      <c r="H60" s="27">
        <f t="shared" si="65"/>
        <v>0.13310277666799841</v>
      </c>
      <c r="I60" s="27">
        <f t="shared" si="66"/>
        <v>0.13310277666799841</v>
      </c>
      <c r="J60" s="27">
        <f t="shared" si="66"/>
        <v>0.13310277666799841</v>
      </c>
      <c r="K60" s="27">
        <f t="shared" si="66"/>
        <v>0.13310277666799841</v>
      </c>
      <c r="L60" s="27">
        <f t="shared" si="66"/>
        <v>0.13310277666799841</v>
      </c>
      <c r="M60" s="27">
        <f t="shared" si="66"/>
        <v>0.13310277666799841</v>
      </c>
      <c r="N60" s="27">
        <f t="shared" si="66"/>
        <v>0.13310277666799841</v>
      </c>
      <c r="O60" s="27">
        <f t="shared" si="66"/>
        <v>0.13310277666799841</v>
      </c>
      <c r="P60" s="27">
        <f t="shared" si="66"/>
        <v>0.13310277666799841</v>
      </c>
      <c r="Q60" s="27">
        <f t="shared" si="66"/>
        <v>0.13310277666799841</v>
      </c>
      <c r="R60" s="27">
        <f t="shared" si="66"/>
        <v>0.13310277666799841</v>
      </c>
    </row>
    <row r="61" spans="2:18">
      <c r="B61" s="334" t="s">
        <v>153</v>
      </c>
      <c r="C61" s="19"/>
      <c r="D61" s="19"/>
      <c r="E61" s="27">
        <f t="shared" si="65"/>
        <v>0.15068493150684925</v>
      </c>
      <c r="F61" s="27">
        <f t="shared" si="65"/>
        <v>0.2952380952380953</v>
      </c>
      <c r="G61" s="27">
        <f t="shared" si="65"/>
        <v>0.95174632352941169</v>
      </c>
      <c r="H61" s="27">
        <f t="shared" si="65"/>
        <v>0.16741229102896171</v>
      </c>
      <c r="I61" s="27">
        <f t="shared" si="66"/>
        <v>0.16741229102896171</v>
      </c>
      <c r="J61" s="27">
        <f t="shared" si="66"/>
        <v>0.16741229102896171</v>
      </c>
      <c r="K61" s="27">
        <f t="shared" si="66"/>
        <v>0.16741229102896171</v>
      </c>
      <c r="L61" s="27">
        <f t="shared" si="66"/>
        <v>0.16741229102896171</v>
      </c>
      <c r="M61" s="27">
        <f t="shared" si="66"/>
        <v>0.16741229102896171</v>
      </c>
      <c r="N61" s="27">
        <f t="shared" si="66"/>
        <v>0.16741229102896171</v>
      </c>
      <c r="O61" s="27">
        <f t="shared" si="66"/>
        <v>0.16741229102896171</v>
      </c>
      <c r="P61" s="27">
        <f t="shared" si="66"/>
        <v>0.16741229102896171</v>
      </c>
      <c r="Q61" s="27">
        <f t="shared" si="66"/>
        <v>0.16741229102896171</v>
      </c>
      <c r="R61" s="27">
        <f t="shared" si="66"/>
        <v>0.16741229102896171</v>
      </c>
    </row>
    <row r="62" spans="2:18">
      <c r="B62" s="16"/>
      <c r="C62" s="19"/>
      <c r="D62" s="19"/>
      <c r="E62" s="19"/>
      <c r="F62" s="19"/>
      <c r="G62" s="191"/>
      <c r="H62" s="191"/>
      <c r="I62" s="191"/>
      <c r="J62" s="191"/>
      <c r="K62" s="191"/>
      <c r="L62" s="191"/>
      <c r="M62" s="19"/>
      <c r="N62" s="19"/>
      <c r="O62" s="19"/>
      <c r="P62" s="19"/>
      <c r="Q62" s="19"/>
      <c r="R62" s="19"/>
    </row>
    <row r="63" spans="2:18">
      <c r="B63" t="s">
        <v>513</v>
      </c>
    </row>
    <row r="64" spans="2:18">
      <c r="B64" t="s">
        <v>514</v>
      </c>
    </row>
    <row r="65" spans="2:2">
      <c r="B65" t="s">
        <v>515</v>
      </c>
    </row>
    <row r="66" spans="2:2">
      <c r="B66" t="s">
        <v>516</v>
      </c>
    </row>
    <row r="67" spans="2:2">
      <c r="B67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7560-3602-47C0-85A8-D1F740AC635B}">
  <dimension ref="A1:T44"/>
  <sheetViews>
    <sheetView showGridLines="0" zoomScale="90" zoomScaleNormal="90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I7" sqref="I7"/>
    </sheetView>
  </sheetViews>
  <sheetFormatPr defaultRowHeight="15" outlineLevelCol="1"/>
  <cols>
    <col min="1" max="1" width="7" customWidth="1"/>
    <col min="2" max="2" width="82" bestFit="1" customWidth="1"/>
    <col min="3" max="7" width="4.85546875" hidden="1" customWidth="1" outlineLevel="1"/>
    <col min="8" max="8" width="7.85546875" bestFit="1" customWidth="1" collapsed="1"/>
    <col min="9" max="9" width="7.85546875" bestFit="1" customWidth="1"/>
    <col min="10" max="11" width="8.42578125" bestFit="1" customWidth="1"/>
    <col min="12" max="12" width="10.5703125" bestFit="1" customWidth="1"/>
  </cols>
  <sheetData>
    <row r="1" spans="1:20">
      <c r="A1" s="23" t="s">
        <v>187</v>
      </c>
    </row>
    <row r="2" spans="1:20">
      <c r="A2" s="4" t="s">
        <v>188</v>
      </c>
    </row>
    <row r="3" spans="1:20" ht="15.75" thickBot="1"/>
    <row r="4" spans="1:20" ht="15.75" thickBot="1">
      <c r="B4" s="126"/>
      <c r="C4" s="127">
        <v>2019</v>
      </c>
      <c r="D4" s="127">
        <f t="shared" ref="D4:H4" si="0">C4+1</f>
        <v>2020</v>
      </c>
      <c r="E4" s="127">
        <f t="shared" si="0"/>
        <v>2021</v>
      </c>
      <c r="F4" s="127">
        <f t="shared" si="0"/>
        <v>2022</v>
      </c>
      <c r="G4" s="127">
        <f t="shared" si="0"/>
        <v>2023</v>
      </c>
      <c r="H4" s="128">
        <f t="shared" si="0"/>
        <v>2024</v>
      </c>
      <c r="I4" s="128">
        <f t="shared" ref="I4" si="1">H4+1</f>
        <v>2025</v>
      </c>
      <c r="J4" s="128">
        <f t="shared" ref="J4" si="2">I4+1</f>
        <v>2026</v>
      </c>
      <c r="K4" s="128">
        <f t="shared" ref="K4" si="3">J4+1</f>
        <v>2027</v>
      </c>
      <c r="L4" s="128">
        <f t="shared" ref="L4" si="4">K4+1</f>
        <v>2028</v>
      </c>
      <c r="M4" s="128">
        <f t="shared" ref="M4" si="5">L4+1</f>
        <v>2029</v>
      </c>
      <c r="N4" s="128">
        <f t="shared" ref="N4" si="6">M4+1</f>
        <v>2030</v>
      </c>
      <c r="O4" s="128">
        <f t="shared" ref="O4" si="7">N4+1</f>
        <v>2031</v>
      </c>
      <c r="P4" s="128">
        <f t="shared" ref="P4" si="8">O4+1</f>
        <v>2032</v>
      </c>
      <c r="Q4" s="128">
        <f t="shared" ref="Q4" si="9">P4+1</f>
        <v>2033</v>
      </c>
    </row>
    <row r="5" spans="1:20">
      <c r="B5" t="s">
        <v>204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20"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20">
      <c r="B7" t="s">
        <v>2</v>
      </c>
      <c r="H7" s="29">
        <f ca="1">IS!H28</f>
        <v>34722.742187479693</v>
      </c>
      <c r="I7" s="29">
        <f ca="1">IS!I28</f>
        <v>40215.409300326573</v>
      </c>
      <c r="J7" s="29">
        <f ca="1">IS!J28</f>
        <v>46701.142476703179</v>
      </c>
      <c r="K7" s="29">
        <f ca="1">IS!K28</f>
        <v>53021.975161124836</v>
      </c>
      <c r="L7" s="29">
        <f ca="1">IS!L28</f>
        <v>59776.34046158674</v>
      </c>
      <c r="M7" s="29">
        <f ca="1">IS!M28</f>
        <v>67261.373381072292</v>
      </c>
      <c r="N7" s="29">
        <f ca="1">IS!N28</f>
        <v>75560.18696200788</v>
      </c>
      <c r="O7" s="29">
        <f ca="1">IS!O28</f>
        <v>84764.56419211952</v>
      </c>
      <c r="P7" s="29">
        <f ca="1">IS!P28</f>
        <v>94976.003016748451</v>
      </c>
      <c r="Q7" s="29">
        <f ca="1">IS!Q28</f>
        <v>106306.85771855222</v>
      </c>
    </row>
    <row r="8" spans="1:20" s="9" customFormat="1">
      <c r="A8"/>
      <c r="B8" t="s">
        <v>203</v>
      </c>
      <c r="C8" s="129"/>
      <c r="D8" s="129"/>
      <c r="E8" s="129"/>
      <c r="F8" s="129"/>
      <c r="G8" s="129"/>
    </row>
    <row r="9" spans="1:20">
      <c r="B9" s="16" t="s">
        <v>205</v>
      </c>
      <c r="C9" s="29"/>
      <c r="D9" s="29"/>
      <c r="E9" s="29"/>
      <c r="F9" s="29"/>
      <c r="G9" s="29"/>
      <c r="H9" s="265">
        <f>-'PP&amp;E'!H9-'PP&amp;E'!H23+BS!H24-BS!G24-'PP&amp;E'!H36</f>
        <v>61392.639716450489</v>
      </c>
      <c r="I9" s="265">
        <f>-'PP&amp;E'!I9-'PP&amp;E'!I23+BS!I24-BS!H24-'PP&amp;E'!I36</f>
        <v>67653.938363825902</v>
      </c>
      <c r="J9" s="265">
        <f>-'PP&amp;E'!J9-'PP&amp;E'!J23+BS!J24-BS!I24-'PP&amp;E'!J36</f>
        <v>74792.220029446849</v>
      </c>
      <c r="K9" s="265">
        <f>-'PP&amp;E'!K9-'PP&amp;E'!K23+BS!K24-BS!J24-'PP&amp;E'!K36</f>
        <v>82868.103518978693</v>
      </c>
      <c r="L9" s="265">
        <f>-'PP&amp;E'!L9-'PP&amp;E'!L23+BS!L24-BS!K24-'PP&amp;E'!L36</f>
        <v>91956.154216789859</v>
      </c>
      <c r="M9" s="265">
        <f>-'PP&amp;E'!M9-'PP&amp;E'!M23+BS!M24-BS!L24-'PP&amp;E'!M36</f>
        <v>102144.83546785562</v>
      </c>
      <c r="N9" s="265">
        <f>-'PP&amp;E'!N9-'PP&amp;E'!N23+BS!N24-BS!M24-'PP&amp;E'!N36</f>
        <v>113536.82169743063</v>
      </c>
      <c r="O9" s="265">
        <f>-'PP&amp;E'!O9-'PP&amp;E'!O23+BS!O24-BS!N24-'PP&amp;E'!O36</f>
        <v>126249.62325247758</v>
      </c>
      <c r="P9" s="265">
        <f>-'PP&amp;E'!P9-'PP&amp;E'!P23+BS!P24-BS!O24-'PP&amp;E'!P36</f>
        <v>140416.4903103165</v>
      </c>
      <c r="Q9" s="265">
        <f>-'PP&amp;E'!Q9-'PP&amp;E'!Q23+BS!Q24-BS!P24-'PP&amp;E'!Q36</f>
        <v>156187.57648907977</v>
      </c>
    </row>
    <row r="10" spans="1:20">
      <c r="B10" s="16" t="s">
        <v>206</v>
      </c>
      <c r="H10" s="29">
        <f>SH!H9</f>
        <v>26595.600000000002</v>
      </c>
      <c r="I10" s="29">
        <f>SH!I9</f>
        <v>29521.116000000009</v>
      </c>
      <c r="J10" s="29">
        <f>SH!J9</f>
        <v>32768.438760000012</v>
      </c>
      <c r="K10" s="29">
        <f>SH!K9</f>
        <v>36372.967023600017</v>
      </c>
      <c r="L10" s="29">
        <f>SH!L9</f>
        <v>40373.99339619602</v>
      </c>
      <c r="M10" s="29">
        <f>SH!M9</f>
        <v>44815.132669777588</v>
      </c>
      <c r="N10" s="29">
        <f>SH!N9</f>
        <v>49744.797263453125</v>
      </c>
      <c r="O10" s="29">
        <f>SH!O9</f>
        <v>55216.724962432978</v>
      </c>
      <c r="P10" s="29">
        <f>SH!P9</f>
        <v>61290.564708300604</v>
      </c>
      <c r="Q10" s="29">
        <f>SH!Q9</f>
        <v>68032.526826213681</v>
      </c>
    </row>
    <row r="11" spans="1:20">
      <c r="B11" s="16" t="s">
        <v>207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20">
      <c r="B12" s="16" t="s">
        <v>208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0">
      <c r="B13" t="s">
        <v>209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20">
      <c r="B14" s="16" t="s">
        <v>3</v>
      </c>
      <c r="H14" s="29">
        <f>BS!G10-BS!H10</f>
        <v>-3652.4860369988746</v>
      </c>
      <c r="I14" s="29">
        <f>BS!H10-BS!I10</f>
        <v>-4066.7534640698868</v>
      </c>
      <c r="J14" s="29">
        <f>BS!I10-BS!J10</f>
        <v>-4514.0963451175703</v>
      </c>
      <c r="K14" s="29">
        <f>BS!J10-BS!K10</f>
        <v>-5010.6469430805009</v>
      </c>
      <c r="L14" s="29">
        <f>BS!K10-BS!L10</f>
        <v>-5561.8181068193589</v>
      </c>
      <c r="M14" s="29">
        <f>BS!L10-BS!M10</f>
        <v>-6173.6180985694955</v>
      </c>
      <c r="N14" s="29">
        <f>BS!M10-BS!N10</f>
        <v>-6852.7160894121189</v>
      </c>
      <c r="O14" s="29">
        <f>BS!N10-BS!O10</f>
        <v>-7606.5148592474579</v>
      </c>
      <c r="P14" s="29">
        <f>BS!O10-BS!P10</f>
        <v>-8443.2314937646879</v>
      </c>
      <c r="Q14" s="29">
        <f>BS!P10-BS!Q10</f>
        <v>-9371.9869580788072</v>
      </c>
      <c r="T14" t="s">
        <v>484</v>
      </c>
    </row>
    <row r="15" spans="1:20">
      <c r="B15" s="16" t="s">
        <v>210</v>
      </c>
      <c r="H15" s="29">
        <f>BS!G11-BS!H11</f>
        <v>-5747.830000000009</v>
      </c>
      <c r="I15" s="29">
        <f>BS!H11-BS!I11</f>
        <v>-6380.0913000000073</v>
      </c>
      <c r="J15" s="29">
        <f>BS!I11-BS!J11</f>
        <v>-7081.901343000005</v>
      </c>
      <c r="K15" s="29">
        <f>BS!J11-BS!K11</f>
        <v>-7860.9104907300061</v>
      </c>
      <c r="L15" s="29">
        <f>BS!K11-BS!L11</f>
        <v>-8725.610644710323</v>
      </c>
      <c r="M15" s="29">
        <f>BS!L11-BS!M11</f>
        <v>-9685.4278156284417</v>
      </c>
      <c r="N15" s="29">
        <f>BS!M11-BS!N11</f>
        <v>-10750.824875347578</v>
      </c>
      <c r="O15" s="29">
        <f>BS!N11-BS!O11</f>
        <v>-11933.415611635806</v>
      </c>
      <c r="P15" s="29">
        <f>BS!O11-BS!P11</f>
        <v>-13246.091328915762</v>
      </c>
      <c r="Q15" s="29">
        <f>BS!P11-BS!Q11</f>
        <v>-14703.161375096475</v>
      </c>
    </row>
    <row r="16" spans="1:20">
      <c r="B16" s="16" t="s">
        <v>5</v>
      </c>
      <c r="H16" s="29">
        <f>BS!G16-BS!H16</f>
        <v>0</v>
      </c>
      <c r="I16" s="29">
        <f>BS!H16-BS!I16</f>
        <v>0</v>
      </c>
      <c r="J16" s="29">
        <f>BS!I16-BS!J16</f>
        <v>0</v>
      </c>
      <c r="K16" s="29">
        <f>BS!J16-BS!K16</f>
        <v>0</v>
      </c>
      <c r="L16" s="29">
        <f>BS!K16-BS!L16</f>
        <v>0</v>
      </c>
      <c r="M16" s="29">
        <f>BS!L16-BS!M16</f>
        <v>0</v>
      </c>
      <c r="N16" s="29">
        <f>BS!M16-BS!N16</f>
        <v>0</v>
      </c>
      <c r="O16" s="29">
        <f>BS!N16-BS!O16</f>
        <v>0</v>
      </c>
      <c r="P16" s="29">
        <f>BS!O16-BS!P16</f>
        <v>0</v>
      </c>
      <c r="Q16" s="29">
        <f>BS!P16-BS!Q16</f>
        <v>0</v>
      </c>
    </row>
    <row r="17" spans="2:17">
      <c r="B17" s="16" t="s">
        <v>211</v>
      </c>
      <c r="H17" s="29">
        <f>BS!H20-BS!G20</f>
        <v>9316.0428570202785</v>
      </c>
      <c r="I17" s="29">
        <f>BS!I20-BS!H20</f>
        <v>10372.674714272245</v>
      </c>
      <c r="J17" s="29">
        <f>BS!J20-BS!I20</f>
        <v>11513.668932842207</v>
      </c>
      <c r="K17" s="29">
        <f>BS!K20-BS!J20</f>
        <v>12780.172515454833</v>
      </c>
      <c r="L17" s="29">
        <f>BS!L20-BS!K20</f>
        <v>14185.991492154862</v>
      </c>
      <c r="M17" s="29">
        <f>BS!M20-BS!L20</f>
        <v>15746.450556291908</v>
      </c>
      <c r="N17" s="29">
        <f>BS!N20-BS!M20</f>
        <v>17478.560117483983</v>
      </c>
      <c r="O17" s="29">
        <f>BS!O20-BS!N20</f>
        <v>19401.201730407251</v>
      </c>
      <c r="P17" s="29">
        <f>BS!P20-BS!O20</f>
        <v>21535.333920752077</v>
      </c>
      <c r="Q17" s="29">
        <f>BS!Q20-BS!P20</f>
        <v>23904.220652034768</v>
      </c>
    </row>
    <row r="18" spans="2:17">
      <c r="B18" s="133" t="s">
        <v>212</v>
      </c>
      <c r="H18" s="29">
        <f>BS!H21-BS!G21</f>
        <v>7117.9900000000052</v>
      </c>
      <c r="I18" s="29">
        <f>BS!I21-BS!H21</f>
        <v>7900.9689000000217</v>
      </c>
      <c r="J18" s="29">
        <f>BS!J21-BS!I21</f>
        <v>8770.0754790000065</v>
      </c>
      <c r="K18" s="29">
        <f>BS!K21-BS!J21</f>
        <v>9734.7837816900137</v>
      </c>
      <c r="L18" s="29">
        <f>BS!L21-BS!K21</f>
        <v>10805.609997675914</v>
      </c>
      <c r="M18" s="29">
        <f>BS!M21-BS!L21</f>
        <v>11994.227097420269</v>
      </c>
      <c r="N18" s="29">
        <f>BS!N21-BS!M21</f>
        <v>13313.592078136484</v>
      </c>
      <c r="O18" s="29">
        <f>BS!O21-BS!N21</f>
        <v>14778.087206731521</v>
      </c>
      <c r="P18" s="29">
        <f>BS!P21-BS!O21</f>
        <v>16403.676799471985</v>
      </c>
      <c r="Q18" s="29">
        <f>BS!Q21-BS!P21</f>
        <v>18208.08124741388</v>
      </c>
    </row>
    <row r="19" spans="2:17">
      <c r="B19" s="133" t="s">
        <v>8</v>
      </c>
      <c r="H19" s="29">
        <f>BS!H22-BS!G22</f>
        <v>1674.9700000000048</v>
      </c>
      <c r="I19" s="29">
        <f>BS!I22-BS!H22</f>
        <v>1859.2167000000009</v>
      </c>
      <c r="J19" s="29">
        <f>BS!J22-BS!I22</f>
        <v>2063.7305370000031</v>
      </c>
      <c r="K19" s="29">
        <f>BS!K22-BS!J22</f>
        <v>2290.7408960700013</v>
      </c>
      <c r="L19" s="29">
        <f>BS!L22-BS!K22</f>
        <v>2542.7223946377053</v>
      </c>
      <c r="M19" s="29">
        <f>BS!M22-BS!L22</f>
        <v>2822.4218580478519</v>
      </c>
      <c r="N19" s="29">
        <f>BS!N22-BS!M22</f>
        <v>3132.8882624331127</v>
      </c>
      <c r="O19" s="29">
        <f>BS!O22-BS!N22</f>
        <v>3477.5059713007613</v>
      </c>
      <c r="P19" s="29">
        <f>BS!P22-BS!O22</f>
        <v>3860.0316281438354</v>
      </c>
      <c r="Q19" s="29">
        <f>BS!Q22-BS!P22</f>
        <v>4284.6351072396646</v>
      </c>
    </row>
    <row r="20" spans="2:17">
      <c r="B20" s="21" t="s">
        <v>179</v>
      </c>
      <c r="C20" s="21"/>
      <c r="D20" s="21"/>
      <c r="E20" s="21"/>
      <c r="F20" s="21"/>
      <c r="G20" s="21"/>
      <c r="H20" s="28">
        <f ca="1">SUM(H7:H19)</f>
        <v>131419.66872395162</v>
      </c>
      <c r="I20" s="28">
        <f t="shared" ref="I20:Q20" ca="1" si="10">SUM(I7:I19)</f>
        <v>147076.47921435488</v>
      </c>
      <c r="J20" s="28">
        <f t="shared" ca="1" si="10"/>
        <v>165013.27852687467</v>
      </c>
      <c r="K20" s="28">
        <f t="shared" ca="1" si="10"/>
        <v>184197.18546310786</v>
      </c>
      <c r="L20" s="28">
        <f t="shared" ca="1" si="10"/>
        <v>205353.38320751139</v>
      </c>
      <c r="M20" s="28">
        <f t="shared" ca="1" si="10"/>
        <v>228925.39511626764</v>
      </c>
      <c r="N20" s="28">
        <f t="shared" ca="1" si="10"/>
        <v>255163.30541618555</v>
      </c>
      <c r="O20" s="28">
        <f t="shared" ca="1" si="10"/>
        <v>284347.77684458636</v>
      </c>
      <c r="P20" s="28">
        <f t="shared" ca="1" si="10"/>
        <v>316792.77756105294</v>
      </c>
      <c r="Q20" s="28">
        <f t="shared" ca="1" si="10"/>
        <v>352848.74970735871</v>
      </c>
    </row>
    <row r="22" spans="2:17">
      <c r="B22" t="s">
        <v>193</v>
      </c>
      <c r="H22" s="29">
        <f>-'PP&amp;E'!H8-'PP&amp;E'!H35-'PP&amp;E'!H34</f>
        <v>-85729.74</v>
      </c>
      <c r="I22" s="29">
        <f>-'PP&amp;E'!I8-'PP&amp;E'!I35-'PP&amp;E'!I34</f>
        <v>-95160.011400000018</v>
      </c>
      <c r="J22" s="29">
        <f>-'PP&amp;E'!J8-'PP&amp;E'!J35-'PP&amp;E'!J34</f>
        <v>-105627.61265400004</v>
      </c>
      <c r="K22" s="29">
        <f>-'PP&amp;E'!K8-'PP&amp;E'!K35-'PP&amp;E'!K34</f>
        <v>-117246.65004594004</v>
      </c>
      <c r="L22" s="29">
        <f>-'PP&amp;E'!L8-'PP&amp;E'!L35-'PP&amp;E'!L34</f>
        <v>-130143.78155099347</v>
      </c>
      <c r="M22" s="29">
        <f>-'PP&amp;E'!M8-'PP&amp;E'!M35-'PP&amp;E'!M34</f>
        <v>-144459.59752160276</v>
      </c>
      <c r="N22" s="29">
        <f>-'PP&amp;E'!N8-'PP&amp;E'!N35-'PP&amp;E'!N34</f>
        <v>-160350.15324897907</v>
      </c>
      <c r="O22" s="29">
        <f>-'PP&amp;E'!O8-'PP&amp;E'!O35-'PP&amp;E'!O34</f>
        <v>-177988.6701063668</v>
      </c>
      <c r="P22" s="29">
        <f>-'PP&amp;E'!P8-'PP&amp;E'!P35-'PP&amp;E'!P34</f>
        <v>-197567.42381806715</v>
      </c>
      <c r="Q22" s="29">
        <f>-'PP&amp;E'!Q8-'PP&amp;E'!Q35-'PP&amp;E'!Q34</f>
        <v>-219299.84043805455</v>
      </c>
    </row>
    <row r="23" spans="2:17">
      <c r="B23" t="s">
        <v>180</v>
      </c>
      <c r="H23" s="29">
        <f>-'PP&amp;E'!H10</f>
        <v>5000</v>
      </c>
      <c r="I23" s="29">
        <f>-'PP&amp;E'!I10</f>
        <v>5000</v>
      </c>
      <c r="J23" s="29">
        <f>-'PP&amp;E'!J10</f>
        <v>5000</v>
      </c>
      <c r="K23" s="29">
        <f>-'PP&amp;E'!K10</f>
        <v>5000</v>
      </c>
      <c r="L23" s="29">
        <f>-'PP&amp;E'!L10</f>
        <v>5000</v>
      </c>
      <c r="M23" s="29">
        <f>-'PP&amp;E'!M10</f>
        <v>5000</v>
      </c>
      <c r="N23" s="29">
        <f>-'PP&amp;E'!N10</f>
        <v>5000</v>
      </c>
      <c r="O23" s="29">
        <f>-'PP&amp;E'!O10</f>
        <v>5000</v>
      </c>
      <c r="P23" s="29">
        <f>-'PP&amp;E'!P10</f>
        <v>5000</v>
      </c>
      <c r="Q23" s="29">
        <f>-'PP&amp;E'!Q10</f>
        <v>5000</v>
      </c>
    </row>
    <row r="24" spans="2:17">
      <c r="B24" t="s">
        <v>214</v>
      </c>
      <c r="H24" s="29">
        <f>-'PP&amp;E'!H22</f>
        <v>0</v>
      </c>
      <c r="I24" s="29">
        <f>-'PP&amp;E'!I22</f>
        <v>0</v>
      </c>
      <c r="J24" s="29">
        <f>-'PP&amp;E'!J22</f>
        <v>0</v>
      </c>
      <c r="K24" s="29">
        <f>-'PP&amp;E'!K22</f>
        <v>0</v>
      </c>
      <c r="L24" s="29">
        <f>-'PP&amp;E'!L22</f>
        <v>0</v>
      </c>
      <c r="M24" s="29">
        <f>-'PP&amp;E'!M22</f>
        <v>0</v>
      </c>
      <c r="N24" s="29">
        <f>-'PP&amp;E'!N22</f>
        <v>0</v>
      </c>
      <c r="O24" s="29">
        <f>-'PP&amp;E'!O22</f>
        <v>0</v>
      </c>
      <c r="P24" s="29">
        <f>-'PP&amp;E'!P22</f>
        <v>0</v>
      </c>
      <c r="Q24" s="29">
        <f>-'PP&amp;E'!Q22</f>
        <v>0</v>
      </c>
    </row>
    <row r="25" spans="2:17">
      <c r="B25" t="s">
        <v>194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2:17">
      <c r="B26" t="s">
        <v>195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2:17">
      <c r="B27" t="s">
        <v>196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</row>
    <row r="28" spans="2:17">
      <c r="B28" s="21" t="s">
        <v>181</v>
      </c>
      <c r="C28" s="21"/>
      <c r="D28" s="21"/>
      <c r="E28" s="21"/>
      <c r="F28" s="21"/>
      <c r="G28" s="21"/>
      <c r="H28" s="28">
        <f>SUM(H22:H27)</f>
        <v>-80729.740000000005</v>
      </c>
      <c r="I28" s="28">
        <f t="shared" ref="I28:Q28" si="11">SUM(I22:I27)</f>
        <v>-90160.011400000018</v>
      </c>
      <c r="J28" s="28">
        <f t="shared" si="11"/>
        <v>-100627.61265400004</v>
      </c>
      <c r="K28" s="28">
        <f t="shared" si="11"/>
        <v>-112246.65004594004</v>
      </c>
      <c r="L28" s="28">
        <f t="shared" si="11"/>
        <v>-125143.78155099347</v>
      </c>
      <c r="M28" s="28">
        <f t="shared" si="11"/>
        <v>-139459.59752160276</v>
      </c>
      <c r="N28" s="28">
        <f t="shared" si="11"/>
        <v>-155350.15324897907</v>
      </c>
      <c r="O28" s="28">
        <f t="shared" si="11"/>
        <v>-172988.6701063668</v>
      </c>
      <c r="P28" s="28">
        <f t="shared" si="11"/>
        <v>-192567.42381806715</v>
      </c>
      <c r="Q28" s="28">
        <f t="shared" si="11"/>
        <v>-214299.84043805455</v>
      </c>
    </row>
    <row r="30" spans="2:17">
      <c r="B30" t="s">
        <v>177</v>
      </c>
      <c r="H30" s="9">
        <f>-H10</f>
        <v>-26595.600000000002</v>
      </c>
      <c r="I30" s="9">
        <f t="shared" ref="I30:Q30" si="12">-I10</f>
        <v>-29521.116000000009</v>
      </c>
      <c r="J30" s="9">
        <f t="shared" si="12"/>
        <v>-32768.438760000012</v>
      </c>
      <c r="K30" s="9">
        <f t="shared" si="12"/>
        <v>-36372.967023600017</v>
      </c>
      <c r="L30" s="9">
        <f t="shared" si="12"/>
        <v>-40373.99339619602</v>
      </c>
      <c r="M30" s="9">
        <f t="shared" si="12"/>
        <v>-44815.132669777588</v>
      </c>
      <c r="N30" s="9">
        <f t="shared" si="12"/>
        <v>-49744.797263453125</v>
      </c>
      <c r="O30" s="9">
        <f t="shared" si="12"/>
        <v>-55216.724962432978</v>
      </c>
      <c r="P30" s="9">
        <f t="shared" si="12"/>
        <v>-61290.564708300604</v>
      </c>
      <c r="Q30" s="9">
        <f t="shared" si="12"/>
        <v>-68032.526826213681</v>
      </c>
    </row>
    <row r="31" spans="2:17">
      <c r="B31" t="s">
        <v>197</v>
      </c>
      <c r="H31" s="9">
        <f>SH!H8</f>
        <v>0</v>
      </c>
      <c r="I31" s="9">
        <f>SH!I8</f>
        <v>0</v>
      </c>
      <c r="J31" s="9">
        <f>SH!J8</f>
        <v>0</v>
      </c>
      <c r="K31" s="9">
        <f>SH!K8</f>
        <v>0</v>
      </c>
      <c r="L31" s="9">
        <f>SH!L8</f>
        <v>0</v>
      </c>
      <c r="M31" s="9">
        <f>SH!M8</f>
        <v>0</v>
      </c>
      <c r="N31" s="9">
        <f>SH!N8</f>
        <v>0</v>
      </c>
      <c r="O31" s="9">
        <f>SH!O8</f>
        <v>0</v>
      </c>
      <c r="P31" s="9">
        <f>SH!P8</f>
        <v>0</v>
      </c>
      <c r="Q31" s="9">
        <f>SH!Q8</f>
        <v>0</v>
      </c>
    </row>
    <row r="32" spans="2:17">
      <c r="B32" t="s">
        <v>202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>
      <c r="B33" t="s">
        <v>198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>
      <c r="B34" t="s">
        <v>213</v>
      </c>
      <c r="H34" s="29">
        <f>Debt!H25</f>
        <v>10000</v>
      </c>
      <c r="I34" s="29">
        <f>Debt!I25</f>
        <v>10000</v>
      </c>
      <c r="J34" s="29">
        <f>Debt!J25</f>
        <v>10000</v>
      </c>
      <c r="K34" s="29">
        <f>Debt!K25</f>
        <v>10000</v>
      </c>
      <c r="L34" s="29">
        <f>Debt!L25</f>
        <v>10000</v>
      </c>
      <c r="M34" s="29">
        <f>Debt!M25</f>
        <v>10000</v>
      </c>
      <c r="N34" s="29">
        <f>Debt!N25</f>
        <v>10000</v>
      </c>
      <c r="O34" s="29">
        <f>Debt!O25</f>
        <v>10000</v>
      </c>
      <c r="P34" s="29">
        <f>Debt!P25</f>
        <v>10000</v>
      </c>
      <c r="Q34" s="29">
        <f>Debt!Q25</f>
        <v>10000</v>
      </c>
    </row>
    <row r="35" spans="2:17">
      <c r="B35" t="s">
        <v>201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>
      <c r="B36" t="s">
        <v>199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</row>
    <row r="37" spans="2:17">
      <c r="B37" t="s">
        <v>200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</row>
    <row r="38" spans="2:17">
      <c r="B38" s="21" t="s">
        <v>182</v>
      </c>
      <c r="C38" s="21"/>
      <c r="D38" s="21"/>
      <c r="E38" s="21"/>
      <c r="F38" s="21"/>
      <c r="G38" s="21"/>
      <c r="H38" s="28">
        <f>SUM(H30:H37)</f>
        <v>-16595.600000000002</v>
      </c>
      <c r="I38" s="28">
        <f t="shared" ref="I38:Q38" si="13">SUM(I30:I37)</f>
        <v>-19521.116000000009</v>
      </c>
      <c r="J38" s="28">
        <f t="shared" si="13"/>
        <v>-22768.438760000012</v>
      </c>
      <c r="K38" s="28">
        <f t="shared" si="13"/>
        <v>-26372.967023600017</v>
      </c>
      <c r="L38" s="28">
        <f t="shared" si="13"/>
        <v>-30373.99339619602</v>
      </c>
      <c r="M38" s="28">
        <f t="shared" si="13"/>
        <v>-34815.132669777588</v>
      </c>
      <c r="N38" s="28">
        <f t="shared" si="13"/>
        <v>-39744.797263453125</v>
      </c>
      <c r="O38" s="28">
        <f t="shared" si="13"/>
        <v>-45216.724962432978</v>
      </c>
      <c r="P38" s="28">
        <f t="shared" si="13"/>
        <v>-51290.564708300604</v>
      </c>
      <c r="Q38" s="28">
        <f t="shared" si="13"/>
        <v>-58032.526826213681</v>
      </c>
    </row>
    <row r="40" spans="2:17">
      <c r="B40" t="s">
        <v>121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2:17">
      <c r="B41" t="s">
        <v>183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2:17">
      <c r="B42" s="21" t="s">
        <v>184</v>
      </c>
      <c r="C42" s="21"/>
      <c r="D42" s="21"/>
      <c r="E42" s="21"/>
      <c r="F42" s="21"/>
      <c r="G42" s="21"/>
      <c r="H42" s="28">
        <f ca="1">H38+H28+H20</f>
        <v>34094.328723951607</v>
      </c>
      <c r="I42" s="28">
        <f t="shared" ref="I42:Q42" ca="1" si="14">I38+I28+I20</f>
        <v>37395.351814354857</v>
      </c>
      <c r="J42" s="28">
        <f t="shared" ca="1" si="14"/>
        <v>41617.227112874622</v>
      </c>
      <c r="K42" s="28">
        <f t="shared" ca="1" si="14"/>
        <v>45577.56839356781</v>
      </c>
      <c r="L42" s="28">
        <f t="shared" ca="1" si="14"/>
        <v>49835.608260321897</v>
      </c>
      <c r="M42" s="28">
        <f t="shared" ca="1" si="14"/>
        <v>54650.6649248873</v>
      </c>
      <c r="N42" s="28">
        <f t="shared" ca="1" si="14"/>
        <v>60068.354903753352</v>
      </c>
      <c r="O42" s="28">
        <f t="shared" ca="1" si="14"/>
        <v>66142.381775786576</v>
      </c>
      <c r="P42" s="28">
        <f t="shared" ca="1" si="14"/>
        <v>72934.789034685178</v>
      </c>
      <c r="Q42" s="28">
        <f t="shared" ca="1" si="14"/>
        <v>80516.382443090493</v>
      </c>
    </row>
    <row r="43" spans="2:17">
      <c r="B43" t="s">
        <v>185</v>
      </c>
      <c r="H43" s="29">
        <f>BS!G8</f>
        <v>73387</v>
      </c>
      <c r="I43" s="29">
        <f ca="1">BS!H8</f>
        <v>107481.32872395161</v>
      </c>
      <c r="J43" s="29">
        <f ca="1">BS!I8</f>
        <v>144876.68053830648</v>
      </c>
      <c r="K43" s="29">
        <f ca="1">BS!J8</f>
        <v>186493.9076511811</v>
      </c>
      <c r="L43" s="29">
        <f ca="1">BS!K8</f>
        <v>232071.47604474891</v>
      </c>
      <c r="M43" s="29">
        <f ca="1">BS!L8</f>
        <v>281907.08430507081</v>
      </c>
      <c r="N43" s="29">
        <f ca="1">BS!M8</f>
        <v>336557.74922995811</v>
      </c>
      <c r="O43" s="29">
        <f ca="1">BS!N8</f>
        <v>396626.10413371143</v>
      </c>
      <c r="P43" s="29">
        <f ca="1">BS!O8</f>
        <v>462768.48590949801</v>
      </c>
      <c r="Q43" s="29">
        <f ca="1">BS!P8</f>
        <v>535703.27494418318</v>
      </c>
    </row>
    <row r="44" spans="2:17">
      <c r="B44" s="21" t="s">
        <v>186</v>
      </c>
      <c r="C44" s="21"/>
      <c r="D44" s="21"/>
      <c r="E44" s="21"/>
      <c r="F44" s="21"/>
      <c r="G44" s="21"/>
      <c r="H44" s="28">
        <f ca="1">SUM(H42:H43)</f>
        <v>107481.32872395161</v>
      </c>
      <c r="I44" s="28">
        <f t="shared" ref="I44:Q44" ca="1" si="15">SUM(I42:I43)</f>
        <v>144876.68053830648</v>
      </c>
      <c r="J44" s="28">
        <f t="shared" ca="1" si="15"/>
        <v>186493.9076511811</v>
      </c>
      <c r="K44" s="28">
        <f t="shared" ca="1" si="15"/>
        <v>232071.47604474891</v>
      </c>
      <c r="L44" s="28">
        <f t="shared" ca="1" si="15"/>
        <v>281907.08430507081</v>
      </c>
      <c r="M44" s="28">
        <f t="shared" ca="1" si="15"/>
        <v>336557.74922995811</v>
      </c>
      <c r="N44" s="28">
        <f t="shared" ca="1" si="15"/>
        <v>396626.10413371143</v>
      </c>
      <c r="O44" s="28">
        <f t="shared" ca="1" si="15"/>
        <v>462768.48590949801</v>
      </c>
      <c r="P44" s="28">
        <f t="shared" ca="1" si="15"/>
        <v>535703.27494418318</v>
      </c>
      <c r="Q44" s="28">
        <f t="shared" ca="1" si="15"/>
        <v>616219.65738727362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D023-EE18-47A3-88F2-A9720AEDFD84}">
  <dimension ref="A1:AA46"/>
  <sheetViews>
    <sheetView showGridLines="0" zoomScale="85" zoomScaleNormal="85" workbookViewId="0">
      <pane xSplit="2" ySplit="5" topLeftCell="G21" activePane="bottomRight" state="frozen"/>
      <selection pane="topRight" activeCell="C1" sqref="C1"/>
      <selection pane="bottomLeft" activeCell="A5" sqref="A5"/>
      <selection pane="bottomRight" activeCell="S42" sqref="S42"/>
    </sheetView>
  </sheetViews>
  <sheetFormatPr defaultRowHeight="15"/>
  <cols>
    <col min="1" max="1" width="3.42578125" customWidth="1"/>
    <col min="2" max="2" width="44.5703125" bestFit="1" customWidth="1"/>
    <col min="3" max="4" width="9.5703125" bestFit="1" customWidth="1"/>
    <col min="5" max="6" width="10.140625" bestFit="1" customWidth="1"/>
    <col min="7" max="8" width="10.5703125" bestFit="1" customWidth="1"/>
    <col min="9" max="12" width="10.42578125" bestFit="1" customWidth="1"/>
    <col min="17" max="17" width="20.85546875" bestFit="1" customWidth="1"/>
  </cols>
  <sheetData>
    <row r="1" spans="1:21" ht="15.75" thickBot="1"/>
    <row r="2" spans="1:21" ht="22.5" thickTop="1" thickBot="1">
      <c r="A2" s="56" t="s">
        <v>102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4"/>
    </row>
    <row r="3" spans="1:21" ht="15.75" thickTop="1">
      <c r="A3" s="4" t="s">
        <v>107</v>
      </c>
      <c r="H3" s="9"/>
      <c r="I3" s="9"/>
      <c r="J3" s="9"/>
      <c r="K3" s="9"/>
      <c r="L3" s="9"/>
    </row>
    <row r="4" spans="1:21">
      <c r="H4" s="134">
        <f ca="1">BS!H4</f>
        <v>0</v>
      </c>
      <c r="I4" s="134">
        <f ca="1">BS!I4</f>
        <v>0</v>
      </c>
      <c r="J4" s="134">
        <f ca="1">BS!J4</f>
        <v>0</v>
      </c>
      <c r="K4" s="134">
        <f ca="1">BS!K4</f>
        <v>0</v>
      </c>
      <c r="L4" s="134">
        <f ca="1">BS!L4</f>
        <v>0</v>
      </c>
      <c r="M4" s="134">
        <f ca="1">BS!M4</f>
        <v>0</v>
      </c>
      <c r="N4" s="134">
        <f ca="1">BS!N4</f>
        <v>0</v>
      </c>
      <c r="O4" s="134">
        <f ca="1">BS!O4</f>
        <v>0</v>
      </c>
      <c r="P4" s="134">
        <f ca="1">BS!P4</f>
        <v>0</v>
      </c>
      <c r="Q4" s="134">
        <f ca="1">BS!Q4</f>
        <v>0</v>
      </c>
    </row>
    <row r="5" spans="1:21">
      <c r="B5" s="53"/>
      <c r="C5" s="53">
        <v>2019</v>
      </c>
      <c r="D5" s="53">
        <f t="shared" ref="D5:H5" si="0">C5+1</f>
        <v>2020</v>
      </c>
      <c r="E5" s="53">
        <f t="shared" si="0"/>
        <v>2021</v>
      </c>
      <c r="F5" s="53">
        <f t="shared" si="0"/>
        <v>2022</v>
      </c>
      <c r="G5" s="53">
        <f t="shared" si="0"/>
        <v>2023</v>
      </c>
      <c r="H5" s="52">
        <f t="shared" si="0"/>
        <v>2024</v>
      </c>
      <c r="I5" s="52">
        <f t="shared" ref="I5" si="1">H5+1</f>
        <v>2025</v>
      </c>
      <c r="J5" s="52">
        <f t="shared" ref="J5" si="2">I5+1</f>
        <v>2026</v>
      </c>
      <c r="K5" s="52">
        <f t="shared" ref="K5" si="3">J5+1</f>
        <v>2027</v>
      </c>
      <c r="L5" s="52">
        <f t="shared" ref="L5" si="4">K5+1</f>
        <v>2028</v>
      </c>
      <c r="M5" s="52">
        <f t="shared" ref="M5" si="5">L5+1</f>
        <v>2029</v>
      </c>
      <c r="N5" s="52">
        <f t="shared" ref="N5" si="6">M5+1</f>
        <v>2030</v>
      </c>
      <c r="O5" s="52">
        <f t="shared" ref="O5" si="7">N5+1</f>
        <v>2031</v>
      </c>
      <c r="P5" s="52">
        <f t="shared" ref="P5" si="8">O5+1</f>
        <v>2032</v>
      </c>
      <c r="Q5" s="52">
        <f t="shared" ref="Q5" si="9">P5+1</f>
        <v>2033</v>
      </c>
    </row>
    <row r="6" spans="1:21" ht="17.25">
      <c r="B6" s="45" t="s">
        <v>90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1:21">
      <c r="B7" s="19" t="s">
        <v>101</v>
      </c>
      <c r="C7" s="51">
        <v>61797</v>
      </c>
      <c r="D7" s="50">
        <f>C13</f>
        <v>72705</v>
      </c>
      <c r="E7" s="50">
        <f t="shared" ref="E7:H7" si="10">D13</f>
        <v>113114</v>
      </c>
      <c r="F7" s="50">
        <f>E13</f>
        <v>160281</v>
      </c>
      <c r="G7" s="50">
        <f t="shared" si="10"/>
        <v>186715</v>
      </c>
      <c r="H7" s="50">
        <f t="shared" si="10"/>
        <v>204177</v>
      </c>
      <c r="I7" s="50">
        <f t="shared" ref="I7" si="11">H13</f>
        <v>224681.81916744771</v>
      </c>
      <c r="J7" s="50">
        <f t="shared" ref="J7" si="12">I13</f>
        <v>248308.32116346617</v>
      </c>
      <c r="K7" s="50">
        <f t="shared" ref="K7" si="13">J13</f>
        <v>275259.79623725032</v>
      </c>
      <c r="L7" s="50">
        <f t="shared" ref="L7" si="14">K13</f>
        <v>305784.55604552786</v>
      </c>
      <c r="M7" s="50">
        <f t="shared" ref="M7" si="15">L13</f>
        <v>340177.22097619215</v>
      </c>
      <c r="N7" s="50">
        <f t="shared" ref="N7" si="16">M13</f>
        <v>378780.74187373312</v>
      </c>
      <c r="O7" s="50">
        <f t="shared" ref="O7" si="17">N13</f>
        <v>421989.14106953319</v>
      </c>
      <c r="P7" s="50">
        <f t="shared" ref="P7" si="18">O13</f>
        <v>470250.97146761592</v>
      </c>
      <c r="Q7" s="50">
        <f t="shared" ref="Q7" si="19">P13</f>
        <v>524073.50529882649</v>
      </c>
    </row>
    <row r="8" spans="1:21">
      <c r="B8" s="16" t="s">
        <v>88</v>
      </c>
      <c r="C8" s="57">
        <v>16861</v>
      </c>
      <c r="D8" s="57">
        <v>40140</v>
      </c>
      <c r="E8" s="57">
        <v>61053</v>
      </c>
      <c r="F8" s="57">
        <v>63645</v>
      </c>
      <c r="G8" s="57">
        <v>52729</v>
      </c>
      <c r="H8" s="41">
        <f t="shared" ref="H8" si="20">H16*H15</f>
        <v>58529.19000000001</v>
      </c>
      <c r="I8" s="41">
        <f t="shared" ref="I8:Q8" si="21">I16*I15</f>
        <v>64967.400900000015</v>
      </c>
      <c r="J8" s="41">
        <f t="shared" si="21"/>
        <v>72113.814999000024</v>
      </c>
      <c r="K8" s="41">
        <f t="shared" si="21"/>
        <v>80046.334648890028</v>
      </c>
      <c r="L8" s="41">
        <f t="shared" si="21"/>
        <v>88851.431460267951</v>
      </c>
      <c r="M8" s="41">
        <f t="shared" si="21"/>
        <v>98625.088920897426</v>
      </c>
      <c r="N8" s="41">
        <f t="shared" si="21"/>
        <v>109473.84870219615</v>
      </c>
      <c r="O8" s="41">
        <f t="shared" si="21"/>
        <v>121515.97205943774</v>
      </c>
      <c r="P8" s="41">
        <f t="shared" si="21"/>
        <v>134882.7289859759</v>
      </c>
      <c r="Q8" s="41">
        <f t="shared" si="21"/>
        <v>149719.82917443325</v>
      </c>
    </row>
    <row r="9" spans="1:21">
      <c r="B9" s="16" t="s">
        <v>100</v>
      </c>
      <c r="C9" s="57">
        <f>-(15100)</f>
        <v>-15100</v>
      </c>
      <c r="D9" s="57">
        <f>-(16200)</f>
        <v>-16200</v>
      </c>
      <c r="E9" s="57">
        <f>-(22900)</f>
        <v>-22900</v>
      </c>
      <c r="F9" s="57">
        <f>-(24900)</f>
        <v>-24900</v>
      </c>
      <c r="G9" s="57">
        <f>-(30200)</f>
        <v>-30200</v>
      </c>
      <c r="H9" s="41">
        <f>H17*H7</f>
        <v>-33024.370832552289</v>
      </c>
      <c r="I9" s="41">
        <f t="shared" ref="I9:Q9" si="22">I17*I7</f>
        <v>-36340.898903981586</v>
      </c>
      <c r="J9" s="41">
        <f t="shared" si="22"/>
        <v>-40162.339925215856</v>
      </c>
      <c r="K9" s="41">
        <f t="shared" si="22"/>
        <v>-44521.574840612484</v>
      </c>
      <c r="L9" s="41">
        <f t="shared" si="22"/>
        <v>-49458.766529603628</v>
      </c>
      <c r="M9" s="41">
        <f t="shared" si="22"/>
        <v>-55021.568023356471</v>
      </c>
      <c r="N9" s="41">
        <f t="shared" si="22"/>
        <v>-61265.449506396064</v>
      </c>
      <c r="O9" s="41">
        <f t="shared" si="22"/>
        <v>-68254.141661355025</v>
      </c>
      <c r="P9" s="41">
        <f t="shared" si="22"/>
        <v>-76060.195154765301</v>
      </c>
      <c r="Q9" s="41">
        <f t="shared" si="22"/>
        <v>-84765.658142219749</v>
      </c>
    </row>
    <row r="10" spans="1:21">
      <c r="B10" s="16" t="s">
        <v>89</v>
      </c>
      <c r="C10" s="57">
        <v>-4172</v>
      </c>
      <c r="D10" s="57">
        <v>-5096</v>
      </c>
      <c r="E10" s="57">
        <v>-5657</v>
      </c>
      <c r="F10" s="57">
        <v>-5324</v>
      </c>
      <c r="G10" s="57">
        <v>-4596</v>
      </c>
      <c r="H10" s="57">
        <v>-5000</v>
      </c>
      <c r="I10" s="57">
        <v>-5000</v>
      </c>
      <c r="J10" s="57">
        <v>-5000</v>
      </c>
      <c r="K10" s="57">
        <v>-5000</v>
      </c>
      <c r="L10" s="57">
        <v>-5000</v>
      </c>
      <c r="M10" s="57">
        <v>-5000</v>
      </c>
      <c r="N10" s="57">
        <v>-5000</v>
      </c>
      <c r="O10" s="57">
        <v>-5000</v>
      </c>
      <c r="P10" s="57">
        <v>-5000</v>
      </c>
      <c r="Q10" s="57">
        <v>-5000</v>
      </c>
    </row>
    <row r="11" spans="1:21">
      <c r="B11" s="16" t="s">
        <v>99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</row>
    <row r="12" spans="1:21">
      <c r="B12" s="16" t="s">
        <v>98</v>
      </c>
      <c r="C12" s="49">
        <f t="shared" ref="C12:F12" si="23">C13-SUM(C7:C11)</f>
        <v>13319</v>
      </c>
      <c r="D12" s="49">
        <f t="shared" si="23"/>
        <v>21565</v>
      </c>
      <c r="E12" s="49">
        <f t="shared" si="23"/>
        <v>14671</v>
      </c>
      <c r="F12" s="49">
        <f t="shared" si="23"/>
        <v>-6987</v>
      </c>
      <c r="G12" s="49">
        <f>G13-SUM(G7:G11)</f>
        <v>-471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U12" s="9"/>
    </row>
    <row r="13" spans="1:21">
      <c r="B13" s="48" t="s">
        <v>97</v>
      </c>
      <c r="C13" s="47">
        <f>BS!C13</f>
        <v>72705</v>
      </c>
      <c r="D13" s="47">
        <f>BS!D13</f>
        <v>113114</v>
      </c>
      <c r="E13" s="47">
        <f>BS!E13</f>
        <v>160281</v>
      </c>
      <c r="F13" s="47">
        <f>BS!F13</f>
        <v>186715</v>
      </c>
      <c r="G13" s="47">
        <f>BS!G13</f>
        <v>204177</v>
      </c>
      <c r="H13" s="47">
        <f>SUM(H7:H12)</f>
        <v>224681.81916744771</v>
      </c>
      <c r="I13" s="47">
        <f t="shared" ref="I13:Q13" si="24">SUM(I7:I12)</f>
        <v>248308.32116346617</v>
      </c>
      <c r="J13" s="47">
        <f t="shared" si="24"/>
        <v>275259.79623725032</v>
      </c>
      <c r="K13" s="47">
        <f t="shared" si="24"/>
        <v>305784.55604552786</v>
      </c>
      <c r="L13" s="47">
        <f t="shared" si="24"/>
        <v>340177.22097619215</v>
      </c>
      <c r="M13" s="47">
        <f t="shared" si="24"/>
        <v>378780.74187373312</v>
      </c>
      <c r="N13" s="47">
        <f t="shared" si="24"/>
        <v>421989.14106953319</v>
      </c>
      <c r="O13" s="47">
        <f t="shared" si="24"/>
        <v>470250.97146761592</v>
      </c>
      <c r="P13" s="47">
        <f t="shared" si="24"/>
        <v>524073.50529882649</v>
      </c>
      <c r="Q13" s="47">
        <f t="shared" si="24"/>
        <v>584027.67633103998</v>
      </c>
    </row>
    <row r="15" spans="1:21">
      <c r="B15" s="32" t="s">
        <v>73</v>
      </c>
      <c r="C15" s="29">
        <f>BS!C54</f>
        <v>280522</v>
      </c>
      <c r="D15" s="29">
        <f>BS!D54</f>
        <v>386064</v>
      </c>
      <c r="E15" s="29">
        <f>BS!E54</f>
        <v>469822</v>
      </c>
      <c r="F15" s="29">
        <f>BS!F54</f>
        <v>513983</v>
      </c>
      <c r="G15" s="29">
        <f>BS!G54</f>
        <v>574785</v>
      </c>
      <c r="H15" s="29">
        <f>BS!H54</f>
        <v>638011.35000000009</v>
      </c>
      <c r="I15" s="29">
        <f>BS!I54</f>
        <v>708192.5985000002</v>
      </c>
      <c r="J15" s="29">
        <f>BS!J54</f>
        <v>786093.78433500032</v>
      </c>
      <c r="K15" s="29">
        <f>BS!K54</f>
        <v>872564.10061185039</v>
      </c>
      <c r="L15" s="29">
        <f>BS!L54</f>
        <v>968546.15167915402</v>
      </c>
      <c r="M15" s="29">
        <f>BS!M54</f>
        <v>1075086.2283638611</v>
      </c>
      <c r="N15" s="29">
        <f>BS!N54</f>
        <v>1193345.7134838859</v>
      </c>
      <c r="O15" s="29">
        <f>BS!O54</f>
        <v>1324613.7419671135</v>
      </c>
      <c r="P15" s="29">
        <f>BS!P54</f>
        <v>1470321.253583496</v>
      </c>
      <c r="Q15" s="29">
        <f>BS!Q54</f>
        <v>1632056.5914776807</v>
      </c>
    </row>
    <row r="16" spans="1:21">
      <c r="B16" s="16" t="s">
        <v>96</v>
      </c>
      <c r="C16" s="27">
        <f>C8/C15</f>
        <v>6.0105802753438235E-2</v>
      </c>
      <c r="D16" s="27">
        <f t="shared" ref="D16:G16" si="25">D8/D15</f>
        <v>0.10397239835882134</v>
      </c>
      <c r="E16" s="27">
        <f t="shared" si="25"/>
        <v>0.12994921480901278</v>
      </c>
      <c r="F16" s="27">
        <f t="shared" si="25"/>
        <v>0.12382705264571008</v>
      </c>
      <c r="G16" s="27">
        <f t="shared" si="25"/>
        <v>9.1736910322990334E-2</v>
      </c>
      <c r="H16" s="46">
        <f>G16</f>
        <v>9.1736910322990334E-2</v>
      </c>
      <c r="I16" s="46">
        <f t="shared" ref="I16:Q16" si="26">H16</f>
        <v>9.1736910322990334E-2</v>
      </c>
      <c r="J16" s="46">
        <f t="shared" si="26"/>
        <v>9.1736910322990334E-2</v>
      </c>
      <c r="K16" s="46">
        <f t="shared" si="26"/>
        <v>9.1736910322990334E-2</v>
      </c>
      <c r="L16" s="46">
        <f t="shared" si="26"/>
        <v>9.1736910322990334E-2</v>
      </c>
      <c r="M16" s="46">
        <f t="shared" si="26"/>
        <v>9.1736910322990334E-2</v>
      </c>
      <c r="N16" s="46">
        <f t="shared" si="26"/>
        <v>9.1736910322990334E-2</v>
      </c>
      <c r="O16" s="46">
        <f t="shared" si="26"/>
        <v>9.1736910322990334E-2</v>
      </c>
      <c r="P16" s="46">
        <f t="shared" si="26"/>
        <v>9.1736910322990334E-2</v>
      </c>
      <c r="Q16" s="46">
        <f t="shared" si="26"/>
        <v>9.1736910322990334E-2</v>
      </c>
    </row>
    <row r="17" spans="2:27">
      <c r="B17" s="16" t="s">
        <v>95</v>
      </c>
      <c r="C17" s="27">
        <f>C9/C7</f>
        <v>-0.24434843115361587</v>
      </c>
      <c r="D17" s="27">
        <f t="shared" ref="D17:F17" si="27">D9/D7</f>
        <v>-0.22281823808541365</v>
      </c>
      <c r="E17" s="27">
        <f t="shared" si="27"/>
        <v>-0.20245062503315239</v>
      </c>
      <c r="F17" s="27">
        <f t="shared" si="27"/>
        <v>-0.15535216276414546</v>
      </c>
      <c r="G17" s="27">
        <f>G9/G7</f>
        <v>-0.16174383418579119</v>
      </c>
      <c r="H17" s="46">
        <f>G17</f>
        <v>-0.16174383418579119</v>
      </c>
      <c r="I17" s="46">
        <f t="shared" ref="I17:Q17" si="28">H17</f>
        <v>-0.16174383418579119</v>
      </c>
      <c r="J17" s="46">
        <f t="shared" si="28"/>
        <v>-0.16174383418579119</v>
      </c>
      <c r="K17" s="46">
        <f t="shared" si="28"/>
        <v>-0.16174383418579119</v>
      </c>
      <c r="L17" s="46">
        <f t="shared" si="28"/>
        <v>-0.16174383418579119</v>
      </c>
      <c r="M17" s="46">
        <f t="shared" si="28"/>
        <v>-0.16174383418579119</v>
      </c>
      <c r="N17" s="46">
        <f t="shared" si="28"/>
        <v>-0.16174383418579119</v>
      </c>
      <c r="O17" s="46">
        <f t="shared" si="28"/>
        <v>-0.16174383418579119</v>
      </c>
      <c r="P17" s="46">
        <f t="shared" si="28"/>
        <v>-0.16174383418579119</v>
      </c>
      <c r="Q17" s="46">
        <f t="shared" si="28"/>
        <v>-0.16174383418579119</v>
      </c>
    </row>
    <row r="19" spans="2:27" ht="17.25">
      <c r="B19" s="45" t="s">
        <v>94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2:27">
      <c r="B20" s="43" t="s">
        <v>93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27">
      <c r="B21" s="16" t="s">
        <v>93</v>
      </c>
      <c r="C21" s="41">
        <v>4110</v>
      </c>
      <c r="D21" s="41">
        <f>C25</f>
        <v>4021</v>
      </c>
      <c r="E21" s="41">
        <f t="shared" ref="E21:H21" si="29">D25</f>
        <v>3838</v>
      </c>
      <c r="F21" s="41">
        <f t="shared" si="29"/>
        <v>3960</v>
      </c>
      <c r="G21" s="41">
        <f t="shared" si="29"/>
        <v>4950</v>
      </c>
      <c r="H21" s="41">
        <f t="shared" si="29"/>
        <v>6540</v>
      </c>
      <c r="I21" s="41">
        <f t="shared" ref="I21" si="30">H25</f>
        <v>6540</v>
      </c>
      <c r="J21" s="41">
        <f t="shared" ref="J21" si="31">I25</f>
        <v>6540</v>
      </c>
      <c r="K21" s="41">
        <f t="shared" ref="K21" si="32">J25</f>
        <v>6540</v>
      </c>
      <c r="L21" s="41">
        <f t="shared" ref="L21" si="33">K25</f>
        <v>6540</v>
      </c>
      <c r="M21" s="41">
        <f t="shared" ref="M21" si="34">L25</f>
        <v>6540</v>
      </c>
      <c r="N21" s="41">
        <f t="shared" ref="N21" si="35">M25</f>
        <v>6540</v>
      </c>
      <c r="O21" s="41">
        <f t="shared" ref="O21" si="36">N25</f>
        <v>6540</v>
      </c>
      <c r="P21" s="41">
        <f t="shared" ref="P21" si="37">O25</f>
        <v>6540</v>
      </c>
      <c r="Q21" s="41">
        <f t="shared" ref="Q21" si="38">P25</f>
        <v>6540</v>
      </c>
    </row>
    <row r="22" spans="2:27">
      <c r="B22" s="37" t="s">
        <v>103</v>
      </c>
      <c r="C22" s="40">
        <v>0</v>
      </c>
      <c r="D22" s="40">
        <v>28</v>
      </c>
      <c r="E22" s="39">
        <v>1143</v>
      </c>
      <c r="F22" s="39">
        <v>1147</v>
      </c>
      <c r="G22" s="39">
        <v>1147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</row>
    <row r="23" spans="2:27">
      <c r="B23" s="37" t="s">
        <v>92</v>
      </c>
      <c r="C23" s="57">
        <v>-565</v>
      </c>
      <c r="D23" s="40">
        <v>-509</v>
      </c>
      <c r="E23" s="39">
        <v>-512</v>
      </c>
      <c r="F23" s="39">
        <v>-604</v>
      </c>
      <c r="G23" s="39">
        <v>-706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T23" s="9"/>
    </row>
    <row r="24" spans="2:27">
      <c r="B24" s="37" t="s">
        <v>91</v>
      </c>
      <c r="C24" s="57">
        <f>C25-SUM(C21:C23)</f>
        <v>476</v>
      </c>
      <c r="D24" s="57">
        <f t="shared" ref="D24:F24" si="39">D25-SUM(D21:D23)</f>
        <v>298</v>
      </c>
      <c r="E24" s="57">
        <f t="shared" si="39"/>
        <v>-509</v>
      </c>
      <c r="F24" s="57">
        <f t="shared" si="39"/>
        <v>447</v>
      </c>
      <c r="G24" s="57">
        <f>G25-SUM(G21:G23)</f>
        <v>1149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T24" s="9"/>
    </row>
    <row r="25" spans="2:27">
      <c r="B25" s="36" t="s">
        <v>104</v>
      </c>
      <c r="C25" s="35">
        <v>4021</v>
      </c>
      <c r="D25" s="35">
        <v>3838</v>
      </c>
      <c r="E25" s="35">
        <v>3960</v>
      </c>
      <c r="F25" s="35">
        <v>4950</v>
      </c>
      <c r="G25" s="34">
        <v>6540</v>
      </c>
      <c r="H25" s="34">
        <f>SUM(H21:H24)</f>
        <v>6540</v>
      </c>
      <c r="I25" s="34">
        <f t="shared" ref="I25:Q25" si="40">SUM(I21:I24)</f>
        <v>6540</v>
      </c>
      <c r="J25" s="34">
        <f t="shared" si="40"/>
        <v>6540</v>
      </c>
      <c r="K25" s="34">
        <f t="shared" si="40"/>
        <v>6540</v>
      </c>
      <c r="L25" s="34">
        <f t="shared" si="40"/>
        <v>6540</v>
      </c>
      <c r="M25" s="34">
        <f t="shared" si="40"/>
        <v>6540</v>
      </c>
      <c r="N25" s="34">
        <f t="shared" si="40"/>
        <v>6540</v>
      </c>
      <c r="O25" s="34">
        <f t="shared" si="40"/>
        <v>6540</v>
      </c>
      <c r="P25" s="34">
        <f t="shared" si="40"/>
        <v>6540</v>
      </c>
      <c r="Q25" s="34">
        <f t="shared" si="40"/>
        <v>6540</v>
      </c>
    </row>
    <row r="26" spans="2:27">
      <c r="C26" s="27"/>
      <c r="D26" s="27"/>
      <c r="E26" s="27"/>
      <c r="F26" s="27"/>
      <c r="G26" s="27"/>
      <c r="Z26" s="12"/>
      <c r="AA26" s="12"/>
    </row>
    <row r="27" spans="2:27">
      <c r="B27" s="32" t="s">
        <v>105</v>
      </c>
      <c r="C27" s="27">
        <f>C22/C15</f>
        <v>0</v>
      </c>
      <c r="D27" s="27">
        <f>D22/D15</f>
        <v>7.2526834928923704E-5</v>
      </c>
      <c r="E27" s="27">
        <f t="shared" ref="E27:G27" si="41">E22/E15</f>
        <v>2.4328362656495439E-3</v>
      </c>
      <c r="F27" s="27">
        <f t="shared" si="41"/>
        <v>2.231591317222554E-3</v>
      </c>
      <c r="G27" s="27">
        <f t="shared" si="41"/>
        <v>1.9955287629287474E-3</v>
      </c>
      <c r="H27" s="46">
        <f>G27</f>
        <v>1.9955287629287474E-3</v>
      </c>
      <c r="I27" s="46">
        <f t="shared" ref="I27:Q27" si="42">H27</f>
        <v>1.9955287629287474E-3</v>
      </c>
      <c r="J27" s="46">
        <f t="shared" si="42"/>
        <v>1.9955287629287474E-3</v>
      </c>
      <c r="K27" s="46">
        <f t="shared" si="42"/>
        <v>1.9955287629287474E-3</v>
      </c>
      <c r="L27" s="46">
        <f t="shared" si="42"/>
        <v>1.9955287629287474E-3</v>
      </c>
      <c r="M27" s="46">
        <f t="shared" si="42"/>
        <v>1.9955287629287474E-3</v>
      </c>
      <c r="N27" s="46">
        <f t="shared" si="42"/>
        <v>1.9955287629287474E-3</v>
      </c>
      <c r="O27" s="46">
        <f t="shared" si="42"/>
        <v>1.9955287629287474E-3</v>
      </c>
      <c r="P27" s="46">
        <f t="shared" si="42"/>
        <v>1.9955287629287474E-3</v>
      </c>
      <c r="Q27" s="46">
        <f t="shared" si="42"/>
        <v>1.9955287629287474E-3</v>
      </c>
    </row>
    <row r="28" spans="2:27">
      <c r="B28" s="32" t="s">
        <v>106</v>
      </c>
      <c r="C28" s="27">
        <f>C23/C21</f>
        <v>-0.13746958637469586</v>
      </c>
      <c r="D28" s="27">
        <f>D23/D21</f>
        <v>-0.12658542651081819</v>
      </c>
      <c r="E28" s="27">
        <f t="shared" ref="E28:G28" si="43">E23/E21</f>
        <v>-0.13340281396560708</v>
      </c>
      <c r="F28" s="27">
        <f t="shared" si="43"/>
        <v>-0.15252525252525254</v>
      </c>
      <c r="G28" s="27">
        <f t="shared" si="43"/>
        <v>-0.14262626262626263</v>
      </c>
      <c r="H28" s="46">
        <f>G28</f>
        <v>-0.14262626262626263</v>
      </c>
      <c r="I28" s="46">
        <f t="shared" ref="I28:Q28" si="44">H28</f>
        <v>-0.14262626262626263</v>
      </c>
      <c r="J28" s="46">
        <f t="shared" si="44"/>
        <v>-0.14262626262626263</v>
      </c>
      <c r="K28" s="46">
        <f t="shared" si="44"/>
        <v>-0.14262626262626263</v>
      </c>
      <c r="L28" s="46">
        <f t="shared" si="44"/>
        <v>-0.14262626262626263</v>
      </c>
      <c r="M28" s="46">
        <f t="shared" si="44"/>
        <v>-0.14262626262626263</v>
      </c>
      <c r="N28" s="46">
        <f t="shared" si="44"/>
        <v>-0.14262626262626263</v>
      </c>
      <c r="O28" s="46">
        <f t="shared" si="44"/>
        <v>-0.14262626262626263</v>
      </c>
      <c r="P28" s="46">
        <f t="shared" si="44"/>
        <v>-0.14262626262626263</v>
      </c>
      <c r="Q28" s="46">
        <f t="shared" si="44"/>
        <v>-0.14262626262626263</v>
      </c>
    </row>
    <row r="32" spans="2:27" ht="17.25">
      <c r="B32" s="45" t="s">
        <v>290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2:17">
      <c r="B33" s="19" t="s">
        <v>291</v>
      </c>
      <c r="C33" s="51">
        <v>0</v>
      </c>
      <c r="D33" s="50">
        <f>C37</f>
        <v>25141</v>
      </c>
      <c r="E33" s="50">
        <f t="shared" ref="E33" si="45">D37</f>
        <v>37553</v>
      </c>
      <c r="F33" s="50">
        <f>E37</f>
        <v>56082</v>
      </c>
      <c r="G33" s="50">
        <f t="shared" ref="G33" si="46">F37</f>
        <v>66123</v>
      </c>
      <c r="H33" s="50">
        <f t="shared" ref="H33" si="47">G37</f>
        <v>72513</v>
      </c>
      <c r="I33" s="50">
        <f t="shared" ref="I33" si="48">H37</f>
        <v>79847.951116101816</v>
      </c>
      <c r="J33" s="50">
        <f t="shared" ref="J33" si="49">I37</f>
        <v>88165.485856257525</v>
      </c>
      <c r="K33" s="50">
        <f t="shared" ref="K33" si="50">J37</f>
        <v>97525.543114026543</v>
      </c>
      <c r="L33" s="50">
        <f t="shared" ref="L33" si="51">K37</f>
        <v>108007.84490748035</v>
      </c>
      <c r="M33" s="50">
        <f t="shared" ref="M33" si="52">L37</f>
        <v>119710.45904401434</v>
      </c>
      <c r="N33" s="50">
        <f t="shared" ref="N33" si="53">M37</f>
        <v>132749.19362384465</v>
      </c>
      <c r="O33" s="50">
        <f t="shared" ref="O33" si="54">N37</f>
        <v>147257.64367981581</v>
      </c>
      <c r="P33" s="50">
        <f t="shared" ref="P33" si="55">O37</f>
        <v>163387.76478286961</v>
      </c>
      <c r="Q33" s="50">
        <f t="shared" ref="Q33" si="56">P37</f>
        <v>181310.88861785422</v>
      </c>
    </row>
    <row r="34" spans="2:17">
      <c r="B34" s="16" t="s">
        <v>292</v>
      </c>
      <c r="C34" s="57">
        <v>3361</v>
      </c>
      <c r="D34" s="57">
        <v>4475</v>
      </c>
      <c r="E34" s="57">
        <v>6722</v>
      </c>
      <c r="F34" s="57">
        <v>8633</v>
      </c>
      <c r="G34" s="57">
        <v>10453</v>
      </c>
      <c r="H34" s="49">
        <f>H40*H15</f>
        <v>11602.83</v>
      </c>
      <c r="I34" s="49">
        <f t="shared" ref="I34:Q34" si="57">I40*I15</f>
        <v>12879.141300000003</v>
      </c>
      <c r="J34" s="49">
        <f t="shared" si="57"/>
        <v>14295.846843000005</v>
      </c>
      <c r="K34" s="49">
        <f t="shared" si="57"/>
        <v>15868.389995730005</v>
      </c>
      <c r="L34" s="49">
        <f t="shared" si="57"/>
        <v>17613.91289526031</v>
      </c>
      <c r="M34" s="49">
        <f t="shared" si="57"/>
        <v>19551.443313738942</v>
      </c>
      <c r="N34" s="49">
        <f t="shared" si="57"/>
        <v>21702.102078250227</v>
      </c>
      <c r="O34" s="49">
        <f t="shared" si="57"/>
        <v>24089.333306857756</v>
      </c>
      <c r="P34" s="49">
        <f t="shared" si="57"/>
        <v>26739.159970612109</v>
      </c>
      <c r="Q34" s="49">
        <f t="shared" si="57"/>
        <v>29680.467567379445</v>
      </c>
    </row>
    <row r="35" spans="2:17">
      <c r="B35" s="16" t="s">
        <v>5</v>
      </c>
      <c r="C35" s="57">
        <v>7870</v>
      </c>
      <c r="D35" s="57">
        <v>16217</v>
      </c>
      <c r="E35" s="57">
        <v>25369</v>
      </c>
      <c r="F35" s="57">
        <v>18800</v>
      </c>
      <c r="G35" s="57">
        <v>14052</v>
      </c>
      <c r="H35" s="49">
        <f>H42*H15</f>
        <v>15597.720000000001</v>
      </c>
      <c r="I35" s="49">
        <f t="shared" ref="I35:Q35" si="58">I42*I15</f>
        <v>17313.469200000003</v>
      </c>
      <c r="J35" s="49">
        <f t="shared" si="58"/>
        <v>19217.950812000006</v>
      </c>
      <c r="K35" s="49">
        <f t="shared" si="58"/>
        <v>21331.925401320008</v>
      </c>
      <c r="L35" s="49">
        <f t="shared" si="58"/>
        <v>23678.437195465212</v>
      </c>
      <c r="M35" s="49">
        <f t="shared" si="58"/>
        <v>26283.065286966386</v>
      </c>
      <c r="N35" s="49">
        <f t="shared" si="58"/>
        <v>29174.202468532691</v>
      </c>
      <c r="O35" s="49">
        <f t="shared" si="58"/>
        <v>32383.364740071291</v>
      </c>
      <c r="P35" s="49">
        <f t="shared" si="58"/>
        <v>35945.534861479136</v>
      </c>
      <c r="Q35" s="49">
        <f t="shared" si="58"/>
        <v>39899.543696241846</v>
      </c>
    </row>
    <row r="36" spans="2:17">
      <c r="B36" s="16" t="s">
        <v>100</v>
      </c>
      <c r="C36" s="57">
        <f>C37-SUM(C33:C35)</f>
        <v>13910</v>
      </c>
      <c r="D36" s="57">
        <f t="shared" ref="D36:G36" si="59">D37-SUM(D33:D35)</f>
        <v>-8280</v>
      </c>
      <c r="E36" s="57">
        <f t="shared" si="59"/>
        <v>-13562</v>
      </c>
      <c r="F36" s="57">
        <f t="shared" si="59"/>
        <v>-17392</v>
      </c>
      <c r="G36" s="57">
        <f t="shared" si="59"/>
        <v>-18115</v>
      </c>
      <c r="H36" s="49">
        <f>H33*H41</f>
        <v>-19865.59888389819</v>
      </c>
      <c r="I36" s="49">
        <f t="shared" ref="I36:Q36" si="60">I33*I41</f>
        <v>-21875.075759844298</v>
      </c>
      <c r="J36" s="49">
        <f t="shared" si="60"/>
        <v>-24153.740397230998</v>
      </c>
      <c r="K36" s="49">
        <f t="shared" si="60"/>
        <v>-26718.013603596191</v>
      </c>
      <c r="L36" s="49">
        <f t="shared" si="60"/>
        <v>-29589.735954191532</v>
      </c>
      <c r="M36" s="49">
        <f t="shared" si="60"/>
        <v>-32795.774020875033</v>
      </c>
      <c r="N36" s="49">
        <f t="shared" si="60"/>
        <v>-36367.854490811762</v>
      </c>
      <c r="O36" s="49">
        <f t="shared" si="60"/>
        <v>-40342.576943875254</v>
      </c>
      <c r="P36" s="49">
        <f t="shared" si="60"/>
        <v>-44761.570997106654</v>
      </c>
      <c r="Q36" s="49">
        <f t="shared" si="60"/>
        <v>-49671.774530986637</v>
      </c>
    </row>
    <row r="37" spans="2:17">
      <c r="B37" s="48" t="s">
        <v>293</v>
      </c>
      <c r="C37" s="47">
        <f>BS!C14</f>
        <v>25141</v>
      </c>
      <c r="D37" s="47">
        <f>BS!D14</f>
        <v>37553</v>
      </c>
      <c r="E37" s="47">
        <f>BS!E14</f>
        <v>56082</v>
      </c>
      <c r="F37" s="47">
        <f>BS!F14</f>
        <v>66123</v>
      </c>
      <c r="G37" s="47">
        <f>BS!G14</f>
        <v>72513</v>
      </c>
      <c r="H37" s="263">
        <f>SUM(H33:H36)</f>
        <v>79847.951116101816</v>
      </c>
      <c r="I37" s="263">
        <f t="shared" ref="I37:Q37" si="61">SUM(I33:I36)</f>
        <v>88165.485856257525</v>
      </c>
      <c r="J37" s="263">
        <f t="shared" si="61"/>
        <v>97525.543114026543</v>
      </c>
      <c r="K37" s="263">
        <f t="shared" si="61"/>
        <v>108007.84490748035</v>
      </c>
      <c r="L37" s="263">
        <f t="shared" si="61"/>
        <v>119710.45904401434</v>
      </c>
      <c r="M37" s="263">
        <f t="shared" si="61"/>
        <v>132749.19362384465</v>
      </c>
      <c r="N37" s="263">
        <f t="shared" si="61"/>
        <v>147257.64367981581</v>
      </c>
      <c r="O37" s="263">
        <f t="shared" si="61"/>
        <v>163387.76478286961</v>
      </c>
      <c r="P37" s="263">
        <f t="shared" si="61"/>
        <v>181310.88861785422</v>
      </c>
      <c r="Q37" s="263">
        <f t="shared" si="61"/>
        <v>201219.12535048884</v>
      </c>
    </row>
    <row r="40" spans="2:17">
      <c r="B40" s="16" t="s">
        <v>294</v>
      </c>
      <c r="C40" s="27">
        <f>C34/C15</f>
        <v>1.1981234983352464E-2</v>
      </c>
      <c r="D40" s="27">
        <f>D34/D15</f>
        <v>1.159134236810477E-2</v>
      </c>
      <c r="E40" s="27">
        <f>E34/E15</f>
        <v>1.430754626220143E-2</v>
      </c>
      <c r="F40" s="27">
        <f>F34/F15</f>
        <v>1.6796275363192947E-2</v>
      </c>
      <c r="G40" s="27">
        <f>G34/G15</f>
        <v>1.8185930391363726E-2</v>
      </c>
      <c r="H40" s="46">
        <f>G40</f>
        <v>1.8185930391363726E-2</v>
      </c>
      <c r="I40" s="46">
        <f t="shared" ref="I40:Q40" si="62">H40</f>
        <v>1.8185930391363726E-2</v>
      </c>
      <c r="J40" s="46">
        <f t="shared" si="62"/>
        <v>1.8185930391363726E-2</v>
      </c>
      <c r="K40" s="46">
        <f t="shared" si="62"/>
        <v>1.8185930391363726E-2</v>
      </c>
      <c r="L40" s="46">
        <f t="shared" si="62"/>
        <v>1.8185930391363726E-2</v>
      </c>
      <c r="M40" s="46">
        <f t="shared" si="62"/>
        <v>1.8185930391363726E-2</v>
      </c>
      <c r="N40" s="46">
        <f t="shared" si="62"/>
        <v>1.8185930391363726E-2</v>
      </c>
      <c r="O40" s="46">
        <f t="shared" si="62"/>
        <v>1.8185930391363726E-2</v>
      </c>
      <c r="P40" s="46">
        <f t="shared" si="62"/>
        <v>1.8185930391363726E-2</v>
      </c>
      <c r="Q40" s="46">
        <f t="shared" si="62"/>
        <v>1.8185930391363726E-2</v>
      </c>
    </row>
    <row r="41" spans="2:17">
      <c r="B41" s="16" t="s">
        <v>95</v>
      </c>
      <c r="C41" s="27">
        <v>0</v>
      </c>
      <c r="D41" s="27">
        <f>D36/D33</f>
        <v>-0.32934250825345052</v>
      </c>
      <c r="E41" s="27">
        <f t="shared" ref="E41:G41" si="63">E36/E33</f>
        <v>-0.36114291800921366</v>
      </c>
      <c r="F41" s="27">
        <f t="shared" si="63"/>
        <v>-0.31011732819799581</v>
      </c>
      <c r="G41" s="27">
        <f t="shared" si="63"/>
        <v>-0.27395913676028011</v>
      </c>
      <c r="H41" s="46">
        <f>G41</f>
        <v>-0.27395913676028011</v>
      </c>
      <c r="I41" s="46">
        <f t="shared" ref="I41:Q41" si="64">H41</f>
        <v>-0.27395913676028011</v>
      </c>
      <c r="J41" s="46">
        <f t="shared" si="64"/>
        <v>-0.27395913676028011</v>
      </c>
      <c r="K41" s="46">
        <f t="shared" si="64"/>
        <v>-0.27395913676028011</v>
      </c>
      <c r="L41" s="46">
        <f t="shared" si="64"/>
        <v>-0.27395913676028011</v>
      </c>
      <c r="M41" s="46">
        <f t="shared" si="64"/>
        <v>-0.27395913676028011</v>
      </c>
      <c r="N41" s="46">
        <f t="shared" si="64"/>
        <v>-0.27395913676028011</v>
      </c>
      <c r="O41" s="46">
        <f t="shared" si="64"/>
        <v>-0.27395913676028011</v>
      </c>
      <c r="P41" s="46">
        <f t="shared" si="64"/>
        <v>-0.27395913676028011</v>
      </c>
      <c r="Q41" s="46">
        <f t="shared" si="64"/>
        <v>-0.27395913676028011</v>
      </c>
    </row>
    <row r="42" spans="2:17">
      <c r="B42" t="s">
        <v>397</v>
      </c>
      <c r="C42" s="27">
        <f>C35/C15</f>
        <v>2.805484061856111E-2</v>
      </c>
      <c r="D42" s="27">
        <f>D35/D15</f>
        <v>4.2005988644369843E-2</v>
      </c>
      <c r="E42" s="27">
        <f>E35/E15</f>
        <v>5.3997045689644162E-2</v>
      </c>
      <c r="F42" s="27">
        <f>F35/F15</f>
        <v>3.6577085234336545E-2</v>
      </c>
      <c r="G42" s="27">
        <f>G35/G15</f>
        <v>2.4447402072079124E-2</v>
      </c>
      <c r="H42" s="27">
        <f>G42</f>
        <v>2.4447402072079124E-2</v>
      </c>
      <c r="I42" s="27">
        <f t="shared" ref="I42:Q42" si="65">H42</f>
        <v>2.4447402072079124E-2</v>
      </c>
      <c r="J42" s="27">
        <f t="shared" si="65"/>
        <v>2.4447402072079124E-2</v>
      </c>
      <c r="K42" s="27">
        <f t="shared" si="65"/>
        <v>2.4447402072079124E-2</v>
      </c>
      <c r="L42" s="27">
        <f t="shared" si="65"/>
        <v>2.4447402072079124E-2</v>
      </c>
      <c r="M42" s="27">
        <f t="shared" si="65"/>
        <v>2.4447402072079124E-2</v>
      </c>
      <c r="N42" s="27">
        <f t="shared" si="65"/>
        <v>2.4447402072079124E-2</v>
      </c>
      <c r="O42" s="27">
        <f t="shared" si="65"/>
        <v>2.4447402072079124E-2</v>
      </c>
      <c r="P42" s="27">
        <f t="shared" si="65"/>
        <v>2.4447402072079124E-2</v>
      </c>
      <c r="Q42" s="27">
        <f t="shared" si="65"/>
        <v>2.4447402072079124E-2</v>
      </c>
    </row>
    <row r="45" spans="2:17">
      <c r="B45" s="16"/>
      <c r="C45" s="27"/>
      <c r="D45" s="27"/>
      <c r="E45" s="27"/>
      <c r="F45" s="27"/>
      <c r="G45" s="27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2:17">
      <c r="B46" s="16"/>
      <c r="C46" s="27"/>
      <c r="D46" s="27"/>
      <c r="E46" s="27"/>
      <c r="F46" s="27"/>
      <c r="G46" s="27"/>
      <c r="H46" s="46"/>
      <c r="I46" s="46"/>
      <c r="J46" s="46"/>
      <c r="K46" s="46"/>
      <c r="L46" s="46"/>
      <c r="M46" s="46"/>
      <c r="N46" s="46"/>
      <c r="O46" s="46"/>
      <c r="P46" s="46"/>
      <c r="Q46" s="4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E727-21C1-4E4B-9D72-D1BA7BB5B442}">
  <dimension ref="A1:Z35"/>
  <sheetViews>
    <sheetView showGridLines="0" zoomScale="74" zoomScaleNormal="115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G46" sqref="G46"/>
    </sheetView>
  </sheetViews>
  <sheetFormatPr defaultColWidth="8.85546875" defaultRowHeight="15"/>
  <cols>
    <col min="1" max="1" width="5.42578125" customWidth="1"/>
    <col min="2" max="2" width="55.5703125" bestFit="1" customWidth="1"/>
    <col min="3" max="12" width="9.42578125" bestFit="1" customWidth="1"/>
    <col min="21" max="21" width="53.140625" bestFit="1" customWidth="1"/>
  </cols>
  <sheetData>
    <row r="1" spans="1:26" ht="15.75" thickBot="1"/>
    <row r="2" spans="1:26" ht="22.5" thickTop="1" thickBot="1">
      <c r="A2" s="56" t="s">
        <v>129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4"/>
    </row>
    <row r="3" spans="1:26" ht="15.75" thickTop="1">
      <c r="A3" s="4" t="s">
        <v>107</v>
      </c>
    </row>
    <row r="4" spans="1:26">
      <c r="D4" s="67"/>
    </row>
    <row r="5" spans="1:26">
      <c r="B5" s="66"/>
      <c r="C5" s="66">
        <v>2019</v>
      </c>
      <c r="D5" s="66">
        <f t="shared" ref="D5:H5" si="0">C5+1</f>
        <v>2020</v>
      </c>
      <c r="E5" s="66">
        <f t="shared" si="0"/>
        <v>2021</v>
      </c>
      <c r="F5" s="66">
        <f t="shared" si="0"/>
        <v>2022</v>
      </c>
      <c r="G5" s="66">
        <f t="shared" si="0"/>
        <v>2023</v>
      </c>
      <c r="H5" s="65">
        <f t="shared" si="0"/>
        <v>2024</v>
      </c>
      <c r="I5" s="65">
        <f t="shared" ref="I5" si="1">H5+1</f>
        <v>2025</v>
      </c>
      <c r="J5" s="65">
        <f t="shared" ref="J5" si="2">I5+1</f>
        <v>2026</v>
      </c>
      <c r="K5" s="65">
        <f t="shared" ref="K5" si="3">J5+1</f>
        <v>2027</v>
      </c>
      <c r="L5" s="65">
        <f t="shared" ref="L5" si="4">K5+1</f>
        <v>2028</v>
      </c>
      <c r="M5" s="65">
        <f t="shared" ref="M5" si="5">L5+1</f>
        <v>2029</v>
      </c>
      <c r="N5" s="65">
        <f t="shared" ref="N5" si="6">M5+1</f>
        <v>2030</v>
      </c>
      <c r="O5" s="65">
        <f t="shared" ref="O5" si="7">N5+1</f>
        <v>2031</v>
      </c>
      <c r="P5" s="65">
        <f t="shared" ref="P5" si="8">O5+1</f>
        <v>2032</v>
      </c>
      <c r="Q5" s="65">
        <f t="shared" ref="Q5" si="9">P5+1</f>
        <v>2033</v>
      </c>
      <c r="U5" t="s">
        <v>128</v>
      </c>
    </row>
    <row r="6" spans="1:26">
      <c r="A6" t="s">
        <v>122</v>
      </c>
      <c r="B6" t="s">
        <v>127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1:26">
      <c r="A7" t="s">
        <v>122</v>
      </c>
      <c r="B7" t="s">
        <v>126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X7" s="64"/>
      <c r="Y7" s="64"/>
      <c r="Z7" s="64"/>
    </row>
    <row r="8" spans="1:26">
      <c r="A8" t="s">
        <v>122</v>
      </c>
      <c r="B8" t="s">
        <v>125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26">
      <c r="A9" t="s">
        <v>122</v>
      </c>
      <c r="B9" t="s">
        <v>124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</row>
    <row r="10" spans="1:26">
      <c r="A10" t="s">
        <v>122</v>
      </c>
      <c r="B10" t="s">
        <v>123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6">
      <c r="A11" t="s">
        <v>122</v>
      </c>
      <c r="B11" t="s">
        <v>121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6">
      <c r="B12" t="s">
        <v>120</v>
      </c>
      <c r="C12" s="115"/>
      <c r="D12" s="115">
        <f>BS!C8</f>
        <v>36092</v>
      </c>
      <c r="E12" s="115">
        <f>BS!D8</f>
        <v>42122</v>
      </c>
      <c r="F12" s="115">
        <f>BS!E8</f>
        <v>36220</v>
      </c>
      <c r="G12" s="115">
        <f>BS!F8</f>
        <v>53888</v>
      </c>
      <c r="H12" s="115">
        <f>BS!G8</f>
        <v>73387</v>
      </c>
      <c r="I12" s="115">
        <f ca="1">BS!H8</f>
        <v>107481.32872395161</v>
      </c>
      <c r="J12" s="115">
        <f ca="1">BS!I8</f>
        <v>144876.68053830648</v>
      </c>
      <c r="K12" s="115">
        <f ca="1">BS!J8</f>
        <v>186493.9076511811</v>
      </c>
      <c r="L12" s="115">
        <f ca="1">BS!K8</f>
        <v>232071.47604474891</v>
      </c>
      <c r="M12" s="115">
        <f ca="1">BS!L8</f>
        <v>281907.08430507081</v>
      </c>
      <c r="N12" s="115">
        <f ca="1">BS!M8</f>
        <v>336557.74922995811</v>
      </c>
      <c r="O12" s="115">
        <f ca="1">BS!N8</f>
        <v>396626.10413371143</v>
      </c>
      <c r="P12" s="115">
        <f ca="1">BS!O8</f>
        <v>462768.48590949801</v>
      </c>
      <c r="Q12" s="115">
        <f ca="1">BS!P8</f>
        <v>535703.27494418318</v>
      </c>
    </row>
    <row r="13" spans="1:26">
      <c r="B13" t="s">
        <v>119</v>
      </c>
      <c r="C13" s="116">
        <v>-70000</v>
      </c>
      <c r="D13" s="116">
        <v>-70000</v>
      </c>
      <c r="E13" s="116">
        <v>-70000</v>
      </c>
      <c r="F13" s="116">
        <v>-70000</v>
      </c>
      <c r="G13" s="116">
        <v>-70000</v>
      </c>
      <c r="H13" s="116">
        <v>-70000</v>
      </c>
      <c r="I13" s="116">
        <v>-70000</v>
      </c>
      <c r="J13" s="116">
        <v>-70000</v>
      </c>
      <c r="K13" s="116">
        <v>-70000</v>
      </c>
      <c r="L13" s="116">
        <v>-70000</v>
      </c>
      <c r="M13" s="116">
        <v>-70000</v>
      </c>
      <c r="N13" s="116">
        <v>-70000</v>
      </c>
      <c r="O13" s="116">
        <v>-70000</v>
      </c>
      <c r="P13" s="116">
        <v>-70000</v>
      </c>
      <c r="Q13" s="116">
        <v>-70000</v>
      </c>
    </row>
    <row r="14" spans="1:26">
      <c r="B14" s="21" t="s">
        <v>118</v>
      </c>
      <c r="C14" s="117">
        <f>SUM(C12:C13)</f>
        <v>-70000</v>
      </c>
      <c r="D14" s="117">
        <f>SUM(D12:D13)</f>
        <v>-33908</v>
      </c>
      <c r="E14" s="117">
        <f t="shared" ref="E14:H14" si="10">SUM(E12:E13)</f>
        <v>-27878</v>
      </c>
      <c r="F14" s="117">
        <f t="shared" si="10"/>
        <v>-33780</v>
      </c>
      <c r="G14" s="117">
        <f t="shared" si="10"/>
        <v>-16112</v>
      </c>
      <c r="H14" s="117">
        <f t="shared" si="10"/>
        <v>3387</v>
      </c>
      <c r="I14" s="117">
        <f t="shared" ref="I14:Q14" ca="1" si="11">SUM(I12:I13)</f>
        <v>37481.328723951607</v>
      </c>
      <c r="J14" s="117">
        <f t="shared" ca="1" si="11"/>
        <v>74876.680538306478</v>
      </c>
      <c r="K14" s="117">
        <f t="shared" ca="1" si="11"/>
        <v>116493.9076511811</v>
      </c>
      <c r="L14" s="117">
        <f t="shared" ca="1" si="11"/>
        <v>162071.47604474891</v>
      </c>
      <c r="M14" s="117">
        <f t="shared" ca="1" si="11"/>
        <v>211907.08430507081</v>
      </c>
      <c r="N14" s="117">
        <f t="shared" ca="1" si="11"/>
        <v>266557.74922995811</v>
      </c>
      <c r="O14" s="117">
        <f t="shared" ca="1" si="11"/>
        <v>326626.10413371143</v>
      </c>
      <c r="P14" s="117">
        <f t="shared" ca="1" si="11"/>
        <v>392768.48590949801</v>
      </c>
      <c r="Q14" s="117">
        <f t="shared" ca="1" si="11"/>
        <v>465703.27494418318</v>
      </c>
    </row>
    <row r="15" spans="1:26">
      <c r="B15" t="s">
        <v>117</v>
      </c>
      <c r="C15" s="118"/>
      <c r="D15" s="119">
        <f>D25</f>
        <v>8402</v>
      </c>
      <c r="E15" s="119">
        <f t="shared" ref="E15:G15" si="12">E25</f>
        <v>16928</v>
      </c>
      <c r="F15" s="119">
        <f t="shared" si="12"/>
        <v>18406</v>
      </c>
      <c r="G15" s="120">
        <f t="shared" si="12"/>
        <v>-8836</v>
      </c>
      <c r="H15" s="119">
        <f>H25</f>
        <v>10000</v>
      </c>
      <c r="I15" s="119">
        <f t="shared" ref="I15:Q15" si="13">I25</f>
        <v>10000</v>
      </c>
      <c r="J15" s="119">
        <f t="shared" si="13"/>
        <v>10000</v>
      </c>
      <c r="K15" s="119">
        <f t="shared" si="13"/>
        <v>10000</v>
      </c>
      <c r="L15" s="119">
        <f t="shared" si="13"/>
        <v>10000</v>
      </c>
      <c r="M15" s="119">
        <f t="shared" si="13"/>
        <v>10000</v>
      </c>
      <c r="N15" s="119">
        <f t="shared" si="13"/>
        <v>10000</v>
      </c>
      <c r="O15" s="119">
        <f t="shared" si="13"/>
        <v>10000</v>
      </c>
      <c r="P15" s="119">
        <f t="shared" si="13"/>
        <v>10000</v>
      </c>
      <c r="Q15" s="119">
        <f t="shared" si="13"/>
        <v>10000</v>
      </c>
    </row>
    <row r="16" spans="1:26">
      <c r="B16" s="21" t="s">
        <v>116</v>
      </c>
      <c r="C16" s="117"/>
      <c r="D16" s="117">
        <f>SUM(D15,D14)</f>
        <v>-25506</v>
      </c>
      <c r="E16" s="117">
        <f t="shared" ref="E16:H16" si="14">SUM(E15,E14)</f>
        <v>-10950</v>
      </c>
      <c r="F16" s="117">
        <f t="shared" si="14"/>
        <v>-15374</v>
      </c>
      <c r="G16" s="117">
        <f t="shared" si="14"/>
        <v>-24948</v>
      </c>
      <c r="H16" s="117">
        <f t="shared" si="14"/>
        <v>13387</v>
      </c>
      <c r="I16" s="117">
        <f t="shared" ref="I16:Q16" ca="1" si="15">SUM(I15,I14)</f>
        <v>47481.328723951607</v>
      </c>
      <c r="J16" s="117">
        <f t="shared" ca="1" si="15"/>
        <v>84876.680538306478</v>
      </c>
      <c r="K16" s="117">
        <f t="shared" ca="1" si="15"/>
        <v>126493.9076511811</v>
      </c>
      <c r="L16" s="117">
        <f t="shared" ca="1" si="15"/>
        <v>172071.47604474891</v>
      </c>
      <c r="M16" s="117">
        <f t="shared" ca="1" si="15"/>
        <v>221907.08430507081</v>
      </c>
      <c r="N16" s="117">
        <f t="shared" ca="1" si="15"/>
        <v>276557.74922995811</v>
      </c>
      <c r="O16" s="117">
        <f t="shared" ca="1" si="15"/>
        <v>336626.10413371143</v>
      </c>
      <c r="P16" s="117">
        <f t="shared" ca="1" si="15"/>
        <v>402768.48590949801</v>
      </c>
      <c r="Q16" s="117">
        <f t="shared" ca="1" si="15"/>
        <v>475703.27494418318</v>
      </c>
    </row>
    <row r="18" spans="2:17">
      <c r="B18" t="s">
        <v>130</v>
      </c>
    </row>
    <row r="19" spans="2:17">
      <c r="B19" t="s">
        <v>114</v>
      </c>
      <c r="D19" s="59">
        <f>C21</f>
        <v>87812</v>
      </c>
      <c r="E19" s="59">
        <f t="shared" ref="E19:H19" si="16">D21</f>
        <v>126385</v>
      </c>
      <c r="F19" s="59">
        <f t="shared" si="16"/>
        <v>142266</v>
      </c>
      <c r="G19" s="59">
        <f t="shared" si="16"/>
        <v>155393</v>
      </c>
      <c r="H19" s="59">
        <f t="shared" si="16"/>
        <v>164917</v>
      </c>
      <c r="I19" s="59">
        <f t="shared" ref="I19" si="17">H21</f>
        <v>151530</v>
      </c>
      <c r="J19" s="59">
        <f t="shared" ref="J19" ca="1" si="18">I21</f>
        <v>104048.67127604839</v>
      </c>
      <c r="K19" s="59">
        <f t="shared" ref="K19" ca="1" si="19">J21</f>
        <v>19171.990737741915</v>
      </c>
      <c r="L19" s="59">
        <f t="shared" ref="L19" ca="1" si="20">K21</f>
        <v>0</v>
      </c>
      <c r="M19" s="59">
        <f t="shared" ref="M19" ca="1" si="21">L21</f>
        <v>0</v>
      </c>
      <c r="N19" s="59">
        <f t="shared" ref="N19" ca="1" si="22">M21</f>
        <v>0</v>
      </c>
      <c r="O19" s="59">
        <f t="shared" ref="O19" ca="1" si="23">N21</f>
        <v>0</v>
      </c>
      <c r="P19" s="59">
        <f t="shared" ref="P19" ca="1" si="24">O21</f>
        <v>0</v>
      </c>
      <c r="Q19" s="59">
        <f t="shared" ref="Q19" ca="1" si="25">P21</f>
        <v>0</v>
      </c>
    </row>
    <row r="20" spans="2:17">
      <c r="B20" s="32" t="s">
        <v>115</v>
      </c>
      <c r="D20" s="68">
        <f>D21-D19</f>
        <v>38573</v>
      </c>
      <c r="E20" s="68">
        <f t="shared" ref="E20:G20" si="26">E21-E19</f>
        <v>15881</v>
      </c>
      <c r="F20" s="68">
        <f t="shared" si="26"/>
        <v>13127</v>
      </c>
      <c r="G20" s="68">
        <f t="shared" si="26"/>
        <v>9524</v>
      </c>
      <c r="H20" s="68">
        <f>-MIN(H19,H16)</f>
        <v>-13387</v>
      </c>
      <c r="I20" s="68">
        <f t="shared" ref="I20:Q20" ca="1" si="27">-MIN(I19,I16)</f>
        <v>-47481.328723951607</v>
      </c>
      <c r="J20" s="68">
        <f t="shared" ca="1" si="27"/>
        <v>-84876.680538306478</v>
      </c>
      <c r="K20" s="68">
        <f t="shared" ca="1" si="27"/>
        <v>-19171.990737741915</v>
      </c>
      <c r="L20" s="68">
        <f t="shared" ca="1" si="27"/>
        <v>0</v>
      </c>
      <c r="M20" s="68">
        <f t="shared" ca="1" si="27"/>
        <v>0</v>
      </c>
      <c r="N20" s="68">
        <f t="shared" ca="1" si="27"/>
        <v>0</v>
      </c>
      <c r="O20" s="68">
        <f t="shared" ca="1" si="27"/>
        <v>0</v>
      </c>
      <c r="P20" s="68">
        <f t="shared" ca="1" si="27"/>
        <v>0</v>
      </c>
      <c r="Q20" s="68">
        <f t="shared" ca="1" si="27"/>
        <v>0</v>
      </c>
    </row>
    <row r="21" spans="2:17" ht="15.75" thickBot="1">
      <c r="B21" s="60" t="s">
        <v>131</v>
      </c>
      <c r="C21" s="69">
        <f>BS!C23</f>
        <v>87812</v>
      </c>
      <c r="D21" s="69">
        <f>BS!D23</f>
        <v>126385</v>
      </c>
      <c r="E21" s="69">
        <f>BS!E23</f>
        <v>142266</v>
      </c>
      <c r="F21" s="69">
        <f>BS!F23</f>
        <v>155393</v>
      </c>
      <c r="G21" s="69">
        <f>BS!G23</f>
        <v>164917</v>
      </c>
      <c r="H21" s="70">
        <f>SUM(H19,H20)</f>
        <v>151530</v>
      </c>
      <c r="I21" s="70">
        <f t="shared" ref="I21:Q21" ca="1" si="28">SUM(I19,I20)</f>
        <v>104048.67127604839</v>
      </c>
      <c r="J21" s="70">
        <f t="shared" ca="1" si="28"/>
        <v>19171.990737741915</v>
      </c>
      <c r="K21" s="70">
        <f t="shared" ca="1" si="28"/>
        <v>0</v>
      </c>
      <c r="L21" s="70">
        <f t="shared" ca="1" si="28"/>
        <v>0</v>
      </c>
      <c r="M21" s="70">
        <f t="shared" ca="1" si="28"/>
        <v>0</v>
      </c>
      <c r="N21" s="70">
        <f t="shared" ca="1" si="28"/>
        <v>0</v>
      </c>
      <c r="O21" s="70">
        <f t="shared" ca="1" si="28"/>
        <v>0</v>
      </c>
      <c r="P21" s="70">
        <f t="shared" ca="1" si="28"/>
        <v>0</v>
      </c>
      <c r="Q21" s="70">
        <f t="shared" ca="1" si="28"/>
        <v>0</v>
      </c>
    </row>
    <row r="22" spans="2:17">
      <c r="B22" s="19"/>
    </row>
    <row r="23" spans="2:17">
      <c r="B23" t="s">
        <v>23</v>
      </c>
    </row>
    <row r="24" spans="2:17">
      <c r="B24" t="s">
        <v>114</v>
      </c>
      <c r="C24" s="59"/>
      <c r="D24" s="59">
        <f>C26</f>
        <v>23414</v>
      </c>
      <c r="E24" s="59">
        <f t="shared" ref="E24:G24" si="29">D26</f>
        <v>31816</v>
      </c>
      <c r="F24" s="59">
        <f t="shared" si="29"/>
        <v>48744</v>
      </c>
      <c r="G24" s="59">
        <f t="shared" si="29"/>
        <v>67150</v>
      </c>
      <c r="H24" s="59">
        <f>G26</f>
        <v>58314</v>
      </c>
      <c r="I24" s="59">
        <f t="shared" ref="I24:Q24" si="30">H26</f>
        <v>68314</v>
      </c>
      <c r="J24" s="59">
        <f t="shared" si="30"/>
        <v>78314</v>
      </c>
      <c r="K24" s="59">
        <f t="shared" si="30"/>
        <v>88314</v>
      </c>
      <c r="L24" s="59">
        <f t="shared" si="30"/>
        <v>98314</v>
      </c>
      <c r="M24" s="59">
        <f t="shared" si="30"/>
        <v>108314</v>
      </c>
      <c r="N24" s="59">
        <f t="shared" si="30"/>
        <v>118314</v>
      </c>
      <c r="O24" s="59">
        <f t="shared" si="30"/>
        <v>128314</v>
      </c>
      <c r="P24" s="59">
        <f t="shared" si="30"/>
        <v>138314</v>
      </c>
      <c r="Q24" s="59">
        <f t="shared" si="30"/>
        <v>148314</v>
      </c>
    </row>
    <row r="25" spans="2:17">
      <c r="B25" s="16" t="s">
        <v>113</v>
      </c>
      <c r="D25" s="68">
        <f>D26-D24</f>
        <v>8402</v>
      </c>
      <c r="E25" s="68">
        <f t="shared" ref="E25:G25" si="31">E26-E24</f>
        <v>16928</v>
      </c>
      <c r="F25" s="68">
        <f t="shared" si="31"/>
        <v>18406</v>
      </c>
      <c r="G25" s="68">
        <f t="shared" si="31"/>
        <v>-8836</v>
      </c>
      <c r="H25" s="61">
        <v>10000</v>
      </c>
      <c r="I25" s="61">
        <v>10000</v>
      </c>
      <c r="J25" s="61">
        <v>10000</v>
      </c>
      <c r="K25" s="61">
        <v>10000</v>
      </c>
      <c r="L25" s="61">
        <v>10000</v>
      </c>
      <c r="M25" s="61">
        <v>10000</v>
      </c>
      <c r="N25" s="61">
        <v>10000</v>
      </c>
      <c r="O25" s="61">
        <v>10000</v>
      </c>
      <c r="P25" s="61">
        <v>10000</v>
      </c>
      <c r="Q25" s="61">
        <v>10000</v>
      </c>
    </row>
    <row r="26" spans="2:17" ht="15.75" thickBot="1">
      <c r="B26" s="60" t="s">
        <v>132</v>
      </c>
      <c r="C26" s="69">
        <f>BS!C25</f>
        <v>23414</v>
      </c>
      <c r="D26" s="69">
        <f>BS!D25</f>
        <v>31816</v>
      </c>
      <c r="E26" s="69">
        <f>BS!E25</f>
        <v>48744</v>
      </c>
      <c r="F26" s="69">
        <f>BS!F25</f>
        <v>67150</v>
      </c>
      <c r="G26" s="69">
        <f>BS!G25</f>
        <v>58314</v>
      </c>
      <c r="H26" s="70">
        <f>H24+H25</f>
        <v>68314</v>
      </c>
      <c r="I26" s="70">
        <f t="shared" ref="I26:Q26" si="32">I24+I25</f>
        <v>78314</v>
      </c>
      <c r="J26" s="70">
        <f t="shared" si="32"/>
        <v>88314</v>
      </c>
      <c r="K26" s="70">
        <f t="shared" si="32"/>
        <v>98314</v>
      </c>
      <c r="L26" s="70">
        <f t="shared" si="32"/>
        <v>108314</v>
      </c>
      <c r="M26" s="70">
        <f t="shared" si="32"/>
        <v>118314</v>
      </c>
      <c r="N26" s="70">
        <f t="shared" si="32"/>
        <v>128314</v>
      </c>
      <c r="O26" s="70">
        <f t="shared" si="32"/>
        <v>138314</v>
      </c>
      <c r="P26" s="70">
        <f t="shared" si="32"/>
        <v>148314</v>
      </c>
      <c r="Q26" s="70">
        <f t="shared" si="32"/>
        <v>158314</v>
      </c>
    </row>
    <row r="27" spans="2:17">
      <c r="B27" s="19"/>
    </row>
    <row r="28" spans="2:17">
      <c r="B28" s="19" t="s">
        <v>112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2:17">
      <c r="B29" t="s">
        <v>111</v>
      </c>
      <c r="C29" s="59">
        <f>C21+C26</f>
        <v>111226</v>
      </c>
      <c r="D29" s="59">
        <f t="shared" ref="D29:G29" si="33">D21+D26</f>
        <v>158201</v>
      </c>
      <c r="E29" s="59">
        <f>E21+E26</f>
        <v>191010</v>
      </c>
      <c r="F29" s="59">
        <f t="shared" si="33"/>
        <v>222543</v>
      </c>
      <c r="G29" s="59">
        <f t="shared" si="33"/>
        <v>223231</v>
      </c>
      <c r="H29" s="59">
        <f>H21+H26</f>
        <v>219844</v>
      </c>
      <c r="I29" s="59">
        <f t="shared" ref="I29:Q29" ca="1" si="34">I21+I26</f>
        <v>182362.67127604841</v>
      </c>
      <c r="J29" s="59">
        <f t="shared" ca="1" si="34"/>
        <v>107485.99073774191</v>
      </c>
      <c r="K29" s="59">
        <f t="shared" ca="1" si="34"/>
        <v>98314</v>
      </c>
      <c r="L29" s="59">
        <f t="shared" ca="1" si="34"/>
        <v>108314</v>
      </c>
      <c r="M29" s="59">
        <f t="shared" ca="1" si="34"/>
        <v>118314</v>
      </c>
      <c r="N29" s="59">
        <f t="shared" ca="1" si="34"/>
        <v>128314</v>
      </c>
      <c r="O29" s="59">
        <f t="shared" ca="1" si="34"/>
        <v>138314</v>
      </c>
      <c r="P29" s="59">
        <f t="shared" ca="1" si="34"/>
        <v>148314</v>
      </c>
      <c r="Q29" s="59">
        <f t="shared" ca="1" si="34"/>
        <v>158314</v>
      </c>
    </row>
    <row r="30" spans="2:17">
      <c r="B30" t="s">
        <v>49</v>
      </c>
      <c r="C30" s="29">
        <f>IS!C22</f>
        <v>-1600</v>
      </c>
      <c r="D30" s="29">
        <f>IS!D22</f>
        <v>-1647</v>
      </c>
      <c r="E30" s="29">
        <f>IS!E22</f>
        <v>-1809</v>
      </c>
      <c r="F30" s="29">
        <f>IS!F22</f>
        <v>-2367</v>
      </c>
      <c r="G30" s="29">
        <f>IS!G22</f>
        <v>-3182</v>
      </c>
      <c r="H30" s="29">
        <f>H31*H29</f>
        <v>-3138.5572420105254</v>
      </c>
      <c r="I30" s="29">
        <f t="shared" ref="I30:Q30" ca="1" si="35">I31*I29</f>
        <v>-2603.4628309429713</v>
      </c>
      <c r="J30" s="29">
        <f t="shared" ca="1" si="35"/>
        <v>-1534.5014403150242</v>
      </c>
      <c r="K30" s="29">
        <f t="shared" ca="1" si="35"/>
        <v>-1403.5594180010498</v>
      </c>
      <c r="L30" s="29">
        <f t="shared" ca="1" si="35"/>
        <v>-1546.3223427117778</v>
      </c>
      <c r="M30" s="29">
        <f t="shared" ca="1" si="35"/>
        <v>-1689.0852674225057</v>
      </c>
      <c r="N30" s="29">
        <f t="shared" ca="1" si="35"/>
        <v>-1831.8481921332334</v>
      </c>
      <c r="O30" s="29">
        <f t="shared" ca="1" si="35"/>
        <v>-1974.6111168439613</v>
      </c>
      <c r="P30" s="29">
        <f t="shared" ca="1" si="35"/>
        <v>-2117.374041554689</v>
      </c>
      <c r="Q30" s="29">
        <f t="shared" ca="1" si="35"/>
        <v>-2260.136966265417</v>
      </c>
    </row>
    <row r="31" spans="2:17">
      <c r="B31" t="s">
        <v>109</v>
      </c>
      <c r="C31" s="27"/>
      <c r="D31" s="27">
        <f>D30/AVERAGE(D29,C29)</f>
        <v>-1.2225946174659556E-2</v>
      </c>
      <c r="E31" s="27">
        <f t="shared" ref="E31:F31" si="36">E30/AVERAGE(E29,D29)</f>
        <v>-1.0360498380635203E-2</v>
      </c>
      <c r="F31" s="27">
        <f t="shared" si="36"/>
        <v>-1.1447142204264025E-2</v>
      </c>
      <c r="G31" s="27">
        <f>G30/AVERAGE(G29,F29)</f>
        <v>-1.4276292471072786E-2</v>
      </c>
      <c r="H31" s="27">
        <f>G31</f>
        <v>-1.4276292471072786E-2</v>
      </c>
      <c r="I31" s="27">
        <f t="shared" ref="I31:Q31" si="37">H31</f>
        <v>-1.4276292471072786E-2</v>
      </c>
      <c r="J31" s="27">
        <f t="shared" si="37"/>
        <v>-1.4276292471072786E-2</v>
      </c>
      <c r="K31" s="27">
        <f t="shared" si="37"/>
        <v>-1.4276292471072786E-2</v>
      </c>
      <c r="L31" s="27">
        <f t="shared" si="37"/>
        <v>-1.4276292471072786E-2</v>
      </c>
      <c r="M31" s="27">
        <f t="shared" si="37"/>
        <v>-1.4276292471072786E-2</v>
      </c>
      <c r="N31" s="27">
        <f t="shared" si="37"/>
        <v>-1.4276292471072786E-2</v>
      </c>
      <c r="O31" s="27">
        <f t="shared" si="37"/>
        <v>-1.4276292471072786E-2</v>
      </c>
      <c r="P31" s="27">
        <f t="shared" si="37"/>
        <v>-1.4276292471072786E-2</v>
      </c>
      <c r="Q31" s="27">
        <f t="shared" si="37"/>
        <v>-1.4276292471072786E-2</v>
      </c>
    </row>
    <row r="33" spans="2:17">
      <c r="B33" t="s">
        <v>110</v>
      </c>
      <c r="C33" s="29">
        <f>BS!C8</f>
        <v>36092</v>
      </c>
      <c r="D33" s="29">
        <f>BS!D8</f>
        <v>42122</v>
      </c>
      <c r="E33" s="29">
        <f>BS!E8</f>
        <v>36220</v>
      </c>
      <c r="F33" s="29">
        <f>BS!F8</f>
        <v>53888</v>
      </c>
      <c r="G33" s="29">
        <f>BS!G8</f>
        <v>73387</v>
      </c>
      <c r="H33" s="29">
        <f ca="1">BS!H8</f>
        <v>107481.32872395161</v>
      </c>
      <c r="I33" s="29">
        <f ca="1">BS!I8</f>
        <v>144876.68053830648</v>
      </c>
      <c r="J33" s="29">
        <f ca="1">BS!J8</f>
        <v>186493.9076511811</v>
      </c>
      <c r="K33" s="29">
        <f ca="1">BS!K8</f>
        <v>232071.47604474891</v>
      </c>
      <c r="L33" s="29">
        <f ca="1">BS!L8</f>
        <v>281907.08430507081</v>
      </c>
      <c r="M33" s="29">
        <f ca="1">BS!M8</f>
        <v>336557.74922995811</v>
      </c>
      <c r="N33" s="29">
        <f ca="1">BS!N8</f>
        <v>396626.10413371143</v>
      </c>
      <c r="O33" s="29">
        <f ca="1">BS!O8</f>
        <v>462768.48590949801</v>
      </c>
      <c r="P33" s="29">
        <f ca="1">BS!P8</f>
        <v>535703.27494418318</v>
      </c>
      <c r="Q33" s="29">
        <f ca="1">BS!Q8</f>
        <v>616219.65738727362</v>
      </c>
    </row>
    <row r="34" spans="2:17">
      <c r="B34" t="s">
        <v>48</v>
      </c>
      <c r="C34" s="29">
        <f>IS!C21</f>
        <v>832</v>
      </c>
      <c r="D34" s="29">
        <f>IS!D21</f>
        <v>555</v>
      </c>
      <c r="E34" s="29">
        <f>IS!E21</f>
        <v>448</v>
      </c>
      <c r="F34" s="29">
        <f>IS!F21</f>
        <v>989</v>
      </c>
      <c r="G34" s="29">
        <f>IS!G21</f>
        <v>2949</v>
      </c>
      <c r="H34" s="29">
        <f ca="1">H35*H33</f>
        <v>4980.7493758700966</v>
      </c>
      <c r="I34" s="29">
        <f t="shared" ref="I34:Q34" ca="1" si="38">I35*I33</f>
        <v>6713.6724558234664</v>
      </c>
      <c r="J34" s="29">
        <f t="shared" ca="1" si="38"/>
        <v>8642.2397747135437</v>
      </c>
      <c r="K34" s="29">
        <f t="shared" ca="1" si="38"/>
        <v>10754.331688956427</v>
      </c>
      <c r="L34" s="29">
        <f t="shared" ca="1" si="38"/>
        <v>13063.743729965097</v>
      </c>
      <c r="M34" s="29">
        <f t="shared" ca="1" si="38"/>
        <v>15596.288390951035</v>
      </c>
      <c r="N34" s="29">
        <f t="shared" ca="1" si="38"/>
        <v>18379.89206191813</v>
      </c>
      <c r="O34" s="29">
        <f t="shared" ca="1" si="38"/>
        <v>21444.969788994062</v>
      </c>
      <c r="P34" s="29">
        <f t="shared" ca="1" si="38"/>
        <v>24824.811751096386</v>
      </c>
      <c r="Q34" s="29">
        <f t="shared" ca="1" si="38"/>
        <v>28555.989308742013</v>
      </c>
    </row>
    <row r="35" spans="2:17">
      <c r="B35" t="s">
        <v>109</v>
      </c>
      <c r="C35" s="27"/>
      <c r="D35" s="27">
        <f>D34/AVERAGE(D33,C33)</f>
        <v>1.4191832664228911E-2</v>
      </c>
      <c r="E35" s="27">
        <f t="shared" ref="E35:F35" si="39">E34/AVERAGE(E33,D33)</f>
        <v>1.1437032498532076E-2</v>
      </c>
      <c r="F35" s="27">
        <f t="shared" si="39"/>
        <v>2.1951436054512365E-2</v>
      </c>
      <c r="G35" s="27">
        <f>G34/AVERAGE(G33,F33)</f>
        <v>4.6340601060695347E-2</v>
      </c>
      <c r="H35" s="27">
        <f>G35</f>
        <v>4.6340601060695347E-2</v>
      </c>
      <c r="I35" s="27">
        <f t="shared" ref="I35:Q35" si="40">H35</f>
        <v>4.6340601060695347E-2</v>
      </c>
      <c r="J35" s="27">
        <f t="shared" si="40"/>
        <v>4.6340601060695347E-2</v>
      </c>
      <c r="K35" s="27">
        <f t="shared" si="40"/>
        <v>4.6340601060695347E-2</v>
      </c>
      <c r="L35" s="27">
        <f t="shared" si="40"/>
        <v>4.6340601060695347E-2</v>
      </c>
      <c r="M35" s="27">
        <f t="shared" si="40"/>
        <v>4.6340601060695347E-2</v>
      </c>
      <c r="N35" s="27">
        <f t="shared" si="40"/>
        <v>4.6340601060695347E-2</v>
      </c>
      <c r="O35" s="27">
        <f t="shared" si="40"/>
        <v>4.6340601060695347E-2</v>
      </c>
      <c r="P35" s="27">
        <f t="shared" si="40"/>
        <v>4.6340601060695347E-2</v>
      </c>
      <c r="Q35" s="27">
        <f t="shared" si="40"/>
        <v>4.6340601060695347E-2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9E1A-C817-47AC-9DF1-56E698841B4F}">
  <dimension ref="A1:AO114"/>
  <sheetViews>
    <sheetView showGridLines="0" topLeftCell="B1" zoomScale="54" zoomScaleNormal="130" workbookViewId="0">
      <pane xSplit="1" ySplit="5" topLeftCell="C6" activePane="bottomRight" state="frozen"/>
      <selection activeCell="B1" sqref="B1"/>
      <selection pane="topRight" activeCell="C1" sqref="C1"/>
      <selection pane="bottomLeft" activeCell="B5" sqref="B5"/>
      <selection pane="bottomRight" activeCell="T11" sqref="T11"/>
    </sheetView>
  </sheetViews>
  <sheetFormatPr defaultRowHeight="15"/>
  <cols>
    <col min="1" max="1" width="43.140625" bestFit="1" customWidth="1"/>
    <col min="2" max="2" width="42.85546875" bestFit="1" customWidth="1"/>
    <col min="3" max="4" width="7.140625" bestFit="1" customWidth="1"/>
    <col min="5" max="10" width="7.42578125" bestFit="1" customWidth="1"/>
    <col min="11" max="12" width="8.85546875" bestFit="1" customWidth="1"/>
    <col min="13" max="23" width="8.85546875" customWidth="1"/>
    <col min="25" max="25" width="32.42578125" bestFit="1" customWidth="1"/>
    <col min="26" max="26" width="14.85546875" bestFit="1" customWidth="1"/>
  </cols>
  <sheetData>
    <row r="1" spans="1:25" ht="15.75" thickBot="1"/>
    <row r="2" spans="1:25" ht="22.5" thickTop="1" thickBot="1">
      <c r="A2" s="71" t="s">
        <v>174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3"/>
      <c r="M2" s="73"/>
      <c r="N2" s="73"/>
      <c r="O2" s="73"/>
      <c r="P2" s="73"/>
      <c r="Q2" s="73"/>
      <c r="R2" s="75"/>
      <c r="S2" s="75"/>
      <c r="T2" s="75"/>
      <c r="U2" s="75"/>
      <c r="V2" s="75"/>
      <c r="W2" s="75"/>
    </row>
    <row r="3" spans="1:25" ht="15.75" thickTop="1">
      <c r="A3" s="74" t="s">
        <v>107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spans="1:25">
      <c r="A4" s="75"/>
      <c r="B4" s="75"/>
      <c r="C4" s="75"/>
      <c r="D4" s="75"/>
      <c r="E4" s="75"/>
      <c r="F4" s="75"/>
      <c r="G4" s="75"/>
      <c r="H4" s="78">
        <f ca="1">BS!H4</f>
        <v>0</v>
      </c>
      <c r="I4" s="78">
        <f ca="1">BS!I4</f>
        <v>0</v>
      </c>
      <c r="J4" s="78">
        <f ca="1">BS!J4</f>
        <v>0</v>
      </c>
      <c r="K4" s="78">
        <f ca="1">BS!K4</f>
        <v>0</v>
      </c>
      <c r="L4" s="78">
        <f ca="1">BS!L4</f>
        <v>0</v>
      </c>
      <c r="M4" s="78">
        <f ca="1">BS!M4</f>
        <v>0</v>
      </c>
      <c r="N4" s="78">
        <f ca="1">BS!N4</f>
        <v>0</v>
      </c>
      <c r="O4" s="78">
        <f ca="1">BS!O4</f>
        <v>0</v>
      </c>
      <c r="P4" s="78">
        <f ca="1">BS!P4</f>
        <v>0</v>
      </c>
      <c r="Q4" s="78">
        <f ca="1">BS!Q4</f>
        <v>0</v>
      </c>
      <c r="R4" s="78"/>
      <c r="S4" s="78"/>
      <c r="T4" s="78"/>
      <c r="U4" s="78"/>
      <c r="V4" s="78"/>
      <c r="W4" s="78"/>
    </row>
    <row r="5" spans="1:25">
      <c r="A5" s="75"/>
      <c r="B5" s="76"/>
      <c r="C5" s="76">
        <v>2019</v>
      </c>
      <c r="D5" s="76">
        <f t="shared" ref="D5:H5" si="0">C5+1</f>
        <v>2020</v>
      </c>
      <c r="E5" s="76">
        <f t="shared" si="0"/>
        <v>2021</v>
      </c>
      <c r="F5" s="76">
        <f t="shared" si="0"/>
        <v>2022</v>
      </c>
      <c r="G5" s="76">
        <f t="shared" si="0"/>
        <v>2023</v>
      </c>
      <c r="H5" s="77">
        <f t="shared" si="0"/>
        <v>2024</v>
      </c>
      <c r="I5" s="77">
        <f t="shared" ref="I5" si="1">H5+1</f>
        <v>2025</v>
      </c>
      <c r="J5" s="77">
        <f t="shared" ref="J5" si="2">I5+1</f>
        <v>2026</v>
      </c>
      <c r="K5" s="77">
        <f t="shared" ref="K5" si="3">J5+1</f>
        <v>2027</v>
      </c>
      <c r="L5" s="77">
        <f t="shared" ref="L5" si="4">K5+1</f>
        <v>2028</v>
      </c>
      <c r="M5" s="77">
        <f t="shared" ref="M5" si="5">L5+1</f>
        <v>2029</v>
      </c>
      <c r="N5" s="77">
        <f t="shared" ref="N5" si="6">M5+1</f>
        <v>2030</v>
      </c>
      <c r="O5" s="77">
        <f t="shared" ref="O5" si="7">N5+1</f>
        <v>2031</v>
      </c>
      <c r="P5" s="77">
        <f t="shared" ref="P5" si="8">O5+1</f>
        <v>2032</v>
      </c>
      <c r="Q5" s="77">
        <f t="shared" ref="Q5" si="9">P5+1</f>
        <v>2033</v>
      </c>
      <c r="R5" s="346"/>
      <c r="S5" s="346"/>
      <c r="T5" s="346"/>
      <c r="U5" s="346"/>
      <c r="V5" s="346"/>
      <c r="W5" s="346"/>
    </row>
    <row r="6" spans="1:25">
      <c r="A6" s="75"/>
      <c r="B6" s="75" t="s">
        <v>133</v>
      </c>
      <c r="C6" s="78">
        <v>43549</v>
      </c>
      <c r="D6" s="78">
        <f>C12</f>
        <v>62060</v>
      </c>
      <c r="E6" s="78">
        <f t="shared" ref="E6:H6" si="10">D12</f>
        <v>93404</v>
      </c>
      <c r="F6" s="78">
        <f t="shared" si="10"/>
        <v>138245</v>
      </c>
      <c r="G6" s="78">
        <f t="shared" si="10"/>
        <v>146043</v>
      </c>
      <c r="H6" s="78">
        <f t="shared" si="10"/>
        <v>201875</v>
      </c>
      <c r="I6" s="78">
        <f t="shared" ref="I6" ca="1" si="11">H12</f>
        <v>263193.34218747966</v>
      </c>
      <c r="J6" s="78">
        <f t="shared" ref="J6" ca="1" si="12">I12</f>
        <v>332929.86748780624</v>
      </c>
      <c r="K6" s="78">
        <f t="shared" ref="K6" ca="1" si="13">J12</f>
        <v>412399.44872450939</v>
      </c>
      <c r="L6" s="78">
        <f t="shared" ref="L6" ca="1" si="14">K12</f>
        <v>501794.39090923424</v>
      </c>
      <c r="M6" s="78">
        <f t="shared" ref="M6" ca="1" si="15">L12</f>
        <v>601944.72476701706</v>
      </c>
      <c r="N6" s="78">
        <f t="shared" ref="N6" ca="1" si="16">M12</f>
        <v>714021.23081786698</v>
      </c>
      <c r="O6" s="78">
        <f t="shared" ref="O6" ca="1" si="17">N12</f>
        <v>839326.215043328</v>
      </c>
      <c r="P6" s="78">
        <f t="shared" ref="P6" ca="1" si="18">O12</f>
        <v>979307.50419788051</v>
      </c>
      <c r="Q6" s="78">
        <f t="shared" ref="Q6" ca="1" si="19">P12</f>
        <v>1135574.0719229295</v>
      </c>
      <c r="R6" s="78"/>
      <c r="S6" s="78"/>
      <c r="T6" s="78"/>
      <c r="U6" s="78"/>
      <c r="V6" s="78"/>
      <c r="W6" s="78"/>
    </row>
    <row r="7" spans="1:25">
      <c r="A7" s="75"/>
      <c r="B7" s="79" t="s">
        <v>134</v>
      </c>
      <c r="C7" s="78">
        <f>C66</f>
        <v>11588</v>
      </c>
      <c r="D7" s="78">
        <f t="shared" ref="D7:H7" si="20">D66</f>
        <v>21331</v>
      </c>
      <c r="E7" s="78">
        <f t="shared" si="20"/>
        <v>33364</v>
      </c>
      <c r="F7" s="78">
        <f t="shared" si="20"/>
        <v>-2722</v>
      </c>
      <c r="G7" s="78">
        <f t="shared" si="20"/>
        <v>30425</v>
      </c>
      <c r="H7" s="78">
        <f t="shared" ca="1" si="20"/>
        <v>34722.742187479693</v>
      </c>
      <c r="I7" s="78">
        <f t="shared" ref="I7:Q7" ca="1" si="21">I66</f>
        <v>40215.409300326573</v>
      </c>
      <c r="J7" s="78">
        <f t="shared" ca="1" si="21"/>
        <v>46701.142476703179</v>
      </c>
      <c r="K7" s="78">
        <f t="shared" ca="1" si="21"/>
        <v>53021.975161124836</v>
      </c>
      <c r="L7" s="78">
        <f t="shared" ca="1" si="21"/>
        <v>59776.34046158674</v>
      </c>
      <c r="M7" s="78">
        <f t="shared" ca="1" si="21"/>
        <v>67261.373381072292</v>
      </c>
      <c r="N7" s="78">
        <f t="shared" ca="1" si="21"/>
        <v>75560.18696200788</v>
      </c>
      <c r="O7" s="78">
        <f t="shared" ca="1" si="21"/>
        <v>84764.56419211952</v>
      </c>
      <c r="P7" s="78">
        <f t="shared" ca="1" si="21"/>
        <v>94976.003016748451</v>
      </c>
      <c r="Q7" s="78">
        <f t="shared" ca="1" si="21"/>
        <v>106306.85771855222</v>
      </c>
      <c r="R7" s="78"/>
      <c r="S7" s="78"/>
      <c r="T7" s="78"/>
      <c r="U7" s="78"/>
      <c r="V7" s="78"/>
      <c r="W7" s="78"/>
    </row>
    <row r="8" spans="1:25">
      <c r="A8" s="75"/>
      <c r="B8" s="79" t="s">
        <v>178</v>
      </c>
      <c r="C8" s="78">
        <f>-C59</f>
        <v>-62.371859296482413</v>
      </c>
      <c r="D8" s="78">
        <v>0</v>
      </c>
      <c r="E8" s="78">
        <v>0</v>
      </c>
      <c r="F8" s="78">
        <f>-F59</f>
        <v>-655.92442882249566</v>
      </c>
      <c r="G8" s="78">
        <v>-6000</v>
      </c>
      <c r="H8" s="78">
        <v>0</v>
      </c>
      <c r="I8" s="78">
        <v>0</v>
      </c>
      <c r="J8" s="78">
        <v>0</v>
      </c>
      <c r="K8" s="78">
        <v>0</v>
      </c>
      <c r="L8" s="78">
        <v>0</v>
      </c>
      <c r="M8" s="78">
        <v>0</v>
      </c>
      <c r="N8" s="78">
        <v>0</v>
      </c>
      <c r="O8" s="78">
        <v>0</v>
      </c>
      <c r="P8" s="78">
        <v>0</v>
      </c>
      <c r="Q8" s="78">
        <v>0</v>
      </c>
      <c r="R8" s="78"/>
      <c r="S8" s="78"/>
      <c r="T8" s="78"/>
      <c r="U8" s="78"/>
      <c r="V8" s="78"/>
      <c r="W8" s="78"/>
    </row>
    <row r="9" spans="1:25">
      <c r="A9" s="75"/>
      <c r="B9" s="79" t="s">
        <v>177</v>
      </c>
      <c r="C9" s="78">
        <f>C45</f>
        <v>6867</v>
      </c>
      <c r="D9" s="78">
        <f t="shared" ref="D9:G9" si="22">D45</f>
        <v>9207</v>
      </c>
      <c r="E9" s="78">
        <f t="shared" si="22"/>
        <v>12673</v>
      </c>
      <c r="F9" s="78">
        <f t="shared" si="22"/>
        <v>19631</v>
      </c>
      <c r="G9" s="78">
        <f t="shared" si="22"/>
        <v>23960</v>
      </c>
      <c r="H9" s="78">
        <f>H45</f>
        <v>26595.600000000002</v>
      </c>
      <c r="I9" s="78">
        <f t="shared" ref="I9:Q9" si="23">I45</f>
        <v>29521.116000000009</v>
      </c>
      <c r="J9" s="78">
        <f t="shared" si="23"/>
        <v>32768.438760000012</v>
      </c>
      <c r="K9" s="78">
        <f t="shared" si="23"/>
        <v>36372.967023600017</v>
      </c>
      <c r="L9" s="78">
        <f t="shared" si="23"/>
        <v>40373.99339619602</v>
      </c>
      <c r="M9" s="78">
        <f t="shared" si="23"/>
        <v>44815.132669777588</v>
      </c>
      <c r="N9" s="78">
        <f t="shared" si="23"/>
        <v>49744.797263453125</v>
      </c>
      <c r="O9" s="78">
        <f t="shared" si="23"/>
        <v>55216.724962432978</v>
      </c>
      <c r="P9" s="78">
        <f t="shared" si="23"/>
        <v>61290.564708300604</v>
      </c>
      <c r="Q9" s="78">
        <f t="shared" si="23"/>
        <v>68032.526826213681</v>
      </c>
      <c r="R9" s="78"/>
      <c r="S9" s="78"/>
      <c r="T9" s="78">
        <f>E7-D7</f>
        <v>12033</v>
      </c>
      <c r="U9" s="78"/>
      <c r="V9" s="78"/>
      <c r="W9" s="78"/>
      <c r="Y9" s="58" t="s">
        <v>176</v>
      </c>
    </row>
    <row r="10" spans="1:25">
      <c r="A10" s="75"/>
      <c r="B10" s="79" t="s">
        <v>135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/>
      <c r="S10" s="75"/>
      <c r="T10" s="78">
        <f ca="1">H6+H7</f>
        <v>236597.74218747969</v>
      </c>
      <c r="U10" s="75"/>
      <c r="V10" s="75"/>
      <c r="W10" s="75"/>
    </row>
    <row r="11" spans="1:25">
      <c r="A11" s="75"/>
      <c r="B11" s="79" t="s">
        <v>136</v>
      </c>
      <c r="C11" s="78">
        <f>C12-SUM(C6:C10)</f>
        <v>118.37185929647967</v>
      </c>
      <c r="D11" s="78">
        <f t="shared" ref="D11:G11" si="24">D12-SUM(D6:D10)</f>
        <v>806</v>
      </c>
      <c r="E11" s="78">
        <f t="shared" si="24"/>
        <v>-1196</v>
      </c>
      <c r="F11" s="78">
        <f t="shared" si="24"/>
        <v>-8455.0755711774982</v>
      </c>
      <c r="G11" s="78">
        <f t="shared" si="24"/>
        <v>7447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/>
      <c r="S11" s="85"/>
      <c r="T11" s="85"/>
      <c r="U11" s="85"/>
      <c r="V11" s="85"/>
      <c r="W11" s="85"/>
    </row>
    <row r="12" spans="1:25">
      <c r="A12" s="75"/>
      <c r="B12" s="81" t="s">
        <v>137</v>
      </c>
      <c r="C12" s="82">
        <f>BS!C36</f>
        <v>62060</v>
      </c>
      <c r="D12" s="82">
        <f>BS!D36</f>
        <v>93404</v>
      </c>
      <c r="E12" s="82">
        <f>BS!E36</f>
        <v>138245</v>
      </c>
      <c r="F12" s="82">
        <f>BS!F36</f>
        <v>146043</v>
      </c>
      <c r="G12" s="82">
        <f>BS!G36</f>
        <v>201875</v>
      </c>
      <c r="H12" s="82">
        <f ca="1">SUM(H6:H11)</f>
        <v>263193.34218747966</v>
      </c>
      <c r="I12" s="82">
        <f t="shared" ref="I12:Q12" ca="1" si="25">SUM(I6:I11)</f>
        <v>332929.86748780624</v>
      </c>
      <c r="J12" s="82">
        <f t="shared" ca="1" si="25"/>
        <v>412399.44872450939</v>
      </c>
      <c r="K12" s="82">
        <f t="shared" ca="1" si="25"/>
        <v>501794.39090923424</v>
      </c>
      <c r="L12" s="82">
        <f t="shared" ca="1" si="25"/>
        <v>601944.72476701706</v>
      </c>
      <c r="M12" s="82">
        <f t="shared" ca="1" si="25"/>
        <v>714021.23081786698</v>
      </c>
      <c r="N12" s="82">
        <f t="shared" ca="1" si="25"/>
        <v>839326.215043328</v>
      </c>
      <c r="O12" s="82">
        <f t="shared" ca="1" si="25"/>
        <v>979307.50419788051</v>
      </c>
      <c r="P12" s="82">
        <f t="shared" ca="1" si="25"/>
        <v>1135574.0719229295</v>
      </c>
      <c r="Q12" s="82">
        <f t="shared" ca="1" si="25"/>
        <v>1309913.4564676953</v>
      </c>
      <c r="R12" s="121"/>
      <c r="S12" s="121"/>
      <c r="T12" s="121"/>
      <c r="U12" s="121"/>
      <c r="V12" s="121"/>
      <c r="W12" s="121"/>
    </row>
    <row r="13" spans="1:25">
      <c r="A13" s="75"/>
      <c r="B13" s="80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</row>
    <row r="14" spans="1:25">
      <c r="A14" s="75"/>
      <c r="B14" s="80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</row>
    <row r="15" spans="1:25">
      <c r="A15" s="75"/>
      <c r="B15" s="75"/>
      <c r="C15" s="83"/>
      <c r="D15" s="84"/>
      <c r="E15" s="84"/>
      <c r="F15" s="84"/>
      <c r="G15" s="8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spans="1:25">
      <c r="A16" s="75"/>
      <c r="B16" t="s">
        <v>171</v>
      </c>
    </row>
    <row r="17" spans="1:41">
      <c r="A17" s="75"/>
      <c r="B17" s="16" t="s">
        <v>157</v>
      </c>
      <c r="C17" s="122">
        <v>318.7</v>
      </c>
      <c r="D17" s="122">
        <v>286.7</v>
      </c>
      <c r="E17" s="122">
        <f t="shared" ref="E17:G17" si="26">D21</f>
        <v>303.29999999999995</v>
      </c>
      <c r="F17" s="122">
        <f t="shared" si="26"/>
        <v>279.89999999999992</v>
      </c>
      <c r="G17" s="122">
        <f t="shared" si="26"/>
        <v>384.39999999999992</v>
      </c>
      <c r="H17" s="122">
        <f>G21</f>
        <v>405.7999999999999</v>
      </c>
      <c r="I17" s="122">
        <f t="shared" ref="I17:Q17" si="27">H21</f>
        <v>428.14947970863682</v>
      </c>
      <c r="J17" s="122">
        <f t="shared" si="27"/>
        <v>439.06258413452423</v>
      </c>
      <c r="K17" s="122">
        <f t="shared" si="27"/>
        <v>444.39138148296098</v>
      </c>
      <c r="L17" s="122">
        <f t="shared" si="27"/>
        <v>446.99339829435939</v>
      </c>
      <c r="M17" s="122">
        <f t="shared" si="27"/>
        <v>448.26394604539871</v>
      </c>
      <c r="N17" s="122">
        <f t="shared" si="27"/>
        <v>448.88434618293792</v>
      </c>
      <c r="O17" s="122">
        <f t="shared" si="27"/>
        <v>449.18728350295891</v>
      </c>
      <c r="P17" s="122">
        <f t="shared" si="27"/>
        <v>449.33520581036782</v>
      </c>
      <c r="Q17" s="122">
        <f t="shared" si="27"/>
        <v>449.40743530334555</v>
      </c>
      <c r="R17" s="122"/>
      <c r="S17" s="122"/>
      <c r="T17" s="122"/>
      <c r="U17" s="122"/>
      <c r="V17" s="122"/>
      <c r="W17" s="122"/>
    </row>
    <row r="18" spans="1:41">
      <c r="A18" s="75"/>
      <c r="B18" s="16" t="s">
        <v>158</v>
      </c>
      <c r="C18" s="103">
        <f>6.7*20</f>
        <v>134</v>
      </c>
      <c r="D18" s="103">
        <v>158.6</v>
      </c>
      <c r="E18" s="103">
        <v>127.3</v>
      </c>
      <c r="F18" s="104">
        <v>262.8</v>
      </c>
      <c r="G18" s="104">
        <v>218.1</v>
      </c>
      <c r="H18" s="108">
        <v>230</v>
      </c>
      <c r="I18" s="108">
        <v>230</v>
      </c>
      <c r="J18" s="108">
        <v>230</v>
      </c>
      <c r="K18" s="108">
        <v>230</v>
      </c>
      <c r="L18" s="108">
        <v>230</v>
      </c>
      <c r="M18" s="108">
        <v>230</v>
      </c>
      <c r="N18" s="108">
        <v>230</v>
      </c>
      <c r="O18" s="108">
        <v>230</v>
      </c>
      <c r="P18" s="108">
        <v>230</v>
      </c>
      <c r="Q18" s="108">
        <v>230</v>
      </c>
      <c r="R18" s="108"/>
      <c r="S18" s="108"/>
      <c r="T18" s="108"/>
      <c r="U18" s="108"/>
      <c r="V18" s="108"/>
      <c r="W18" s="108"/>
      <c r="Y18" s="124">
        <f>(G18/C18)^(1/4)-1</f>
        <v>0.12950385316959734</v>
      </c>
      <c r="Z18" s="58" t="s">
        <v>166</v>
      </c>
    </row>
    <row r="19" spans="1:41">
      <c r="A19" s="75"/>
      <c r="B19" s="16" t="s">
        <v>159</v>
      </c>
      <c r="C19" s="103">
        <f>-6.6*20</f>
        <v>-132</v>
      </c>
      <c r="D19" s="103">
        <v>-115.5</v>
      </c>
      <c r="E19" s="103">
        <v>-108.4</v>
      </c>
      <c r="F19" s="104">
        <v>-113.3</v>
      </c>
      <c r="G19" s="104">
        <v>-139.9</v>
      </c>
      <c r="H19" s="104">
        <f>H17*H23</f>
        <v>-147.68839750260148</v>
      </c>
      <c r="I19" s="104">
        <f t="shared" ref="I19:Q19" si="28">I17*I23</f>
        <v>-155.82235226648885</v>
      </c>
      <c r="J19" s="104">
        <f t="shared" si="28"/>
        <v>-159.79410905416222</v>
      </c>
      <c r="K19" s="104">
        <f t="shared" si="28"/>
        <v>-161.73349185605167</v>
      </c>
      <c r="L19" s="104">
        <f t="shared" si="28"/>
        <v>-162.68047976425831</v>
      </c>
      <c r="M19" s="104">
        <f t="shared" si="28"/>
        <v>-163.14288775169433</v>
      </c>
      <c r="N19" s="104">
        <f t="shared" si="28"/>
        <v>-163.36867854056462</v>
      </c>
      <c r="O19" s="104">
        <f t="shared" si="28"/>
        <v>-163.47893070255975</v>
      </c>
      <c r="P19" s="104">
        <f t="shared" si="28"/>
        <v>-163.53276611048511</v>
      </c>
      <c r="Q19" s="104">
        <f t="shared" si="28"/>
        <v>-163.55905358724783</v>
      </c>
      <c r="R19" s="104"/>
      <c r="S19" s="104"/>
      <c r="T19" s="104"/>
      <c r="U19" s="104"/>
      <c r="V19" s="104"/>
      <c r="W19" s="104"/>
    </row>
    <row r="20" spans="1:41">
      <c r="A20" s="75"/>
      <c r="B20" s="16" t="s">
        <v>160</v>
      </c>
      <c r="C20" s="103">
        <f>-1.7*20</f>
        <v>-34</v>
      </c>
      <c r="D20" s="103">
        <v>-26.5</v>
      </c>
      <c r="E20" s="103">
        <v>-42.3</v>
      </c>
      <c r="F20" s="104">
        <v>-45</v>
      </c>
      <c r="G20" s="104">
        <v>-56.8</v>
      </c>
      <c r="H20" s="101">
        <f>H25*H17</f>
        <v>-59.962122788761697</v>
      </c>
      <c r="I20" s="101">
        <f t="shared" ref="I20:Q20" si="29">I25*I17</f>
        <v>-63.264543307623761</v>
      </c>
      <c r="J20" s="101">
        <f t="shared" si="29"/>
        <v>-64.877093597401085</v>
      </c>
      <c r="K20" s="101">
        <f t="shared" si="29"/>
        <v>-65.664491332549915</v>
      </c>
      <c r="L20" s="101">
        <f t="shared" si="29"/>
        <v>-66.048972484702432</v>
      </c>
      <c r="M20" s="101">
        <f t="shared" si="29"/>
        <v>-66.236712110766518</v>
      </c>
      <c r="N20" s="101">
        <f t="shared" si="29"/>
        <v>-66.328384139414354</v>
      </c>
      <c r="O20" s="101">
        <f t="shared" si="29"/>
        <v>-66.373146990031401</v>
      </c>
      <c r="P20" s="101">
        <f t="shared" si="29"/>
        <v>-66.395004396537189</v>
      </c>
      <c r="Q20" s="101">
        <f t="shared" si="29"/>
        <v>-66.405677224843984</v>
      </c>
      <c r="R20" s="101"/>
      <c r="S20" s="101"/>
      <c r="T20" s="101"/>
      <c r="U20" s="101"/>
      <c r="V20" s="101"/>
      <c r="W20" s="101"/>
    </row>
    <row r="21" spans="1:41">
      <c r="A21" s="75"/>
      <c r="B21" s="98" t="s">
        <v>161</v>
      </c>
      <c r="C21" s="98">
        <f>SUM(C17:C20)</f>
        <v>286.7</v>
      </c>
      <c r="D21" s="98">
        <f t="shared" ref="D21:F21" si="30">SUM(D17:D20)</f>
        <v>303.29999999999995</v>
      </c>
      <c r="E21" s="98">
        <f t="shared" si="30"/>
        <v>279.89999999999992</v>
      </c>
      <c r="F21" s="98">
        <f t="shared" si="30"/>
        <v>384.39999999999992</v>
      </c>
      <c r="G21" s="98">
        <f>SUM(G17:G20)</f>
        <v>405.7999999999999</v>
      </c>
      <c r="H21" s="109">
        <f t="shared" ref="H21:Q21" si="31">SUM(H17:H20)</f>
        <v>428.14947970863682</v>
      </c>
      <c r="I21" s="109">
        <f t="shared" si="31"/>
        <v>439.06258413452423</v>
      </c>
      <c r="J21" s="109">
        <f t="shared" si="31"/>
        <v>444.39138148296098</v>
      </c>
      <c r="K21" s="109">
        <f t="shared" si="31"/>
        <v>446.99339829435939</v>
      </c>
      <c r="L21" s="109">
        <f t="shared" si="31"/>
        <v>448.26394604539871</v>
      </c>
      <c r="M21" s="109">
        <f t="shared" si="31"/>
        <v>448.88434618293792</v>
      </c>
      <c r="N21" s="109">
        <f t="shared" si="31"/>
        <v>449.18728350295891</v>
      </c>
      <c r="O21" s="109">
        <f t="shared" si="31"/>
        <v>449.33520581036782</v>
      </c>
      <c r="P21" s="109">
        <f t="shared" si="31"/>
        <v>449.40743530334555</v>
      </c>
      <c r="Q21" s="109">
        <f t="shared" si="31"/>
        <v>449.44270449125372</v>
      </c>
      <c r="R21" s="347"/>
      <c r="S21" s="347"/>
      <c r="T21" s="347"/>
      <c r="U21" s="347"/>
      <c r="V21" s="347"/>
      <c r="W21" s="347"/>
    </row>
    <row r="22" spans="1:41">
      <c r="A22" s="75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</row>
    <row r="23" spans="1:41">
      <c r="A23" s="75"/>
      <c r="B23" s="99" t="s">
        <v>167</v>
      </c>
      <c r="C23" s="102">
        <f>C19/C17</f>
        <v>-0.41418261688107938</v>
      </c>
      <c r="D23" s="102">
        <f>D19/D17</f>
        <v>-0.40286013254272762</v>
      </c>
      <c r="E23" s="102">
        <f>E19/E17</f>
        <v>-0.35740191229805479</v>
      </c>
      <c r="F23" s="102">
        <f>F19/F17</f>
        <v>-0.40478742408002871</v>
      </c>
      <c r="G23" s="102">
        <f>G19/G17</f>
        <v>-0.36394380853277847</v>
      </c>
      <c r="H23" s="102">
        <f>G23</f>
        <v>-0.36394380853277847</v>
      </c>
      <c r="I23" s="102">
        <f t="shared" ref="I23:Q23" si="32">H23</f>
        <v>-0.36394380853277847</v>
      </c>
      <c r="J23" s="102">
        <f t="shared" si="32"/>
        <v>-0.36394380853277847</v>
      </c>
      <c r="K23" s="102">
        <f t="shared" si="32"/>
        <v>-0.36394380853277847</v>
      </c>
      <c r="L23" s="102">
        <f t="shared" si="32"/>
        <v>-0.36394380853277847</v>
      </c>
      <c r="M23" s="102">
        <f t="shared" si="32"/>
        <v>-0.36394380853277847</v>
      </c>
      <c r="N23" s="102">
        <f t="shared" si="32"/>
        <v>-0.36394380853277847</v>
      </c>
      <c r="O23" s="102">
        <f t="shared" si="32"/>
        <v>-0.36394380853277847</v>
      </c>
      <c r="P23" s="102">
        <f t="shared" si="32"/>
        <v>-0.36394380853277847</v>
      </c>
      <c r="Q23" s="102">
        <f t="shared" si="32"/>
        <v>-0.36394380853277847</v>
      </c>
      <c r="R23" s="102"/>
      <c r="S23" s="102"/>
      <c r="T23" s="102"/>
      <c r="U23" s="102"/>
      <c r="V23" s="102"/>
      <c r="W23" s="102"/>
    </row>
    <row r="24" spans="1:41">
      <c r="A24" s="75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</row>
    <row r="25" spans="1:41">
      <c r="A25" s="75"/>
      <c r="B25" s="99" t="s">
        <v>162</v>
      </c>
      <c r="C25" s="102">
        <f>C20/C17</f>
        <v>-0.10668340131785378</v>
      </c>
      <c r="D25" s="102">
        <f t="shared" ref="D25:F25" si="33">D20/D17</f>
        <v>-9.2431112661318454E-2</v>
      </c>
      <c r="E25" s="102">
        <f t="shared" si="33"/>
        <v>-0.1394658753709199</v>
      </c>
      <c r="F25" s="102">
        <f t="shared" si="33"/>
        <v>-0.16077170418006437</v>
      </c>
      <c r="G25" s="102">
        <f>G20/G17</f>
        <v>-0.14776274713839752</v>
      </c>
      <c r="H25" s="102">
        <f>G25</f>
        <v>-0.14776274713839752</v>
      </c>
      <c r="I25" s="102">
        <f t="shared" ref="I25:Q25" si="34">H25</f>
        <v>-0.14776274713839752</v>
      </c>
      <c r="J25" s="102">
        <f t="shared" si="34"/>
        <v>-0.14776274713839752</v>
      </c>
      <c r="K25" s="102">
        <f t="shared" si="34"/>
        <v>-0.14776274713839752</v>
      </c>
      <c r="L25" s="102">
        <f t="shared" si="34"/>
        <v>-0.14776274713839752</v>
      </c>
      <c r="M25" s="102">
        <f t="shared" si="34"/>
        <v>-0.14776274713839752</v>
      </c>
      <c r="N25" s="102">
        <f t="shared" si="34"/>
        <v>-0.14776274713839752</v>
      </c>
      <c r="O25" s="102">
        <f t="shared" si="34"/>
        <v>-0.14776274713839752</v>
      </c>
      <c r="P25" s="102">
        <f t="shared" si="34"/>
        <v>-0.14776274713839752</v>
      </c>
      <c r="Q25" s="102">
        <f t="shared" si="34"/>
        <v>-0.14776274713839752</v>
      </c>
      <c r="R25" s="102"/>
      <c r="S25" s="102"/>
      <c r="T25" s="102"/>
      <c r="U25" s="102"/>
      <c r="V25" s="102"/>
      <c r="W25" s="102"/>
    </row>
    <row r="26" spans="1:41">
      <c r="A26" s="75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</row>
    <row r="27" spans="1:41">
      <c r="A27" s="75"/>
    </row>
    <row r="28" spans="1:41">
      <c r="A28" s="75"/>
      <c r="B28" t="s">
        <v>168</v>
      </c>
    </row>
    <row r="29" spans="1:41">
      <c r="A29" s="75"/>
      <c r="B29" s="16" t="s">
        <v>157</v>
      </c>
      <c r="C29">
        <f>1024/20</f>
        <v>51.2</v>
      </c>
      <c r="D29">
        <f>C33</f>
        <v>73</v>
      </c>
      <c r="E29">
        <f t="shared" ref="E29:H29" si="35">D33</f>
        <v>100</v>
      </c>
      <c r="F29">
        <f t="shared" si="35"/>
        <v>134</v>
      </c>
      <c r="G29">
        <f t="shared" si="35"/>
        <v>144</v>
      </c>
      <c r="H29">
        <f t="shared" si="35"/>
        <v>125</v>
      </c>
      <c r="I29">
        <f t="shared" ref="I29" si="36">H33</f>
        <v>0</v>
      </c>
      <c r="J29">
        <f t="shared" ref="J29" si="37">I33</f>
        <v>0</v>
      </c>
      <c r="K29">
        <f t="shared" ref="K29" si="38">J33</f>
        <v>0</v>
      </c>
      <c r="L29">
        <f t="shared" ref="L29" si="39">K33</f>
        <v>0</v>
      </c>
      <c r="M29">
        <f t="shared" ref="M29" si="40">L33</f>
        <v>0</v>
      </c>
      <c r="N29">
        <f t="shared" ref="N29" si="41">M33</f>
        <v>0</v>
      </c>
      <c r="O29">
        <f t="shared" ref="O29" si="42">N33</f>
        <v>0</v>
      </c>
      <c r="P29">
        <f t="shared" ref="P29" si="43">O33</f>
        <v>0</v>
      </c>
      <c r="Q29">
        <f t="shared" ref="Q29" si="44">P33</f>
        <v>0</v>
      </c>
    </row>
    <row r="30" spans="1:41">
      <c r="A30" s="75"/>
      <c r="B30" s="16" t="s">
        <v>158</v>
      </c>
      <c r="C30">
        <f>1808/20</f>
        <v>90.4</v>
      </c>
      <c r="D30">
        <v>119</v>
      </c>
      <c r="E30">
        <v>167</v>
      </c>
      <c r="F30" s="103">
        <v>142</v>
      </c>
      <c r="G30" s="103">
        <v>106</v>
      </c>
      <c r="H30" s="105">
        <f>G30</f>
        <v>106</v>
      </c>
      <c r="I30" s="105">
        <f t="shared" ref="I30:Q30" si="45">H30</f>
        <v>106</v>
      </c>
      <c r="J30" s="105">
        <f t="shared" si="45"/>
        <v>106</v>
      </c>
      <c r="K30" s="105">
        <f t="shared" si="45"/>
        <v>106</v>
      </c>
      <c r="L30" s="105">
        <f t="shared" si="45"/>
        <v>106</v>
      </c>
      <c r="M30" s="105">
        <f t="shared" si="45"/>
        <v>106</v>
      </c>
      <c r="N30" s="105">
        <f t="shared" si="45"/>
        <v>106</v>
      </c>
      <c r="O30" s="105">
        <f t="shared" si="45"/>
        <v>106</v>
      </c>
      <c r="P30" s="105">
        <f t="shared" si="45"/>
        <v>106</v>
      </c>
      <c r="Q30" s="105">
        <f t="shared" si="45"/>
        <v>106</v>
      </c>
      <c r="R30" s="105"/>
      <c r="S30" s="105"/>
      <c r="T30" s="105"/>
      <c r="U30" s="105"/>
      <c r="V30" s="105"/>
      <c r="W30" s="105"/>
    </row>
    <row r="31" spans="1:41">
      <c r="A31" s="75"/>
      <c r="B31" s="16" t="s">
        <v>163</v>
      </c>
      <c r="C31">
        <f>827/20</f>
        <v>41.35</v>
      </c>
      <c r="D31">
        <v>62</v>
      </c>
      <c r="E31">
        <v>85</v>
      </c>
      <c r="F31" s="103">
        <v>114</v>
      </c>
      <c r="G31" s="103">
        <v>143</v>
      </c>
      <c r="H31" s="105">
        <f>AVERAGE(C30:G30)</f>
        <v>124.88</v>
      </c>
      <c r="I31" s="105">
        <f t="shared" ref="I31:Q31" si="46">AVERAGE(D30:H30)</f>
        <v>128</v>
      </c>
      <c r="J31" s="105">
        <f t="shared" si="46"/>
        <v>125.4</v>
      </c>
      <c r="K31" s="105">
        <f t="shared" si="46"/>
        <v>113.2</v>
      </c>
      <c r="L31" s="105">
        <f t="shared" si="46"/>
        <v>106</v>
      </c>
      <c r="M31" s="105">
        <f t="shared" si="46"/>
        <v>106</v>
      </c>
      <c r="N31" s="105">
        <f t="shared" si="46"/>
        <v>106</v>
      </c>
      <c r="O31" s="105">
        <f t="shared" si="46"/>
        <v>106</v>
      </c>
      <c r="P31" s="105">
        <f t="shared" si="46"/>
        <v>106</v>
      </c>
      <c r="Q31" s="105">
        <f t="shared" si="46"/>
        <v>106</v>
      </c>
      <c r="R31" s="105"/>
      <c r="S31" s="105"/>
      <c r="T31" s="105"/>
      <c r="U31" s="105"/>
      <c r="V31" s="105"/>
      <c r="W31" s="105"/>
    </row>
    <row r="32" spans="1:41">
      <c r="A32" s="75"/>
      <c r="B32" s="16" t="s">
        <v>160</v>
      </c>
      <c r="C32">
        <f>1223/20</f>
        <v>61.15</v>
      </c>
      <c r="D32">
        <v>82</v>
      </c>
      <c r="E32">
        <v>116</v>
      </c>
      <c r="F32" s="103">
        <v>143</v>
      </c>
      <c r="G32" s="103">
        <v>135</v>
      </c>
      <c r="H32">
        <f>AVERAGE(C30:G30)</f>
        <v>124.88</v>
      </c>
      <c r="I32">
        <f t="shared" ref="I32:Q32" si="47">AVERAGE(D30:H30)</f>
        <v>128</v>
      </c>
      <c r="J32">
        <f t="shared" si="47"/>
        <v>125.4</v>
      </c>
      <c r="K32">
        <f t="shared" si="47"/>
        <v>113.2</v>
      </c>
      <c r="L32">
        <f t="shared" si="47"/>
        <v>106</v>
      </c>
      <c r="M32">
        <f t="shared" si="47"/>
        <v>106</v>
      </c>
      <c r="N32">
        <f t="shared" si="47"/>
        <v>106</v>
      </c>
      <c r="O32">
        <f t="shared" si="47"/>
        <v>106</v>
      </c>
      <c r="P32">
        <f t="shared" si="47"/>
        <v>106</v>
      </c>
      <c r="Q32">
        <f t="shared" si="47"/>
        <v>106</v>
      </c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</row>
    <row r="33" spans="1:41">
      <c r="A33" s="75"/>
      <c r="B33" s="98" t="s">
        <v>161</v>
      </c>
      <c r="C33" s="98">
        <v>73</v>
      </c>
      <c r="D33" s="98">
        <v>100</v>
      </c>
      <c r="E33" s="98">
        <v>134</v>
      </c>
      <c r="F33" s="98">
        <v>144</v>
      </c>
      <c r="G33" s="98">
        <v>125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9"/>
      <c r="S33" s="99"/>
      <c r="T33" s="99"/>
      <c r="U33" s="99"/>
      <c r="V33" s="99"/>
      <c r="W33" s="99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</row>
    <row r="34" spans="1:41">
      <c r="A34" s="75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</row>
    <row r="35" spans="1:41">
      <c r="A35" s="75"/>
      <c r="B35" s="16" t="s">
        <v>164</v>
      </c>
      <c r="C35">
        <v>1.1000000000000001</v>
      </c>
      <c r="D35">
        <v>1.2</v>
      </c>
      <c r="E35">
        <v>1.1000000000000001</v>
      </c>
      <c r="F35" s="100">
        <v>1.1000000000000001</v>
      </c>
      <c r="G35" s="100">
        <v>0.9</v>
      </c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</row>
    <row r="36" spans="1:41">
      <c r="A36" s="75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</row>
    <row r="37" spans="1:41">
      <c r="A37" s="75"/>
      <c r="B37" t="s">
        <v>165</v>
      </c>
      <c r="C37" s="78">
        <f t="shared" ref="C37:H37" si="48">C31*-C19</f>
        <v>5458.2</v>
      </c>
      <c r="D37" s="78">
        <f t="shared" si="48"/>
        <v>7161</v>
      </c>
      <c r="E37" s="78">
        <f t="shared" si="48"/>
        <v>9214</v>
      </c>
      <c r="F37" s="78">
        <f t="shared" si="48"/>
        <v>12916.199999999999</v>
      </c>
      <c r="G37" s="78">
        <f t="shared" si="48"/>
        <v>20005.7</v>
      </c>
      <c r="H37" s="78">
        <f t="shared" si="48"/>
        <v>18443.327080124873</v>
      </c>
      <c r="I37" s="78">
        <f t="shared" ref="I37:Q37" si="49">I31*-I19</f>
        <v>19945.261090110573</v>
      </c>
      <c r="J37" s="78">
        <f t="shared" si="49"/>
        <v>20038.181275391944</v>
      </c>
      <c r="K37" s="78">
        <f t="shared" si="49"/>
        <v>18308.23127810505</v>
      </c>
      <c r="L37" s="78">
        <f t="shared" si="49"/>
        <v>17244.130855011379</v>
      </c>
      <c r="M37" s="78">
        <f t="shared" si="49"/>
        <v>17293.146101679598</v>
      </c>
      <c r="N37" s="78">
        <f t="shared" si="49"/>
        <v>17317.079925299848</v>
      </c>
      <c r="O37" s="78">
        <f t="shared" si="49"/>
        <v>17328.766654471332</v>
      </c>
      <c r="P37" s="78">
        <f t="shared" si="49"/>
        <v>17334.47320771142</v>
      </c>
      <c r="Q37" s="78">
        <f t="shared" si="49"/>
        <v>17337.259680248269</v>
      </c>
      <c r="R37" s="78"/>
      <c r="S37" s="78"/>
      <c r="T37" s="78"/>
      <c r="U37" s="78"/>
      <c r="V37" s="78"/>
      <c r="W37" s="7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</row>
    <row r="38" spans="1:41">
      <c r="A38" s="75"/>
      <c r="B38" s="75"/>
      <c r="C38" s="83"/>
      <c r="D38" s="84"/>
      <c r="E38" s="84"/>
      <c r="F38" s="84"/>
      <c r="G38" s="84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</row>
    <row r="39" spans="1:41">
      <c r="A39" s="75"/>
      <c r="B39" s="99" t="s">
        <v>167</v>
      </c>
      <c r="C39" s="102">
        <f>C31/C29</f>
        <v>0.8076171875</v>
      </c>
      <c r="D39" s="102">
        <f t="shared" ref="D39:F39" si="50">D31/D29</f>
        <v>0.84931506849315064</v>
      </c>
      <c r="E39" s="102">
        <f t="shared" si="50"/>
        <v>0.85</v>
      </c>
      <c r="F39" s="102">
        <f t="shared" si="50"/>
        <v>0.85074626865671643</v>
      </c>
      <c r="G39" s="102">
        <f>G31/G29</f>
        <v>0.99305555555555558</v>
      </c>
      <c r="H39" s="106">
        <f>H31/H29</f>
        <v>0.99903999999999993</v>
      </c>
      <c r="I39" s="106" t="e">
        <f t="shared" ref="I39:Q39" si="51">I31/I29</f>
        <v>#DIV/0!</v>
      </c>
      <c r="J39" s="106" t="e">
        <f t="shared" si="51"/>
        <v>#DIV/0!</v>
      </c>
      <c r="K39" s="106" t="e">
        <f t="shared" si="51"/>
        <v>#DIV/0!</v>
      </c>
      <c r="L39" s="106" t="e">
        <f t="shared" si="51"/>
        <v>#DIV/0!</v>
      </c>
      <c r="M39" s="106" t="e">
        <f t="shared" si="51"/>
        <v>#DIV/0!</v>
      </c>
      <c r="N39" s="106" t="e">
        <f t="shared" si="51"/>
        <v>#DIV/0!</v>
      </c>
      <c r="O39" s="106" t="e">
        <f t="shared" si="51"/>
        <v>#DIV/0!</v>
      </c>
      <c r="P39" s="106" t="e">
        <f t="shared" si="51"/>
        <v>#DIV/0!</v>
      </c>
      <c r="Q39" s="106" t="e">
        <f t="shared" si="51"/>
        <v>#DIV/0!</v>
      </c>
      <c r="R39" s="106"/>
      <c r="S39" s="106"/>
      <c r="T39" s="106"/>
      <c r="U39" s="106"/>
      <c r="V39" s="106"/>
      <c r="W39" s="106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</row>
    <row r="40" spans="1:41">
      <c r="A40" s="75"/>
      <c r="B40" s="99"/>
      <c r="C40" s="99"/>
      <c r="D40" s="99"/>
      <c r="E40" s="99"/>
      <c r="F40" s="99"/>
      <c r="G40" s="99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</row>
    <row r="41" spans="1:41">
      <c r="A41" s="75" t="s">
        <v>153</v>
      </c>
      <c r="B41" s="99" t="s">
        <v>162</v>
      </c>
      <c r="C41" s="102">
        <f>C32/C29</f>
        <v>1.1943359375</v>
      </c>
      <c r="D41" s="102">
        <f t="shared" ref="D41:G41" si="52">D32/D29</f>
        <v>1.1232876712328768</v>
      </c>
      <c r="E41" s="102">
        <f t="shared" si="52"/>
        <v>1.1599999999999999</v>
      </c>
      <c r="F41" s="102">
        <f t="shared" si="52"/>
        <v>1.0671641791044777</v>
      </c>
      <c r="G41" s="102">
        <f t="shared" si="52"/>
        <v>0.9375</v>
      </c>
      <c r="H41" s="106">
        <f>G41</f>
        <v>0.9375</v>
      </c>
      <c r="I41" s="106">
        <f t="shared" ref="I41:Q41" si="53">H41</f>
        <v>0.9375</v>
      </c>
      <c r="J41" s="106">
        <f t="shared" si="53"/>
        <v>0.9375</v>
      </c>
      <c r="K41" s="106">
        <f t="shared" si="53"/>
        <v>0.9375</v>
      </c>
      <c r="L41" s="106">
        <f t="shared" si="53"/>
        <v>0.9375</v>
      </c>
      <c r="M41" s="106">
        <f t="shared" si="53"/>
        <v>0.9375</v>
      </c>
      <c r="N41" s="106">
        <f t="shared" si="53"/>
        <v>0.9375</v>
      </c>
      <c r="O41" s="106">
        <f t="shared" si="53"/>
        <v>0.9375</v>
      </c>
      <c r="P41" s="106">
        <f t="shared" si="53"/>
        <v>0.9375</v>
      </c>
      <c r="Q41" s="106">
        <f t="shared" si="53"/>
        <v>0.9375</v>
      </c>
      <c r="R41" s="106"/>
      <c r="S41" s="106"/>
      <c r="T41" s="106"/>
      <c r="U41" s="106"/>
      <c r="V41" s="106"/>
      <c r="W41" s="106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</row>
    <row r="42" spans="1:41">
      <c r="A42" s="75"/>
      <c r="B42" s="75"/>
      <c r="C42" s="83"/>
      <c r="D42" s="84"/>
      <c r="E42" s="84"/>
      <c r="F42" s="84"/>
      <c r="G42" s="84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</row>
    <row r="43" spans="1:41">
      <c r="A43" s="75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</row>
    <row r="44" spans="1:41">
      <c r="A44" s="75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</row>
    <row r="45" spans="1:41">
      <c r="A45" s="75"/>
      <c r="B45" s="110" t="s">
        <v>173</v>
      </c>
      <c r="C45" s="111">
        <v>6867</v>
      </c>
      <c r="D45" s="111">
        <v>9207</v>
      </c>
      <c r="E45" s="111">
        <v>12673</v>
      </c>
      <c r="F45" s="111">
        <v>19631</v>
      </c>
      <c r="G45" s="111">
        <v>23960</v>
      </c>
      <c r="H45" s="111">
        <f>H47*H46</f>
        <v>26595.600000000002</v>
      </c>
      <c r="I45" s="111">
        <f t="shared" ref="I45:Q45" si="54">I47*I46</f>
        <v>29521.116000000009</v>
      </c>
      <c r="J45" s="111">
        <f t="shared" si="54"/>
        <v>32768.438760000012</v>
      </c>
      <c r="K45" s="111">
        <f t="shared" si="54"/>
        <v>36372.967023600017</v>
      </c>
      <c r="L45" s="111">
        <f t="shared" si="54"/>
        <v>40373.99339619602</v>
      </c>
      <c r="M45" s="111">
        <f t="shared" si="54"/>
        <v>44815.132669777588</v>
      </c>
      <c r="N45" s="111">
        <f t="shared" si="54"/>
        <v>49744.797263453125</v>
      </c>
      <c r="O45" s="111">
        <f t="shared" si="54"/>
        <v>55216.724962432978</v>
      </c>
      <c r="P45" s="111">
        <f t="shared" si="54"/>
        <v>61290.564708300604</v>
      </c>
      <c r="Q45" s="111">
        <f t="shared" si="54"/>
        <v>68032.526826213681</v>
      </c>
      <c r="R45" s="111"/>
      <c r="S45" s="111"/>
      <c r="T45" s="111"/>
      <c r="U45" s="111"/>
      <c r="V45" s="111"/>
      <c r="W45" s="111"/>
      <c r="Y45" s="125" t="s">
        <v>175</v>
      </c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</row>
    <row r="46" spans="1:41">
      <c r="A46" s="75"/>
      <c r="B46" s="110" t="s">
        <v>73</v>
      </c>
      <c r="C46" s="123">
        <f>IS!C8</f>
        <v>280522</v>
      </c>
      <c r="D46" s="123">
        <f>IS!D8</f>
        <v>386064</v>
      </c>
      <c r="E46" s="123">
        <f>IS!E8</f>
        <v>469822</v>
      </c>
      <c r="F46" s="123">
        <f>IS!F8</f>
        <v>513983</v>
      </c>
      <c r="G46" s="123">
        <f>IS!G8</f>
        <v>574785</v>
      </c>
      <c r="H46" s="123">
        <f>IS!H8</f>
        <v>638011.35000000009</v>
      </c>
      <c r="I46" s="123">
        <f>IS!I8</f>
        <v>708192.5985000002</v>
      </c>
      <c r="J46" s="123">
        <f>IS!J8</f>
        <v>786093.78433500032</v>
      </c>
      <c r="K46" s="123">
        <f>IS!K8</f>
        <v>872564.10061185039</v>
      </c>
      <c r="L46" s="123">
        <f>IS!L8</f>
        <v>968546.15167915402</v>
      </c>
      <c r="M46" s="123">
        <f>IS!M8</f>
        <v>1075086.2283638611</v>
      </c>
      <c r="N46" s="123">
        <f>IS!N8</f>
        <v>1193345.7134838859</v>
      </c>
      <c r="O46" s="123">
        <f>IS!O8</f>
        <v>1324613.7419671135</v>
      </c>
      <c r="P46" s="123">
        <f>IS!P8</f>
        <v>1470321.253583496</v>
      </c>
      <c r="Q46" s="123">
        <f>IS!Q8</f>
        <v>1632056.5914776807</v>
      </c>
      <c r="R46" s="123"/>
      <c r="S46" s="123"/>
      <c r="T46" s="123"/>
      <c r="U46" s="123"/>
      <c r="V46" s="123"/>
      <c r="W46" s="123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</row>
    <row r="47" spans="1:41">
      <c r="A47" s="75"/>
      <c r="B47" s="110" t="s">
        <v>169</v>
      </c>
      <c r="C47" s="114">
        <f>C45/C46</f>
        <v>2.4479363472383629E-2</v>
      </c>
      <c r="D47" s="114">
        <f t="shared" ref="D47:F47" si="55">D45/D46</f>
        <v>2.3848377471092877E-2</v>
      </c>
      <c r="E47" s="114">
        <f t="shared" si="55"/>
        <v>2.6974045489568391E-2</v>
      </c>
      <c r="F47" s="114">
        <f t="shared" si="55"/>
        <v>3.8193870225279827E-2</v>
      </c>
      <c r="G47" s="114">
        <f>G45/G46</f>
        <v>4.1685151839383421E-2</v>
      </c>
      <c r="H47" s="112">
        <f>G47</f>
        <v>4.1685151839383421E-2</v>
      </c>
      <c r="I47" s="112">
        <f t="shared" ref="I47:Q47" si="56">H47</f>
        <v>4.1685151839383421E-2</v>
      </c>
      <c r="J47" s="112">
        <f t="shared" si="56"/>
        <v>4.1685151839383421E-2</v>
      </c>
      <c r="K47" s="112">
        <f t="shared" si="56"/>
        <v>4.1685151839383421E-2</v>
      </c>
      <c r="L47" s="112">
        <f t="shared" si="56"/>
        <v>4.1685151839383421E-2</v>
      </c>
      <c r="M47" s="112">
        <f t="shared" si="56"/>
        <v>4.1685151839383421E-2</v>
      </c>
      <c r="N47" s="112">
        <f t="shared" si="56"/>
        <v>4.1685151839383421E-2</v>
      </c>
      <c r="O47" s="112">
        <f t="shared" si="56"/>
        <v>4.1685151839383421E-2</v>
      </c>
      <c r="P47" s="112">
        <f t="shared" si="56"/>
        <v>4.1685151839383421E-2</v>
      </c>
      <c r="Q47" s="112">
        <f t="shared" si="56"/>
        <v>4.1685151839383421E-2</v>
      </c>
      <c r="R47" s="112"/>
      <c r="S47" s="112"/>
      <c r="T47" s="112"/>
      <c r="U47" s="112"/>
      <c r="V47" s="112"/>
      <c r="W47" s="112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</row>
    <row r="48" spans="1:41">
      <c r="A48" s="75"/>
      <c r="B48" s="110" t="s">
        <v>172</v>
      </c>
      <c r="C48" s="111"/>
      <c r="D48" s="111"/>
      <c r="E48" s="111"/>
      <c r="F48" s="111"/>
      <c r="G48" s="111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</row>
    <row r="49" spans="1:41">
      <c r="A49" s="75"/>
      <c r="B49" s="113" t="s">
        <v>170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</row>
    <row r="50" spans="1:41">
      <c r="A50" s="75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</row>
    <row r="51" spans="1:41">
      <c r="A51" s="75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</row>
    <row r="52" spans="1:41">
      <c r="A52" s="75"/>
      <c r="B52" s="75"/>
      <c r="C52" s="83"/>
      <c r="D52" s="84"/>
      <c r="E52" s="84"/>
      <c r="F52" s="84"/>
      <c r="G52" s="84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</row>
    <row r="53" spans="1:4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</row>
    <row r="54" spans="1:41">
      <c r="A54" s="75"/>
      <c r="B54" s="75" t="s">
        <v>138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</row>
    <row r="55" spans="1:41">
      <c r="A55" s="75"/>
      <c r="B55" s="79" t="s">
        <v>139</v>
      </c>
      <c r="C55" s="86">
        <f>C77</f>
        <v>1.1722812341932221</v>
      </c>
      <c r="D55" s="86">
        <f t="shared" ref="D55:H55" si="57">D77</f>
        <v>2.1313948840927259</v>
      </c>
      <c r="E55" s="86">
        <f t="shared" si="57"/>
        <v>3.2966750654611925</v>
      </c>
      <c r="F55" s="86">
        <f t="shared" si="57"/>
        <v>-0.26664054464416909</v>
      </c>
      <c r="G55" s="86">
        <f t="shared" si="57"/>
        <v>2.9503030303030302</v>
      </c>
      <c r="H55" s="86">
        <f t="shared" ca="1" si="57"/>
        <v>3.3441916774997296</v>
      </c>
      <c r="I55" s="86">
        <f t="shared" ref="I55:Q55" ca="1" si="58">I77</f>
        <v>3.8731974670448399</v>
      </c>
      <c r="J55" s="86">
        <f t="shared" ca="1" si="58"/>
        <v>4.4978467183572359</v>
      </c>
      <c r="K55" s="86">
        <f t="shared" ca="1" si="58"/>
        <v>5.1066141925382675</v>
      </c>
      <c r="L55" s="86">
        <f t="shared" ca="1" si="58"/>
        <v>5.7571357470467825</v>
      </c>
      <c r="M55" s="86">
        <f t="shared" ca="1" si="58"/>
        <v>6.4780288337736964</v>
      </c>
      <c r="N55" s="86">
        <f t="shared" ca="1" si="58"/>
        <v>7.2772981760577755</v>
      </c>
      <c r="O55" s="86">
        <f t="shared" ca="1" si="58"/>
        <v>8.1637835107502195</v>
      </c>
      <c r="P55" s="86">
        <f t="shared" ca="1" si="58"/>
        <v>9.1472602346863567</v>
      </c>
      <c r="Q55" s="86">
        <f t="shared" ca="1" si="58"/>
        <v>10.238549332423405</v>
      </c>
      <c r="R55" s="86"/>
      <c r="S55" s="86"/>
      <c r="T55" s="86"/>
      <c r="U55" s="86"/>
      <c r="V55" s="86"/>
      <c r="W55" s="86"/>
    </row>
    <row r="56" spans="1:41">
      <c r="A56" s="75"/>
      <c r="B56" s="79" t="s">
        <v>140</v>
      </c>
      <c r="C56" s="87">
        <f>C57/C55</f>
        <v>5.3205542729179207</v>
      </c>
      <c r="D56" s="87">
        <f t="shared" ref="D56:G56" si="59">D57/D55</f>
        <v>4.3535609611135904</v>
      </c>
      <c r="E56" s="87">
        <f t="shared" si="59"/>
        <v>4.1213440563428572</v>
      </c>
      <c r="F56" s="87">
        <f t="shared" si="59"/>
        <v>-53.477338686662989</v>
      </c>
      <c r="G56" s="87">
        <f t="shared" si="59"/>
        <v>6.5901160174993718</v>
      </c>
      <c r="H56" s="87">
        <f>G56</f>
        <v>6.5901160174993718</v>
      </c>
      <c r="I56" s="87">
        <f t="shared" ref="I56:Q56" si="60">H56</f>
        <v>6.5901160174993718</v>
      </c>
      <c r="J56" s="87">
        <f t="shared" si="60"/>
        <v>6.5901160174993718</v>
      </c>
      <c r="K56" s="87">
        <f t="shared" si="60"/>
        <v>6.5901160174993718</v>
      </c>
      <c r="L56" s="87">
        <f t="shared" si="60"/>
        <v>6.5901160174993718</v>
      </c>
      <c r="M56" s="87">
        <f t="shared" si="60"/>
        <v>6.5901160174993718</v>
      </c>
      <c r="N56" s="87">
        <f t="shared" si="60"/>
        <v>6.5901160174993718</v>
      </c>
      <c r="O56" s="87">
        <f t="shared" si="60"/>
        <v>6.5901160174993718</v>
      </c>
      <c r="P56" s="87">
        <f t="shared" si="60"/>
        <v>6.5901160174993718</v>
      </c>
      <c r="Q56" s="87">
        <f t="shared" si="60"/>
        <v>6.5901160174993718</v>
      </c>
      <c r="R56" s="87"/>
      <c r="S56" s="87"/>
      <c r="T56" s="87"/>
      <c r="U56" s="87"/>
      <c r="V56" s="87"/>
      <c r="W56" s="87"/>
    </row>
    <row r="57" spans="1:41">
      <c r="A57" s="75"/>
      <c r="B57" s="79" t="s">
        <v>141</v>
      </c>
      <c r="C57" s="88">
        <f>62060/9950</f>
        <v>6.2371859296482413</v>
      </c>
      <c r="D57" s="88">
        <f>93404/10066</f>
        <v>9.279157560103318</v>
      </c>
      <c r="E57" s="88">
        <f>138245/10175</f>
        <v>13.586732186732187</v>
      </c>
      <c r="F57" s="88">
        <f>146043/10242</f>
        <v>14.259226713532513</v>
      </c>
      <c r="G57" s="88">
        <f>201875/10383</f>
        <v>19.442839256476933</v>
      </c>
      <c r="H57" s="88">
        <f ca="1">H55*H56</f>
        <v>22.038611139479062</v>
      </c>
      <c r="I57" s="88">
        <f t="shared" ref="I57:Q57" ca="1" si="61">I55*I56</f>
        <v>25.524820666510195</v>
      </c>
      <c r="J57" s="88">
        <f t="shared" ca="1" si="61"/>
        <v>29.641331702903006</v>
      </c>
      <c r="K57" s="88">
        <f t="shared" ca="1" si="61"/>
        <v>33.653179985436061</v>
      </c>
      <c r="L57" s="88">
        <f t="shared" ca="1" si="61"/>
        <v>37.940192501531214</v>
      </c>
      <c r="M57" s="88">
        <f t="shared" ca="1" si="61"/>
        <v>42.690961579274813</v>
      </c>
      <c r="N57" s="88">
        <f t="shared" ca="1" si="61"/>
        <v>47.958239274157307</v>
      </c>
      <c r="O57" s="88">
        <f t="shared" ca="1" si="61"/>
        <v>53.800280477592274</v>
      </c>
      <c r="P57" s="88">
        <f t="shared" ca="1" si="61"/>
        <v>60.281506188841625</v>
      </c>
      <c r="Q57" s="88">
        <f t="shared" ca="1" si="61"/>
        <v>67.473227951560986</v>
      </c>
      <c r="R57" s="88"/>
      <c r="S57" s="88"/>
      <c r="T57" s="88"/>
      <c r="U57" s="88"/>
      <c r="V57" s="88"/>
      <c r="W57" s="88"/>
    </row>
    <row r="58" spans="1:41">
      <c r="A58" s="75"/>
      <c r="B58" s="79" t="s">
        <v>142</v>
      </c>
      <c r="C58" s="89">
        <f>-C70</f>
        <v>10</v>
      </c>
      <c r="D58" s="89">
        <f t="shared" ref="D58:H58" si="62">-D70</f>
        <v>0</v>
      </c>
      <c r="E58" s="89">
        <f t="shared" si="62"/>
        <v>0</v>
      </c>
      <c r="F58" s="89">
        <f t="shared" si="62"/>
        <v>46</v>
      </c>
      <c r="G58" s="89">
        <f t="shared" si="62"/>
        <v>0</v>
      </c>
      <c r="H58" s="89">
        <f t="shared" si="62"/>
        <v>0</v>
      </c>
      <c r="I58" s="89">
        <f t="shared" ref="I58:Q58" si="63">-I70</f>
        <v>0</v>
      </c>
      <c r="J58" s="89">
        <f t="shared" si="63"/>
        <v>0</v>
      </c>
      <c r="K58" s="89">
        <f t="shared" si="63"/>
        <v>0</v>
      </c>
      <c r="L58" s="89">
        <f t="shared" si="63"/>
        <v>0</v>
      </c>
      <c r="M58" s="89">
        <f t="shared" si="63"/>
        <v>0</v>
      </c>
      <c r="N58" s="89">
        <f t="shared" si="63"/>
        <v>0</v>
      </c>
      <c r="O58" s="89">
        <f t="shared" si="63"/>
        <v>0</v>
      </c>
      <c r="P58" s="89">
        <f t="shared" si="63"/>
        <v>0</v>
      </c>
      <c r="Q58" s="89">
        <f t="shared" si="63"/>
        <v>0</v>
      </c>
      <c r="R58" s="89"/>
      <c r="S58" s="89"/>
      <c r="T58" s="89"/>
      <c r="U58" s="89"/>
      <c r="V58" s="89"/>
      <c r="W58" s="89"/>
    </row>
    <row r="59" spans="1:41">
      <c r="A59" s="75"/>
      <c r="B59" s="81" t="s">
        <v>143</v>
      </c>
      <c r="C59" s="28">
        <f>C58*C57</f>
        <v>62.371859296482413</v>
      </c>
      <c r="D59" s="28">
        <f t="shared" ref="D59:H59" si="64">D58*D57</f>
        <v>0</v>
      </c>
      <c r="E59" s="28">
        <f t="shared" si="64"/>
        <v>0</v>
      </c>
      <c r="F59" s="28">
        <f t="shared" si="64"/>
        <v>655.92442882249566</v>
      </c>
      <c r="G59" s="28">
        <f t="shared" si="64"/>
        <v>0</v>
      </c>
      <c r="H59" s="28">
        <f t="shared" ca="1" si="64"/>
        <v>0</v>
      </c>
      <c r="I59" s="28">
        <f t="shared" ref="I59:Q59" ca="1" si="65">I58*I57</f>
        <v>0</v>
      </c>
      <c r="J59" s="28">
        <f t="shared" ca="1" si="65"/>
        <v>0</v>
      </c>
      <c r="K59" s="28">
        <f t="shared" ca="1" si="65"/>
        <v>0</v>
      </c>
      <c r="L59" s="28">
        <f t="shared" ca="1" si="65"/>
        <v>0</v>
      </c>
      <c r="M59" s="28">
        <f t="shared" ca="1" si="65"/>
        <v>0</v>
      </c>
      <c r="N59" s="28">
        <f t="shared" ca="1" si="65"/>
        <v>0</v>
      </c>
      <c r="O59" s="28">
        <f t="shared" ca="1" si="65"/>
        <v>0</v>
      </c>
      <c r="P59" s="28">
        <f t="shared" ca="1" si="65"/>
        <v>0</v>
      </c>
      <c r="Q59" s="28">
        <f t="shared" ca="1" si="65"/>
        <v>0</v>
      </c>
      <c r="R59" s="191"/>
      <c r="S59" s="191"/>
      <c r="T59" s="191"/>
      <c r="U59" s="191"/>
      <c r="V59" s="191"/>
      <c r="W59" s="191"/>
    </row>
    <row r="60" spans="1:41">
      <c r="A60" s="75"/>
      <c r="B60" s="80" t="s">
        <v>144</v>
      </c>
      <c r="C60" s="90"/>
      <c r="D60" s="90"/>
      <c r="E60" s="90"/>
      <c r="F60" s="90"/>
      <c r="G60" s="91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</row>
    <row r="61" spans="1:4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</row>
    <row r="62" spans="1:41">
      <c r="A62" s="75"/>
      <c r="B62" s="75" t="s">
        <v>145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</row>
    <row r="63" spans="1:41">
      <c r="A63" s="75"/>
      <c r="B63" s="75" t="s">
        <v>146</v>
      </c>
      <c r="C63" s="93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/>
      <c r="S63" s="93"/>
      <c r="T63" s="93"/>
      <c r="U63" s="93"/>
      <c r="V63" s="93"/>
      <c r="W63" s="93"/>
    </row>
    <row r="64" spans="1:41">
      <c r="A64" s="75"/>
      <c r="B64" s="75" t="s">
        <v>147</v>
      </c>
      <c r="C64" s="94">
        <f>C76</f>
        <v>11588</v>
      </c>
      <c r="D64" s="94">
        <f t="shared" ref="D64:H64" si="66">D76</f>
        <v>21331</v>
      </c>
      <c r="E64" s="94">
        <f t="shared" si="66"/>
        <v>33364</v>
      </c>
      <c r="F64" s="94">
        <f t="shared" si="66"/>
        <v>-2722</v>
      </c>
      <c r="G64" s="94">
        <f t="shared" si="66"/>
        <v>30425</v>
      </c>
      <c r="H64" s="94">
        <f t="shared" ca="1" si="66"/>
        <v>34722.742187479693</v>
      </c>
      <c r="I64" s="94">
        <f t="shared" ref="I64:Q64" ca="1" si="67">I76</f>
        <v>40215.409300326573</v>
      </c>
      <c r="J64" s="94">
        <f t="shared" ca="1" si="67"/>
        <v>46701.142476703179</v>
      </c>
      <c r="K64" s="94">
        <f t="shared" ca="1" si="67"/>
        <v>53021.975161124836</v>
      </c>
      <c r="L64" s="94">
        <f t="shared" ca="1" si="67"/>
        <v>59776.34046158674</v>
      </c>
      <c r="M64" s="94">
        <f t="shared" ca="1" si="67"/>
        <v>67261.373381072292</v>
      </c>
      <c r="N64" s="94">
        <f t="shared" ca="1" si="67"/>
        <v>75560.18696200788</v>
      </c>
      <c r="O64" s="94">
        <f t="shared" ca="1" si="67"/>
        <v>84764.56419211952</v>
      </c>
      <c r="P64" s="94">
        <f t="shared" ca="1" si="67"/>
        <v>94976.003016748451</v>
      </c>
      <c r="Q64" s="94">
        <f t="shared" ca="1" si="67"/>
        <v>106306.85771855222</v>
      </c>
      <c r="R64" s="94"/>
      <c r="S64" s="94"/>
      <c r="T64" s="94"/>
      <c r="U64" s="94"/>
      <c r="V64" s="94"/>
      <c r="W64" s="94"/>
    </row>
    <row r="65" spans="1:23">
      <c r="A65" s="75"/>
      <c r="B65" s="75" t="s">
        <v>148</v>
      </c>
      <c r="C65" s="95">
        <f>C63/C64</f>
        <v>0</v>
      </c>
      <c r="D65" s="95">
        <f t="shared" ref="D65:H65" si="68">D63/D64</f>
        <v>0</v>
      </c>
      <c r="E65" s="95">
        <f t="shared" si="68"/>
        <v>0</v>
      </c>
      <c r="F65" s="95">
        <f t="shared" si="68"/>
        <v>0</v>
      </c>
      <c r="G65" s="95">
        <f t="shared" si="68"/>
        <v>0</v>
      </c>
      <c r="H65" s="95">
        <f t="shared" ca="1" si="68"/>
        <v>0</v>
      </c>
      <c r="I65" s="95">
        <f t="shared" ref="I65:Q65" ca="1" si="69">I63/I64</f>
        <v>0</v>
      </c>
      <c r="J65" s="95">
        <f t="shared" ca="1" si="69"/>
        <v>0</v>
      </c>
      <c r="K65" s="95">
        <f t="shared" ca="1" si="69"/>
        <v>0</v>
      </c>
      <c r="L65" s="95">
        <f t="shared" ca="1" si="69"/>
        <v>0</v>
      </c>
      <c r="M65" s="95">
        <f t="shared" ca="1" si="69"/>
        <v>0</v>
      </c>
      <c r="N65" s="95">
        <f t="shared" ca="1" si="69"/>
        <v>0</v>
      </c>
      <c r="O65" s="95">
        <f t="shared" ca="1" si="69"/>
        <v>0</v>
      </c>
      <c r="P65" s="95">
        <f t="shared" ca="1" si="69"/>
        <v>0</v>
      </c>
      <c r="Q65" s="95">
        <f t="shared" ca="1" si="69"/>
        <v>0</v>
      </c>
      <c r="R65" s="95"/>
      <c r="S65" s="95"/>
      <c r="T65" s="95"/>
      <c r="U65" s="95"/>
      <c r="V65" s="95"/>
      <c r="W65" s="95"/>
    </row>
    <row r="66" spans="1:23">
      <c r="A66" s="75"/>
      <c r="B66" s="81" t="s">
        <v>134</v>
      </c>
      <c r="C66" s="96">
        <f>C64-C63</f>
        <v>11588</v>
      </c>
      <c r="D66" s="96">
        <f t="shared" ref="D66:G66" si="70">D64-D63</f>
        <v>21331</v>
      </c>
      <c r="E66" s="96">
        <f t="shared" si="70"/>
        <v>33364</v>
      </c>
      <c r="F66" s="96">
        <f t="shared" si="70"/>
        <v>-2722</v>
      </c>
      <c r="G66" s="96">
        <f t="shared" si="70"/>
        <v>30425</v>
      </c>
      <c r="H66" s="96">
        <f ca="1">H64-H63</f>
        <v>34722.742187479693</v>
      </c>
      <c r="I66" s="96">
        <f t="shared" ref="I66:Q66" ca="1" si="71">I64-I63</f>
        <v>40215.409300326573</v>
      </c>
      <c r="J66" s="96">
        <f t="shared" ca="1" si="71"/>
        <v>46701.142476703179</v>
      </c>
      <c r="K66" s="96">
        <f t="shared" ca="1" si="71"/>
        <v>53021.975161124836</v>
      </c>
      <c r="L66" s="96">
        <f t="shared" ca="1" si="71"/>
        <v>59776.34046158674</v>
      </c>
      <c r="M66" s="96">
        <f t="shared" ca="1" si="71"/>
        <v>67261.373381072292</v>
      </c>
      <c r="N66" s="96">
        <f t="shared" ca="1" si="71"/>
        <v>75560.18696200788</v>
      </c>
      <c r="O66" s="96">
        <f t="shared" ca="1" si="71"/>
        <v>84764.56419211952</v>
      </c>
      <c r="P66" s="96">
        <f t="shared" ca="1" si="71"/>
        <v>94976.003016748451</v>
      </c>
      <c r="Q66" s="96">
        <f t="shared" ca="1" si="71"/>
        <v>106306.85771855222</v>
      </c>
      <c r="R66" s="348"/>
      <c r="S66" s="348"/>
      <c r="T66" s="348"/>
      <c r="U66" s="348"/>
      <c r="V66" s="348"/>
      <c r="W66" s="348"/>
    </row>
    <row r="67" spans="1:23">
      <c r="A67" s="75"/>
      <c r="B67" s="75"/>
      <c r="C67" s="85"/>
      <c r="D67" s="85"/>
      <c r="E67" s="85"/>
      <c r="F67" s="85"/>
      <c r="G67" s="8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</row>
    <row r="68" spans="1:23">
      <c r="A68" s="75"/>
      <c r="B68" s="75" t="s">
        <v>149</v>
      </c>
    </row>
    <row r="69" spans="1:23">
      <c r="A69" s="75"/>
      <c r="B69" s="75" t="s">
        <v>150</v>
      </c>
      <c r="C69" s="9">
        <f>491*20</f>
        <v>9820</v>
      </c>
      <c r="D69" s="9">
        <f>C73</f>
        <v>9950</v>
      </c>
      <c r="E69" s="9">
        <f t="shared" ref="E69:H69" si="72">D73</f>
        <v>10066</v>
      </c>
      <c r="F69" s="9">
        <f t="shared" si="72"/>
        <v>10175</v>
      </c>
      <c r="G69" s="9">
        <f t="shared" si="72"/>
        <v>10242</v>
      </c>
      <c r="H69" s="9">
        <f t="shared" si="72"/>
        <v>10383</v>
      </c>
      <c r="I69" s="9">
        <f t="shared" ref="I69" si="73">H73</f>
        <v>10383</v>
      </c>
      <c r="J69" s="9">
        <f t="shared" ref="J69" si="74">I73</f>
        <v>10383</v>
      </c>
      <c r="K69" s="9">
        <f t="shared" ref="K69" si="75">J73</f>
        <v>10383</v>
      </c>
      <c r="L69" s="9">
        <f t="shared" ref="L69" si="76">K73</f>
        <v>10383</v>
      </c>
      <c r="M69" s="9">
        <f t="shared" ref="M69" si="77">L73</f>
        <v>10383</v>
      </c>
      <c r="N69" s="9">
        <f t="shared" ref="N69" si="78">M73</f>
        <v>10383</v>
      </c>
      <c r="O69" s="9">
        <f t="shared" ref="O69" si="79">N73</f>
        <v>10383</v>
      </c>
      <c r="P69" s="9">
        <f t="shared" ref="P69" si="80">O73</f>
        <v>10383</v>
      </c>
      <c r="Q69" s="9">
        <f t="shared" ref="Q69" si="81">P73</f>
        <v>10383</v>
      </c>
      <c r="R69" s="9"/>
      <c r="S69" s="9"/>
      <c r="T69" s="9"/>
      <c r="U69" s="9"/>
      <c r="V69" s="9"/>
      <c r="W69" s="9"/>
    </row>
    <row r="70" spans="1:23">
      <c r="A70" s="75"/>
      <c r="B70" s="75" t="s">
        <v>151</v>
      </c>
      <c r="C70">
        <v>-10</v>
      </c>
      <c r="D70">
        <v>0</v>
      </c>
      <c r="E70">
        <v>0</v>
      </c>
      <c r="F70">
        <v>-46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3">
      <c r="A71" s="75"/>
      <c r="B71" s="75" t="s">
        <v>152</v>
      </c>
      <c r="C71">
        <f>7*20</f>
        <v>140</v>
      </c>
      <c r="D71">
        <v>116</v>
      </c>
      <c r="E71">
        <v>109</v>
      </c>
      <c r="F71">
        <v>113</v>
      </c>
      <c r="G71">
        <v>141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3">
      <c r="A72" s="75"/>
      <c r="B72" s="75" t="s">
        <v>153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3">
      <c r="A73" s="75"/>
      <c r="B73" s="81" t="s">
        <v>154</v>
      </c>
      <c r="C73" s="96">
        <f>SUM(C69:C72)</f>
        <v>9950</v>
      </c>
      <c r="D73" s="96">
        <f t="shared" ref="D73:H73" si="82">SUM(D69:D72)</f>
        <v>10066</v>
      </c>
      <c r="E73" s="96">
        <f t="shared" si="82"/>
        <v>10175</v>
      </c>
      <c r="F73" s="96">
        <f t="shared" si="82"/>
        <v>10242</v>
      </c>
      <c r="G73" s="96">
        <f t="shared" si="82"/>
        <v>10383</v>
      </c>
      <c r="H73" s="96">
        <f t="shared" si="82"/>
        <v>10383</v>
      </c>
      <c r="I73" s="96">
        <f t="shared" ref="I73:Q73" si="83">SUM(I69:I72)</f>
        <v>10383</v>
      </c>
      <c r="J73" s="96">
        <f t="shared" si="83"/>
        <v>10383</v>
      </c>
      <c r="K73" s="96">
        <f t="shared" si="83"/>
        <v>10383</v>
      </c>
      <c r="L73" s="96">
        <f t="shared" si="83"/>
        <v>10383</v>
      </c>
      <c r="M73" s="96">
        <f t="shared" si="83"/>
        <v>10383</v>
      </c>
      <c r="N73" s="96">
        <f t="shared" si="83"/>
        <v>10383</v>
      </c>
      <c r="O73" s="96">
        <f t="shared" si="83"/>
        <v>10383</v>
      </c>
      <c r="P73" s="96">
        <f t="shared" si="83"/>
        <v>10383</v>
      </c>
      <c r="Q73" s="96">
        <f t="shared" si="83"/>
        <v>10383</v>
      </c>
      <c r="R73" s="348"/>
      <c r="S73" s="348"/>
      <c r="T73" s="348"/>
      <c r="U73" s="348"/>
      <c r="V73" s="348"/>
      <c r="W73" s="348"/>
    </row>
    <row r="74" spans="1:23">
      <c r="A74" s="75"/>
      <c r="B74" s="75"/>
    </row>
    <row r="75" spans="1:23">
      <c r="A75" s="75"/>
      <c r="B75" s="75" t="s">
        <v>155</v>
      </c>
      <c r="C75" s="9">
        <f>AVERAGE(C69,C73)</f>
        <v>9885</v>
      </c>
      <c r="D75" s="9">
        <f t="shared" ref="D75:H75" si="84">AVERAGE(D69,D73)</f>
        <v>10008</v>
      </c>
      <c r="E75" s="9">
        <f t="shared" si="84"/>
        <v>10120.5</v>
      </c>
      <c r="F75" s="9">
        <f t="shared" si="84"/>
        <v>10208.5</v>
      </c>
      <c r="G75" s="9">
        <f t="shared" si="84"/>
        <v>10312.5</v>
      </c>
      <c r="H75" s="9">
        <f t="shared" si="84"/>
        <v>10383</v>
      </c>
      <c r="I75" s="9">
        <f t="shared" ref="I75:Q75" si="85">AVERAGE(I69,I73)</f>
        <v>10383</v>
      </c>
      <c r="J75" s="9">
        <f t="shared" si="85"/>
        <v>10383</v>
      </c>
      <c r="K75" s="9">
        <f t="shared" si="85"/>
        <v>10383</v>
      </c>
      <c r="L75" s="9">
        <f t="shared" si="85"/>
        <v>10383</v>
      </c>
      <c r="M75" s="9">
        <f t="shared" si="85"/>
        <v>10383</v>
      </c>
      <c r="N75" s="9">
        <f t="shared" si="85"/>
        <v>10383</v>
      </c>
      <c r="O75" s="9">
        <f t="shared" si="85"/>
        <v>10383</v>
      </c>
      <c r="P75" s="9">
        <f t="shared" si="85"/>
        <v>10383</v>
      </c>
      <c r="Q75" s="9">
        <f t="shared" si="85"/>
        <v>10383</v>
      </c>
      <c r="R75" s="9"/>
      <c r="S75" s="9"/>
      <c r="T75" s="9"/>
      <c r="U75" s="9"/>
      <c r="V75" s="9"/>
      <c r="W75" s="9"/>
    </row>
    <row r="76" spans="1:23">
      <c r="A76" s="75"/>
      <c r="B76" s="75" t="s">
        <v>147</v>
      </c>
      <c r="C76" s="9">
        <f>IS!C28</f>
        <v>11588</v>
      </c>
      <c r="D76" s="9">
        <f>IS!D28</f>
        <v>21331</v>
      </c>
      <c r="E76" s="9">
        <f>IS!E28</f>
        <v>33364</v>
      </c>
      <c r="F76" s="9">
        <f>IS!F28</f>
        <v>-2722</v>
      </c>
      <c r="G76" s="9">
        <f>IS!G28</f>
        <v>30425</v>
      </c>
      <c r="H76" s="9">
        <f ca="1">IS!H28</f>
        <v>34722.742187479693</v>
      </c>
      <c r="I76" s="9">
        <f ca="1">IS!I28</f>
        <v>40215.409300326573</v>
      </c>
      <c r="J76" s="9">
        <f ca="1">IS!J28</f>
        <v>46701.142476703179</v>
      </c>
      <c r="K76" s="9">
        <f ca="1">IS!K28</f>
        <v>53021.975161124836</v>
      </c>
      <c r="L76" s="9">
        <f ca="1">IS!L28</f>
        <v>59776.34046158674</v>
      </c>
      <c r="M76" s="9">
        <f ca="1">IS!M28</f>
        <v>67261.373381072292</v>
      </c>
      <c r="N76" s="9">
        <f ca="1">IS!N28</f>
        <v>75560.18696200788</v>
      </c>
      <c r="O76" s="9">
        <f ca="1">IS!O28</f>
        <v>84764.56419211952</v>
      </c>
      <c r="P76" s="9">
        <f ca="1">IS!P28</f>
        <v>94976.003016748451</v>
      </c>
      <c r="Q76" s="9">
        <f ca="1">IS!Q28</f>
        <v>106306.85771855222</v>
      </c>
      <c r="R76" s="9"/>
      <c r="S76" s="9"/>
      <c r="T76" s="9"/>
      <c r="U76" s="9"/>
      <c r="V76" s="9"/>
      <c r="W76" s="9"/>
    </row>
    <row r="77" spans="1:23">
      <c r="A77" s="75"/>
      <c r="B77" s="75" t="s">
        <v>156</v>
      </c>
      <c r="C77" s="97">
        <f>C76/C75</f>
        <v>1.1722812341932221</v>
      </c>
      <c r="D77" s="97">
        <f t="shared" ref="D77:G77" si="86">D76/D75</f>
        <v>2.1313948840927259</v>
      </c>
      <c r="E77" s="97">
        <f t="shared" si="86"/>
        <v>3.2966750654611925</v>
      </c>
      <c r="F77" s="97">
        <f t="shared" si="86"/>
        <v>-0.26664054464416909</v>
      </c>
      <c r="G77" s="97">
        <f t="shared" si="86"/>
        <v>2.9503030303030302</v>
      </c>
      <c r="H77" s="97">
        <f ca="1">H76/H75</f>
        <v>3.3441916774997296</v>
      </c>
      <c r="I77" s="97">
        <f t="shared" ref="I77:Q77" ca="1" si="87">I76/I75</f>
        <v>3.8731974670448399</v>
      </c>
      <c r="J77" s="97">
        <f t="shared" ca="1" si="87"/>
        <v>4.4978467183572359</v>
      </c>
      <c r="K77" s="97">
        <f t="shared" ca="1" si="87"/>
        <v>5.1066141925382675</v>
      </c>
      <c r="L77" s="97">
        <f t="shared" ca="1" si="87"/>
        <v>5.7571357470467825</v>
      </c>
      <c r="M77" s="97">
        <f t="shared" ca="1" si="87"/>
        <v>6.4780288337736964</v>
      </c>
      <c r="N77" s="97">
        <f t="shared" ca="1" si="87"/>
        <v>7.2772981760577755</v>
      </c>
      <c r="O77" s="97">
        <f t="shared" ca="1" si="87"/>
        <v>8.1637835107502195</v>
      </c>
      <c r="P77" s="97">
        <f t="shared" ca="1" si="87"/>
        <v>9.1472602346863567</v>
      </c>
      <c r="Q77" s="97">
        <f t="shared" ca="1" si="87"/>
        <v>10.238549332423405</v>
      </c>
      <c r="R77" s="97"/>
      <c r="S77" s="97"/>
      <c r="T77" s="97"/>
      <c r="U77" s="97"/>
      <c r="V77" s="97"/>
      <c r="W77" s="97"/>
    </row>
    <row r="78" spans="1:23">
      <c r="A78" s="75"/>
    </row>
    <row r="79" spans="1:23">
      <c r="A79" s="75"/>
      <c r="C79" s="9"/>
    </row>
    <row r="80" spans="1:23">
      <c r="A80" s="75"/>
    </row>
    <row r="81" spans="1:1">
      <c r="A81" s="75"/>
    </row>
    <row r="82" spans="1:1">
      <c r="A82" s="75"/>
    </row>
    <row r="83" spans="1:1">
      <c r="A83" s="75"/>
    </row>
    <row r="84" spans="1:1">
      <c r="A84" s="75"/>
    </row>
    <row r="85" spans="1:1">
      <c r="A85" s="75"/>
    </row>
    <row r="86" spans="1:1">
      <c r="A86" s="75"/>
    </row>
    <row r="87" spans="1:1">
      <c r="A87" s="75"/>
    </row>
    <row r="88" spans="1:1">
      <c r="A88" s="75"/>
    </row>
    <row r="89" spans="1:1">
      <c r="A89" s="75"/>
    </row>
    <row r="90" spans="1:1">
      <c r="A90" s="75"/>
    </row>
    <row r="91" spans="1:1">
      <c r="A91" s="75"/>
    </row>
    <row r="92" spans="1:1">
      <c r="A92" s="75"/>
    </row>
    <row r="93" spans="1:1">
      <c r="A93" s="75"/>
    </row>
    <row r="94" spans="1:1">
      <c r="A94" s="75"/>
    </row>
    <row r="95" spans="1:1">
      <c r="A95" s="75"/>
    </row>
    <row r="96" spans="1:1">
      <c r="A96" s="75"/>
    </row>
    <row r="97" spans="1:1">
      <c r="A97" s="75"/>
    </row>
    <row r="98" spans="1:1">
      <c r="A98" s="75"/>
    </row>
    <row r="99" spans="1:1">
      <c r="A99" s="75"/>
    </row>
    <row r="100" spans="1:1">
      <c r="A100" s="75"/>
    </row>
    <row r="101" spans="1:1">
      <c r="A101" s="75"/>
    </row>
    <row r="102" spans="1:1">
      <c r="A102" s="75"/>
    </row>
    <row r="103" spans="1:1">
      <c r="A103" s="75"/>
    </row>
    <row r="104" spans="1:1">
      <c r="A104" s="75"/>
    </row>
    <row r="105" spans="1:1">
      <c r="A105" s="75"/>
    </row>
    <row r="106" spans="1:1">
      <c r="A106" s="75"/>
    </row>
    <row r="107" spans="1:1">
      <c r="A107" s="75"/>
    </row>
    <row r="108" spans="1:1">
      <c r="A108" s="75"/>
    </row>
    <row r="109" spans="1:1">
      <c r="A109" s="75"/>
    </row>
    <row r="110" spans="1:1">
      <c r="A110" s="75"/>
    </row>
    <row r="111" spans="1:1">
      <c r="A111" s="75"/>
    </row>
    <row r="112" spans="1:1">
      <c r="A112" s="75"/>
    </row>
    <row r="113" spans="1:1">
      <c r="A113" s="75"/>
    </row>
    <row r="114" spans="1:1">
      <c r="A114" s="7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98DE-9AB5-4430-8D2F-02396B2FB0F2}">
  <dimension ref="A1:R6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49" sqref="D49"/>
    </sheetView>
  </sheetViews>
  <sheetFormatPr defaultRowHeight="15"/>
  <cols>
    <col min="2" max="2" width="30.140625" bestFit="1" customWidth="1"/>
    <col min="3" max="3" width="9.42578125" customWidth="1"/>
    <col min="4" max="4" width="9.5703125" bestFit="1" customWidth="1"/>
    <col min="5" max="5" width="9.140625" customWidth="1"/>
    <col min="6" max="6" width="9.42578125" customWidth="1"/>
    <col min="7" max="7" width="9.7109375" bestFit="1" customWidth="1"/>
    <col min="8" max="8" width="10.5703125" customWidth="1"/>
    <col min="9" max="11" width="8.85546875" bestFit="1" customWidth="1"/>
    <col min="12" max="12" width="16.7109375" bestFit="1" customWidth="1"/>
    <col min="13" max="13" width="8.85546875" bestFit="1" customWidth="1"/>
    <col min="16" max="16" width="10.42578125" bestFit="1" customWidth="1"/>
  </cols>
  <sheetData>
    <row r="1" spans="1:15" ht="21">
      <c r="A1" s="165" t="s">
        <v>285</v>
      </c>
    </row>
    <row r="2" spans="1:15">
      <c r="A2" s="4" t="s">
        <v>286</v>
      </c>
    </row>
    <row r="3" spans="1:15" ht="15.75" thickBot="1"/>
    <row r="4" spans="1:15" ht="15.75" thickBot="1">
      <c r="B4" s="127"/>
      <c r="C4" s="127">
        <v>2023</v>
      </c>
      <c r="D4" s="128">
        <f>C4+1</f>
        <v>2024</v>
      </c>
      <c r="E4" s="128">
        <f>D4+1</f>
        <v>2025</v>
      </c>
      <c r="F4" s="128">
        <f t="shared" ref="F4:G4" si="0">E4+1</f>
        <v>2026</v>
      </c>
      <c r="G4" s="128">
        <f t="shared" si="0"/>
        <v>2027</v>
      </c>
      <c r="H4" s="128">
        <f>G4+1</f>
        <v>2028</v>
      </c>
      <c r="I4" s="128">
        <f>H4+1</f>
        <v>2029</v>
      </c>
      <c r="J4" s="128">
        <f t="shared" ref="J4:M4" si="1">I4+1</f>
        <v>2030</v>
      </c>
      <c r="K4" s="128">
        <f t="shared" si="1"/>
        <v>2031</v>
      </c>
      <c r="L4" s="128">
        <f t="shared" si="1"/>
        <v>2032</v>
      </c>
      <c r="M4" s="128">
        <f t="shared" si="1"/>
        <v>2033</v>
      </c>
    </row>
    <row r="5" spans="1:15">
      <c r="B5" t="s">
        <v>73</v>
      </c>
      <c r="C5" s="29">
        <f>IS!G8</f>
        <v>574785</v>
      </c>
      <c r="D5" s="29">
        <f>IS!H8</f>
        <v>638011.35000000009</v>
      </c>
      <c r="E5" s="29">
        <f>IS!I8</f>
        <v>708192.5985000002</v>
      </c>
      <c r="F5" s="29">
        <f>IS!J8</f>
        <v>786093.78433500032</v>
      </c>
      <c r="G5" s="29">
        <f>IS!K8</f>
        <v>872564.10061185039</v>
      </c>
      <c r="H5" s="29">
        <f>IS!L8</f>
        <v>968546.15167915402</v>
      </c>
      <c r="I5" s="29">
        <f>IS!M8</f>
        <v>1075086.2283638611</v>
      </c>
      <c r="J5" s="29">
        <f>IS!N8</f>
        <v>1193345.7134838859</v>
      </c>
      <c r="K5" s="29">
        <f>IS!O8</f>
        <v>1324613.7419671135</v>
      </c>
      <c r="L5" s="29">
        <f>IS!P8</f>
        <v>1470321.253583496</v>
      </c>
      <c r="M5" s="29">
        <f>IS!Q8</f>
        <v>1632056.5914776807</v>
      </c>
    </row>
    <row r="6" spans="1:15">
      <c r="B6" s="135" t="s">
        <v>215</v>
      </c>
      <c r="D6" s="136">
        <f>D5/C5-1</f>
        <v>0.1100000000000001</v>
      </c>
      <c r="E6" s="136">
        <f>E5/D5-1</f>
        <v>0.1100000000000001</v>
      </c>
      <c r="F6" s="136">
        <f t="shared" ref="F6:G6" si="2">F5/E5-1</f>
        <v>0.1100000000000001</v>
      </c>
      <c r="G6" s="136">
        <f t="shared" si="2"/>
        <v>0.1100000000000001</v>
      </c>
      <c r="H6" s="136">
        <f>H5/G5-1</f>
        <v>0.1100000000000001</v>
      </c>
      <c r="I6" s="136">
        <f t="shared" ref="I6:M6" si="3">I5/H5-1</f>
        <v>0.1100000000000001</v>
      </c>
      <c r="J6" s="136">
        <f t="shared" si="3"/>
        <v>0.1100000000000001</v>
      </c>
      <c r="K6" s="136">
        <f t="shared" si="3"/>
        <v>0.1100000000000001</v>
      </c>
      <c r="L6" s="136">
        <f t="shared" si="3"/>
        <v>0.1100000000000001</v>
      </c>
      <c r="M6" s="136">
        <f t="shared" si="3"/>
        <v>0.1100000000000001</v>
      </c>
    </row>
    <row r="7" spans="1:15">
      <c r="B7" t="s">
        <v>216</v>
      </c>
      <c r="C7" s="29">
        <f>IS!G17+C9</f>
        <v>85873</v>
      </c>
      <c r="D7" s="29">
        <f>IS!H17+D9</f>
        <v>93909.964216450389</v>
      </c>
      <c r="E7" s="29">
        <f>IS!I17+E9</f>
        <v>103748.16855882591</v>
      </c>
      <c r="F7" s="29">
        <f>IS!J17+F9</f>
        <v>114856.81554589685</v>
      </c>
      <c r="G7" s="29">
        <f>IS!K17+G9</f>
        <v>127339.80454223818</v>
      </c>
      <c r="H7" s="29">
        <f>IS!L17+H9</f>
        <v>141319.74235260801</v>
      </c>
      <c r="I7" s="29">
        <f>IS!M17+I9</f>
        <v>156938.41829861366</v>
      </c>
      <c r="J7" s="29">
        <f>IS!N17+J9</f>
        <v>174357.69863957184</v>
      </c>
      <c r="K7" s="29">
        <f>IS!O17+K9</f>
        <v>193760.79665825464</v>
      </c>
      <c r="L7" s="29">
        <f>IS!P17+L9</f>
        <v>215353.89279072866</v>
      </c>
      <c r="M7" s="29">
        <f>IS!Q17+M9</f>
        <v>239368.09324233752</v>
      </c>
    </row>
    <row r="8" spans="1:15">
      <c r="B8" s="135" t="s">
        <v>215</v>
      </c>
      <c r="D8" s="136">
        <f>D7/C7-1</f>
        <v>9.3591282666849684E-2</v>
      </c>
      <c r="E8" s="136">
        <f>E7/D7-1</f>
        <v>0.10476209233452294</v>
      </c>
      <c r="F8" s="136">
        <f t="shared" ref="F8:H8" si="4">F7/E7-1</f>
        <v>0.10707318636446361</v>
      </c>
      <c r="G8" s="136">
        <f t="shared" si="4"/>
        <v>0.10868304973467691</v>
      </c>
      <c r="H8" s="136">
        <f t="shared" si="4"/>
        <v>0.10978450815614949</v>
      </c>
      <c r="I8" s="136">
        <f t="shared" ref="I8" si="5">I7/H7-1</f>
        <v>0.11052012752072082</v>
      </c>
      <c r="J8" s="136">
        <f t="shared" ref="J8" si="6">J7/I7-1</f>
        <v>0.11099436664267737</v>
      </c>
      <c r="K8" s="136">
        <f t="shared" ref="K8" si="7">K7/J7-1</f>
        <v>0.11128328814887856</v>
      </c>
      <c r="L8" s="136">
        <f t="shared" ref="L8" si="8">L7/K7-1</f>
        <v>0.11144202803087566</v>
      </c>
      <c r="M8" s="136">
        <f t="shared" ref="M8" si="9">M7/L7-1</f>
        <v>0.11151040800987433</v>
      </c>
    </row>
    <row r="9" spans="1:15">
      <c r="B9" t="s">
        <v>217</v>
      </c>
      <c r="C9" s="29">
        <f>-('PP&amp;E'!G9+'PP&amp;E'!G23+'PP&amp;E'!G36)</f>
        <v>49021</v>
      </c>
      <c r="D9" s="29">
        <f>-('PP&amp;E'!H9+'PP&amp;E'!H23+'PP&amp;E'!H36)</f>
        <v>52889.969716450476</v>
      </c>
      <c r="E9" s="29">
        <f>-('PP&amp;E'!I9+'PP&amp;E'!I23+'PP&amp;E'!I36)</f>
        <v>58215.97466382588</v>
      </c>
      <c r="F9" s="29">
        <f>-('PP&amp;E'!J9+'PP&amp;E'!J23+'PP&amp;E'!J36)</f>
        <v>64316.080322446855</v>
      </c>
      <c r="G9" s="29">
        <f>-('PP&amp;E'!K9+'PP&amp;E'!K23+'PP&amp;E'!K36)</f>
        <v>71239.588444208668</v>
      </c>
      <c r="H9" s="29">
        <f>-('PP&amp;E'!L9+'PP&amp;E'!L23+'PP&amp;E'!L36)</f>
        <v>79048.502483795164</v>
      </c>
      <c r="I9" s="29">
        <f>-('PP&amp;E'!M9+'PP&amp;E'!M23+'PP&amp;E'!M36)</f>
        <v>87817.342044231511</v>
      </c>
      <c r="J9" s="29">
        <f>-('PP&amp;E'!N9+'PP&amp;E'!N23+'PP&amp;E'!N36)</f>
        <v>97633.303997207826</v>
      </c>
      <c r="K9" s="29">
        <f>-('PP&amp;E'!O9+'PP&amp;E'!O23+'PP&amp;E'!O36)</f>
        <v>108596.71860523027</v>
      </c>
      <c r="L9" s="29">
        <f>-('PP&amp;E'!P9+'PP&amp;E'!P23+'PP&amp;E'!P36)</f>
        <v>120821.76615187195</v>
      </c>
      <c r="M9" s="29">
        <f>-('PP&amp;E'!Q9+'PP&amp;E'!Q23+'PP&amp;E'!Q36)</f>
        <v>134437.43267320638</v>
      </c>
    </row>
    <row r="10" spans="1:15">
      <c r="B10" s="135" t="s">
        <v>215</v>
      </c>
      <c r="D10" s="136">
        <f>D9/C9-1</f>
        <v>7.8924740752952305E-2</v>
      </c>
      <c r="E10" s="136">
        <f t="shared" ref="E10:H10" si="10">E9/D9-1</f>
        <v>0.10069971633428354</v>
      </c>
      <c r="F10" s="136">
        <f t="shared" si="10"/>
        <v>0.10478405100741961</v>
      </c>
      <c r="G10" s="136">
        <f t="shared" si="10"/>
        <v>0.1076481664779787</v>
      </c>
      <c r="H10" s="136">
        <f t="shared" si="10"/>
        <v>0.10961481123240979</v>
      </c>
      <c r="I10" s="136">
        <f t="shared" ref="I10" si="11">I9/H9-1</f>
        <v>0.11092986312085995</v>
      </c>
      <c r="J10" s="136">
        <f t="shared" ref="J10" si="12">J9/I9-1</f>
        <v>0.11177703315174625</v>
      </c>
      <c r="K10" s="136">
        <f t="shared" ref="K10" si="13">K9/J9-1</f>
        <v>0.11229175044957995</v>
      </c>
      <c r="L10" s="136">
        <f t="shared" ref="L10" si="14">L9/K9-1</f>
        <v>0.11257290002547915</v>
      </c>
      <c r="M10" s="136">
        <f t="shared" ref="M10" si="15">M9/L9-1</f>
        <v>0.11269216594814258</v>
      </c>
    </row>
    <row r="11" spans="1:15">
      <c r="B11" s="21" t="s">
        <v>218</v>
      </c>
      <c r="C11" s="28">
        <f>C7-C9</f>
        <v>36852</v>
      </c>
      <c r="D11" s="28">
        <f t="shared" ref="D11:H11" si="16">D7-D9</f>
        <v>41019.994499999913</v>
      </c>
      <c r="E11" s="28">
        <f t="shared" si="16"/>
        <v>45532.193895000033</v>
      </c>
      <c r="F11" s="28">
        <f t="shared" si="16"/>
        <v>50540.735223449999</v>
      </c>
      <c r="G11" s="28">
        <f t="shared" si="16"/>
        <v>56100.216098029516</v>
      </c>
      <c r="H11" s="28">
        <f t="shared" si="16"/>
        <v>62271.239868812845</v>
      </c>
      <c r="I11" s="28">
        <f t="shared" ref="I11:M11" si="17">I7-I9</f>
        <v>69121.076254382147</v>
      </c>
      <c r="J11" s="28">
        <f t="shared" si="17"/>
        <v>76724.394642364015</v>
      </c>
      <c r="K11" s="28">
        <f t="shared" si="17"/>
        <v>85164.078053024365</v>
      </c>
      <c r="L11" s="28">
        <f t="shared" si="17"/>
        <v>94532.126638856702</v>
      </c>
      <c r="M11" s="28">
        <f t="shared" si="17"/>
        <v>104930.66056913114</v>
      </c>
    </row>
    <row r="12" spans="1:15">
      <c r="B12" s="135" t="s">
        <v>215</v>
      </c>
      <c r="D12" s="136">
        <f>D11/C11-1</f>
        <v>0.11310090361445546</v>
      </c>
      <c r="E12" s="136">
        <f t="shared" ref="E12:H12" si="18">E11/D11-1</f>
        <v>0.11000000000000321</v>
      </c>
      <c r="F12" s="136">
        <f t="shared" si="18"/>
        <v>0.10999999999999921</v>
      </c>
      <c r="G12" s="136">
        <f t="shared" si="18"/>
        <v>0.11000000000000032</v>
      </c>
      <c r="H12" s="136">
        <f t="shared" si="18"/>
        <v>0.11000000000000143</v>
      </c>
      <c r="I12" s="136">
        <f t="shared" ref="I12" si="19">I11/H11-1</f>
        <v>0.10999999999999832</v>
      </c>
      <c r="J12" s="136">
        <f t="shared" ref="J12" si="20">J11/I11-1</f>
        <v>0.10999999999999766</v>
      </c>
      <c r="K12" s="136">
        <f t="shared" ref="K12" si="21">K11/J11-1</f>
        <v>0.11000000000000409</v>
      </c>
      <c r="L12" s="136">
        <f t="shared" ref="L12" si="22">L11/K11-1</f>
        <v>0.10999999999999588</v>
      </c>
      <c r="M12" s="136">
        <f t="shared" ref="M12" si="23">M11/L11-1</f>
        <v>0.1100000000000021</v>
      </c>
      <c r="O12" s="33"/>
    </row>
    <row r="13" spans="1:15">
      <c r="B13" t="s">
        <v>284</v>
      </c>
      <c r="C13" s="9">
        <f>0.2*C11</f>
        <v>7370.4000000000005</v>
      </c>
      <c r="D13" s="9">
        <f t="shared" ref="D13:H13" si="24">0.2*D11</f>
        <v>8203.9988999999823</v>
      </c>
      <c r="E13" s="9">
        <f t="shared" si="24"/>
        <v>9106.4387790000073</v>
      </c>
      <c r="F13" s="9">
        <f t="shared" si="24"/>
        <v>10108.14704469</v>
      </c>
      <c r="G13" s="9">
        <f t="shared" si="24"/>
        <v>11220.043219605905</v>
      </c>
      <c r="H13" s="9">
        <f t="shared" si="24"/>
        <v>12454.247973762569</v>
      </c>
      <c r="I13" s="9">
        <f t="shared" ref="I13:M13" si="25">0.2*I11</f>
        <v>13824.21525087643</v>
      </c>
      <c r="J13" s="9">
        <f t="shared" si="25"/>
        <v>15344.878928472805</v>
      </c>
      <c r="K13" s="9">
        <f t="shared" si="25"/>
        <v>17032.815610604874</v>
      </c>
      <c r="L13" s="9">
        <f t="shared" si="25"/>
        <v>18906.42532777134</v>
      </c>
      <c r="M13" s="9">
        <f t="shared" si="25"/>
        <v>20986.132113826228</v>
      </c>
    </row>
    <row r="14" spans="1:15">
      <c r="B14" s="21" t="s">
        <v>219</v>
      </c>
      <c r="C14" s="28">
        <f>C11-C13</f>
        <v>29481.599999999999</v>
      </c>
      <c r="D14" s="28">
        <f>D11-D13</f>
        <v>32815.995599999929</v>
      </c>
      <c r="E14" s="28">
        <f t="shared" ref="E14:H14" si="26">E11-E13</f>
        <v>36425.755116000029</v>
      </c>
      <c r="F14" s="28">
        <f t="shared" si="26"/>
        <v>40432.588178760001</v>
      </c>
      <c r="G14" s="28">
        <f t="shared" si="26"/>
        <v>44880.172878423611</v>
      </c>
      <c r="H14" s="28">
        <f t="shared" si="26"/>
        <v>49816.991895050276</v>
      </c>
      <c r="I14" s="28">
        <f t="shared" ref="I14:M14" si="27">I11-I13</f>
        <v>55296.861003505721</v>
      </c>
      <c r="J14" s="28">
        <f t="shared" si="27"/>
        <v>61379.515713891211</v>
      </c>
      <c r="K14" s="28">
        <f t="shared" si="27"/>
        <v>68131.262442419495</v>
      </c>
      <c r="L14" s="28">
        <f t="shared" si="27"/>
        <v>75625.701311085359</v>
      </c>
      <c r="M14" s="28">
        <f t="shared" si="27"/>
        <v>83944.528455304913</v>
      </c>
    </row>
    <row r="15" spans="1:15">
      <c r="B15" s="135" t="s">
        <v>215</v>
      </c>
      <c r="D15" s="136">
        <f>D14/C14-1</f>
        <v>0.11310090361445546</v>
      </c>
      <c r="E15" s="136">
        <f>E14/D14-1</f>
        <v>0.11000000000000321</v>
      </c>
      <c r="F15" s="136">
        <f>F14/E14-1</f>
        <v>0.10999999999999921</v>
      </c>
      <c r="G15" s="136">
        <f>G14/F14-1</f>
        <v>0.11000000000000032</v>
      </c>
      <c r="H15" s="136">
        <f t="shared" ref="H15" si="28">H14/G14-1</f>
        <v>0.11000000000000143</v>
      </c>
      <c r="I15" s="136">
        <f t="shared" ref="I15" si="29">I14/H14-1</f>
        <v>0.10999999999999832</v>
      </c>
      <c r="J15" s="136">
        <f t="shared" ref="J15" si="30">J14/I14-1</f>
        <v>0.10999999999999743</v>
      </c>
      <c r="K15" s="136">
        <f t="shared" ref="K15" si="31">K14/J14-1</f>
        <v>0.11000000000000409</v>
      </c>
      <c r="L15" s="136">
        <f t="shared" ref="L15" si="32">L14/K14-1</f>
        <v>0.10999999999999588</v>
      </c>
      <c r="M15" s="136">
        <f t="shared" ref="M15" si="33">M14/L14-1</f>
        <v>0.1100000000000021</v>
      </c>
    </row>
    <row r="17" spans="2:18">
      <c r="B17" s="16" t="s">
        <v>217</v>
      </c>
      <c r="C17" s="9">
        <f>C9</f>
        <v>49021</v>
      </c>
      <c r="D17" s="9">
        <f t="shared" ref="D17:H17" si="34">D9</f>
        <v>52889.969716450476</v>
      </c>
      <c r="E17" s="9">
        <f t="shared" si="34"/>
        <v>58215.97466382588</v>
      </c>
      <c r="F17" s="9">
        <f t="shared" si="34"/>
        <v>64316.080322446855</v>
      </c>
      <c r="G17" s="9">
        <f t="shared" si="34"/>
        <v>71239.588444208668</v>
      </c>
      <c r="H17" s="9">
        <f t="shared" si="34"/>
        <v>79048.502483795164</v>
      </c>
      <c r="I17" s="9">
        <f t="shared" ref="I17:M17" si="35">I9</f>
        <v>87817.342044231511</v>
      </c>
      <c r="J17" s="9">
        <f t="shared" si="35"/>
        <v>97633.303997207826</v>
      </c>
      <c r="K17" s="9">
        <f t="shared" si="35"/>
        <v>108596.71860523027</v>
      </c>
      <c r="L17" s="9">
        <f t="shared" si="35"/>
        <v>120821.76615187195</v>
      </c>
      <c r="M17" s="9">
        <f t="shared" si="35"/>
        <v>134437.43267320638</v>
      </c>
    </row>
    <row r="18" spans="2:18">
      <c r="B18" s="16" t="s">
        <v>220</v>
      </c>
      <c r="C18" s="29">
        <f>BS!G52</f>
        <v>718</v>
      </c>
      <c r="D18" s="29">
        <f>BS!H52</f>
        <v>8708.6868200213939</v>
      </c>
      <c r="E18" s="29">
        <f>BS!I52</f>
        <v>9686.0155502024136</v>
      </c>
      <c r="F18" s="29">
        <f>BS!J52</f>
        <v>10751.477260724627</v>
      </c>
      <c r="G18" s="29">
        <f>BS!K52</f>
        <v>11934.139759404323</v>
      </c>
      <c r="H18" s="29">
        <f>BS!L52</f>
        <v>13246.895132938807</v>
      </c>
      <c r="I18" s="29">
        <f>BS!M52</f>
        <v>14704.053597562102</v>
      </c>
      <c r="J18" s="29">
        <f>BS!N52</f>
        <v>16321.499493293901</v>
      </c>
      <c r="K18" s="29">
        <f>BS!O52</f>
        <v>18116.864437556244</v>
      </c>
      <c r="L18" s="29">
        <f>BS!P52</f>
        <v>20109.719525687455</v>
      </c>
      <c r="M18" s="29">
        <f>BS!Q52</f>
        <v>22321.788673512987</v>
      </c>
    </row>
    <row r="19" spans="2:18">
      <c r="B19" s="16" t="s">
        <v>287</v>
      </c>
      <c r="C19" s="29">
        <f>-'PP&amp;E'!G8-'PP&amp;E'!G22-'PP&amp;E'!G10</f>
        <v>-49280</v>
      </c>
      <c r="D19" s="29">
        <f>-'PP&amp;E'!H8-'PP&amp;E'!H22-'PP&amp;E'!H10</f>
        <v>-53529.19000000001</v>
      </c>
      <c r="E19" s="29">
        <f>-'PP&amp;E'!I8-'PP&amp;E'!I22-'PP&amp;E'!I10</f>
        <v>-59967.400900000015</v>
      </c>
      <c r="F19" s="29">
        <f>-'PP&amp;E'!J8-'PP&amp;E'!J22-'PP&amp;E'!J10</f>
        <v>-67113.814999000024</v>
      </c>
      <c r="G19" s="29">
        <f>-'PP&amp;E'!K8-'PP&amp;E'!K22-'PP&amp;E'!K10</f>
        <v>-75046.334648890028</v>
      </c>
      <c r="H19" s="29">
        <f>-'PP&amp;E'!L8-'PP&amp;E'!L22-'PP&amp;E'!L10</f>
        <v>-83851.431460267951</v>
      </c>
      <c r="I19" s="29">
        <f>-'PP&amp;E'!M8-'PP&amp;E'!M22-'PP&amp;E'!M10</f>
        <v>-93625.088920897426</v>
      </c>
      <c r="J19" s="29">
        <f>-'PP&amp;E'!N8-'PP&amp;E'!N22-'PP&amp;E'!N10</f>
        <v>-104473.84870219615</v>
      </c>
      <c r="K19" s="29">
        <f>-'PP&amp;E'!O8-'PP&amp;E'!O22-'PP&amp;E'!O10</f>
        <v>-116515.97205943774</v>
      </c>
      <c r="L19" s="29">
        <f>-'PP&amp;E'!P8-'PP&amp;E'!P22-'PP&amp;E'!P10</f>
        <v>-129882.7289859759</v>
      </c>
      <c r="M19" s="29">
        <f>-'PP&amp;E'!Q8-'PP&amp;E'!Q22-'PP&amp;E'!Q10</f>
        <v>-144719.82917443325</v>
      </c>
    </row>
    <row r="20" spans="2:18">
      <c r="B20" s="16" t="s">
        <v>289</v>
      </c>
      <c r="C20" s="29">
        <f>SH!G9</f>
        <v>23960</v>
      </c>
      <c r="D20" s="29">
        <f>SH!H9</f>
        <v>26595.600000000002</v>
      </c>
      <c r="E20" s="29">
        <f>SH!I9</f>
        <v>29521.116000000009</v>
      </c>
      <c r="F20" s="29">
        <f>SH!J9</f>
        <v>32768.438760000012</v>
      </c>
      <c r="G20" s="29">
        <f>SH!K9</f>
        <v>36372.967023600017</v>
      </c>
      <c r="H20" s="29">
        <f>SH!L9</f>
        <v>40373.99339619602</v>
      </c>
      <c r="I20" s="29">
        <f>SH!M9</f>
        <v>44815.132669777588</v>
      </c>
      <c r="J20" s="29">
        <f>SH!N9</f>
        <v>49744.797263453125</v>
      </c>
      <c r="K20" s="29">
        <f>SH!O9</f>
        <v>55216.724962432978</v>
      </c>
      <c r="L20" s="29">
        <f>SH!P9</f>
        <v>61290.564708300604</v>
      </c>
      <c r="M20" s="29">
        <f>SH!Q9</f>
        <v>68032.526826213681</v>
      </c>
    </row>
    <row r="21" spans="2:18">
      <c r="B21" s="21" t="s">
        <v>221</v>
      </c>
      <c r="C21" s="28">
        <f>SUM(C17:C19)+C14+C20</f>
        <v>53900.6</v>
      </c>
      <c r="D21" s="28">
        <f>SUM(D17:D19)+D14+D20</f>
        <v>67481.062136471795</v>
      </c>
      <c r="E21" s="28">
        <f t="shared" ref="E21:H21" si="36">SUM(E17:E19)+E14+E20</f>
        <v>73881.460430028324</v>
      </c>
      <c r="F21" s="28">
        <f t="shared" si="36"/>
        <v>81154.76952293147</v>
      </c>
      <c r="G21" s="28">
        <f t="shared" si="36"/>
        <v>89380.533456746591</v>
      </c>
      <c r="H21" s="28">
        <f t="shared" si="36"/>
        <v>98634.951447712316</v>
      </c>
      <c r="I21" s="28">
        <f t="shared" ref="I21:M21" si="37">SUM(I17:I19)+I14+I20</f>
        <v>109008.3003941795</v>
      </c>
      <c r="J21" s="28">
        <f t="shared" si="37"/>
        <v>120605.26776564991</v>
      </c>
      <c r="K21" s="28">
        <f t="shared" si="37"/>
        <v>133545.59838820124</v>
      </c>
      <c r="L21" s="28">
        <f t="shared" si="37"/>
        <v>147965.02271096944</v>
      </c>
      <c r="M21" s="28">
        <f t="shared" si="37"/>
        <v>164016.44745380472</v>
      </c>
    </row>
    <row r="22" spans="2:18">
      <c r="B22" s="135" t="s">
        <v>215</v>
      </c>
      <c r="D22" s="136">
        <f>D21/C21-1</f>
        <v>0.25195382122781185</v>
      </c>
      <c r="E22" s="136">
        <f>E21/D21-1</f>
        <v>9.4847325915121905E-2</v>
      </c>
      <c r="F22" s="136">
        <f t="shared" ref="F22:G22" si="38">F21/E21-1</f>
        <v>9.8445659446479761E-2</v>
      </c>
      <c r="G22" s="136">
        <f t="shared" si="38"/>
        <v>0.10135897103978353</v>
      </c>
      <c r="H22" s="136">
        <f>H21/G21-1</f>
        <v>0.10353952514105513</v>
      </c>
      <c r="I22" s="136">
        <f t="shared" ref="I22" si="39">I21/H21-1</f>
        <v>0.1051690987242615</v>
      </c>
      <c r="J22" s="136">
        <f t="shared" ref="J22" si="40">J21/I21-1</f>
        <v>0.10638609472430249</v>
      </c>
      <c r="K22" s="136">
        <f t="shared" ref="K22" si="41">K21/J21-1</f>
        <v>0.10729490396469155</v>
      </c>
      <c r="L22" s="136">
        <f t="shared" ref="L22" si="42">L21/K21-1</f>
        <v>0.10797378945319225</v>
      </c>
      <c r="M22" s="136">
        <f t="shared" ref="M22" si="43">M21/L21-1</f>
        <v>0.10848121028028146</v>
      </c>
      <c r="R22" s="9"/>
    </row>
    <row r="23" spans="2:18">
      <c r="B23" s="135"/>
      <c r="D23" s="136"/>
      <c r="E23" s="136"/>
      <c r="F23" s="136"/>
      <c r="G23" s="136"/>
      <c r="H23" s="136"/>
      <c r="I23" s="136"/>
      <c r="J23" s="136"/>
      <c r="K23" s="136"/>
      <c r="L23" s="136"/>
      <c r="M23" s="136"/>
    </row>
    <row r="24" spans="2:18">
      <c r="B24" t="s">
        <v>222</v>
      </c>
      <c r="D24" s="27">
        <f ca="1">P30</f>
        <v>-0.49041095890410957</v>
      </c>
      <c r="E24" s="138">
        <v>1</v>
      </c>
      <c r="F24" s="138">
        <v>1</v>
      </c>
      <c r="G24" s="138">
        <v>1</v>
      </c>
      <c r="H24" s="138">
        <v>1</v>
      </c>
      <c r="I24" s="138">
        <v>1</v>
      </c>
      <c r="J24" s="138">
        <v>1</v>
      </c>
      <c r="K24" s="138">
        <v>1</v>
      </c>
      <c r="L24" s="138">
        <v>1</v>
      </c>
      <c r="M24" s="138">
        <v>1</v>
      </c>
    </row>
    <row r="25" spans="2:18">
      <c r="B25" s="21" t="s">
        <v>223</v>
      </c>
      <c r="C25" s="28"/>
      <c r="D25" s="28">
        <f ca="1">D24*D21</f>
        <v>-33093.452390214938</v>
      </c>
      <c r="E25" s="28">
        <f>E24*E21</f>
        <v>73881.460430028324</v>
      </c>
      <c r="F25" s="28">
        <f>F24*F21</f>
        <v>81154.76952293147</v>
      </c>
      <c r="G25" s="28">
        <f>G24*G21</f>
        <v>89380.533456746591</v>
      </c>
      <c r="H25" s="28">
        <f>H24*H21</f>
        <v>98634.951447712316</v>
      </c>
      <c r="I25" s="28">
        <f t="shared" ref="I25:M25" si="44">I24*I21</f>
        <v>109008.3003941795</v>
      </c>
      <c r="J25" s="28">
        <f t="shared" si="44"/>
        <v>120605.26776564991</v>
      </c>
      <c r="K25" s="28">
        <f t="shared" si="44"/>
        <v>133545.59838820124</v>
      </c>
      <c r="L25" s="28">
        <f t="shared" si="44"/>
        <v>147965.02271096944</v>
      </c>
      <c r="M25" s="28">
        <f t="shared" si="44"/>
        <v>164016.44745380472</v>
      </c>
    </row>
    <row r="27" spans="2:18">
      <c r="B27" t="s">
        <v>224</v>
      </c>
      <c r="D27" s="140">
        <f ca="1">D24</f>
        <v>-0.49041095890410957</v>
      </c>
      <c r="E27" s="101">
        <f ca="1">1+D27</f>
        <v>0.50958904109589043</v>
      </c>
      <c r="F27" s="101">
        <f t="shared" ref="F27:H27" ca="1" si="45">1+E27</f>
        <v>1.5095890410958903</v>
      </c>
      <c r="G27" s="101">
        <f t="shared" ca="1" si="45"/>
        <v>2.5095890410958903</v>
      </c>
      <c r="H27" s="101">
        <f t="shared" ca="1" si="45"/>
        <v>3.5095890410958903</v>
      </c>
      <c r="I27" s="101">
        <f t="shared" ref="I27" ca="1" si="46">1+H27</f>
        <v>4.5095890410958903</v>
      </c>
      <c r="J27" s="101">
        <f t="shared" ref="J27" ca="1" si="47">1+I27</f>
        <v>5.5095890410958903</v>
      </c>
      <c r="K27" s="101">
        <f t="shared" ref="K27" ca="1" si="48">1+J27</f>
        <v>6.5095890410958903</v>
      </c>
      <c r="L27" s="101">
        <f t="shared" ref="L27" ca="1" si="49">1+K27</f>
        <v>7.5095890410958903</v>
      </c>
      <c r="M27" s="101">
        <f t="shared" ref="M27" ca="1" si="50">1+L27</f>
        <v>8.5095890410958894</v>
      </c>
      <c r="N27" s="139"/>
      <c r="O27" s="139"/>
      <c r="P27" s="193">
        <f ca="1">TODAY()</f>
        <v>45836</v>
      </c>
    </row>
    <row r="28" spans="2:18">
      <c r="N28" s="139"/>
      <c r="O28" s="139"/>
      <c r="P28" s="139">
        <v>45657</v>
      </c>
    </row>
    <row r="29" spans="2:18">
      <c r="B29" s="21" t="s">
        <v>225</v>
      </c>
      <c r="C29" s="28"/>
      <c r="D29" s="28" t="e">
        <f ca="1">D25/(1+$D$31)^D27</f>
        <v>#VALUE!</v>
      </c>
      <c r="E29" s="28" t="e">
        <f t="shared" ref="E29:H29" ca="1" si="51">E25/(1+$D$31)^E27</f>
        <v>#VALUE!</v>
      </c>
      <c r="F29" s="28" t="e">
        <f t="shared" ca="1" si="51"/>
        <v>#VALUE!</v>
      </c>
      <c r="G29" s="28" t="e">
        <f t="shared" ca="1" si="51"/>
        <v>#VALUE!</v>
      </c>
      <c r="H29" s="28" t="e">
        <f t="shared" ca="1" si="51"/>
        <v>#VALUE!</v>
      </c>
      <c r="I29" s="28" t="e">
        <f t="shared" ref="I29:L29" ca="1" si="52">I25/(1+$D$31)^I27</f>
        <v>#VALUE!</v>
      </c>
      <c r="J29" s="28" t="e">
        <f t="shared" ca="1" si="52"/>
        <v>#VALUE!</v>
      </c>
      <c r="K29" s="28" t="e">
        <f t="shared" ca="1" si="52"/>
        <v>#VALUE!</v>
      </c>
      <c r="L29" s="28" t="e">
        <f t="shared" ca="1" si="52"/>
        <v>#VALUE!</v>
      </c>
      <c r="M29" s="28" t="e">
        <f ca="1">M25/(1+$D$31)^M27</f>
        <v>#VALUE!</v>
      </c>
      <c r="P29" s="33">
        <f ca="1">P28-P27</f>
        <v>-179</v>
      </c>
    </row>
    <row r="30" spans="2:18">
      <c r="K30" s="67"/>
      <c r="L30" s="67"/>
      <c r="M30" s="67"/>
      <c r="N30" s="67"/>
      <c r="O30" s="67"/>
      <c r="P30" s="27">
        <f ca="1">P29/365</f>
        <v>-0.49041095890410957</v>
      </c>
    </row>
    <row r="31" spans="2:18">
      <c r="B31" t="s">
        <v>226</v>
      </c>
      <c r="C31" s="27"/>
      <c r="D31" s="141" t="e">
        <f>D47</f>
        <v>#VALUE!</v>
      </c>
    </row>
    <row r="32" spans="2:18">
      <c r="B32" t="s">
        <v>227</v>
      </c>
      <c r="C32" s="142"/>
      <c r="D32" s="143">
        <v>0.05</v>
      </c>
      <c r="G32" t="s">
        <v>228</v>
      </c>
    </row>
    <row r="33" spans="2:12">
      <c r="B33" t="s">
        <v>229</v>
      </c>
      <c r="C33" s="9"/>
      <c r="D33" s="9" t="e">
        <f ca="1">SUM(D29:M29)</f>
        <v>#VALUE!</v>
      </c>
      <c r="H33" s="356" t="s">
        <v>230</v>
      </c>
      <c r="I33" s="356"/>
      <c r="J33" s="356"/>
      <c r="K33" s="356"/>
      <c r="L33" s="356"/>
    </row>
    <row r="34" spans="2:12">
      <c r="B34" t="s">
        <v>231</v>
      </c>
      <c r="C34" s="9"/>
      <c r="D34" s="144"/>
      <c r="G34" s="27" t="e">
        <f ca="1">D45</f>
        <v>#VALUE!</v>
      </c>
      <c r="H34" s="145">
        <v>0.03</v>
      </c>
      <c r="I34" s="145">
        <v>0.04</v>
      </c>
      <c r="J34" s="145">
        <v>0.05</v>
      </c>
      <c r="K34" s="145">
        <v>0.06</v>
      </c>
      <c r="L34" s="145">
        <v>7.0000000000000007E-2</v>
      </c>
    </row>
    <row r="35" spans="2:12">
      <c r="B35" t="s">
        <v>232</v>
      </c>
      <c r="C35" s="9"/>
      <c r="D35" s="9" t="e">
        <f ca="1">(M29*(1+D32))/(D31-D32)</f>
        <v>#VALUE!</v>
      </c>
      <c r="F35" s="357" t="s">
        <v>226</v>
      </c>
      <c r="G35" s="145">
        <v>6.24090772439947E-2</v>
      </c>
      <c r="H35" s="27">
        <f t="dataTable" ref="H35:L39" dt2D="1" dtr="1" r1="D32" r2="D31" ca="1"/>
        <v>0.97612642724722476</v>
      </c>
      <c r="I35" s="27">
        <v>1.7121133897403702</v>
      </c>
      <c r="J35" s="27">
        <v>3.6343077519002751</v>
      </c>
      <c r="K35" s="27">
        <v>21.514432620037198</v>
      </c>
      <c r="L35" s="27">
        <v>-7.7146687359807009</v>
      </c>
    </row>
    <row r="36" spans="2:12">
      <c r="B36" s="21" t="s">
        <v>233</v>
      </c>
      <c r="C36" s="28"/>
      <c r="D36" s="28" t="e">
        <f ca="1">D33+D35</f>
        <v>#VALUE!</v>
      </c>
      <c r="F36" s="357"/>
      <c r="G36" s="145">
        <v>7.2409077243994702E-2</v>
      </c>
      <c r="H36" s="27">
        <v>0.48856725168317294</v>
      </c>
      <c r="I36" s="27">
        <v>0.85104465803017115</v>
      </c>
      <c r="J36" s="27">
        <v>1.5370315086976727</v>
      </c>
      <c r="K36" s="27">
        <v>3.3286394094710214</v>
      </c>
      <c r="L36" s="27">
        <v>19.994057647704004</v>
      </c>
    </row>
    <row r="37" spans="2:12">
      <c r="B37" t="s">
        <v>234</v>
      </c>
      <c r="C37" s="29"/>
      <c r="D37" s="29">
        <f>BS!G25-BS!G8</f>
        <v>-15073</v>
      </c>
      <c r="E37" s="33"/>
      <c r="F37" s="357"/>
      <c r="G37" s="145">
        <v>8.2409077243994697E-2</v>
      </c>
      <c r="H37" s="27">
        <v>0.18813213426968756</v>
      </c>
      <c r="I37" s="27">
        <v>0.39719185170173188</v>
      </c>
      <c r="J37" s="141">
        <v>0.7352646328863286</v>
      </c>
      <c r="K37" s="27">
        <v>1.3750658409075949</v>
      </c>
      <c r="L37" s="27">
        <v>3.0460496186576389</v>
      </c>
    </row>
    <row r="38" spans="2:12">
      <c r="B38" t="s">
        <v>235</v>
      </c>
      <c r="C38" s="29"/>
      <c r="D38" s="29">
        <v>0</v>
      </c>
      <c r="E38" s="33"/>
      <c r="F38" s="357"/>
      <c r="G38" s="145">
        <v>9.2409077243994692E-2</v>
      </c>
      <c r="H38" s="27">
        <v>-1.51955843969378E-2</v>
      </c>
      <c r="I38" s="27">
        <v>0.11738778882601664</v>
      </c>
      <c r="J38" s="27">
        <v>0.31249710311585854</v>
      </c>
      <c r="K38" s="27">
        <v>0.62801053309276145</v>
      </c>
      <c r="L38" s="27">
        <v>1.2251182710739861</v>
      </c>
    </row>
    <row r="39" spans="2:12">
      <c r="B39" t="s">
        <v>236</v>
      </c>
      <c r="C39" s="29"/>
      <c r="D39" s="29">
        <v>0</v>
      </c>
      <c r="E39" s="33"/>
      <c r="F39" s="357"/>
      <c r="G39" s="145">
        <v>0.10240907724399469</v>
      </c>
      <c r="H39" s="27">
        <v>-0.16170112866678232</v>
      </c>
      <c r="I39" s="27">
        <v>-7.208555002789574E-2</v>
      </c>
      <c r="J39" s="27">
        <v>5.1728523738723942E-2</v>
      </c>
      <c r="K39" s="27">
        <v>0.233932961933351</v>
      </c>
      <c r="L39" s="27">
        <v>0.5285777740533979</v>
      </c>
    </row>
    <row r="40" spans="2:12">
      <c r="B40" t="s">
        <v>237</v>
      </c>
      <c r="C40" s="29"/>
      <c r="D40" s="29">
        <v>0</v>
      </c>
      <c r="E40" s="33"/>
    </row>
    <row r="41" spans="2:12">
      <c r="B41" s="21" t="s">
        <v>238</v>
      </c>
      <c r="C41" s="28"/>
      <c r="D41" s="146" t="e">
        <f ca="1">D36-SUM(D37:D40)</f>
        <v>#VALUE!</v>
      </c>
      <c r="E41" s="33"/>
    </row>
    <row r="42" spans="2:12">
      <c r="B42" t="s">
        <v>239</v>
      </c>
      <c r="C42" s="147"/>
      <c r="D42" s="29">
        <f>SH!H73</f>
        <v>10383</v>
      </c>
      <c r="E42" s="33"/>
    </row>
    <row r="43" spans="2:12">
      <c r="B43" t="s">
        <v>240</v>
      </c>
      <c r="C43" s="148"/>
      <c r="D43" s="149" t="e">
        <f ca="1">D41/D42</f>
        <v>#VALUE!</v>
      </c>
      <c r="E43" s="33"/>
    </row>
    <row r="44" spans="2:12">
      <c r="B44" t="s">
        <v>241</v>
      </c>
      <c r="C44" s="150"/>
      <c r="D44" s="151">
        <v>187.57</v>
      </c>
      <c r="F44" s="152"/>
    </row>
    <row r="45" spans="2:12">
      <c r="B45" s="153" t="s">
        <v>242</v>
      </c>
      <c r="C45" s="154"/>
      <c r="D45" s="155" t="e">
        <f ca="1">D43/D44-1</f>
        <v>#VALUE!</v>
      </c>
      <c r="E45" s="156"/>
    </row>
    <row r="47" spans="2:12">
      <c r="B47" s="153" t="s">
        <v>226</v>
      </c>
      <c r="C47" s="154"/>
      <c r="D47" s="157" t="e">
        <f>D53*D56+D62*D57</f>
        <v>#VALUE!</v>
      </c>
    </row>
    <row r="48" spans="2:12">
      <c r="B48" t="s">
        <v>243</v>
      </c>
      <c r="C48" s="27"/>
      <c r="D48" s="27"/>
    </row>
    <row r="49" spans="2:5">
      <c r="B49" s="133" t="s">
        <v>244</v>
      </c>
      <c r="C49" s="27"/>
      <c r="D49" s="27" t="s">
        <v>545</v>
      </c>
    </row>
    <row r="50" spans="2:5">
      <c r="B50" s="16" t="s">
        <v>245</v>
      </c>
      <c r="C50" s="27"/>
      <c r="D50" s="27">
        <f>'Credit spreads'!J20</f>
        <v>0.01</v>
      </c>
    </row>
    <row r="51" spans="2:5">
      <c r="B51" s="158" t="s">
        <v>246</v>
      </c>
      <c r="C51" s="159"/>
      <c r="D51" s="159" t="e">
        <f>D49+D50</f>
        <v>#VALUE!</v>
      </c>
      <c r="E51" s="33"/>
    </row>
    <row r="52" spans="2:5">
      <c r="B52" s="16" t="s">
        <v>247</v>
      </c>
      <c r="C52" s="27"/>
      <c r="D52" s="46">
        <v>0.15</v>
      </c>
    </row>
    <row r="53" spans="2:5">
      <c r="B53" s="160" t="s">
        <v>248</v>
      </c>
      <c r="C53" s="159"/>
      <c r="D53" s="159" t="e">
        <f>D51-D52*D51</f>
        <v>#VALUE!</v>
      </c>
      <c r="E53" s="33"/>
    </row>
    <row r="54" spans="2:5">
      <c r="B54" s="161"/>
      <c r="C54" s="27"/>
      <c r="D54" s="27"/>
    </row>
    <row r="55" spans="2:5">
      <c r="B55" t="s">
        <v>249</v>
      </c>
      <c r="C55" s="9"/>
    </row>
    <row r="56" spans="2:5">
      <c r="B56" t="s">
        <v>250</v>
      </c>
      <c r="C56" s="67"/>
      <c r="D56" s="27">
        <f>D59/(D59+D60)</f>
        <v>3.4168719870915722E-2</v>
      </c>
      <c r="E56" s="33"/>
    </row>
    <row r="57" spans="2:5">
      <c r="B57" t="s">
        <v>251</v>
      </c>
      <c r="C57" s="67"/>
      <c r="D57" s="27">
        <f>1-D56</f>
        <v>0.96583128012908426</v>
      </c>
      <c r="E57" s="33"/>
    </row>
    <row r="58" spans="2:5">
      <c r="C58" s="67"/>
    </row>
    <row r="59" spans="2:5">
      <c r="B59" t="s">
        <v>252</v>
      </c>
      <c r="D59" s="162">
        <f>BS!H25</f>
        <v>68314</v>
      </c>
    </row>
    <row r="60" spans="2:5">
      <c r="B60" t="s">
        <v>253</v>
      </c>
      <c r="D60" s="12">
        <v>1931000</v>
      </c>
    </row>
    <row r="62" spans="2:5">
      <c r="B62" t="s">
        <v>254</v>
      </c>
      <c r="C62" s="27"/>
      <c r="D62" s="27" t="e">
        <f>D63+D64*D65</f>
        <v>#VALUE!</v>
      </c>
    </row>
    <row r="63" spans="2:5">
      <c r="B63" t="s">
        <v>255</v>
      </c>
      <c r="C63" s="163"/>
      <c r="D63" s="164" t="str">
        <f>D49</f>
        <v xml:space="preserve"> </v>
      </c>
      <c r="E63" s="33"/>
    </row>
    <row r="64" spans="2:5">
      <c r="B64" t="s">
        <v>256</v>
      </c>
      <c r="D64" s="11">
        <v>0.87</v>
      </c>
    </row>
    <row r="65" spans="2:4">
      <c r="B65" t="s">
        <v>257</v>
      </c>
      <c r="C65" s="143"/>
      <c r="D65" s="164">
        <v>4.5999999999999999E-2</v>
      </c>
    </row>
  </sheetData>
  <mergeCells count="2">
    <mergeCell ref="H33:L33"/>
    <mergeCell ref="F35:F39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78E5-EC37-4F9D-9396-F2F6A1861BE3}">
  <dimension ref="A1:R65"/>
  <sheetViews>
    <sheetView showGridLines="0" tabSelected="1" zoomScale="80" zoomScaleNormal="80" workbookViewId="0">
      <pane xSplit="2" ySplit="4" topLeftCell="C16" activePane="bottomRight" state="frozen"/>
      <selection pane="topRight" activeCell="C1" sqref="C1"/>
      <selection pane="bottomLeft" activeCell="A5" sqref="A5"/>
      <selection pane="bottomRight" activeCell="D35" sqref="D35"/>
    </sheetView>
  </sheetViews>
  <sheetFormatPr defaultRowHeight="15"/>
  <cols>
    <col min="2" max="2" width="30.140625" bestFit="1" customWidth="1"/>
    <col min="3" max="3" width="9.42578125" customWidth="1"/>
    <col min="4" max="4" width="9.5703125" bestFit="1" customWidth="1"/>
    <col min="5" max="5" width="9.140625" customWidth="1"/>
    <col min="6" max="6" width="9.42578125" customWidth="1"/>
    <col min="7" max="7" width="9.7109375" bestFit="1" customWidth="1"/>
    <col min="8" max="8" width="10.5703125" customWidth="1"/>
    <col min="9" max="11" width="8.85546875" bestFit="1" customWidth="1"/>
    <col min="12" max="12" width="16.7109375" bestFit="1" customWidth="1"/>
    <col min="13" max="13" width="8.85546875" bestFit="1" customWidth="1"/>
    <col min="16" max="16" width="10.42578125" bestFit="1" customWidth="1"/>
  </cols>
  <sheetData>
    <row r="1" spans="1:15" ht="21">
      <c r="A1" s="165" t="s">
        <v>285</v>
      </c>
    </row>
    <row r="2" spans="1:15">
      <c r="A2" s="4" t="s">
        <v>286</v>
      </c>
    </row>
    <row r="3" spans="1:15" ht="15.75" thickBot="1"/>
    <row r="4" spans="1:15" ht="15.75" thickBot="1">
      <c r="B4" s="127"/>
      <c r="C4" s="127">
        <v>2023</v>
      </c>
      <c r="D4" s="128">
        <f>C4+1</f>
        <v>2024</v>
      </c>
      <c r="E4" s="128">
        <f>D4+1</f>
        <v>2025</v>
      </c>
      <c r="F4" s="128">
        <f t="shared" ref="F4:G4" si="0">E4+1</f>
        <v>2026</v>
      </c>
      <c r="G4" s="128">
        <f t="shared" si="0"/>
        <v>2027</v>
      </c>
      <c r="H4" s="128">
        <f>G4+1</f>
        <v>2028</v>
      </c>
      <c r="I4" s="128">
        <f>H4+1</f>
        <v>2029</v>
      </c>
      <c r="J4" s="128">
        <f t="shared" ref="J4:M4" si="1">I4+1</f>
        <v>2030</v>
      </c>
      <c r="K4" s="128">
        <f t="shared" si="1"/>
        <v>2031</v>
      </c>
      <c r="L4" s="128">
        <f t="shared" si="1"/>
        <v>2032</v>
      </c>
      <c r="M4" s="128">
        <f t="shared" si="1"/>
        <v>2033</v>
      </c>
    </row>
    <row r="5" spans="1:15">
      <c r="B5" t="s">
        <v>73</v>
      </c>
      <c r="C5" s="29">
        <f>IS!G8</f>
        <v>574785</v>
      </c>
      <c r="D5" s="29">
        <f>IS!H8</f>
        <v>638011.35000000009</v>
      </c>
      <c r="E5" s="29">
        <f>IS!I8</f>
        <v>708192.5985000002</v>
      </c>
      <c r="F5" s="29">
        <f>IS!J8</f>
        <v>786093.78433500032</v>
      </c>
      <c r="G5" s="29">
        <f>IS!K8</f>
        <v>872564.10061185039</v>
      </c>
      <c r="H5" s="29">
        <f>IS!L8</f>
        <v>968546.15167915402</v>
      </c>
      <c r="I5" s="29">
        <f>IS!M8</f>
        <v>1075086.2283638611</v>
      </c>
      <c r="J5" s="29">
        <f>IS!N8</f>
        <v>1193345.7134838859</v>
      </c>
      <c r="K5" s="29">
        <f>IS!O8</f>
        <v>1324613.7419671135</v>
      </c>
      <c r="L5" s="29">
        <f>IS!P8</f>
        <v>1470321.253583496</v>
      </c>
      <c r="M5" s="29">
        <f>IS!Q8</f>
        <v>1632056.5914776807</v>
      </c>
    </row>
    <row r="6" spans="1:15">
      <c r="B6" s="135" t="s">
        <v>215</v>
      </c>
      <c r="D6" s="136">
        <f>D5/C5-1</f>
        <v>0.1100000000000001</v>
      </c>
      <c r="E6" s="136">
        <f>E5/D5-1</f>
        <v>0.1100000000000001</v>
      </c>
      <c r="F6" s="136">
        <f t="shared" ref="F6:G6" si="2">F5/E5-1</f>
        <v>0.1100000000000001</v>
      </c>
      <c r="G6" s="136">
        <f t="shared" si="2"/>
        <v>0.1100000000000001</v>
      </c>
      <c r="H6" s="136">
        <f>H5/G5-1</f>
        <v>0.1100000000000001</v>
      </c>
      <c r="I6" s="136">
        <f t="shared" ref="I6:M6" si="3">I5/H5-1</f>
        <v>0.1100000000000001</v>
      </c>
      <c r="J6" s="136">
        <f t="shared" si="3"/>
        <v>0.1100000000000001</v>
      </c>
      <c r="K6" s="136">
        <f t="shared" si="3"/>
        <v>0.1100000000000001</v>
      </c>
      <c r="L6" s="136">
        <f t="shared" si="3"/>
        <v>0.1100000000000001</v>
      </c>
      <c r="M6" s="136">
        <f t="shared" si="3"/>
        <v>0.1100000000000001</v>
      </c>
    </row>
    <row r="7" spans="1:15">
      <c r="B7" t="s">
        <v>216</v>
      </c>
      <c r="C7" s="29">
        <f>IS!G17+C9</f>
        <v>85873</v>
      </c>
      <c r="D7" s="29">
        <f>IS!H17+D9</f>
        <v>93909.964216450389</v>
      </c>
      <c r="E7" s="29">
        <f>IS!I17+E9</f>
        <v>103748.16855882591</v>
      </c>
      <c r="F7" s="29">
        <f>IS!J17+F9</f>
        <v>114856.81554589685</v>
      </c>
      <c r="G7" s="29">
        <f>IS!K17+G9</f>
        <v>127339.80454223818</v>
      </c>
      <c r="H7" s="29">
        <f>IS!L17+H9</f>
        <v>141319.74235260801</v>
      </c>
      <c r="I7" s="29">
        <f>IS!M17+I9</f>
        <v>156938.41829861366</v>
      </c>
      <c r="J7" s="29">
        <f>IS!N17+J9</f>
        <v>174357.69863957184</v>
      </c>
      <c r="K7" s="29">
        <f>IS!O17+K9</f>
        <v>193760.79665825464</v>
      </c>
      <c r="L7" s="29">
        <f>IS!P17+L9</f>
        <v>215353.89279072866</v>
      </c>
      <c r="M7" s="29">
        <f>IS!Q17+M9</f>
        <v>239368.09324233752</v>
      </c>
    </row>
    <row r="8" spans="1:15">
      <c r="B8" s="135" t="s">
        <v>215</v>
      </c>
      <c r="D8" s="136">
        <f>D7/C7-1</f>
        <v>9.3591282666849684E-2</v>
      </c>
      <c r="E8" s="136">
        <f>E7/D7-1</f>
        <v>0.10476209233452294</v>
      </c>
      <c r="F8" s="136">
        <f t="shared" ref="F8:M8" si="4">F7/E7-1</f>
        <v>0.10707318636446361</v>
      </c>
      <c r="G8" s="136">
        <f t="shared" si="4"/>
        <v>0.10868304973467691</v>
      </c>
      <c r="H8" s="136">
        <f t="shared" si="4"/>
        <v>0.10978450815614949</v>
      </c>
      <c r="I8" s="136">
        <f t="shared" si="4"/>
        <v>0.11052012752072082</v>
      </c>
      <c r="J8" s="136">
        <f t="shared" si="4"/>
        <v>0.11099436664267737</v>
      </c>
      <c r="K8" s="136">
        <f t="shared" si="4"/>
        <v>0.11128328814887856</v>
      </c>
      <c r="L8" s="136">
        <f t="shared" si="4"/>
        <v>0.11144202803087566</v>
      </c>
      <c r="M8" s="136">
        <f t="shared" si="4"/>
        <v>0.11151040800987433</v>
      </c>
    </row>
    <row r="9" spans="1:15">
      <c r="B9" t="s">
        <v>217</v>
      </c>
      <c r="C9" s="29">
        <f>-('PP&amp;E'!G9+'PP&amp;E'!G23+'PP&amp;E'!G36)</f>
        <v>49021</v>
      </c>
      <c r="D9" s="29">
        <f>-('PP&amp;E'!H9+'PP&amp;E'!H23+'PP&amp;E'!H36)</f>
        <v>52889.969716450476</v>
      </c>
      <c r="E9" s="29">
        <f>-('PP&amp;E'!I9+'PP&amp;E'!I23+'PP&amp;E'!I36)</f>
        <v>58215.97466382588</v>
      </c>
      <c r="F9" s="29">
        <f>-('PP&amp;E'!J9+'PP&amp;E'!J23+'PP&amp;E'!J36)</f>
        <v>64316.080322446855</v>
      </c>
      <c r="G9" s="29">
        <f>-('PP&amp;E'!K9+'PP&amp;E'!K23+'PP&amp;E'!K36)</f>
        <v>71239.588444208668</v>
      </c>
      <c r="H9" s="29">
        <f>-('PP&amp;E'!L9+'PP&amp;E'!L23+'PP&amp;E'!L36)</f>
        <v>79048.502483795164</v>
      </c>
      <c r="I9" s="29">
        <f>-('PP&amp;E'!M9+'PP&amp;E'!M23+'PP&amp;E'!M36)</f>
        <v>87817.342044231511</v>
      </c>
      <c r="J9" s="29">
        <f>-('PP&amp;E'!N9+'PP&amp;E'!N23+'PP&amp;E'!N36)</f>
        <v>97633.303997207826</v>
      </c>
      <c r="K9" s="29">
        <f>-('PP&amp;E'!O9+'PP&amp;E'!O23+'PP&amp;E'!O36)</f>
        <v>108596.71860523027</v>
      </c>
      <c r="L9" s="29">
        <f>-('PP&amp;E'!P9+'PP&amp;E'!P23+'PP&amp;E'!P36)</f>
        <v>120821.76615187195</v>
      </c>
      <c r="M9" s="29">
        <f>-('PP&amp;E'!Q9+'PP&amp;E'!Q23+'PP&amp;E'!Q36)</f>
        <v>134437.43267320638</v>
      </c>
    </row>
    <row r="10" spans="1:15">
      <c r="B10" s="135" t="s">
        <v>215</v>
      </c>
      <c r="D10" s="136">
        <f>D9/C9-1</f>
        <v>7.8924740752952305E-2</v>
      </c>
      <c r="E10" s="136">
        <f t="shared" ref="E10:M10" si="5">E9/D9-1</f>
        <v>0.10069971633428354</v>
      </c>
      <c r="F10" s="136">
        <f t="shared" si="5"/>
        <v>0.10478405100741961</v>
      </c>
      <c r="G10" s="136">
        <f t="shared" si="5"/>
        <v>0.1076481664779787</v>
      </c>
      <c r="H10" s="136">
        <f t="shared" si="5"/>
        <v>0.10961481123240979</v>
      </c>
      <c r="I10" s="136">
        <f t="shared" si="5"/>
        <v>0.11092986312085995</v>
      </c>
      <c r="J10" s="136">
        <f t="shared" si="5"/>
        <v>0.11177703315174625</v>
      </c>
      <c r="K10" s="136">
        <f t="shared" si="5"/>
        <v>0.11229175044957995</v>
      </c>
      <c r="L10" s="136">
        <f t="shared" si="5"/>
        <v>0.11257290002547915</v>
      </c>
      <c r="M10" s="136">
        <f t="shared" si="5"/>
        <v>0.11269216594814258</v>
      </c>
    </row>
    <row r="11" spans="1:15">
      <c r="B11" s="21" t="s">
        <v>218</v>
      </c>
      <c r="C11" s="28">
        <f>C7-C9</f>
        <v>36852</v>
      </c>
      <c r="D11" s="28">
        <f t="shared" ref="D11:M11" si="6">D7-D9</f>
        <v>41019.994499999913</v>
      </c>
      <c r="E11" s="28">
        <f t="shared" si="6"/>
        <v>45532.193895000033</v>
      </c>
      <c r="F11" s="28">
        <f t="shared" si="6"/>
        <v>50540.735223449999</v>
      </c>
      <c r="G11" s="28">
        <f t="shared" si="6"/>
        <v>56100.216098029516</v>
      </c>
      <c r="H11" s="28">
        <f t="shared" si="6"/>
        <v>62271.239868812845</v>
      </c>
      <c r="I11" s="28">
        <f t="shared" si="6"/>
        <v>69121.076254382147</v>
      </c>
      <c r="J11" s="28">
        <f t="shared" si="6"/>
        <v>76724.394642364015</v>
      </c>
      <c r="K11" s="28">
        <f t="shared" si="6"/>
        <v>85164.078053024365</v>
      </c>
      <c r="L11" s="28">
        <f t="shared" si="6"/>
        <v>94532.126638856702</v>
      </c>
      <c r="M11" s="28">
        <f t="shared" si="6"/>
        <v>104930.66056913114</v>
      </c>
    </row>
    <row r="12" spans="1:15">
      <c r="B12" s="135" t="s">
        <v>215</v>
      </c>
      <c r="D12" s="136">
        <f>D11/C11-1</f>
        <v>0.11310090361445546</v>
      </c>
      <c r="E12" s="136">
        <f t="shared" ref="E12:M12" si="7">E11/D11-1</f>
        <v>0.11000000000000321</v>
      </c>
      <c r="F12" s="136">
        <f t="shared" si="7"/>
        <v>0.10999999999999921</v>
      </c>
      <c r="G12" s="136">
        <f t="shared" si="7"/>
        <v>0.11000000000000032</v>
      </c>
      <c r="H12" s="136">
        <f t="shared" si="7"/>
        <v>0.11000000000000143</v>
      </c>
      <c r="I12" s="136">
        <f t="shared" si="7"/>
        <v>0.10999999999999832</v>
      </c>
      <c r="J12" s="136">
        <f t="shared" si="7"/>
        <v>0.10999999999999766</v>
      </c>
      <c r="K12" s="136">
        <f t="shared" si="7"/>
        <v>0.11000000000000409</v>
      </c>
      <c r="L12" s="136">
        <f t="shared" si="7"/>
        <v>0.10999999999999588</v>
      </c>
      <c r="M12" s="136">
        <f t="shared" si="7"/>
        <v>0.1100000000000021</v>
      </c>
      <c r="O12" s="33"/>
    </row>
    <row r="13" spans="1:15">
      <c r="B13" t="s">
        <v>284</v>
      </c>
      <c r="C13" s="9">
        <f>0.2*C11</f>
        <v>7370.4000000000005</v>
      </c>
      <c r="D13" s="9">
        <f t="shared" ref="D13:M13" si="8">0.2*D11</f>
        <v>8203.9988999999823</v>
      </c>
      <c r="E13" s="9">
        <f t="shared" si="8"/>
        <v>9106.4387790000073</v>
      </c>
      <c r="F13" s="9">
        <f t="shared" si="8"/>
        <v>10108.14704469</v>
      </c>
      <c r="G13" s="9">
        <f t="shared" si="8"/>
        <v>11220.043219605905</v>
      </c>
      <c r="H13" s="9">
        <f t="shared" si="8"/>
        <v>12454.247973762569</v>
      </c>
      <c r="I13" s="9">
        <f t="shared" si="8"/>
        <v>13824.21525087643</v>
      </c>
      <c r="J13" s="9">
        <f t="shared" si="8"/>
        <v>15344.878928472805</v>
      </c>
      <c r="K13" s="9">
        <f t="shared" si="8"/>
        <v>17032.815610604874</v>
      </c>
      <c r="L13" s="9">
        <f t="shared" si="8"/>
        <v>18906.42532777134</v>
      </c>
      <c r="M13" s="9">
        <f t="shared" si="8"/>
        <v>20986.132113826228</v>
      </c>
    </row>
    <row r="14" spans="1:15">
      <c r="B14" s="21" t="s">
        <v>219</v>
      </c>
      <c r="C14" s="28">
        <f>C11-C13</f>
        <v>29481.599999999999</v>
      </c>
      <c r="D14" s="28">
        <f>D11-D13</f>
        <v>32815.995599999929</v>
      </c>
      <c r="E14" s="28">
        <f t="shared" ref="E14:M14" si="9">E11-E13</f>
        <v>36425.755116000029</v>
      </c>
      <c r="F14" s="28">
        <f t="shared" si="9"/>
        <v>40432.588178760001</v>
      </c>
      <c r="G14" s="28">
        <f t="shared" si="9"/>
        <v>44880.172878423611</v>
      </c>
      <c r="H14" s="28">
        <f t="shared" si="9"/>
        <v>49816.991895050276</v>
      </c>
      <c r="I14" s="28">
        <f t="shared" si="9"/>
        <v>55296.861003505721</v>
      </c>
      <c r="J14" s="28">
        <f t="shared" si="9"/>
        <v>61379.515713891211</v>
      </c>
      <c r="K14" s="28">
        <f t="shared" si="9"/>
        <v>68131.262442419495</v>
      </c>
      <c r="L14" s="28">
        <f t="shared" si="9"/>
        <v>75625.701311085359</v>
      </c>
      <c r="M14" s="28">
        <f t="shared" si="9"/>
        <v>83944.528455304913</v>
      </c>
    </row>
    <row r="15" spans="1:15">
      <c r="B15" s="135" t="s">
        <v>215</v>
      </c>
      <c r="D15" s="136">
        <f>D14/C14-1</f>
        <v>0.11310090361445546</v>
      </c>
      <c r="E15" s="136">
        <f>E14/D14-1</f>
        <v>0.11000000000000321</v>
      </c>
      <c r="F15" s="136">
        <f>F14/E14-1</f>
        <v>0.10999999999999921</v>
      </c>
      <c r="G15" s="136">
        <f>G14/F14-1</f>
        <v>0.11000000000000032</v>
      </c>
      <c r="H15" s="136">
        <f t="shared" ref="H15:M15" si="10">H14/G14-1</f>
        <v>0.11000000000000143</v>
      </c>
      <c r="I15" s="136">
        <f t="shared" si="10"/>
        <v>0.10999999999999832</v>
      </c>
      <c r="J15" s="136">
        <f t="shared" si="10"/>
        <v>0.10999999999999743</v>
      </c>
      <c r="K15" s="136">
        <f t="shared" si="10"/>
        <v>0.11000000000000409</v>
      </c>
      <c r="L15" s="136">
        <f t="shared" si="10"/>
        <v>0.10999999999999588</v>
      </c>
      <c r="M15" s="136">
        <f t="shared" si="10"/>
        <v>0.1100000000000021</v>
      </c>
    </row>
    <row r="17" spans="2:18">
      <c r="B17" s="16" t="s">
        <v>217</v>
      </c>
      <c r="C17" s="9">
        <f>C9</f>
        <v>49021</v>
      </c>
      <c r="D17" s="9">
        <f t="shared" ref="D17:M17" si="11">D9</f>
        <v>52889.969716450476</v>
      </c>
      <c r="E17" s="9">
        <f t="shared" si="11"/>
        <v>58215.97466382588</v>
      </c>
      <c r="F17" s="9">
        <f t="shared" si="11"/>
        <v>64316.080322446855</v>
      </c>
      <c r="G17" s="9">
        <f t="shared" si="11"/>
        <v>71239.588444208668</v>
      </c>
      <c r="H17" s="9">
        <f t="shared" si="11"/>
        <v>79048.502483795164</v>
      </c>
      <c r="I17" s="9">
        <f t="shared" si="11"/>
        <v>87817.342044231511</v>
      </c>
      <c r="J17" s="9">
        <f t="shared" si="11"/>
        <v>97633.303997207826</v>
      </c>
      <c r="K17" s="9">
        <f t="shared" si="11"/>
        <v>108596.71860523027</v>
      </c>
      <c r="L17" s="9">
        <f t="shared" si="11"/>
        <v>120821.76615187195</v>
      </c>
      <c r="M17" s="9">
        <f t="shared" si="11"/>
        <v>134437.43267320638</v>
      </c>
    </row>
    <row r="18" spans="2:18">
      <c r="B18" s="16" t="s">
        <v>220</v>
      </c>
      <c r="C18" s="29">
        <f>BS!G52</f>
        <v>718</v>
      </c>
      <c r="D18" s="29">
        <f>BS!H52</f>
        <v>8708.6868200213939</v>
      </c>
      <c r="E18" s="29">
        <f>BS!I52</f>
        <v>9686.0155502024136</v>
      </c>
      <c r="F18" s="29">
        <f>BS!J52</f>
        <v>10751.477260724627</v>
      </c>
      <c r="G18" s="29">
        <f>BS!K52</f>
        <v>11934.139759404323</v>
      </c>
      <c r="H18" s="29">
        <f>BS!L52</f>
        <v>13246.895132938807</v>
      </c>
      <c r="I18" s="29">
        <f>BS!M52</f>
        <v>14704.053597562102</v>
      </c>
      <c r="J18" s="29">
        <f>BS!N52</f>
        <v>16321.499493293901</v>
      </c>
      <c r="K18" s="29">
        <f>BS!O52</f>
        <v>18116.864437556244</v>
      </c>
      <c r="L18" s="29">
        <f>BS!P52</f>
        <v>20109.719525687455</v>
      </c>
      <c r="M18" s="29">
        <f>BS!Q52</f>
        <v>22321.788673512987</v>
      </c>
    </row>
    <row r="19" spans="2:18">
      <c r="B19" s="16" t="s">
        <v>287</v>
      </c>
      <c r="C19" s="29">
        <f>-'PP&amp;E'!G8-'PP&amp;E'!G22-'PP&amp;E'!G10</f>
        <v>-49280</v>
      </c>
      <c r="D19" s="29">
        <f>-'PP&amp;E'!H8-'PP&amp;E'!H22-'PP&amp;E'!H10</f>
        <v>-53529.19000000001</v>
      </c>
      <c r="E19" s="29">
        <f>-'PP&amp;E'!I8-'PP&amp;E'!I22-'PP&amp;E'!I10</f>
        <v>-59967.400900000015</v>
      </c>
      <c r="F19" s="29">
        <f>-'PP&amp;E'!J8-'PP&amp;E'!J22-'PP&amp;E'!J10</f>
        <v>-67113.814999000024</v>
      </c>
      <c r="G19" s="29">
        <f>-'PP&amp;E'!K8-'PP&amp;E'!K22-'PP&amp;E'!K10</f>
        <v>-75046.334648890028</v>
      </c>
      <c r="H19" s="29">
        <f>-'PP&amp;E'!L8-'PP&amp;E'!L22-'PP&amp;E'!L10</f>
        <v>-83851.431460267951</v>
      </c>
      <c r="I19" s="29">
        <f>-'PP&amp;E'!M8-'PP&amp;E'!M22-'PP&amp;E'!M10</f>
        <v>-93625.088920897426</v>
      </c>
      <c r="J19" s="29">
        <f>-'PP&amp;E'!N8-'PP&amp;E'!N22-'PP&amp;E'!N10</f>
        <v>-104473.84870219615</v>
      </c>
      <c r="K19" s="29">
        <f>-'PP&amp;E'!O8-'PP&amp;E'!O22-'PP&amp;E'!O10</f>
        <v>-116515.97205943774</v>
      </c>
      <c r="L19" s="29">
        <f>-'PP&amp;E'!P8-'PP&amp;E'!P22-'PP&amp;E'!P10</f>
        <v>-129882.7289859759</v>
      </c>
      <c r="M19" s="29">
        <f>-'PP&amp;E'!Q8-'PP&amp;E'!Q22-'PP&amp;E'!Q10</f>
        <v>-144719.82917443325</v>
      </c>
    </row>
    <row r="20" spans="2:18">
      <c r="B20" s="16" t="s">
        <v>289</v>
      </c>
      <c r="C20" s="29">
        <f>SH!G9</f>
        <v>23960</v>
      </c>
      <c r="D20" s="29">
        <f>SH!H9</f>
        <v>26595.600000000002</v>
      </c>
      <c r="E20" s="29">
        <f>SH!I9</f>
        <v>29521.116000000009</v>
      </c>
      <c r="F20" s="29">
        <f>SH!J9</f>
        <v>32768.438760000012</v>
      </c>
      <c r="G20" s="29">
        <f>SH!K9</f>
        <v>36372.967023600017</v>
      </c>
      <c r="H20" s="29">
        <f>SH!L9</f>
        <v>40373.99339619602</v>
      </c>
      <c r="I20" s="29">
        <f>SH!M9</f>
        <v>44815.132669777588</v>
      </c>
      <c r="J20" s="29">
        <f>SH!N9</f>
        <v>49744.797263453125</v>
      </c>
      <c r="K20" s="29">
        <f>SH!O9</f>
        <v>55216.724962432978</v>
      </c>
      <c r="L20" s="29">
        <f>SH!P9</f>
        <v>61290.564708300604</v>
      </c>
      <c r="M20" s="29">
        <f>SH!Q9</f>
        <v>68032.526826213681</v>
      </c>
    </row>
    <row r="21" spans="2:18">
      <c r="B21" s="21" t="s">
        <v>221</v>
      </c>
      <c r="C21" s="28">
        <f>SUM(C17:C19)+C14+C20</f>
        <v>53900.6</v>
      </c>
      <c r="D21" s="28">
        <f>SUM(D17:D19)+D14+D20</f>
        <v>67481.062136471795</v>
      </c>
      <c r="E21" s="28">
        <f t="shared" ref="E21:H21" si="12">SUM(E17:E19)+E14+E20</f>
        <v>73881.460430028324</v>
      </c>
      <c r="F21" s="28">
        <f t="shared" si="12"/>
        <v>81154.76952293147</v>
      </c>
      <c r="G21" s="28">
        <f t="shared" si="12"/>
        <v>89380.533456746591</v>
      </c>
      <c r="H21" s="28">
        <f t="shared" si="12"/>
        <v>98634.951447712316</v>
      </c>
      <c r="I21" s="28">
        <f t="shared" ref="I21:M21" si="13">SUM(I17:I19)+I14+I20</f>
        <v>109008.3003941795</v>
      </c>
      <c r="J21" s="28">
        <f t="shared" si="13"/>
        <v>120605.26776564991</v>
      </c>
      <c r="K21" s="28">
        <f t="shared" si="13"/>
        <v>133545.59838820124</v>
      </c>
      <c r="L21" s="28">
        <f t="shared" si="13"/>
        <v>147965.02271096944</v>
      </c>
      <c r="M21" s="28">
        <f t="shared" si="13"/>
        <v>164016.44745380472</v>
      </c>
    </row>
    <row r="22" spans="2:18">
      <c r="B22" s="135" t="s">
        <v>215</v>
      </c>
      <c r="D22" s="136">
        <f>D21/C21-1</f>
        <v>0.25195382122781185</v>
      </c>
      <c r="E22" s="136">
        <f>E21/D21-1</f>
        <v>9.4847325915121905E-2</v>
      </c>
      <c r="F22" s="136">
        <f t="shared" ref="F22:M22" si="14">F21/E21-1</f>
        <v>9.8445659446479761E-2</v>
      </c>
      <c r="G22" s="136">
        <f t="shared" si="14"/>
        <v>0.10135897103978353</v>
      </c>
      <c r="H22" s="136">
        <f t="shared" si="14"/>
        <v>0.10353952514105513</v>
      </c>
      <c r="I22" s="136">
        <f t="shared" si="14"/>
        <v>0.1051690987242615</v>
      </c>
      <c r="J22" s="136">
        <f t="shared" si="14"/>
        <v>0.10638609472430249</v>
      </c>
      <c r="K22" s="136">
        <f t="shared" si="14"/>
        <v>0.10729490396469155</v>
      </c>
      <c r="L22" s="136">
        <f t="shared" si="14"/>
        <v>0.10797378945319225</v>
      </c>
      <c r="M22" s="136">
        <f t="shared" si="14"/>
        <v>0.10848121028028146</v>
      </c>
      <c r="R22" s="9"/>
    </row>
    <row r="23" spans="2:18">
      <c r="B23" s="135"/>
      <c r="D23" s="136"/>
      <c r="E23" s="136"/>
      <c r="F23" s="136"/>
      <c r="G23" s="136"/>
      <c r="H23" s="136"/>
      <c r="I23" s="136"/>
      <c r="J23" s="136"/>
      <c r="K23" s="136"/>
      <c r="L23" s="136"/>
      <c r="M23" s="136"/>
    </row>
    <row r="24" spans="2:18">
      <c r="B24" t="s">
        <v>222</v>
      </c>
      <c r="D24" s="27">
        <f ca="1">P30</f>
        <v>-0.49041095890410957</v>
      </c>
      <c r="E24" s="138">
        <v>1</v>
      </c>
      <c r="F24" s="138">
        <v>1</v>
      </c>
      <c r="G24" s="138">
        <v>1</v>
      </c>
      <c r="H24" s="138">
        <v>1</v>
      </c>
      <c r="I24" s="138">
        <v>1</v>
      </c>
      <c r="J24" s="138">
        <v>1</v>
      </c>
      <c r="K24" s="138">
        <v>1</v>
      </c>
      <c r="L24" s="138">
        <v>1</v>
      </c>
      <c r="M24" s="138">
        <v>1</v>
      </c>
    </row>
    <row r="25" spans="2:18">
      <c r="B25" s="21" t="s">
        <v>223</v>
      </c>
      <c r="C25" s="28"/>
      <c r="D25" s="28">
        <f ca="1">D24*D21</f>
        <v>-33093.452390214938</v>
      </c>
      <c r="E25" s="28">
        <f>E24*E21</f>
        <v>73881.460430028324</v>
      </c>
      <c r="F25" s="28">
        <f>F24*F21</f>
        <v>81154.76952293147</v>
      </c>
      <c r="G25" s="28">
        <f>G24*G21</f>
        <v>89380.533456746591</v>
      </c>
      <c r="H25" s="28">
        <f>H24*H21</f>
        <v>98634.951447712316</v>
      </c>
      <c r="I25" s="28">
        <f t="shared" ref="I25:M25" si="15">I24*I21</f>
        <v>109008.3003941795</v>
      </c>
      <c r="J25" s="28">
        <f t="shared" si="15"/>
        <v>120605.26776564991</v>
      </c>
      <c r="K25" s="28">
        <f t="shared" si="15"/>
        <v>133545.59838820124</v>
      </c>
      <c r="L25" s="28">
        <f t="shared" si="15"/>
        <v>147965.02271096944</v>
      </c>
      <c r="M25" s="28">
        <f t="shared" si="15"/>
        <v>164016.44745380472</v>
      </c>
    </row>
    <row r="27" spans="2:18">
      <c r="B27" t="s">
        <v>224</v>
      </c>
      <c r="D27" s="140">
        <f ca="1">D24</f>
        <v>-0.49041095890410957</v>
      </c>
      <c r="E27" s="101">
        <f ca="1">1+D27</f>
        <v>0.50958904109589043</v>
      </c>
      <c r="F27" s="101">
        <f t="shared" ref="F27:M27" ca="1" si="16">1+E27</f>
        <v>1.5095890410958903</v>
      </c>
      <c r="G27" s="101">
        <f t="shared" ca="1" si="16"/>
        <v>2.5095890410958903</v>
      </c>
      <c r="H27" s="101">
        <f t="shared" ca="1" si="16"/>
        <v>3.5095890410958903</v>
      </c>
      <c r="I27" s="101">
        <f t="shared" ca="1" si="16"/>
        <v>4.5095890410958903</v>
      </c>
      <c r="J27" s="101">
        <f t="shared" ca="1" si="16"/>
        <v>5.5095890410958903</v>
      </c>
      <c r="K27" s="101">
        <f t="shared" ca="1" si="16"/>
        <v>6.5095890410958903</v>
      </c>
      <c r="L27" s="101">
        <f t="shared" ca="1" si="16"/>
        <v>7.5095890410958903</v>
      </c>
      <c r="M27" s="101">
        <f t="shared" ca="1" si="16"/>
        <v>8.5095890410958894</v>
      </c>
      <c r="N27" s="139"/>
      <c r="O27" s="139"/>
      <c r="P27" s="193">
        <f ca="1">TODAY()</f>
        <v>45836</v>
      </c>
    </row>
    <row r="28" spans="2:18">
      <c r="N28" s="139"/>
      <c r="O28" s="139"/>
      <c r="P28" s="139">
        <v>45657</v>
      </c>
    </row>
    <row r="29" spans="2:18">
      <c r="B29" s="21" t="s">
        <v>225</v>
      </c>
      <c r="C29" s="28"/>
      <c r="D29" s="28">
        <f ca="1">D25/(1+$D$31)^D27</f>
        <v>-34403.926266488423</v>
      </c>
      <c r="E29" s="28">
        <f t="shared" ref="E29:M29" ca="1" si="17">E25/(1+$D$31)^E27</f>
        <v>70959.407086343737</v>
      </c>
      <c r="F29" s="28">
        <f t="shared" ca="1" si="17"/>
        <v>72010.716049566006</v>
      </c>
      <c r="G29" s="28">
        <f t="shared" ca="1" si="17"/>
        <v>73271.418172253747</v>
      </c>
      <c r="H29" s="28">
        <f t="shared" ca="1" si="17"/>
        <v>74701.799639466364</v>
      </c>
      <c r="I29" s="28">
        <f t="shared" ca="1" si="17"/>
        <v>76272.568584547538</v>
      </c>
      <c r="J29" s="28">
        <f t="shared" ca="1" si="17"/>
        <v>77962.122699223022</v>
      </c>
      <c r="K29" s="28">
        <f t="shared" ca="1" si="17"/>
        <v>79754.561359484942</v>
      </c>
      <c r="L29" s="28">
        <f t="shared" ca="1" si="17"/>
        <v>81638.232192805575</v>
      </c>
      <c r="M29" s="28">
        <f t="shared" ca="1" si="17"/>
        <v>83604.663272631311</v>
      </c>
      <c r="P29" s="33">
        <f ca="1">P28-P27</f>
        <v>-179</v>
      </c>
    </row>
    <row r="30" spans="2:18">
      <c r="K30" s="67"/>
      <c r="L30" s="67"/>
      <c r="M30" s="67"/>
      <c r="N30" s="67"/>
      <c r="O30" s="67"/>
      <c r="P30" s="27">
        <f ca="1">P29/365</f>
        <v>-0.49041095890410957</v>
      </c>
    </row>
    <row r="31" spans="2:18">
      <c r="B31" t="s">
        <v>226</v>
      </c>
      <c r="C31" s="27"/>
      <c r="D31" s="141">
        <f>D47</f>
        <v>8.2409077243994697E-2</v>
      </c>
    </row>
    <row r="32" spans="2:18">
      <c r="B32" t="s">
        <v>227</v>
      </c>
      <c r="C32" s="142"/>
      <c r="D32" s="143">
        <v>0.05</v>
      </c>
      <c r="G32" t="s">
        <v>228</v>
      </c>
    </row>
    <row r="33" spans="2:12">
      <c r="B33" t="s">
        <v>229</v>
      </c>
      <c r="C33" s="9"/>
      <c r="D33" s="9">
        <f ca="1">SUM(D29:M29)</f>
        <v>655771.56278983387</v>
      </c>
      <c r="H33" s="356" t="s">
        <v>230</v>
      </c>
      <c r="I33" s="356"/>
      <c r="J33" s="356"/>
      <c r="K33" s="356"/>
      <c r="L33" s="356"/>
    </row>
    <row r="34" spans="2:12">
      <c r="B34" t="s">
        <v>231</v>
      </c>
      <c r="C34" s="9"/>
      <c r="D34" s="144"/>
      <c r="G34" s="27">
        <f ca="1">D45</f>
        <v>0.7352646328863286</v>
      </c>
      <c r="H34" s="145">
        <v>0.03</v>
      </c>
      <c r="I34" s="145">
        <v>0.04</v>
      </c>
      <c r="J34" s="145">
        <v>0.05</v>
      </c>
      <c r="K34" s="145">
        <v>0.06</v>
      </c>
      <c r="L34" s="145">
        <v>7.0000000000000007E-2</v>
      </c>
    </row>
    <row r="35" spans="2:12">
      <c r="B35" t="s">
        <v>232</v>
      </c>
      <c r="C35" s="9"/>
      <c r="D35" s="9">
        <f ca="1">(M29*(1+D32))/(D31-D32)</f>
        <v>2708651.5230090101</v>
      </c>
      <c r="F35" s="357" t="s">
        <v>226</v>
      </c>
      <c r="G35" s="145">
        <v>6.24090772439947E-2</v>
      </c>
      <c r="H35" s="27">
        <f t="dataTable" ref="H35:L39" dt2D="1" dtr="1" r1="D32" r2="D31" ca="1"/>
        <v>0.97612642724722476</v>
      </c>
      <c r="I35" s="27">
        <v>1.7121133897403702</v>
      </c>
      <c r="J35" s="27">
        <v>3.6343077519002751</v>
      </c>
      <c r="K35" s="27">
        <v>21.514432620037198</v>
      </c>
      <c r="L35" s="27">
        <v>-7.7146687359807009</v>
      </c>
    </row>
    <row r="36" spans="2:12">
      <c r="B36" s="21" t="s">
        <v>233</v>
      </c>
      <c r="C36" s="28"/>
      <c r="D36" s="28">
        <f ca="1">D33+D35</f>
        <v>3364423.0857988438</v>
      </c>
      <c r="F36" s="357"/>
      <c r="G36" s="145">
        <v>7.2409077243994702E-2</v>
      </c>
      <c r="H36" s="27">
        <v>0.48856725168317294</v>
      </c>
      <c r="I36" s="27">
        <v>0.85104465803017115</v>
      </c>
      <c r="J36" s="27">
        <v>1.5370315086976727</v>
      </c>
      <c r="K36" s="27">
        <v>3.3286394094710214</v>
      </c>
      <c r="L36" s="27">
        <v>19.994057647704004</v>
      </c>
    </row>
    <row r="37" spans="2:12">
      <c r="B37" t="s">
        <v>234</v>
      </c>
      <c r="C37" s="29"/>
      <c r="D37" s="29">
        <f>BS!G25-BS!G8</f>
        <v>-15073</v>
      </c>
      <c r="E37" s="33"/>
      <c r="F37" s="357"/>
      <c r="G37" s="145">
        <v>8.2409077243994697E-2</v>
      </c>
      <c r="H37" s="27">
        <v>0.18813213426968756</v>
      </c>
      <c r="I37" s="27">
        <v>0.39719185170173188</v>
      </c>
      <c r="J37" s="141">
        <v>0.7352646328863286</v>
      </c>
      <c r="K37" s="27">
        <v>1.3750658409075949</v>
      </c>
      <c r="L37" s="27">
        <v>3.0460496186576389</v>
      </c>
    </row>
    <row r="38" spans="2:12">
      <c r="B38" t="s">
        <v>235</v>
      </c>
      <c r="C38" s="29"/>
      <c r="D38" s="29">
        <v>0</v>
      </c>
      <c r="E38" s="33"/>
      <c r="F38" s="357"/>
      <c r="G38" s="145">
        <v>9.2409077243994692E-2</v>
      </c>
      <c r="H38" s="27">
        <v>-1.51955843969378E-2</v>
      </c>
      <c r="I38" s="27">
        <v>0.11738778882601664</v>
      </c>
      <c r="J38" s="27">
        <v>0.31249710311585854</v>
      </c>
      <c r="K38" s="27">
        <v>0.62801053309276145</v>
      </c>
      <c r="L38" s="27">
        <v>1.2251182710739861</v>
      </c>
    </row>
    <row r="39" spans="2:12">
      <c r="B39" t="s">
        <v>236</v>
      </c>
      <c r="C39" s="29"/>
      <c r="D39" s="29">
        <v>0</v>
      </c>
      <c r="E39" s="33"/>
      <c r="F39" s="357"/>
      <c r="G39" s="145">
        <v>0.10240907724399469</v>
      </c>
      <c r="H39" s="27">
        <v>-0.16170112866678232</v>
      </c>
      <c r="I39" s="27">
        <v>-7.208555002789574E-2</v>
      </c>
      <c r="J39" s="27">
        <v>5.1728523738723942E-2</v>
      </c>
      <c r="K39" s="27">
        <v>0.233932961933351</v>
      </c>
      <c r="L39" s="27">
        <v>0.5285777740533979</v>
      </c>
    </row>
    <row r="40" spans="2:12">
      <c r="B40" t="s">
        <v>237</v>
      </c>
      <c r="C40" s="29"/>
      <c r="D40" s="29">
        <v>0</v>
      </c>
      <c r="E40" s="33"/>
    </row>
    <row r="41" spans="2:12">
      <c r="B41" s="21" t="s">
        <v>238</v>
      </c>
      <c r="C41" s="28"/>
      <c r="D41" s="146">
        <f ca="1">D36-SUM(D37:D40)</f>
        <v>3379496.0857988438</v>
      </c>
      <c r="E41" s="33"/>
    </row>
    <row r="42" spans="2:12">
      <c r="B42" t="s">
        <v>239</v>
      </c>
      <c r="C42" s="147"/>
      <c r="D42" s="29">
        <f>SH!H73</f>
        <v>10383</v>
      </c>
      <c r="E42" s="33"/>
    </row>
    <row r="43" spans="2:12">
      <c r="B43" t="s">
        <v>240</v>
      </c>
      <c r="C43" s="148"/>
      <c r="D43" s="149">
        <f ca="1">D41/D42</f>
        <v>325.48358719048866</v>
      </c>
      <c r="E43" s="33"/>
    </row>
    <row r="44" spans="2:12">
      <c r="B44" t="s">
        <v>241</v>
      </c>
      <c r="C44" s="150"/>
      <c r="D44" s="151">
        <v>187.57</v>
      </c>
      <c r="F44" s="152"/>
    </row>
    <row r="45" spans="2:12">
      <c r="B45" s="153" t="s">
        <v>242</v>
      </c>
      <c r="C45" s="154"/>
      <c r="D45" s="155">
        <f ca="1">D43/D44-1</f>
        <v>0.7352646328863286</v>
      </c>
      <c r="E45" s="156"/>
    </row>
    <row r="47" spans="2:12">
      <c r="B47" s="153" t="s">
        <v>226</v>
      </c>
      <c r="C47" s="154"/>
      <c r="D47" s="157">
        <f>D53*D56+D62*D57</f>
        <v>8.2409077243994697E-2</v>
      </c>
    </row>
    <row r="48" spans="2:12">
      <c r="B48" t="s">
        <v>243</v>
      </c>
      <c r="C48" s="27"/>
      <c r="D48" s="27"/>
    </row>
    <row r="49" spans="2:5">
      <c r="B49" s="133" t="s">
        <v>244</v>
      </c>
      <c r="C49" s="27"/>
      <c r="D49" s="27">
        <v>4.369E-2</v>
      </c>
    </row>
    <row r="50" spans="2:5">
      <c r="B50" s="16" t="s">
        <v>245</v>
      </c>
      <c r="C50" s="27"/>
      <c r="D50" s="27">
        <f>'Credit spreads'!J20</f>
        <v>0.01</v>
      </c>
    </row>
    <row r="51" spans="2:5">
      <c r="B51" s="158" t="s">
        <v>246</v>
      </c>
      <c r="C51" s="159"/>
      <c r="D51" s="159">
        <f>D49+D50</f>
        <v>5.3690000000000002E-2</v>
      </c>
      <c r="E51" s="33"/>
    </row>
    <row r="52" spans="2:5">
      <c r="B52" s="16" t="s">
        <v>247</v>
      </c>
      <c r="C52" s="27"/>
      <c r="D52" s="46">
        <v>0.15</v>
      </c>
    </row>
    <row r="53" spans="2:5">
      <c r="B53" s="160" t="s">
        <v>248</v>
      </c>
      <c r="C53" s="159"/>
      <c r="D53" s="159">
        <f>D51-D52*D51</f>
        <v>4.5636500000000003E-2</v>
      </c>
      <c r="E53" s="33"/>
    </row>
    <row r="54" spans="2:5">
      <c r="B54" s="161"/>
      <c r="C54" s="27"/>
      <c r="D54" s="27"/>
    </row>
    <row r="55" spans="2:5">
      <c r="B55" t="s">
        <v>249</v>
      </c>
      <c r="C55" s="9"/>
    </row>
    <row r="56" spans="2:5">
      <c r="B56" t="s">
        <v>250</v>
      </c>
      <c r="C56" s="67"/>
      <c r="D56" s="27">
        <f>D59/(D59+D60)</f>
        <v>3.4168719870915722E-2</v>
      </c>
      <c r="E56" s="33"/>
    </row>
    <row r="57" spans="2:5">
      <c r="B57" t="s">
        <v>251</v>
      </c>
      <c r="C57" s="67"/>
      <c r="D57" s="27">
        <f>1-D56</f>
        <v>0.96583128012908426</v>
      </c>
      <c r="E57" s="33"/>
    </row>
    <row r="58" spans="2:5">
      <c r="C58" s="67"/>
    </row>
    <row r="59" spans="2:5">
      <c r="B59" t="s">
        <v>252</v>
      </c>
      <c r="D59" s="162">
        <f>BS!H25</f>
        <v>68314</v>
      </c>
    </row>
    <row r="60" spans="2:5">
      <c r="B60" t="s">
        <v>253</v>
      </c>
      <c r="D60" s="12">
        <v>1931000</v>
      </c>
    </row>
    <row r="62" spans="2:5">
      <c r="B62" t="s">
        <v>254</v>
      </c>
      <c r="C62" s="27"/>
      <c r="D62" s="27">
        <f>D63+D64*D65</f>
        <v>8.3710000000000007E-2</v>
      </c>
    </row>
    <row r="63" spans="2:5">
      <c r="B63" t="s">
        <v>255</v>
      </c>
      <c r="C63" s="163"/>
      <c r="D63" s="164">
        <f>D49</f>
        <v>4.369E-2</v>
      </c>
      <c r="E63" s="33"/>
    </row>
    <row r="64" spans="2:5">
      <c r="B64" t="s">
        <v>256</v>
      </c>
      <c r="D64" s="11">
        <v>0.87</v>
      </c>
    </row>
    <row r="65" spans="2:4">
      <c r="B65" t="s">
        <v>257</v>
      </c>
      <c r="C65" s="143"/>
      <c r="D65" s="164">
        <v>4.5999999999999999E-2</v>
      </c>
    </row>
  </sheetData>
  <mergeCells count="2">
    <mergeCell ref="H33:L33"/>
    <mergeCell ref="F35:F39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1805-A20D-40D9-9BD1-DAE194AE9F00}">
  <dimension ref="A1:L40"/>
  <sheetViews>
    <sheetView showGridLines="0" topLeftCell="A2" zoomScale="86" zoomScaleNormal="100" workbookViewId="0">
      <selection activeCell="J20" sqref="J20"/>
    </sheetView>
  </sheetViews>
  <sheetFormatPr defaultRowHeight="15"/>
  <sheetData>
    <row r="1" spans="1:12" ht="21.75" thickBot="1">
      <c r="A1" s="166" t="s">
        <v>258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8"/>
    </row>
    <row r="4" spans="1:12">
      <c r="B4" s="169" t="s">
        <v>259</v>
      </c>
      <c r="C4" s="170"/>
      <c r="D4" s="170"/>
      <c r="E4" s="170"/>
      <c r="F4" s="170"/>
      <c r="G4" s="169" t="s">
        <v>260</v>
      </c>
      <c r="H4" s="170"/>
      <c r="I4" s="170"/>
      <c r="J4" s="170"/>
    </row>
    <row r="5" spans="1:12">
      <c r="B5" s="171" t="s">
        <v>261</v>
      </c>
      <c r="C5" s="171"/>
      <c r="D5" s="172"/>
      <c r="E5" s="172"/>
      <c r="F5" s="170"/>
      <c r="G5" s="173" t="s">
        <v>262</v>
      </c>
      <c r="H5" s="174"/>
      <c r="I5" s="175"/>
      <c r="J5" s="175"/>
    </row>
    <row r="6" spans="1:12">
      <c r="B6" s="176" t="s">
        <v>263</v>
      </c>
      <c r="C6" s="176" t="s">
        <v>264</v>
      </c>
      <c r="D6" s="176" t="s">
        <v>265</v>
      </c>
      <c r="E6" s="176" t="s">
        <v>266</v>
      </c>
      <c r="F6" s="170"/>
      <c r="G6" s="177" t="s">
        <v>267</v>
      </c>
      <c r="H6" s="177" t="s">
        <v>264</v>
      </c>
      <c r="I6" s="177" t="s">
        <v>265</v>
      </c>
      <c r="J6" s="177" t="s">
        <v>266</v>
      </c>
    </row>
    <row r="7" spans="1:12">
      <c r="B7" s="177">
        <v>-100000</v>
      </c>
      <c r="C7" s="177">
        <v>0.19999900000000001</v>
      </c>
      <c r="D7" s="178" t="s">
        <v>268</v>
      </c>
      <c r="E7" s="179">
        <v>0.19384615384615386</v>
      </c>
      <c r="F7" s="170"/>
      <c r="G7" s="177">
        <v>-100000</v>
      </c>
      <c r="H7" s="177">
        <v>4.9999000000000002E-2</v>
      </c>
      <c r="I7" s="178" t="s">
        <v>268</v>
      </c>
      <c r="J7" s="180">
        <v>0.19384615384615386</v>
      </c>
    </row>
    <row r="8" spans="1:12">
      <c r="B8" s="177">
        <v>0.2</v>
      </c>
      <c r="C8" s="177">
        <v>0.64999899999999999</v>
      </c>
      <c r="D8" s="178" t="s">
        <v>269</v>
      </c>
      <c r="E8" s="179">
        <v>0.14538461538461536</v>
      </c>
      <c r="F8" s="170"/>
      <c r="G8" s="177">
        <v>0.05</v>
      </c>
      <c r="H8" s="177">
        <v>9.9999000000000005E-2</v>
      </c>
      <c r="I8" s="178" t="s">
        <v>269</v>
      </c>
      <c r="J8" s="180">
        <v>0.14538461538461536</v>
      </c>
    </row>
    <row r="9" spans="1:12">
      <c r="B9" s="177">
        <v>0.65</v>
      </c>
      <c r="C9" s="177">
        <v>0.79999900000000002</v>
      </c>
      <c r="D9" s="178" t="s">
        <v>270</v>
      </c>
      <c r="E9" s="179">
        <v>0.11076923076923077</v>
      </c>
      <c r="F9" s="170"/>
      <c r="G9" s="177">
        <v>0.1</v>
      </c>
      <c r="H9" s="177">
        <v>0.19999900000000001</v>
      </c>
      <c r="I9" s="178" t="s">
        <v>270</v>
      </c>
      <c r="J9" s="180">
        <v>0.11076923076923077</v>
      </c>
    </row>
    <row r="10" spans="1:12">
      <c r="B10" s="177">
        <v>0.8</v>
      </c>
      <c r="C10" s="177">
        <v>1.2499990000000001</v>
      </c>
      <c r="D10" s="178" t="s">
        <v>271</v>
      </c>
      <c r="E10" s="179">
        <v>0.09</v>
      </c>
      <c r="F10" s="170"/>
      <c r="G10" s="177">
        <v>0.2</v>
      </c>
      <c r="H10" s="177">
        <v>0.29999900000000002</v>
      </c>
      <c r="I10" s="178" t="s">
        <v>271</v>
      </c>
      <c r="J10" s="180">
        <v>0.09</v>
      </c>
    </row>
    <row r="11" spans="1:12">
      <c r="B11" s="177">
        <v>1.25</v>
      </c>
      <c r="C11" s="177">
        <v>1.4999990000000001</v>
      </c>
      <c r="D11" s="178" t="s">
        <v>272</v>
      </c>
      <c r="E11" s="179">
        <v>6.6000000000000003E-2</v>
      </c>
      <c r="F11" s="170"/>
      <c r="G11" s="177">
        <v>0.3</v>
      </c>
      <c r="H11" s="177">
        <v>0.39999899999999999</v>
      </c>
      <c r="I11" s="178" t="s">
        <v>272</v>
      </c>
      <c r="J11" s="180">
        <v>6.6000000000000003E-2</v>
      </c>
    </row>
    <row r="12" spans="1:12">
      <c r="B12" s="177">
        <v>1.5</v>
      </c>
      <c r="C12" s="177">
        <v>1.7499990000000001</v>
      </c>
      <c r="D12" s="178" t="s">
        <v>273</v>
      </c>
      <c r="E12" s="179">
        <v>5.3999999999999999E-2</v>
      </c>
      <c r="F12" s="170"/>
      <c r="G12" s="177">
        <v>0.4</v>
      </c>
      <c r="H12" s="177">
        <v>0.49999900000000003</v>
      </c>
      <c r="I12" s="178" t="s">
        <v>273</v>
      </c>
      <c r="J12" s="180">
        <v>5.3999999999999999E-2</v>
      </c>
    </row>
    <row r="13" spans="1:12">
      <c r="B13" s="177">
        <v>1.75</v>
      </c>
      <c r="C13" s="177">
        <v>1.9999990000000001</v>
      </c>
      <c r="D13" s="178" t="s">
        <v>274</v>
      </c>
      <c r="E13" s="179">
        <v>4.4999999999999998E-2</v>
      </c>
      <c r="F13" s="170"/>
      <c r="G13" s="177">
        <v>0.5</v>
      </c>
      <c r="H13" s="177">
        <v>0.59999899999999995</v>
      </c>
      <c r="I13" s="178" t="s">
        <v>274</v>
      </c>
      <c r="J13" s="180">
        <v>4.4999999999999998E-2</v>
      </c>
    </row>
    <row r="14" spans="1:12">
      <c r="B14" s="177">
        <v>2</v>
      </c>
      <c r="C14" s="177">
        <v>2.2499999000000002</v>
      </c>
      <c r="D14" s="178" t="s">
        <v>275</v>
      </c>
      <c r="E14" s="179">
        <v>3.5999999999999997E-2</v>
      </c>
      <c r="F14" s="170"/>
      <c r="G14" s="177">
        <v>0.6</v>
      </c>
      <c r="H14" s="177">
        <v>0.74999899999999997</v>
      </c>
      <c r="I14" s="178" t="s">
        <v>275</v>
      </c>
      <c r="J14" s="180">
        <v>3.5999999999999997E-2</v>
      </c>
    </row>
    <row r="15" spans="1:12">
      <c r="B15" s="177">
        <v>2.25</v>
      </c>
      <c r="C15" s="177">
        <v>2.4999899999999999</v>
      </c>
      <c r="D15" s="178" t="s">
        <v>276</v>
      </c>
      <c r="E15" s="179">
        <v>0.03</v>
      </c>
      <c r="F15" s="170"/>
      <c r="G15" s="177">
        <v>0.75</v>
      </c>
      <c r="H15" s="177">
        <v>0.89999899999999999</v>
      </c>
      <c r="I15" s="178" t="s">
        <v>276</v>
      </c>
      <c r="J15" s="180">
        <v>0.03</v>
      </c>
    </row>
    <row r="16" spans="1:12">
      <c r="B16" s="177">
        <v>2.5</v>
      </c>
      <c r="C16" s="177">
        <v>2.9999989999999999</v>
      </c>
      <c r="D16" s="178" t="s">
        <v>277</v>
      </c>
      <c r="E16" s="179">
        <v>0.02</v>
      </c>
      <c r="F16" s="170"/>
      <c r="G16" s="177">
        <v>0.9</v>
      </c>
      <c r="H16" s="177">
        <v>1.199999</v>
      </c>
      <c r="I16" s="178" t="s">
        <v>277</v>
      </c>
      <c r="J16" s="180">
        <v>0.02</v>
      </c>
    </row>
    <row r="17" spans="2:10">
      <c r="B17" s="177">
        <v>3</v>
      </c>
      <c r="C17" s="177">
        <v>4.2499989999999999</v>
      </c>
      <c r="D17" s="178" t="s">
        <v>278</v>
      </c>
      <c r="E17" s="179">
        <v>1.5625E-2</v>
      </c>
      <c r="F17" s="170"/>
      <c r="G17" s="177">
        <v>1.2</v>
      </c>
      <c r="H17" s="177">
        <v>1.4999899999999999</v>
      </c>
      <c r="I17" s="178" t="s">
        <v>278</v>
      </c>
      <c r="J17" s="180">
        <v>1.5625E-2</v>
      </c>
    </row>
    <row r="18" spans="2:10">
      <c r="B18" s="177">
        <v>4.25</v>
      </c>
      <c r="C18" s="177">
        <v>5.4999989999999999</v>
      </c>
      <c r="D18" s="178" t="s">
        <v>279</v>
      </c>
      <c r="E18" s="179">
        <v>1.3749999999999998E-2</v>
      </c>
      <c r="F18" s="170"/>
      <c r="G18" s="177">
        <v>1.5</v>
      </c>
      <c r="H18" s="177">
        <v>1.9999899999999999</v>
      </c>
      <c r="I18" s="178" t="s">
        <v>279</v>
      </c>
      <c r="J18" s="180">
        <v>1.3749999999999998E-2</v>
      </c>
    </row>
    <row r="19" spans="2:10">
      <c r="B19" s="177">
        <v>5.5</v>
      </c>
      <c r="C19" s="177">
        <v>6.4999989999999999</v>
      </c>
      <c r="D19" s="178" t="s">
        <v>280</v>
      </c>
      <c r="E19" s="179">
        <v>1.2500000000000001E-2</v>
      </c>
      <c r="F19" s="170"/>
      <c r="G19" s="177">
        <v>2</v>
      </c>
      <c r="H19" s="177">
        <v>2.4999899999999999</v>
      </c>
      <c r="I19" s="178" t="s">
        <v>280</v>
      </c>
      <c r="J19" s="180">
        <v>1.2500000000000001E-2</v>
      </c>
    </row>
    <row r="20" spans="2:10">
      <c r="B20" s="177">
        <v>6.5</v>
      </c>
      <c r="C20" s="177">
        <v>8.4999990000000007</v>
      </c>
      <c r="D20" s="178" t="s">
        <v>281</v>
      </c>
      <c r="E20" s="179">
        <v>0.01</v>
      </c>
      <c r="F20" s="170"/>
      <c r="G20" s="177">
        <v>2.5</v>
      </c>
      <c r="H20" s="177">
        <v>2.9999899999999999</v>
      </c>
      <c r="I20" s="178" t="s">
        <v>281</v>
      </c>
      <c r="J20" s="180">
        <v>0.01</v>
      </c>
    </row>
    <row r="21" spans="2:10">
      <c r="B21" s="181">
        <v>8.5</v>
      </c>
      <c r="C21" s="177">
        <v>100000</v>
      </c>
      <c r="D21" s="178" t="s">
        <v>282</v>
      </c>
      <c r="E21" s="179">
        <v>7.4999999999999997E-3</v>
      </c>
      <c r="F21" s="170"/>
      <c r="G21" s="177">
        <v>3</v>
      </c>
      <c r="H21" s="177">
        <v>100000</v>
      </c>
      <c r="I21" s="178" t="s">
        <v>282</v>
      </c>
      <c r="J21" s="180">
        <v>7.4999999999999997E-3</v>
      </c>
    </row>
    <row r="22" spans="2:10">
      <c r="B22" s="170"/>
      <c r="C22" s="170"/>
      <c r="D22" s="170"/>
      <c r="E22" s="170"/>
      <c r="F22" s="170"/>
      <c r="G22" s="170"/>
      <c r="H22" s="170"/>
      <c r="I22" s="170"/>
      <c r="J22" s="170"/>
    </row>
    <row r="23" spans="2:10">
      <c r="B23" s="169" t="s">
        <v>283</v>
      </c>
      <c r="C23" s="170"/>
      <c r="D23" s="170"/>
      <c r="E23" s="170"/>
      <c r="F23" s="170"/>
      <c r="G23" s="170"/>
      <c r="H23" s="170"/>
      <c r="I23" s="170"/>
      <c r="J23" s="170"/>
    </row>
    <row r="24" spans="2:10">
      <c r="B24" s="171" t="s">
        <v>261</v>
      </c>
      <c r="C24" s="182"/>
      <c r="D24" s="177"/>
      <c r="E24" s="177"/>
      <c r="F24" s="170"/>
      <c r="I24" s="170"/>
      <c r="J24" s="170"/>
    </row>
    <row r="25" spans="2:10">
      <c r="B25" s="177" t="s">
        <v>267</v>
      </c>
      <c r="C25" s="177" t="s">
        <v>264</v>
      </c>
      <c r="D25" s="177" t="s">
        <v>265</v>
      </c>
      <c r="E25" s="177" t="s">
        <v>266</v>
      </c>
      <c r="F25" s="170"/>
      <c r="I25" s="170"/>
      <c r="J25" s="170"/>
    </row>
    <row r="26" spans="2:10">
      <c r="B26" s="177">
        <v>-100000</v>
      </c>
      <c r="C26" s="177">
        <v>0.49999900000000003</v>
      </c>
      <c r="D26" s="178" t="s">
        <v>268</v>
      </c>
      <c r="E26" s="180">
        <v>0.19384615384615386</v>
      </c>
      <c r="F26" s="170"/>
      <c r="G26" s="170"/>
      <c r="H26" s="170"/>
      <c r="I26" s="170"/>
      <c r="J26" s="170"/>
    </row>
    <row r="27" spans="2:10">
      <c r="B27" s="177">
        <v>0.5</v>
      </c>
      <c r="C27" s="177">
        <v>0.79999900000000002</v>
      </c>
      <c r="D27" s="178" t="s">
        <v>269</v>
      </c>
      <c r="E27" s="180">
        <v>0.14538461538461536</v>
      </c>
      <c r="F27" s="170"/>
      <c r="G27" s="170"/>
      <c r="H27" s="170"/>
      <c r="I27" s="170"/>
      <c r="J27" s="170"/>
    </row>
    <row r="28" spans="2:10">
      <c r="B28" s="177">
        <v>0.8</v>
      </c>
      <c r="C28" s="177">
        <v>1.2499990000000001</v>
      </c>
      <c r="D28" s="178" t="s">
        <v>270</v>
      </c>
      <c r="E28" s="180">
        <v>0.11076923076923077</v>
      </c>
      <c r="F28" s="170"/>
      <c r="G28" s="170"/>
      <c r="H28" s="170"/>
      <c r="I28" s="170"/>
      <c r="J28" s="170"/>
    </row>
    <row r="29" spans="2:10">
      <c r="B29" s="177">
        <v>1.25</v>
      </c>
      <c r="C29" s="177">
        <v>1.4999990000000001</v>
      </c>
      <c r="D29" s="178" t="s">
        <v>271</v>
      </c>
      <c r="E29" s="180">
        <v>0.09</v>
      </c>
      <c r="F29" s="170"/>
      <c r="H29" s="170"/>
      <c r="I29" s="170"/>
      <c r="J29" s="170"/>
    </row>
    <row r="30" spans="2:10">
      <c r="B30" s="177">
        <v>1.5</v>
      </c>
      <c r="C30" s="177">
        <v>1.9999990000000001</v>
      </c>
      <c r="D30" s="178" t="s">
        <v>272</v>
      </c>
      <c r="E30" s="180">
        <v>6.6000000000000003E-2</v>
      </c>
      <c r="F30" s="170"/>
      <c r="G30" s="170"/>
      <c r="H30" s="170"/>
      <c r="I30" s="183"/>
      <c r="J30" s="170"/>
    </row>
    <row r="31" spans="2:10">
      <c r="B31" s="177">
        <v>2</v>
      </c>
      <c r="C31" s="177">
        <v>2.4999989999999999</v>
      </c>
      <c r="D31" s="178" t="s">
        <v>273</v>
      </c>
      <c r="E31" s="180">
        <v>5.3999999999999999E-2</v>
      </c>
      <c r="F31" s="170"/>
      <c r="G31" s="170"/>
      <c r="H31" s="170"/>
      <c r="I31" s="183"/>
      <c r="J31" s="184"/>
    </row>
    <row r="32" spans="2:10">
      <c r="B32" s="177">
        <v>2.5</v>
      </c>
      <c r="C32" s="177">
        <v>2.9999989999999999</v>
      </c>
      <c r="D32" s="178" t="s">
        <v>274</v>
      </c>
      <c r="E32" s="180">
        <v>4.4999999999999998E-2</v>
      </c>
      <c r="F32" s="170"/>
      <c r="G32" s="19"/>
      <c r="H32" s="187"/>
      <c r="I32" s="188"/>
      <c r="J32" s="184"/>
    </row>
    <row r="33" spans="2:10">
      <c r="B33" s="177">
        <v>3</v>
      </c>
      <c r="C33" s="177">
        <v>3.4999989999999999</v>
      </c>
      <c r="D33" s="178" t="s">
        <v>275</v>
      </c>
      <c r="E33" s="180">
        <v>3.5999999999999997E-2</v>
      </c>
      <c r="F33" s="170"/>
      <c r="G33" s="170"/>
      <c r="H33" s="170"/>
      <c r="I33" s="170"/>
      <c r="J33" s="170"/>
    </row>
    <row r="34" spans="2:10">
      <c r="B34" s="177">
        <v>3.5</v>
      </c>
      <c r="C34" s="177">
        <v>3.9999999000000002</v>
      </c>
      <c r="D34" s="178" t="s">
        <v>276</v>
      </c>
      <c r="E34" s="180">
        <v>0.03</v>
      </c>
      <c r="F34" s="170"/>
      <c r="G34" s="170"/>
      <c r="H34" s="170"/>
      <c r="I34" s="185"/>
      <c r="J34" s="170"/>
    </row>
    <row r="35" spans="2:10">
      <c r="B35" s="177">
        <v>4</v>
      </c>
      <c r="C35" s="177">
        <v>4.4999989999999999</v>
      </c>
      <c r="D35" s="178" t="s">
        <v>277</v>
      </c>
      <c r="E35" s="180">
        <v>0.02</v>
      </c>
      <c r="F35" s="170"/>
      <c r="G35" s="189"/>
      <c r="H35" s="189"/>
      <c r="I35" s="190"/>
      <c r="J35" s="170"/>
    </row>
    <row r="36" spans="2:10">
      <c r="B36" s="177">
        <v>4.5</v>
      </c>
      <c r="C36" s="177">
        <v>5.9999989999999999</v>
      </c>
      <c r="D36" s="178" t="s">
        <v>278</v>
      </c>
      <c r="E36" s="180">
        <v>1.5625E-2</v>
      </c>
      <c r="F36" s="170"/>
      <c r="G36" s="170"/>
      <c r="H36" s="170"/>
      <c r="I36" s="170"/>
      <c r="J36" s="170"/>
    </row>
    <row r="37" spans="2:10">
      <c r="B37" s="177">
        <v>6</v>
      </c>
      <c r="C37" s="177">
        <v>7.4999989999999999</v>
      </c>
      <c r="D37" s="178" t="s">
        <v>279</v>
      </c>
      <c r="E37" s="180">
        <v>1.3749999999999998E-2</v>
      </c>
      <c r="F37" s="170"/>
      <c r="G37" s="170"/>
      <c r="H37" s="170"/>
      <c r="I37" s="170"/>
      <c r="J37" s="170"/>
    </row>
    <row r="38" spans="2:10">
      <c r="B38" s="177">
        <v>7.5</v>
      </c>
      <c r="C38" s="177">
        <v>9.4999990000000007</v>
      </c>
      <c r="D38" s="178" t="s">
        <v>280</v>
      </c>
      <c r="E38" s="180">
        <v>1.2500000000000001E-2</v>
      </c>
      <c r="F38" s="170"/>
      <c r="G38" s="170"/>
      <c r="H38" s="170"/>
      <c r="I38" s="170"/>
      <c r="J38" s="170"/>
    </row>
    <row r="39" spans="2:10">
      <c r="B39" s="177">
        <v>9.5</v>
      </c>
      <c r="C39" s="177">
        <v>12.499999000000001</v>
      </c>
      <c r="D39" s="178" t="s">
        <v>281</v>
      </c>
      <c r="E39" s="180">
        <v>0.01</v>
      </c>
      <c r="G39" s="186"/>
      <c r="H39" s="170"/>
      <c r="I39" s="170"/>
      <c r="J39" s="170"/>
    </row>
    <row r="40" spans="2:10">
      <c r="B40" s="177">
        <v>12.5</v>
      </c>
      <c r="C40" s="177">
        <v>100000</v>
      </c>
      <c r="D40" s="178" t="s">
        <v>282</v>
      </c>
      <c r="E40" s="180">
        <v>7.4999999999999997E-3</v>
      </c>
      <c r="G40" s="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2558-CD64-42DE-B487-CFC9D6CDA6E0}">
  <dimension ref="A1:R61"/>
  <sheetViews>
    <sheetView showGridLines="0" zoomScale="80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46" sqref="C46"/>
    </sheetView>
  </sheetViews>
  <sheetFormatPr defaultRowHeight="15"/>
  <cols>
    <col min="1" max="1" width="5.5703125" customWidth="1"/>
    <col min="2" max="2" width="30.85546875" bestFit="1" customWidth="1"/>
    <col min="3" max="3" width="11.5703125" customWidth="1"/>
    <col min="4" max="7" width="8.5703125" bestFit="1" customWidth="1"/>
    <col min="8" max="9" width="8.85546875" bestFit="1" customWidth="1"/>
    <col min="10" max="10" width="8.5703125" customWidth="1"/>
    <col min="13" max="13" width="11.5703125" bestFit="1" customWidth="1"/>
  </cols>
  <sheetData>
    <row r="1" spans="1:18" ht="21">
      <c r="A1" s="195" t="s">
        <v>395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</row>
    <row r="2" spans="1:18">
      <c r="A2" s="197" t="str">
        <f>DCF!A2</f>
        <v>All numbers in $ million except for per share data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</row>
    <row r="3" spans="1:18" ht="15.75" thickBot="1">
      <c r="A3" s="196"/>
      <c r="B3" s="196"/>
      <c r="C3" s="196"/>
      <c r="D3" s="196"/>
      <c r="E3" s="196"/>
      <c r="F3" s="196"/>
      <c r="G3" s="196"/>
      <c r="H3" s="196"/>
      <c r="I3" s="196"/>
      <c r="J3" s="198" t="s">
        <v>491</v>
      </c>
      <c r="K3" s="198"/>
      <c r="L3" s="198"/>
      <c r="M3" s="198"/>
      <c r="N3" s="196"/>
      <c r="O3" s="196"/>
    </row>
    <row r="4" spans="1:18" ht="15.75" thickBot="1">
      <c r="A4" s="196"/>
      <c r="B4" s="199"/>
      <c r="C4" s="200">
        <v>2023</v>
      </c>
      <c r="D4" s="201">
        <f>C4+1</f>
        <v>2024</v>
      </c>
      <c r="E4" s="201">
        <f>D4+1</f>
        <v>2025</v>
      </c>
      <c r="F4" s="201">
        <f>E4+1</f>
        <v>2026</v>
      </c>
      <c r="G4" s="201">
        <f>F4+1</f>
        <v>2027</v>
      </c>
      <c r="H4" s="201">
        <f>G4+1</f>
        <v>2028</v>
      </c>
      <c r="I4" s="196"/>
      <c r="J4" s="196"/>
      <c r="K4" s="196"/>
      <c r="L4" s="196"/>
      <c r="M4" s="196"/>
      <c r="N4" s="196"/>
      <c r="O4" s="196"/>
    </row>
    <row r="5" spans="1:18">
      <c r="A5" s="196"/>
      <c r="B5" s="196" t="s">
        <v>295</v>
      </c>
      <c r="C5" s="202">
        <f>IS!G8</f>
        <v>574785</v>
      </c>
      <c r="D5" s="202">
        <f>C5*(1+D17)</f>
        <v>638011.35000000009</v>
      </c>
      <c r="E5" s="202">
        <f t="shared" ref="E5:H5" si="0">D5*(1+E17)</f>
        <v>708192.5985000002</v>
      </c>
      <c r="F5" s="202">
        <f t="shared" si="0"/>
        <v>786093.78433500032</v>
      </c>
      <c r="G5" s="202">
        <f t="shared" si="0"/>
        <v>872564.10061185039</v>
      </c>
      <c r="H5" s="202">
        <f t="shared" si="0"/>
        <v>968546.15167915402</v>
      </c>
      <c r="I5" s="204"/>
      <c r="J5" s="196" t="s">
        <v>296</v>
      </c>
      <c r="K5" s="196"/>
      <c r="L5" s="196"/>
      <c r="M5" s="268">
        <f>DCF!D44</f>
        <v>187.57</v>
      </c>
      <c r="N5" s="204"/>
      <c r="O5" s="196"/>
    </row>
    <row r="6" spans="1:18">
      <c r="A6" s="196"/>
      <c r="B6" s="196" t="s">
        <v>40</v>
      </c>
      <c r="C6" s="202">
        <f>-IS!G10</f>
        <v>-304739</v>
      </c>
      <c r="D6" s="202">
        <f>D18*D5</f>
        <v>-326138.07435000001</v>
      </c>
      <c r="E6" s="202">
        <f t="shared" ref="E6:H6" si="1">E18*E5</f>
        <v>-362013.26252850005</v>
      </c>
      <c r="F6" s="202">
        <f t="shared" si="1"/>
        <v>-401834.72140663513</v>
      </c>
      <c r="G6" s="202">
        <f t="shared" si="1"/>
        <v>-446036.54076136503</v>
      </c>
      <c r="H6" s="202">
        <f t="shared" si="1"/>
        <v>-495100.56024511519</v>
      </c>
      <c r="I6" s="196"/>
      <c r="J6" s="203" t="s">
        <v>297</v>
      </c>
      <c r="K6" s="203"/>
      <c r="L6" s="196"/>
      <c r="M6" s="259">
        <f>DCF!D42</f>
        <v>10383</v>
      </c>
      <c r="N6" s="204"/>
      <c r="O6" s="196"/>
    </row>
    <row r="7" spans="1:18">
      <c r="A7" s="196"/>
      <c r="B7" s="205" t="s">
        <v>298</v>
      </c>
      <c r="C7" s="206">
        <f>C5+C6</f>
        <v>270046</v>
      </c>
      <c r="D7" s="206">
        <f t="shared" ref="D7:H7" si="2">D5+D6</f>
        <v>311873.27565000008</v>
      </c>
      <c r="E7" s="206">
        <f t="shared" si="2"/>
        <v>346179.33597150014</v>
      </c>
      <c r="F7" s="206">
        <f t="shared" si="2"/>
        <v>384259.06292836519</v>
      </c>
      <c r="G7" s="206">
        <f t="shared" si="2"/>
        <v>426527.55985048536</v>
      </c>
      <c r="H7" s="206">
        <f t="shared" si="2"/>
        <v>473445.59143403883</v>
      </c>
      <c r="I7" s="196"/>
      <c r="J7" s="207" t="s">
        <v>299</v>
      </c>
      <c r="K7" s="207"/>
      <c r="L7" s="207"/>
      <c r="M7" s="208">
        <f>M6*M5</f>
        <v>1947539.3099999998</v>
      </c>
      <c r="N7" s="204"/>
      <c r="O7" s="196"/>
    </row>
    <row r="8" spans="1:18">
      <c r="A8" s="196"/>
      <c r="B8" s="196" t="s">
        <v>300</v>
      </c>
      <c r="C8" s="202">
        <f>-(SUM(IS!G11:G15))</f>
        <v>-233194</v>
      </c>
      <c r="D8" s="202">
        <f>D19*D5</f>
        <v>-246085.11300000004</v>
      </c>
      <c r="E8" s="202">
        <f t="shared" ref="E8:H8" si="3">E19*E5</f>
        <v>-258990.62346000006</v>
      </c>
      <c r="F8" s="202">
        <f t="shared" si="3"/>
        <v>-271757.71635390009</v>
      </c>
      <c r="G8" s="202">
        <f t="shared" si="3"/>
        <v>-284199.7831405921</v>
      </c>
      <c r="H8" s="202">
        <f t="shared" si="3"/>
        <v>-296090.83625247417</v>
      </c>
      <c r="I8" s="204"/>
      <c r="J8" s="196" t="s">
        <v>301</v>
      </c>
      <c r="K8" s="196"/>
      <c r="L8" s="196"/>
      <c r="M8" s="202">
        <f>DCF!D37</f>
        <v>-15073</v>
      </c>
      <c r="N8" s="204"/>
      <c r="O8" s="196"/>
    </row>
    <row r="9" spans="1:18">
      <c r="A9" s="196"/>
      <c r="B9" s="205" t="s">
        <v>218</v>
      </c>
      <c r="C9" s="206">
        <f>C7+C8</f>
        <v>36852</v>
      </c>
      <c r="D9" s="206">
        <f t="shared" ref="D9:H9" si="4">D7+D8</f>
        <v>65788.162650000042</v>
      </c>
      <c r="E9" s="206">
        <f t="shared" si="4"/>
        <v>87188.712511500082</v>
      </c>
      <c r="F9" s="206">
        <f t="shared" si="4"/>
        <v>112501.3465744651</v>
      </c>
      <c r="G9" s="206">
        <f t="shared" si="4"/>
        <v>142327.77670989325</v>
      </c>
      <c r="H9" s="206">
        <f t="shared" si="4"/>
        <v>177354.75518156466</v>
      </c>
      <c r="I9" s="196"/>
      <c r="J9" s="196" t="s">
        <v>302</v>
      </c>
      <c r="K9" s="196"/>
      <c r="L9" s="196"/>
      <c r="M9" s="202">
        <f>DCF!D40</f>
        <v>0</v>
      </c>
      <c r="N9" s="196"/>
      <c r="O9" s="196"/>
    </row>
    <row r="10" spans="1:18">
      <c r="A10" s="196"/>
      <c r="B10" s="196" t="s">
        <v>303</v>
      </c>
      <c r="C10" s="202">
        <f>IS!G18</f>
        <v>49021</v>
      </c>
      <c r="D10" s="202">
        <f>C10</f>
        <v>49021</v>
      </c>
      <c r="E10" s="202">
        <f t="shared" ref="E10:H10" si="5">D10</f>
        <v>49021</v>
      </c>
      <c r="F10" s="202">
        <f t="shared" si="5"/>
        <v>49021</v>
      </c>
      <c r="G10" s="202">
        <f t="shared" si="5"/>
        <v>49021</v>
      </c>
      <c r="H10" s="202">
        <f t="shared" si="5"/>
        <v>49021</v>
      </c>
      <c r="I10" s="204"/>
      <c r="J10" s="196" t="s">
        <v>304</v>
      </c>
      <c r="K10" s="196"/>
      <c r="L10" s="196"/>
      <c r="M10" s="202">
        <f>DCF!D38</f>
        <v>0</v>
      </c>
      <c r="N10" s="196"/>
      <c r="O10" s="196"/>
    </row>
    <row r="11" spans="1:18">
      <c r="A11" s="196"/>
      <c r="B11" s="205" t="s">
        <v>216</v>
      </c>
      <c r="C11" s="206">
        <f>C9+C10</f>
        <v>85873</v>
      </c>
      <c r="D11" s="206">
        <f t="shared" ref="D11:H11" si="6">D9+D10</f>
        <v>114809.16265000004</v>
      </c>
      <c r="E11" s="206">
        <f t="shared" si="6"/>
        <v>136209.71251150008</v>
      </c>
      <c r="F11" s="206">
        <f t="shared" si="6"/>
        <v>161522.3465744651</v>
      </c>
      <c r="G11" s="206">
        <f t="shared" si="6"/>
        <v>191348.77670989325</v>
      </c>
      <c r="H11" s="206">
        <f t="shared" si="6"/>
        <v>226375.75518156466</v>
      </c>
      <c r="I11" s="196"/>
      <c r="J11" s="196" t="s">
        <v>236</v>
      </c>
      <c r="K11" s="196"/>
      <c r="L11" s="196"/>
      <c r="M11" s="202">
        <f>DCF!D39</f>
        <v>0</v>
      </c>
      <c r="N11" s="196"/>
      <c r="O11" s="196"/>
      <c r="P11" s="327"/>
    </row>
    <row r="12" spans="1:18">
      <c r="A12" s="196"/>
      <c r="B12" s="196" t="s">
        <v>305</v>
      </c>
      <c r="C12" s="202">
        <f>IS!G21+IS!G22</f>
        <v>-233</v>
      </c>
      <c r="D12" s="202">
        <f>D34+D35</f>
        <v>-36066.660000000003</v>
      </c>
      <c r="E12" s="202">
        <f t="shared" ref="E12:H12" si="7">E34+E35</f>
        <v>-30914.28</v>
      </c>
      <c r="F12" s="202">
        <f t="shared" si="7"/>
        <v>-25761.899999999998</v>
      </c>
      <c r="G12" s="202">
        <f t="shared" si="7"/>
        <v>-20609.519999999997</v>
      </c>
      <c r="H12" s="202">
        <f t="shared" si="7"/>
        <v>-15457.139999999998</v>
      </c>
      <c r="I12" s="204"/>
      <c r="J12" s="205" t="s">
        <v>306</v>
      </c>
      <c r="K12" s="205"/>
      <c r="L12" s="205"/>
      <c r="M12" s="206">
        <f>SUM(M7:M11)</f>
        <v>1932466.3099999998</v>
      </c>
      <c r="N12" s="196"/>
      <c r="O12" s="196">
        <f>M12/H9</f>
        <v>10.896050168046875</v>
      </c>
    </row>
    <row r="13" spans="1:18">
      <c r="A13" s="196"/>
      <c r="B13" s="205" t="s">
        <v>307</v>
      </c>
      <c r="C13" s="206">
        <f>SUM(C12+C11)</f>
        <v>85640</v>
      </c>
      <c r="D13" s="206">
        <f t="shared" ref="D13:H13" si="8">SUM(D12+D11)</f>
        <v>78742.502650000039</v>
      </c>
      <c r="E13" s="206">
        <f t="shared" si="8"/>
        <v>105295.43251150008</v>
      </c>
      <c r="F13" s="206">
        <f t="shared" si="8"/>
        <v>135760.44657446511</v>
      </c>
      <c r="G13" s="206">
        <f t="shared" si="8"/>
        <v>170739.25670989326</v>
      </c>
      <c r="H13" s="206">
        <f t="shared" si="8"/>
        <v>210918.61518156467</v>
      </c>
      <c r="I13" s="204"/>
      <c r="J13" s="196" t="s">
        <v>308</v>
      </c>
      <c r="K13" s="196"/>
      <c r="L13" s="196"/>
      <c r="M13" s="203">
        <f>C11</f>
        <v>85873</v>
      </c>
      <c r="N13" s="204"/>
      <c r="O13" s="196"/>
    </row>
    <row r="14" spans="1:18">
      <c r="A14" s="203"/>
      <c r="B14" s="196" t="s">
        <v>396</v>
      </c>
      <c r="C14" s="203">
        <f>-C13*0.15</f>
        <v>-12846</v>
      </c>
      <c r="D14" s="203">
        <f>-D13*0.15</f>
        <v>-11811.375397500005</v>
      </c>
      <c r="E14" s="203">
        <f t="shared" ref="E14:H14" si="9">-E13*0.15</f>
        <v>-15794.314876725011</v>
      </c>
      <c r="F14" s="203">
        <f t="shared" si="9"/>
        <v>-20364.066986169764</v>
      </c>
      <c r="G14" s="203">
        <f t="shared" si="9"/>
        <v>-25610.888506483989</v>
      </c>
      <c r="H14" s="203">
        <f t="shared" si="9"/>
        <v>-31637.792277234701</v>
      </c>
      <c r="I14" s="204"/>
      <c r="J14" s="196" t="s">
        <v>309</v>
      </c>
      <c r="K14" s="196"/>
      <c r="L14" s="196"/>
      <c r="M14" s="209">
        <f>M12/M13</f>
        <v>22.50377080106669</v>
      </c>
      <c r="N14" s="204"/>
      <c r="O14" s="196"/>
    </row>
    <row r="15" spans="1:18">
      <c r="A15" s="196"/>
      <c r="B15" s="205" t="s">
        <v>147</v>
      </c>
      <c r="C15" s="206">
        <f>C13+C14</f>
        <v>72794</v>
      </c>
      <c r="D15" s="206">
        <f t="shared" ref="D15:H15" si="10">D13+D14</f>
        <v>66931.127252500039</v>
      </c>
      <c r="E15" s="206">
        <f t="shared" si="10"/>
        <v>89501.117634775073</v>
      </c>
      <c r="F15" s="206">
        <f t="shared" si="10"/>
        <v>115396.37958829534</v>
      </c>
      <c r="G15" s="206">
        <f t="shared" si="10"/>
        <v>145128.36820340928</v>
      </c>
      <c r="H15" s="206">
        <f t="shared" si="10"/>
        <v>179280.82290432998</v>
      </c>
      <c r="I15" s="204"/>
      <c r="J15" s="196"/>
      <c r="K15" s="196"/>
      <c r="L15" s="196"/>
      <c r="M15" s="196"/>
      <c r="N15" s="196"/>
      <c r="O15" s="196"/>
    </row>
    <row r="16" spans="1:18">
      <c r="A16" s="196"/>
      <c r="B16" s="196"/>
      <c r="C16" s="196"/>
      <c r="D16" s="196"/>
      <c r="E16" s="196"/>
      <c r="F16" s="196"/>
      <c r="G16" s="196"/>
      <c r="H16" s="196"/>
      <c r="I16" s="196"/>
      <c r="J16" s="196" t="s">
        <v>247</v>
      </c>
      <c r="K16" s="196"/>
      <c r="L16" s="196"/>
      <c r="M16" s="210">
        <v>0.15</v>
      </c>
      <c r="N16" s="196"/>
      <c r="O16" s="196"/>
      <c r="R16" s="327"/>
    </row>
    <row r="17" spans="1:15">
      <c r="A17" s="196"/>
      <c r="B17" s="196" t="s">
        <v>310</v>
      </c>
      <c r="C17" s="196"/>
      <c r="D17" s="211">
        <v>0.11</v>
      </c>
      <c r="E17" s="211">
        <f>D17</f>
        <v>0.11</v>
      </c>
      <c r="F17" s="211">
        <f t="shared" ref="F17:H17" si="11">E17</f>
        <v>0.11</v>
      </c>
      <c r="G17" s="211">
        <f t="shared" si="11"/>
        <v>0.11</v>
      </c>
      <c r="H17" s="211">
        <f t="shared" si="11"/>
        <v>0.11</v>
      </c>
      <c r="I17" s="196"/>
      <c r="J17" s="196"/>
      <c r="K17" s="196"/>
      <c r="L17" s="196"/>
      <c r="M17" s="196"/>
      <c r="N17" s="196"/>
      <c r="O17" s="196"/>
    </row>
    <row r="18" spans="1:15">
      <c r="A18" s="196"/>
      <c r="B18" s="196" t="s">
        <v>311</v>
      </c>
      <c r="C18" s="212">
        <f>C6/C5</f>
        <v>-0.53017911044999433</v>
      </c>
      <c r="D18" s="211">
        <f>C18+1.9%</f>
        <v>-0.51117911044999431</v>
      </c>
      <c r="E18" s="211">
        <f>D18</f>
        <v>-0.51117911044999431</v>
      </c>
      <c r="F18" s="211">
        <f t="shared" ref="F18:H18" si="12">E18</f>
        <v>-0.51117911044999431</v>
      </c>
      <c r="G18" s="211">
        <f t="shared" si="12"/>
        <v>-0.51117911044999431</v>
      </c>
      <c r="H18" s="211">
        <f t="shared" si="12"/>
        <v>-0.51117911044999431</v>
      </c>
      <c r="I18" s="196"/>
      <c r="J18" s="198" t="s">
        <v>312</v>
      </c>
      <c r="K18" s="198"/>
      <c r="L18" s="198"/>
      <c r="M18" s="198"/>
      <c r="N18" s="196"/>
      <c r="O18" s="196"/>
    </row>
    <row r="19" spans="1:15">
      <c r="A19" s="196"/>
      <c r="B19" s="196" t="s">
        <v>313</v>
      </c>
      <c r="C19" s="212">
        <f>C8/C5</f>
        <v>-0.40570648155397238</v>
      </c>
      <c r="D19" s="212">
        <f>C19+0.02</f>
        <v>-0.38570648155397236</v>
      </c>
      <c r="E19" s="212">
        <f t="shared" ref="E19:H19" si="13">D19+0.02</f>
        <v>-0.36570648155397234</v>
      </c>
      <c r="F19" s="212">
        <f t="shared" si="13"/>
        <v>-0.34570648155397232</v>
      </c>
      <c r="G19" s="212">
        <f t="shared" si="13"/>
        <v>-0.3257064815539723</v>
      </c>
      <c r="H19" s="212">
        <f t="shared" si="13"/>
        <v>-0.30570648155397229</v>
      </c>
      <c r="I19" s="204"/>
      <c r="J19" s="196"/>
      <c r="K19" s="196"/>
      <c r="L19" s="196"/>
      <c r="M19" s="213"/>
      <c r="N19" s="196"/>
      <c r="O19" s="196"/>
    </row>
    <row r="20" spans="1:15">
      <c r="A20" s="196"/>
      <c r="B20" s="196" t="s">
        <v>217</v>
      </c>
      <c r="C20" s="203"/>
      <c r="D20" s="203"/>
      <c r="E20" s="203"/>
      <c r="F20" s="203"/>
      <c r="G20" s="203"/>
      <c r="H20" s="203"/>
      <c r="I20" s="196"/>
      <c r="J20" s="196" t="s">
        <v>314</v>
      </c>
      <c r="K20" s="196"/>
      <c r="L20" s="196"/>
      <c r="M20" s="214">
        <v>4</v>
      </c>
      <c r="N20" s="214"/>
      <c r="O20" s="196"/>
    </row>
    <row r="21" spans="1:15">
      <c r="A21" s="196"/>
      <c r="B21" s="196" t="s">
        <v>216</v>
      </c>
      <c r="C21" s="196"/>
      <c r="D21" s="196"/>
      <c r="E21" s="196"/>
      <c r="F21" s="196"/>
      <c r="G21" s="196"/>
      <c r="H21" s="196"/>
      <c r="I21" s="196"/>
      <c r="J21" s="196" t="s">
        <v>315</v>
      </c>
      <c r="K21" s="196"/>
      <c r="L21" s="196"/>
      <c r="M21" s="214">
        <v>3</v>
      </c>
      <c r="N21" s="214"/>
      <c r="O21" s="196"/>
    </row>
    <row r="22" spans="1:15">
      <c r="A22" s="196"/>
      <c r="B22" s="196"/>
      <c r="C22" s="196"/>
      <c r="D22" s="196"/>
      <c r="E22" s="196"/>
      <c r="F22" s="196"/>
      <c r="G22" s="196"/>
      <c r="H22" s="196"/>
      <c r="I22" s="196"/>
      <c r="J22" s="196" t="s">
        <v>316</v>
      </c>
      <c r="K22" s="196"/>
      <c r="L22" s="196"/>
      <c r="M22" s="196"/>
      <c r="N22" s="196"/>
      <c r="O22" s="196"/>
    </row>
    <row r="23" spans="1:15">
      <c r="A23" s="196"/>
      <c r="B23" s="198" t="s">
        <v>317</v>
      </c>
      <c r="C23" s="196"/>
      <c r="D23" s="196"/>
      <c r="E23" s="196"/>
      <c r="F23" s="196"/>
      <c r="G23" s="196"/>
      <c r="H23" s="196"/>
      <c r="I23" s="196"/>
      <c r="J23" s="196" t="s">
        <v>314</v>
      </c>
      <c r="K23" s="196"/>
      <c r="L23" s="196"/>
      <c r="M23" s="203">
        <f>M20*M13</f>
        <v>343492</v>
      </c>
      <c r="N23" s="204"/>
      <c r="O23" s="196"/>
    </row>
    <row r="24" spans="1:15">
      <c r="A24" s="196"/>
      <c r="B24" s="196" t="s">
        <v>147</v>
      </c>
      <c r="C24" s="203">
        <f>C15</f>
        <v>72794</v>
      </c>
      <c r="D24" s="203">
        <f t="shared" ref="D24:H24" si="14">D15</f>
        <v>66931.127252500039</v>
      </c>
      <c r="E24" s="203">
        <f t="shared" si="14"/>
        <v>89501.117634775073</v>
      </c>
      <c r="F24" s="203">
        <f t="shared" si="14"/>
        <v>115396.37958829534</v>
      </c>
      <c r="G24" s="203">
        <f t="shared" si="14"/>
        <v>145128.36820340928</v>
      </c>
      <c r="H24" s="203">
        <f t="shared" si="14"/>
        <v>179280.82290432998</v>
      </c>
      <c r="I24" s="204"/>
      <c r="J24" s="196" t="s">
        <v>315</v>
      </c>
      <c r="K24" s="196"/>
      <c r="L24" s="196"/>
      <c r="M24" s="203">
        <f>M21*M13</f>
        <v>257619</v>
      </c>
      <c r="N24" s="204"/>
      <c r="O24" s="196"/>
    </row>
    <row r="25" spans="1:15">
      <c r="A25" s="196"/>
      <c r="B25" s="196" t="s">
        <v>318</v>
      </c>
      <c r="C25" s="203">
        <f>C10</f>
        <v>49021</v>
      </c>
      <c r="D25" s="203">
        <f t="shared" ref="D25:H25" si="15">D10</f>
        <v>49021</v>
      </c>
      <c r="E25" s="203">
        <f t="shared" si="15"/>
        <v>49021</v>
      </c>
      <c r="F25" s="203">
        <f t="shared" si="15"/>
        <v>49021</v>
      </c>
      <c r="G25" s="203">
        <f t="shared" si="15"/>
        <v>49021</v>
      </c>
      <c r="H25" s="203">
        <f t="shared" si="15"/>
        <v>49021</v>
      </c>
      <c r="I25" s="204"/>
      <c r="J25" s="205" t="s">
        <v>319</v>
      </c>
      <c r="K25" s="205"/>
      <c r="L25" s="205"/>
      <c r="M25" s="206">
        <f>SUM(M23:M24)</f>
        <v>601111</v>
      </c>
      <c r="N25" s="204"/>
      <c r="O25" s="196"/>
    </row>
    <row r="26" spans="1:15">
      <c r="A26" s="196"/>
      <c r="B26" s="196" t="s">
        <v>320</v>
      </c>
      <c r="C26" s="202">
        <f>DCF!C18</f>
        <v>718</v>
      </c>
      <c r="D26" s="202">
        <f>DCF!D18</f>
        <v>8708.6868200213939</v>
      </c>
      <c r="E26" s="202">
        <f>DCF!E18</f>
        <v>9686.0155502024136</v>
      </c>
      <c r="F26" s="202">
        <f>DCF!F18</f>
        <v>10751.477260724627</v>
      </c>
      <c r="G26" s="202">
        <f>DCF!G18</f>
        <v>11934.139759404323</v>
      </c>
      <c r="H26" s="202">
        <f>DCF!H18</f>
        <v>13246.895132938807</v>
      </c>
      <c r="I26" s="204"/>
      <c r="J26" s="196"/>
      <c r="K26" s="196"/>
      <c r="L26" s="196"/>
      <c r="M26" s="213"/>
      <c r="N26" s="196"/>
      <c r="O26" s="196"/>
    </row>
    <row r="27" spans="1:15">
      <c r="A27" s="196"/>
      <c r="B27" s="196" t="s">
        <v>88</v>
      </c>
      <c r="C27" s="203">
        <f>-C25</f>
        <v>-49021</v>
      </c>
      <c r="D27" s="203">
        <f t="shared" ref="D27:H27" si="16">-D25</f>
        <v>-49021</v>
      </c>
      <c r="E27" s="203">
        <f t="shared" si="16"/>
        <v>-49021</v>
      </c>
      <c r="F27" s="203">
        <f t="shared" si="16"/>
        <v>-49021</v>
      </c>
      <c r="G27" s="203">
        <f t="shared" si="16"/>
        <v>-49021</v>
      </c>
      <c r="H27" s="203">
        <f t="shared" si="16"/>
        <v>-49021</v>
      </c>
      <c r="I27" s="204"/>
      <c r="J27" s="196" t="str">
        <f>J20</f>
        <v>Term A</v>
      </c>
      <c r="K27" s="196"/>
      <c r="L27" s="196"/>
      <c r="M27" s="211">
        <v>0.05</v>
      </c>
      <c r="N27" s="196"/>
      <c r="O27" s="196"/>
    </row>
    <row r="28" spans="1:15">
      <c r="A28" s="196"/>
      <c r="B28" s="205" t="s">
        <v>321</v>
      </c>
      <c r="C28" s="206">
        <f>SUM(C24:C27)</f>
        <v>73512</v>
      </c>
      <c r="D28" s="206">
        <f t="shared" ref="D28:H28" si="17">SUM(D24:D27)</f>
        <v>75639.814072521433</v>
      </c>
      <c r="E28" s="206">
        <f t="shared" si="17"/>
        <v>99187.133184977458</v>
      </c>
      <c r="F28" s="206">
        <f t="shared" si="17"/>
        <v>126147.85684902</v>
      </c>
      <c r="G28" s="206">
        <f t="shared" si="17"/>
        <v>157062.5079628136</v>
      </c>
      <c r="H28" s="206">
        <f t="shared" si="17"/>
        <v>192527.71803726879</v>
      </c>
      <c r="I28" s="196"/>
      <c r="J28" s="196" t="str">
        <f>J21</f>
        <v>Term B</v>
      </c>
      <c r="K28" s="196"/>
      <c r="L28" s="196"/>
      <c r="M28" s="211">
        <v>0.06</v>
      </c>
      <c r="N28" s="196"/>
      <c r="O28" s="196"/>
    </row>
    <row r="29" spans="1:15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</row>
    <row r="30" spans="1:15">
      <c r="A30" s="196"/>
      <c r="B30" s="198" t="s">
        <v>322</v>
      </c>
      <c r="C30" s="196"/>
      <c r="D30" s="196"/>
      <c r="E30" s="196"/>
      <c r="F30" s="196"/>
      <c r="G30" s="196"/>
      <c r="H30" s="196"/>
      <c r="I30" s="196"/>
      <c r="J30" s="198" t="s">
        <v>323</v>
      </c>
      <c r="K30" s="198"/>
      <c r="L30" s="198"/>
      <c r="M30" s="198"/>
      <c r="N30" s="196"/>
      <c r="O30" s="196"/>
    </row>
    <row r="31" spans="1:15">
      <c r="A31" s="196"/>
      <c r="B31" s="196" t="s">
        <v>324</v>
      </c>
      <c r="C31" s="203">
        <f>M23</f>
        <v>343492</v>
      </c>
      <c r="D31" s="203">
        <f>C31+D37</f>
        <v>294421.71428571426</v>
      </c>
      <c r="E31" s="203">
        <f>D31+E37</f>
        <v>245351.42857142855</v>
      </c>
      <c r="F31" s="203">
        <f t="shared" ref="F31:H31" si="18">E31+F37</f>
        <v>196281.14285714284</v>
      </c>
      <c r="G31" s="203">
        <f t="shared" si="18"/>
        <v>147210.85714285713</v>
      </c>
      <c r="H31" s="203">
        <f t="shared" si="18"/>
        <v>98140.57142857142</v>
      </c>
      <c r="I31" s="204"/>
      <c r="J31" s="196" t="s">
        <v>325</v>
      </c>
      <c r="K31" s="196"/>
      <c r="L31" s="196"/>
      <c r="M31" s="215">
        <v>0.3</v>
      </c>
      <c r="N31" s="196"/>
      <c r="O31" s="196"/>
    </row>
    <row r="32" spans="1:15">
      <c r="A32" s="196"/>
      <c r="B32" s="196" t="s">
        <v>326</v>
      </c>
      <c r="C32" s="203">
        <f>M24</f>
        <v>257619</v>
      </c>
      <c r="D32" s="203">
        <f>C32+D38</f>
        <v>220816.28571428571</v>
      </c>
      <c r="E32" s="203">
        <f t="shared" ref="E32:H32" si="19">D32+E38</f>
        <v>184013.57142857142</v>
      </c>
      <c r="F32" s="203">
        <f t="shared" si="19"/>
        <v>147210.85714285713</v>
      </c>
      <c r="G32" s="203">
        <f t="shared" si="19"/>
        <v>110408.14285714284</v>
      </c>
      <c r="H32" s="203">
        <f t="shared" si="19"/>
        <v>73605.428571428551</v>
      </c>
      <c r="I32" s="204"/>
      <c r="J32" s="196" t="s">
        <v>327</v>
      </c>
      <c r="K32" s="196"/>
      <c r="L32" s="196"/>
      <c r="M32" s="203">
        <f>(1+M31)*M7</f>
        <v>2531801.1029999997</v>
      </c>
      <c r="N32" s="204"/>
      <c r="O32" s="196"/>
    </row>
    <row r="33" spans="1:15">
      <c r="A33" s="196"/>
      <c r="B33" s="196"/>
      <c r="C33" s="196"/>
      <c r="D33" s="260"/>
      <c r="E33" s="196"/>
      <c r="F33" s="196"/>
      <c r="G33" s="196"/>
      <c r="H33" s="196"/>
      <c r="I33" s="196"/>
      <c r="J33" s="196" t="s">
        <v>328</v>
      </c>
      <c r="K33" s="196"/>
      <c r="L33" s="196"/>
      <c r="M33" s="203">
        <f>M32+SUM(M8:M11)</f>
        <v>2516728.1029999997</v>
      </c>
      <c r="N33" s="196"/>
      <c r="O33" s="196"/>
    </row>
    <row r="34" spans="1:15">
      <c r="A34" s="196"/>
      <c r="B34" s="196" t="s">
        <v>329</v>
      </c>
      <c r="C34" s="196"/>
      <c r="D34" s="203">
        <f>-$M$28*C31</f>
        <v>-20609.52</v>
      </c>
      <c r="E34" s="203">
        <f t="shared" ref="E34:H34" si="20">-$M$28*D31</f>
        <v>-17665.302857142855</v>
      </c>
      <c r="F34" s="203">
        <f t="shared" si="20"/>
        <v>-14721.085714285713</v>
      </c>
      <c r="G34" s="203">
        <f t="shared" si="20"/>
        <v>-11776.868571428569</v>
      </c>
      <c r="H34" s="203">
        <f t="shared" si="20"/>
        <v>-8832.6514285714275</v>
      </c>
      <c r="I34" s="204"/>
      <c r="J34" s="196" t="s">
        <v>330</v>
      </c>
      <c r="K34" s="196"/>
      <c r="L34" s="196"/>
      <c r="M34" s="203">
        <f>M33-M25</f>
        <v>1915617.1029999997</v>
      </c>
      <c r="N34" s="204"/>
      <c r="O34" s="196"/>
    </row>
    <row r="35" spans="1:15">
      <c r="A35" s="196"/>
      <c r="B35" s="196" t="s">
        <v>331</v>
      </c>
      <c r="C35" s="196"/>
      <c r="D35" s="203">
        <f>-$M$28*C32</f>
        <v>-15457.14</v>
      </c>
      <c r="E35" s="203">
        <f t="shared" ref="E35:H35" si="21">-$M$28*D32</f>
        <v>-13248.977142857142</v>
      </c>
      <c r="F35" s="203">
        <f t="shared" si="21"/>
        <v>-11040.814285714285</v>
      </c>
      <c r="G35" s="203">
        <f t="shared" si="21"/>
        <v>-8832.6514285714275</v>
      </c>
      <c r="H35" s="203">
        <f t="shared" si="21"/>
        <v>-6624.4885714285701</v>
      </c>
      <c r="I35" s="204"/>
      <c r="J35" s="196"/>
      <c r="K35" s="196"/>
      <c r="L35" s="196"/>
      <c r="M35" s="196"/>
      <c r="N35" s="196"/>
      <c r="O35" s="196"/>
    </row>
    <row r="36" spans="1:15">
      <c r="A36" s="196"/>
      <c r="B36" s="196"/>
      <c r="C36" s="196"/>
      <c r="D36" s="196"/>
      <c r="E36" s="196"/>
      <c r="F36" s="196"/>
      <c r="G36" s="196"/>
      <c r="H36" s="196"/>
      <c r="I36" s="196"/>
      <c r="J36" s="198" t="s">
        <v>332</v>
      </c>
      <c r="K36" s="198"/>
      <c r="L36" s="198"/>
      <c r="M36" s="198"/>
      <c r="N36" s="196"/>
      <c r="O36" s="196"/>
    </row>
    <row r="37" spans="1:15">
      <c r="A37" s="196"/>
      <c r="B37" s="196" t="s">
        <v>333</v>
      </c>
      <c r="C37" s="196"/>
      <c r="D37" s="203">
        <f>-$M23/7</f>
        <v>-49070.285714285717</v>
      </c>
      <c r="E37" s="203">
        <f t="shared" ref="E37:H37" si="22">-$M23/7</f>
        <v>-49070.285714285717</v>
      </c>
      <c r="F37" s="203">
        <f t="shared" si="22"/>
        <v>-49070.285714285717</v>
      </c>
      <c r="G37" s="203">
        <f t="shared" si="22"/>
        <v>-49070.285714285717</v>
      </c>
      <c r="H37" s="203">
        <f t="shared" si="22"/>
        <v>-49070.285714285717</v>
      </c>
      <c r="I37" s="203"/>
      <c r="J37" s="196" t="s">
        <v>334</v>
      </c>
      <c r="K37" s="196"/>
      <c r="L37" s="196"/>
      <c r="M37" s="196"/>
      <c r="N37" s="196"/>
      <c r="O37" s="196"/>
    </row>
    <row r="38" spans="1:15">
      <c r="A38" s="196"/>
      <c r="B38" s="196" t="s">
        <v>335</v>
      </c>
      <c r="C38" s="196"/>
      <c r="D38" s="203">
        <f>-$M24/7</f>
        <v>-36802.714285714283</v>
      </c>
      <c r="E38" s="203">
        <f t="shared" ref="E38:H38" si="23">-$M24/7</f>
        <v>-36802.714285714283</v>
      </c>
      <c r="F38" s="203">
        <f t="shared" si="23"/>
        <v>-36802.714285714283</v>
      </c>
      <c r="G38" s="203">
        <f t="shared" si="23"/>
        <v>-36802.714285714283</v>
      </c>
      <c r="H38" s="203">
        <f t="shared" si="23"/>
        <v>-36802.714285714283</v>
      </c>
      <c r="I38" s="204"/>
      <c r="J38" s="196" t="s">
        <v>336</v>
      </c>
      <c r="K38" s="196"/>
      <c r="L38" s="196"/>
      <c r="M38" s="196"/>
      <c r="N38" s="196"/>
      <c r="O38" s="196"/>
    </row>
    <row r="39" spans="1:15">
      <c r="A39" s="196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</row>
    <row r="40" spans="1:15">
      <c r="A40" s="196"/>
      <c r="B40" s="196" t="s">
        <v>337</v>
      </c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</row>
    <row r="41" spans="1:15">
      <c r="A41" s="196"/>
      <c r="B41" s="196" t="s">
        <v>314</v>
      </c>
      <c r="C41" s="203">
        <f>H31</f>
        <v>98140.57142857142</v>
      </c>
      <c r="D41" s="204"/>
      <c r="E41" s="196"/>
      <c r="F41" s="196"/>
      <c r="G41" s="196"/>
      <c r="H41" s="203"/>
      <c r="I41" s="196"/>
      <c r="J41" s="196"/>
      <c r="K41" s="196"/>
      <c r="L41" s="196"/>
      <c r="M41" s="196"/>
      <c r="N41" s="196"/>
      <c r="O41" s="196"/>
    </row>
    <row r="42" spans="1:15">
      <c r="A42" s="196"/>
      <c r="B42" s="196" t="s">
        <v>315</v>
      </c>
      <c r="C42" s="203">
        <f>H32</f>
        <v>73605.428571428551</v>
      </c>
      <c r="D42" s="204"/>
      <c r="E42" s="196"/>
      <c r="F42" s="196"/>
      <c r="G42" s="196"/>
      <c r="H42" s="203"/>
      <c r="I42" s="196"/>
      <c r="J42" s="196"/>
      <c r="K42" s="196"/>
      <c r="L42" s="196"/>
      <c r="M42" s="196"/>
      <c r="N42" s="196"/>
      <c r="O42" s="196"/>
    </row>
    <row r="43" spans="1:15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</row>
    <row r="44" spans="1:15">
      <c r="A44" s="196"/>
      <c r="B44" s="196" t="s">
        <v>338</v>
      </c>
      <c r="C44" s="203">
        <f>M14*H11</f>
        <v>5094308.1095243162</v>
      </c>
      <c r="D44" s="204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</row>
    <row r="45" spans="1:15">
      <c r="A45" s="196"/>
      <c r="B45" s="196" t="s">
        <v>339</v>
      </c>
      <c r="C45" s="203">
        <f>C41+C42</f>
        <v>171745.99999999997</v>
      </c>
      <c r="D45" s="204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</row>
    <row r="46" spans="1:15">
      <c r="A46" s="196"/>
      <c r="B46" s="196" t="s">
        <v>340</v>
      </c>
      <c r="C46" s="203">
        <f>C44-C45</f>
        <v>4922562.1095243162</v>
      </c>
      <c r="D46" s="204"/>
      <c r="E46" s="204"/>
      <c r="F46" s="204"/>
      <c r="G46" s="204"/>
      <c r="H46" s="196"/>
      <c r="I46" s="196"/>
      <c r="J46" s="196"/>
      <c r="K46" s="196"/>
      <c r="L46" s="196"/>
      <c r="M46" s="196"/>
      <c r="N46" s="196"/>
      <c r="O46" s="196"/>
    </row>
    <row r="47" spans="1:15">
      <c r="A47" s="196"/>
      <c r="B47" s="205" t="s">
        <v>341</v>
      </c>
      <c r="C47" s="206">
        <f>-M34</f>
        <v>-1915617.1029999997</v>
      </c>
      <c r="D47" s="196">
        <v>0</v>
      </c>
      <c r="E47" s="196">
        <v>0</v>
      </c>
      <c r="F47" s="196">
        <v>0</v>
      </c>
      <c r="G47" s="196">
        <v>0</v>
      </c>
      <c r="H47" s="203">
        <f>C46</f>
        <v>4922562.1095243162</v>
      </c>
      <c r="I47" s="196"/>
      <c r="J47" s="196"/>
      <c r="K47" s="196"/>
      <c r="L47" s="196"/>
      <c r="M47" s="196"/>
      <c r="N47" s="196"/>
      <c r="O47" s="196"/>
    </row>
    <row r="48" spans="1:15">
      <c r="A48" s="196"/>
      <c r="B48" s="196"/>
      <c r="C48" s="204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</row>
    <row r="49" spans="1:15">
      <c r="A49" s="196"/>
      <c r="B49" s="196" t="s">
        <v>342</v>
      </c>
      <c r="C49" s="216">
        <f>IRR(C47:H47)</f>
        <v>0.20774848039681393</v>
      </c>
      <c r="D49" s="204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</row>
    <row r="51" spans="1:15">
      <c r="B51" s="196" t="s">
        <v>398</v>
      </c>
      <c r="C51" s="209">
        <f>C44/H11</f>
        <v>22.50377080106669</v>
      </c>
      <c r="H51">
        <f>H47/C47</f>
        <v>-2.569700438472394</v>
      </c>
    </row>
    <row r="55" spans="1:15">
      <c r="D55" s="196"/>
      <c r="E55" s="196"/>
      <c r="F55" s="358" t="s">
        <v>399</v>
      </c>
      <c r="G55" s="358"/>
      <c r="H55" s="358"/>
      <c r="I55" s="358"/>
      <c r="J55" s="358"/>
    </row>
    <row r="56" spans="1:15">
      <c r="D56" s="196"/>
      <c r="E56" s="212">
        <f>C49</f>
        <v>0.20774848039681393</v>
      </c>
      <c r="F56" s="261">
        <v>9.0000000000000011E-2</v>
      </c>
      <c r="G56" s="261">
        <v>0.1</v>
      </c>
      <c r="H56" s="261">
        <v>0.11</v>
      </c>
      <c r="I56" s="261">
        <v>0.12</v>
      </c>
      <c r="J56" s="261">
        <v>0.13</v>
      </c>
    </row>
    <row r="57" spans="1:15">
      <c r="D57" s="359" t="s">
        <v>400</v>
      </c>
      <c r="E57" s="349">
        <v>20.5</v>
      </c>
      <c r="F57" s="212">
        <f t="dataTable" ref="F57:J61" dt2D="1" dtr="1" r1="D17" r2="M14"/>
        <v>0.1673758383938746</v>
      </c>
      <c r="G57" s="212">
        <v>0.17596818492688215</v>
      </c>
      <c r="H57" s="212">
        <v>0.18462118127343952</v>
      </c>
      <c r="I57" s="212">
        <v>0.19333251763924841</v>
      </c>
      <c r="J57" s="212">
        <v>0.20209996077465098</v>
      </c>
    </row>
    <row r="58" spans="1:15">
      <c r="D58" s="359"/>
      <c r="E58" s="349">
        <v>21.5</v>
      </c>
      <c r="F58" s="212">
        <v>0.17900196876739916</v>
      </c>
      <c r="G58" s="212">
        <v>0.18766346973623649</v>
      </c>
      <c r="H58" s="212">
        <v>0.19638658219433358</v>
      </c>
      <c r="I58" s="212">
        <v>0.20516896683182595</v>
      </c>
      <c r="J58" s="212">
        <v>0.21400836130419543</v>
      </c>
    </row>
    <row r="59" spans="1:15">
      <c r="D59" s="359"/>
      <c r="E59" s="349">
        <v>22.5</v>
      </c>
      <c r="F59" s="212">
        <v>0.19018682092845962</v>
      </c>
      <c r="G59" s="212">
        <v>0.19891544461512911</v>
      </c>
      <c r="H59" s="262">
        <v>0.20770659053278662</v>
      </c>
      <c r="I59" s="212">
        <v>0.21655789134262982</v>
      </c>
      <c r="J59" s="212">
        <v>0.22546705708029524</v>
      </c>
    </row>
    <row r="60" spans="1:15">
      <c r="D60" s="359"/>
      <c r="E60" s="349">
        <v>23.5</v>
      </c>
      <c r="F60" s="212">
        <v>0.20096638060524974</v>
      </c>
      <c r="G60" s="212">
        <v>0.20976021484108442</v>
      </c>
      <c r="H60" s="212">
        <v>0.21861743650425591</v>
      </c>
      <c r="I60" s="212">
        <v>0.22753565155380406</v>
      </c>
      <c r="J60" s="212">
        <v>0.23651254372196018</v>
      </c>
    </row>
    <row r="61" spans="1:15">
      <c r="D61" s="359"/>
      <c r="E61" s="349">
        <v>24.5</v>
      </c>
      <c r="F61" s="212">
        <v>0.21137226563135281</v>
      </c>
      <c r="G61" s="212">
        <v>0.22022950863884172</v>
      </c>
      <c r="H61" s="212">
        <v>0.22915096330344253</v>
      </c>
      <c r="I61" s="212">
        <v>0.23813421007401092</v>
      </c>
      <c r="J61" s="212">
        <v>0.24717690756204314</v>
      </c>
    </row>
  </sheetData>
  <mergeCells count="2">
    <mergeCell ref="F55:J55"/>
    <mergeCell ref="D57:D6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B2CF-F7F4-465A-A944-F664DF729B02}">
  <dimension ref="A1:J45"/>
  <sheetViews>
    <sheetView showGridLines="0" topLeftCell="A22" zoomScale="73" workbookViewId="0">
      <selection activeCell="C23" sqref="C23"/>
    </sheetView>
  </sheetViews>
  <sheetFormatPr defaultRowHeight="15"/>
  <cols>
    <col min="1" max="1" width="48.85546875" bestFit="1" customWidth="1"/>
    <col min="2" max="2" width="8.42578125" bestFit="1" customWidth="1"/>
    <col min="3" max="3" width="14.140625" bestFit="1" customWidth="1"/>
    <col min="4" max="4" width="6.7109375" bestFit="1" customWidth="1"/>
    <col min="6" max="6" width="29.42578125" bestFit="1" customWidth="1"/>
    <col min="7" max="7" width="10.42578125" bestFit="1" customWidth="1"/>
    <col min="10" max="10" width="10.85546875" bestFit="1" customWidth="1"/>
  </cols>
  <sheetData>
    <row r="1" spans="1:7" ht="21.75" thickBot="1">
      <c r="A1" s="217" t="s">
        <v>401</v>
      </c>
      <c r="B1" s="218"/>
      <c r="C1" s="218"/>
      <c r="D1" s="218"/>
      <c r="E1" s="218"/>
      <c r="F1" s="218"/>
      <c r="G1" s="219"/>
    </row>
    <row r="3" spans="1:7">
      <c r="B3" s="220" t="s">
        <v>343</v>
      </c>
      <c r="C3" s="221" t="s">
        <v>344</v>
      </c>
      <c r="D3" s="222" t="s">
        <v>345</v>
      </c>
      <c r="F3" s="360" t="s">
        <v>346</v>
      </c>
      <c r="G3" s="361"/>
    </row>
    <row r="4" spans="1:7">
      <c r="B4" s="223" t="s">
        <v>402</v>
      </c>
      <c r="C4" s="224" t="s">
        <v>403</v>
      </c>
      <c r="D4" s="225" t="s">
        <v>347</v>
      </c>
      <c r="F4" s="362"/>
      <c r="G4" s="363"/>
    </row>
    <row r="6" spans="1:7">
      <c r="A6" s="137" t="s">
        <v>343</v>
      </c>
      <c r="F6" s="137" t="s">
        <v>348</v>
      </c>
      <c r="G6" s="226">
        <f ca="1">TODAY()</f>
        <v>45836</v>
      </c>
    </row>
    <row r="7" spans="1:7">
      <c r="A7" s="16" t="s">
        <v>241</v>
      </c>
      <c r="B7" s="267">
        <f>DCF!D44</f>
        <v>187.57</v>
      </c>
      <c r="C7" s="33"/>
    </row>
    <row r="8" spans="1:7">
      <c r="A8" s="16" t="s">
        <v>406</v>
      </c>
      <c r="B8" s="266">
        <f>DCF!D42</f>
        <v>10383</v>
      </c>
      <c r="C8" s="33"/>
      <c r="F8" s="137" t="s">
        <v>349</v>
      </c>
    </row>
    <row r="9" spans="1:7">
      <c r="A9" s="227" t="s">
        <v>350</v>
      </c>
      <c r="B9" s="267">
        <f ca="1">SH!H77</f>
        <v>3.3441916774997296</v>
      </c>
      <c r="C9" s="33"/>
      <c r="F9" t="s">
        <v>351</v>
      </c>
      <c r="G9" s="228">
        <v>1</v>
      </c>
    </row>
    <row r="10" spans="1:7">
      <c r="A10" s="16" t="s">
        <v>352</v>
      </c>
      <c r="B10" s="229">
        <f>C20/(B7*G9)</f>
        <v>275.79039493479769</v>
      </c>
      <c r="F10" t="s">
        <v>353</v>
      </c>
      <c r="G10" s="230">
        <f>1-G9</f>
        <v>0</v>
      </c>
    </row>
    <row r="11" spans="1:7">
      <c r="A11" s="16" t="s">
        <v>354</v>
      </c>
      <c r="B11" s="231">
        <f ca="1">B7/B9</f>
        <v>56.088292205857023</v>
      </c>
      <c r="C11" s="67"/>
      <c r="G11" s="230"/>
    </row>
    <row r="12" spans="1:7">
      <c r="B12" s="232"/>
      <c r="G12" s="230"/>
    </row>
    <row r="13" spans="1:7">
      <c r="A13" s="137" t="s">
        <v>344</v>
      </c>
      <c r="B13" s="233"/>
      <c r="C13" s="232"/>
      <c r="F13" s="137" t="s">
        <v>355</v>
      </c>
      <c r="G13" s="234">
        <v>0.15</v>
      </c>
    </row>
    <row r="14" spans="1:7">
      <c r="A14" s="322" t="s">
        <v>485</v>
      </c>
      <c r="B14" s="233"/>
      <c r="C14" s="323">
        <v>1.10027E-3</v>
      </c>
      <c r="F14" s="137"/>
      <c r="G14" s="234"/>
    </row>
    <row r="15" spans="1:7">
      <c r="A15" s="16" t="s">
        <v>356</v>
      </c>
      <c r="C15" s="324">
        <f>361.24</f>
        <v>361.24</v>
      </c>
      <c r="G15" s="234"/>
    </row>
    <row r="16" spans="1:7">
      <c r="A16" s="16" t="s">
        <v>357</v>
      </c>
      <c r="C16" s="271">
        <f>C15*(1+C17)</f>
        <v>433.488</v>
      </c>
      <c r="F16" s="137" t="s">
        <v>358</v>
      </c>
    </row>
    <row r="17" spans="1:10">
      <c r="A17" s="135" t="s">
        <v>359</v>
      </c>
      <c r="B17" s="4"/>
      <c r="C17" s="235">
        <v>0.2</v>
      </c>
      <c r="F17" t="s">
        <v>360</v>
      </c>
      <c r="G17" s="236">
        <f>C20</f>
        <v>51730.004377919999</v>
      </c>
    </row>
    <row r="18" spans="1:10">
      <c r="A18" s="16" t="s">
        <v>405</v>
      </c>
      <c r="C18" s="278">
        <v>119.33434</v>
      </c>
      <c r="F18" t="s">
        <v>361</v>
      </c>
      <c r="G18" s="238">
        <f ca="1">0.02*G26</f>
        <v>10.557143750595861</v>
      </c>
      <c r="J18" s="276"/>
    </row>
    <row r="19" spans="1:10">
      <c r="A19" s="16"/>
      <c r="C19" s="237"/>
      <c r="G19" s="238"/>
      <c r="J19" s="33"/>
    </row>
    <row r="20" spans="1:10" ht="17.25">
      <c r="A20" s="16" t="s">
        <v>362</v>
      </c>
      <c r="C20" s="239">
        <f>C18*C16</f>
        <v>51730.004377919999</v>
      </c>
      <c r="F20" t="s">
        <v>363</v>
      </c>
      <c r="G20" s="240">
        <f>0.01*G17</f>
        <v>517.3000437792</v>
      </c>
    </row>
    <row r="21" spans="1:10">
      <c r="A21" s="227" t="s">
        <v>364</v>
      </c>
      <c r="C21" s="269">
        <v>-1.81</v>
      </c>
      <c r="F21" s="16" t="s">
        <v>365</v>
      </c>
      <c r="G21" s="236">
        <f ca="1">SUM(G17:G20)</f>
        <v>52257.861565449792</v>
      </c>
    </row>
    <row r="22" spans="1:10">
      <c r="A22" s="16" t="s">
        <v>366</v>
      </c>
      <c r="C22" s="231">
        <f>C16/C21</f>
        <v>-239.49613259668507</v>
      </c>
      <c r="E22" s="325"/>
      <c r="F22" s="16"/>
      <c r="G22" s="236"/>
    </row>
    <row r="23" spans="1:10">
      <c r="C23" s="276"/>
      <c r="F23" s="16"/>
      <c r="G23" s="236"/>
    </row>
    <row r="24" spans="1:10">
      <c r="A24" s="137" t="s">
        <v>367</v>
      </c>
      <c r="F24" s="137" t="s">
        <v>368</v>
      </c>
    </row>
    <row r="25" spans="1:10">
      <c r="A25" s="135" t="s">
        <v>369</v>
      </c>
      <c r="B25" s="270">
        <f ca="1">B9*B8</f>
        <v>34722.742187479693</v>
      </c>
      <c r="C25" s="270">
        <f>C21*C18</f>
        <v>-215.99515540000002</v>
      </c>
      <c r="D25" s="241"/>
      <c r="F25" t="s">
        <v>370</v>
      </c>
      <c r="G25" s="236">
        <f>G9*C20</f>
        <v>51730.004377919999</v>
      </c>
    </row>
    <row r="26" spans="1:10" ht="17.25">
      <c r="A26" s="135" t="s">
        <v>371</v>
      </c>
      <c r="B26" s="270">
        <f ca="1">B25/(1-$G$13)</f>
        <v>40850.2849264467</v>
      </c>
      <c r="C26" s="270">
        <f>C25/(1-$G$13)</f>
        <v>-254.11194752941179</v>
      </c>
      <c r="D26" s="242"/>
      <c r="F26" t="s">
        <v>372</v>
      </c>
      <c r="G26" s="243">
        <f ca="1">G21-G25</f>
        <v>527.85718752979301</v>
      </c>
    </row>
    <row r="27" spans="1:10">
      <c r="A27" s="135"/>
      <c r="B27" s="244"/>
      <c r="C27" s="244"/>
      <c r="D27" s="242"/>
      <c r="F27" s="16" t="s">
        <v>365</v>
      </c>
      <c r="G27" s="236">
        <f ca="1">SUM(G25:G26)</f>
        <v>52257.861565449792</v>
      </c>
    </row>
    <row r="28" spans="1:10">
      <c r="A28" s="16" t="s">
        <v>373</v>
      </c>
      <c r="B28" s="244"/>
      <c r="C28" s="244"/>
      <c r="D28" s="239">
        <f ca="1">C26+B26</f>
        <v>40596.17297891729</v>
      </c>
      <c r="G28" s="245"/>
    </row>
    <row r="29" spans="1:10">
      <c r="A29" s="16" t="s">
        <v>374</v>
      </c>
      <c r="D29" s="239">
        <f ca="1">-G31*G26</f>
        <v>-26.392859376489653</v>
      </c>
      <c r="E29" s="33"/>
      <c r="F29" s="137" t="s">
        <v>375</v>
      </c>
      <c r="G29" s="245"/>
    </row>
    <row r="30" spans="1:10">
      <c r="A30" s="16" t="s">
        <v>376</v>
      </c>
      <c r="D30" s="239">
        <f>-G40</f>
        <v>-5.4596</v>
      </c>
      <c r="E30" s="33"/>
      <c r="F30" t="s">
        <v>377</v>
      </c>
      <c r="G30" s="246">
        <v>5</v>
      </c>
    </row>
    <row r="31" spans="1:10">
      <c r="A31" s="16" t="s">
        <v>378</v>
      </c>
      <c r="D31" s="239">
        <f>-G20</f>
        <v>-517.3000437792</v>
      </c>
      <c r="E31" s="33"/>
      <c r="F31" t="s">
        <v>379</v>
      </c>
      <c r="G31" s="228">
        <v>0.05</v>
      </c>
      <c r="J31" s="272"/>
    </row>
    <row r="32" spans="1:10">
      <c r="A32" s="16" t="s">
        <v>380</v>
      </c>
      <c r="D32" s="239">
        <f ca="1">-G32</f>
        <v>-2.1114287501191722</v>
      </c>
      <c r="E32" s="33"/>
      <c r="F32" t="s">
        <v>381</v>
      </c>
      <c r="G32" s="247">
        <f ca="1">G18/G30</f>
        <v>2.1114287501191722</v>
      </c>
    </row>
    <row r="33" spans="1:9">
      <c r="A33" s="16" t="s">
        <v>382</v>
      </c>
      <c r="D33" s="277">
        <f>G34</f>
        <v>-12.705597376470591</v>
      </c>
      <c r="E33" s="33"/>
      <c r="G33" s="234"/>
    </row>
    <row r="34" spans="1:9">
      <c r="A34" s="31" t="s">
        <v>383</v>
      </c>
      <c r="B34" s="19"/>
      <c r="C34" s="19"/>
      <c r="D34" s="248">
        <f ca="1">SUM(D28:D33)</f>
        <v>40032.20344963501</v>
      </c>
      <c r="F34" s="137" t="s">
        <v>384</v>
      </c>
      <c r="G34" s="271">
        <f>0.05*C26</f>
        <v>-12.705597376470591</v>
      </c>
    </row>
    <row r="35" spans="1:9">
      <c r="A35" s="16"/>
      <c r="D35" s="242"/>
      <c r="G35" s="234"/>
      <c r="I35" s="275"/>
    </row>
    <row r="36" spans="1:9">
      <c r="A36" s="31" t="s">
        <v>385</v>
      </c>
      <c r="D36" s="248">
        <f ca="1">D34*(1-G13)</f>
        <v>34027.372932189755</v>
      </c>
      <c r="E36" s="33"/>
      <c r="F36" s="137" t="s">
        <v>386</v>
      </c>
      <c r="G36" s="273"/>
    </row>
    <row r="37" spans="1:9">
      <c r="A37" s="16"/>
      <c r="D37" s="242"/>
      <c r="F37" t="s">
        <v>387</v>
      </c>
      <c r="G37" s="274">
        <v>545.96</v>
      </c>
    </row>
    <row r="38" spans="1:9">
      <c r="A38" s="249" t="s">
        <v>388</v>
      </c>
      <c r="B38" s="250"/>
      <c r="C38" s="250"/>
      <c r="D38" s="305">
        <f ca="1">D36/(B10+B8)</f>
        <v>3.1924234994207246</v>
      </c>
      <c r="E38" s="33"/>
      <c r="F38" t="s">
        <v>389</v>
      </c>
      <c r="G38" s="251">
        <f>(G37*1.05)-G37</f>
        <v>27.298000000000002</v>
      </c>
      <c r="H38" s="251" t="s">
        <v>409</v>
      </c>
    </row>
    <row r="39" spans="1:9">
      <c r="A39" s="252" t="s">
        <v>390</v>
      </c>
      <c r="B39" s="4"/>
      <c r="C39" s="4"/>
      <c r="D39" s="305">
        <f ca="1">B9</f>
        <v>3.3441916774997296</v>
      </c>
      <c r="E39" s="33"/>
      <c r="F39" t="s">
        <v>391</v>
      </c>
      <c r="G39" s="246">
        <v>5</v>
      </c>
      <c r="I39" s="276"/>
    </row>
    <row r="40" spans="1:9">
      <c r="A40" s="253" t="s">
        <v>392</v>
      </c>
      <c r="B40" s="254"/>
      <c r="C40" s="254"/>
      <c r="D40" s="305">
        <f ca="1">D38-D39</f>
        <v>-0.151768178079005</v>
      </c>
      <c r="E40" s="33"/>
      <c r="F40" t="s">
        <v>393</v>
      </c>
      <c r="G40" s="247">
        <f>G38/G39</f>
        <v>5.4596</v>
      </c>
    </row>
    <row r="41" spans="1:9">
      <c r="A41" s="255" t="s">
        <v>394</v>
      </c>
      <c r="B41" s="256"/>
      <c r="C41" s="256"/>
      <c r="D41" s="257">
        <f ca="1">D40/D39</f>
        <v>-4.5382619393537223E-2</v>
      </c>
      <c r="E41" s="33"/>
      <c r="G41" s="258"/>
    </row>
    <row r="42" spans="1:9">
      <c r="D42" s="325"/>
    </row>
    <row r="44" spans="1:9">
      <c r="A44" t="s">
        <v>407</v>
      </c>
    </row>
    <row r="45" spans="1:9">
      <c r="A45" t="s">
        <v>408</v>
      </c>
    </row>
  </sheetData>
  <mergeCells count="1">
    <mergeCell ref="F3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C98D-6847-4E6C-8387-8482B330744E}">
  <dimension ref="A1:AY40"/>
  <sheetViews>
    <sheetView showGridLines="0" zoomScale="45" zoomScaleNormal="9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J15" sqref="AJ15"/>
    </sheetView>
  </sheetViews>
  <sheetFormatPr defaultRowHeight="15"/>
  <cols>
    <col min="3" max="3" width="10.85546875" bestFit="1" customWidth="1"/>
    <col min="4" max="4" width="11.5703125" bestFit="1" customWidth="1"/>
    <col min="5" max="5" width="9.140625" bestFit="1" customWidth="1"/>
    <col min="36" max="36" width="13" customWidth="1"/>
    <col min="37" max="37" width="16.5703125" customWidth="1"/>
    <col min="38" max="38" width="18.7109375" bestFit="1" customWidth="1"/>
    <col min="39" max="39" width="15.140625" customWidth="1"/>
    <col min="40" max="40" width="16.42578125" bestFit="1" customWidth="1"/>
    <col min="41" max="41" width="10.42578125" bestFit="1" customWidth="1"/>
    <col min="44" max="44" width="16.42578125" bestFit="1" customWidth="1"/>
    <col min="45" max="45" width="10.42578125" bestFit="1" customWidth="1"/>
    <col min="48" max="48" width="21.7109375" bestFit="1" customWidth="1"/>
    <col min="49" max="49" width="10.42578125" bestFit="1" customWidth="1"/>
  </cols>
  <sheetData>
    <row r="1" spans="1:51" ht="19.5" thickBot="1">
      <c r="A1" s="279" t="s">
        <v>448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1"/>
    </row>
    <row r="2" spans="1:51">
      <c r="D2" t="s">
        <v>461</v>
      </c>
      <c r="E2" t="s">
        <v>461</v>
      </c>
      <c r="AJ2" s="282"/>
      <c r="AK2" s="282"/>
      <c r="AL2" s="282"/>
    </row>
    <row r="3" spans="1:51">
      <c r="B3" s="367" t="s">
        <v>410</v>
      </c>
      <c r="C3" s="283" t="s">
        <v>411</v>
      </c>
      <c r="D3" s="284" t="s">
        <v>412</v>
      </c>
      <c r="E3" s="284" t="s">
        <v>413</v>
      </c>
      <c r="F3" s="285" t="s">
        <v>414</v>
      </c>
      <c r="G3" s="285" t="s">
        <v>415</v>
      </c>
      <c r="H3" s="364" t="s">
        <v>73</v>
      </c>
      <c r="I3" s="365"/>
      <c r="J3" s="365"/>
      <c r="K3" s="366"/>
      <c r="L3" s="364" t="s">
        <v>218</v>
      </c>
      <c r="M3" s="365"/>
      <c r="N3" s="365"/>
      <c r="O3" s="366"/>
      <c r="P3" s="364" t="s">
        <v>216</v>
      </c>
      <c r="Q3" s="365"/>
      <c r="R3" s="365"/>
      <c r="S3" s="366"/>
      <c r="T3" s="364" t="s">
        <v>147</v>
      </c>
      <c r="U3" s="365"/>
      <c r="V3" s="365"/>
      <c r="W3" s="366"/>
      <c r="X3" s="364" t="s">
        <v>416</v>
      </c>
      <c r="Y3" s="365"/>
      <c r="Z3" s="365"/>
      <c r="AA3" s="365"/>
      <c r="AB3" s="364" t="s">
        <v>417</v>
      </c>
      <c r="AC3" s="365"/>
      <c r="AD3" s="365"/>
      <c r="AE3" s="365"/>
      <c r="AF3" s="364" t="s">
        <v>418</v>
      </c>
      <c r="AG3" s="365"/>
      <c r="AH3" s="365"/>
      <c r="AI3" s="366"/>
      <c r="AJ3" s="286" t="s">
        <v>419</v>
      </c>
      <c r="AK3" s="286" t="s">
        <v>420</v>
      </c>
      <c r="AL3" s="286" t="s">
        <v>421</v>
      </c>
      <c r="AM3" s="286" t="s">
        <v>422</v>
      </c>
      <c r="AN3" s="364" t="s">
        <v>423</v>
      </c>
      <c r="AO3" s="365"/>
      <c r="AP3" s="365"/>
      <c r="AQ3" s="366"/>
      <c r="AR3" s="364" t="s">
        <v>424</v>
      </c>
      <c r="AS3" s="365"/>
      <c r="AT3" s="365"/>
      <c r="AU3" s="366"/>
      <c r="AV3" s="364" t="s">
        <v>425</v>
      </c>
      <c r="AW3" s="365"/>
      <c r="AX3" s="365"/>
      <c r="AY3" s="366"/>
    </row>
    <row r="4" spans="1:51">
      <c r="B4" s="368"/>
      <c r="C4" s="287">
        <v>45472</v>
      </c>
      <c r="D4" s="288" t="s">
        <v>426</v>
      </c>
      <c r="E4" s="288" t="s">
        <v>427</v>
      </c>
      <c r="F4" s="289" t="s">
        <v>428</v>
      </c>
      <c r="G4" s="289"/>
      <c r="H4" s="289">
        <v>2023</v>
      </c>
      <c r="I4" s="290" t="s">
        <v>451</v>
      </c>
      <c r="J4" s="290" t="s">
        <v>452</v>
      </c>
      <c r="K4" s="291" t="s">
        <v>450</v>
      </c>
      <c r="L4" s="289">
        <v>2023</v>
      </c>
      <c r="M4" s="290" t="s">
        <v>451</v>
      </c>
      <c r="N4" s="290" t="s">
        <v>452</v>
      </c>
      <c r="O4" s="291" t="s">
        <v>450</v>
      </c>
      <c r="P4" s="289">
        <v>2023</v>
      </c>
      <c r="Q4" s="290" t="s">
        <v>451</v>
      </c>
      <c r="R4" s="290" t="s">
        <v>452</v>
      </c>
      <c r="S4" s="291" t="s">
        <v>450</v>
      </c>
      <c r="T4" s="289">
        <v>2023</v>
      </c>
      <c r="U4" s="290" t="s">
        <v>451</v>
      </c>
      <c r="V4" s="290" t="s">
        <v>452</v>
      </c>
      <c r="W4" s="291" t="s">
        <v>450</v>
      </c>
      <c r="X4" s="289">
        <v>2023</v>
      </c>
      <c r="Y4" s="290" t="s">
        <v>451</v>
      </c>
      <c r="Z4" s="290" t="s">
        <v>452</v>
      </c>
      <c r="AA4" s="291" t="s">
        <v>450</v>
      </c>
      <c r="AB4" s="289">
        <v>2023</v>
      </c>
      <c r="AC4" s="290" t="s">
        <v>451</v>
      </c>
      <c r="AD4" s="290" t="s">
        <v>452</v>
      </c>
      <c r="AE4" s="291" t="s">
        <v>450</v>
      </c>
      <c r="AF4" s="289">
        <v>2023</v>
      </c>
      <c r="AG4" s="290" t="s">
        <v>451</v>
      </c>
      <c r="AH4" s="290" t="s">
        <v>452</v>
      </c>
      <c r="AI4" s="291" t="s">
        <v>450</v>
      </c>
      <c r="AJ4" s="290" t="s">
        <v>429</v>
      </c>
      <c r="AK4" s="290" t="s">
        <v>429</v>
      </c>
      <c r="AL4" s="290" t="s">
        <v>429</v>
      </c>
      <c r="AM4" s="290" t="s">
        <v>429</v>
      </c>
      <c r="AN4" s="289">
        <v>2023</v>
      </c>
      <c r="AO4" s="290" t="s">
        <v>451</v>
      </c>
      <c r="AP4" s="290" t="s">
        <v>452</v>
      </c>
      <c r="AQ4" s="291" t="s">
        <v>450</v>
      </c>
      <c r="AR4" s="289">
        <v>2023</v>
      </c>
      <c r="AS4" s="290" t="s">
        <v>451</v>
      </c>
      <c r="AT4" s="290" t="s">
        <v>452</v>
      </c>
      <c r="AU4" s="291" t="s">
        <v>450</v>
      </c>
      <c r="AV4" s="289">
        <v>2023</v>
      </c>
      <c r="AW4" s="290" t="s">
        <v>451</v>
      </c>
      <c r="AX4" s="290" t="s">
        <v>452</v>
      </c>
      <c r="AY4" s="291" t="s">
        <v>450</v>
      </c>
    </row>
    <row r="5" spans="1:51">
      <c r="B5" s="310" t="s">
        <v>449</v>
      </c>
      <c r="C5" s="311">
        <v>67.709999999999994</v>
      </c>
      <c r="D5" s="312">
        <v>544600</v>
      </c>
      <c r="E5" s="312">
        <f>600900*F5</f>
        <v>600900</v>
      </c>
      <c r="F5" s="313">
        <v>1</v>
      </c>
      <c r="G5" s="314" t="s">
        <v>430</v>
      </c>
      <c r="H5" s="312">
        <v>642637</v>
      </c>
      <c r="I5" s="312">
        <v>672652</v>
      </c>
      <c r="J5" s="312">
        <v>699738</v>
      </c>
      <c r="K5" s="312">
        <v>733785</v>
      </c>
      <c r="L5" s="312">
        <v>27012</v>
      </c>
      <c r="M5" s="312">
        <v>29344</v>
      </c>
      <c r="N5" s="312">
        <v>31763</v>
      </c>
      <c r="O5" s="312">
        <v>34908</v>
      </c>
      <c r="P5" s="312">
        <v>38865</v>
      </c>
      <c r="Q5" s="312">
        <v>42072</v>
      </c>
      <c r="R5" s="312">
        <v>45201</v>
      </c>
      <c r="S5" s="312">
        <v>48830</v>
      </c>
      <c r="T5" s="312">
        <v>15511</v>
      </c>
      <c r="U5" s="312">
        <v>19834</v>
      </c>
      <c r="V5" s="312">
        <v>21274</v>
      </c>
      <c r="W5" s="312">
        <v>22769</v>
      </c>
      <c r="X5" s="315">
        <f>L5/H5</f>
        <v>4.2033060654770887E-2</v>
      </c>
      <c r="Y5" s="315">
        <f t="shared" ref="X5:AA10" si="0">M5/I5</f>
        <v>4.3624340669469505E-2</v>
      </c>
      <c r="Z5" s="315">
        <f t="shared" si="0"/>
        <v>4.5392704126401597E-2</v>
      </c>
      <c r="AA5" s="315">
        <f t="shared" si="0"/>
        <v>4.7572517835605795E-2</v>
      </c>
      <c r="AB5" s="315">
        <f t="shared" ref="AB5:AE10" si="1">P5/H5</f>
        <v>6.0477376808369267E-2</v>
      </c>
      <c r="AC5" s="315">
        <f t="shared" si="1"/>
        <v>6.2546457900965136E-2</v>
      </c>
      <c r="AD5" s="315">
        <f t="shared" si="1"/>
        <v>6.4597034890201757E-2</v>
      </c>
      <c r="AE5" s="315">
        <f t="shared" si="1"/>
        <v>6.6545377733259747E-2</v>
      </c>
      <c r="AF5" s="315">
        <f t="shared" ref="AF5:AI10" si="2">T5/H5</f>
        <v>2.4136487628318944E-2</v>
      </c>
      <c r="AG5" s="315">
        <f t="shared" si="2"/>
        <v>2.9486272247759616E-2</v>
      </c>
      <c r="AH5" s="315">
        <f t="shared" si="2"/>
        <v>3.0402807908102746E-2</v>
      </c>
      <c r="AI5" s="315">
        <f t="shared" si="2"/>
        <v>3.1029524997104055E-2</v>
      </c>
      <c r="AJ5" s="315">
        <f t="shared" ref="AJ5:AJ10" si="3">RATE(3,0,-H5,K5)</f>
        <v>4.5203930855100431E-2</v>
      </c>
      <c r="AK5" s="315">
        <f t="shared" ref="AK5:AK10" si="4">RATE(3,0,-L5,O5)</f>
        <v>8.9237894702722906E-2</v>
      </c>
      <c r="AL5" s="315">
        <f t="shared" ref="AL5:AL10" si="5">RATE(3,0,-P5,S5)</f>
        <v>7.9052770347695298E-2</v>
      </c>
      <c r="AM5" s="315">
        <f t="shared" ref="AM5:AM10" si="6">RATE(3,0,-T5,W5)</f>
        <v>0.13649637044228194</v>
      </c>
      <c r="AN5" s="316">
        <f t="shared" ref="AN5:AU10" si="7">$E5/L5</f>
        <v>22.245668591737005</v>
      </c>
      <c r="AO5" s="317">
        <f t="shared" si="7"/>
        <v>20.477780806979279</v>
      </c>
      <c r="AP5" s="317">
        <f t="shared" si="7"/>
        <v>18.918238201681202</v>
      </c>
      <c r="AQ5" s="317">
        <f t="shared" si="7"/>
        <v>17.213819181849434</v>
      </c>
      <c r="AR5" s="317">
        <f t="shared" si="7"/>
        <v>15.4612118873022</v>
      </c>
      <c r="AS5" s="317">
        <f t="shared" si="7"/>
        <v>14.282658300057046</v>
      </c>
      <c r="AT5" s="317">
        <f t="shared" si="7"/>
        <v>13.293953673591293</v>
      </c>
      <c r="AU5" s="317">
        <f t="shared" si="7"/>
        <v>12.305959451157076</v>
      </c>
      <c r="AV5" s="317">
        <f t="shared" ref="AV5:AY10" si="8">$D5/T5</f>
        <v>35.110566694603833</v>
      </c>
      <c r="AW5" s="317">
        <f t="shared" si="8"/>
        <v>27.457900574770594</v>
      </c>
      <c r="AX5" s="317">
        <f t="shared" si="8"/>
        <v>25.599323117420326</v>
      </c>
      <c r="AY5" s="317">
        <f t="shared" si="8"/>
        <v>23.91848566032764</v>
      </c>
    </row>
    <row r="6" spans="1:51">
      <c r="B6" s="310" t="s">
        <v>458</v>
      </c>
      <c r="C6" s="311">
        <v>849.99</v>
      </c>
      <c r="D6" s="312">
        <v>376800</v>
      </c>
      <c r="E6" s="312">
        <f>374600*F6</f>
        <v>374600</v>
      </c>
      <c r="F6" s="313">
        <v>1</v>
      </c>
      <c r="G6" s="314" t="s">
        <v>430</v>
      </c>
      <c r="H6" s="312">
        <v>242290</v>
      </c>
      <c r="I6" s="312">
        <v>254911</v>
      </c>
      <c r="J6" s="312">
        <v>273700</v>
      </c>
      <c r="K6" s="312">
        <v>291093</v>
      </c>
      <c r="L6" s="312">
        <v>8114</v>
      </c>
      <c r="M6" s="312">
        <v>9174</v>
      </c>
      <c r="N6" s="312">
        <v>10199</v>
      </c>
      <c r="O6" s="312">
        <v>11208</v>
      </c>
      <c r="P6" s="312">
        <v>10191</v>
      </c>
      <c r="Q6" s="312">
        <v>11394</v>
      </c>
      <c r="R6" s="312">
        <v>12689</v>
      </c>
      <c r="S6" s="312">
        <v>13604</v>
      </c>
      <c r="T6" s="312">
        <v>6292</v>
      </c>
      <c r="U6" s="312">
        <v>7249</v>
      </c>
      <c r="V6" s="312">
        <v>7806</v>
      </c>
      <c r="W6" s="312">
        <v>8366</v>
      </c>
      <c r="X6" s="315">
        <f t="shared" si="0"/>
        <v>3.3488794419910026E-2</v>
      </c>
      <c r="Y6" s="315">
        <f t="shared" si="0"/>
        <v>3.5989031465884169E-2</v>
      </c>
      <c r="Z6" s="315">
        <f t="shared" si="0"/>
        <v>3.7263427109974427E-2</v>
      </c>
      <c r="AA6" s="315">
        <f t="shared" si="0"/>
        <v>3.8503158784306046E-2</v>
      </c>
      <c r="AB6" s="315">
        <f t="shared" si="1"/>
        <v>4.2061166370877874E-2</v>
      </c>
      <c r="AC6" s="315">
        <f t="shared" si="1"/>
        <v>4.4697953403344697E-2</v>
      </c>
      <c r="AD6" s="315">
        <f t="shared" si="1"/>
        <v>4.6360979174278408E-2</v>
      </c>
      <c r="AE6" s="315">
        <f t="shared" si="1"/>
        <v>4.6734205219637712E-2</v>
      </c>
      <c r="AF6" s="315">
        <f t="shared" si="2"/>
        <v>2.5968880267448098E-2</v>
      </c>
      <c r="AG6" s="315">
        <f t="shared" si="2"/>
        <v>2.8437376182275383E-2</v>
      </c>
      <c r="AH6" s="315">
        <f t="shared" si="2"/>
        <v>2.8520277676287908E-2</v>
      </c>
      <c r="AI6" s="315">
        <f t="shared" si="2"/>
        <v>2.8739955959092112E-2</v>
      </c>
      <c r="AJ6" s="315">
        <f t="shared" si="3"/>
        <v>6.3078718009340631E-2</v>
      </c>
      <c r="AK6" s="315">
        <f t="shared" si="4"/>
        <v>0.11369013563144155</v>
      </c>
      <c r="AL6" s="315">
        <f t="shared" si="5"/>
        <v>0.10107425250388304</v>
      </c>
      <c r="AM6" s="315">
        <f t="shared" si="6"/>
        <v>9.9621059703156045E-2</v>
      </c>
      <c r="AN6" s="318">
        <f t="shared" si="7"/>
        <v>46.167118560512691</v>
      </c>
      <c r="AO6" s="317">
        <f t="shared" si="7"/>
        <v>40.832788314802706</v>
      </c>
      <c r="AP6" s="317">
        <f t="shared" si="7"/>
        <v>36.729091087361503</v>
      </c>
      <c r="AQ6" s="317">
        <f t="shared" si="7"/>
        <v>33.422555317630263</v>
      </c>
      <c r="AR6" s="317">
        <f t="shared" si="7"/>
        <v>36.75792365812972</v>
      </c>
      <c r="AS6" s="317">
        <f t="shared" si="7"/>
        <v>32.87695278216605</v>
      </c>
      <c r="AT6" s="317">
        <f t="shared" si="7"/>
        <v>29.521632910394832</v>
      </c>
      <c r="AU6" s="317">
        <f t="shared" si="7"/>
        <v>27.536018817994709</v>
      </c>
      <c r="AV6" s="317">
        <f t="shared" si="8"/>
        <v>59.885568976478069</v>
      </c>
      <c r="AW6" s="317">
        <f t="shared" si="8"/>
        <v>51.979583390812529</v>
      </c>
      <c r="AX6" s="317">
        <f t="shared" si="8"/>
        <v>48.270561106840894</v>
      </c>
      <c r="AY6" s="317">
        <f t="shared" si="8"/>
        <v>45.0394453741334</v>
      </c>
    </row>
    <row r="7" spans="1:51">
      <c r="B7" t="s">
        <v>460</v>
      </c>
      <c r="C7" s="307">
        <v>182.15</v>
      </c>
      <c r="D7" s="9">
        <v>2258100</v>
      </c>
      <c r="E7" s="9">
        <f>2144400*F7</f>
        <v>2144400</v>
      </c>
      <c r="F7" s="306">
        <v>1</v>
      </c>
      <c r="G7" s="64" t="s">
        <v>430</v>
      </c>
      <c r="H7" s="9">
        <v>307394</v>
      </c>
      <c r="I7" s="9">
        <v>346611</v>
      </c>
      <c r="J7" s="9">
        <v>384881</v>
      </c>
      <c r="K7" s="9">
        <v>425691</v>
      </c>
      <c r="L7" s="9">
        <v>84293</v>
      </c>
      <c r="M7" s="9">
        <v>106796</v>
      </c>
      <c r="N7" s="9">
        <v>122191</v>
      </c>
      <c r="O7" s="9">
        <v>139174</v>
      </c>
      <c r="P7" s="9">
        <v>118699</v>
      </c>
      <c r="Q7" s="9">
        <v>145237</v>
      </c>
      <c r="R7" s="9">
        <v>164390</v>
      </c>
      <c r="S7" s="9">
        <v>186555</v>
      </c>
      <c r="T7" s="9">
        <v>73795</v>
      </c>
      <c r="U7" s="9">
        <v>93912</v>
      </c>
      <c r="V7" s="9">
        <v>105413</v>
      </c>
      <c r="W7" s="9">
        <v>119162</v>
      </c>
      <c r="X7" s="292">
        <f t="shared" si="0"/>
        <v>0.27421810445226646</v>
      </c>
      <c r="Y7" s="292">
        <f t="shared" si="0"/>
        <v>0.30811486075167838</v>
      </c>
      <c r="Z7" s="292">
        <f t="shared" si="0"/>
        <v>0.31747735014199197</v>
      </c>
      <c r="AA7" s="292">
        <f t="shared" si="0"/>
        <v>0.32693667472415439</v>
      </c>
      <c r="AB7" s="292">
        <f t="shared" si="1"/>
        <v>0.38614611866204285</v>
      </c>
      <c r="AC7" s="292">
        <f t="shared" si="1"/>
        <v>0.41902016958492372</v>
      </c>
      <c r="AD7" s="292">
        <f t="shared" si="1"/>
        <v>0.42711903159677927</v>
      </c>
      <c r="AE7" s="292">
        <f t="shared" si="1"/>
        <v>0.43824041382129292</v>
      </c>
      <c r="AF7" s="292">
        <f t="shared" si="2"/>
        <v>0.24006649446638517</v>
      </c>
      <c r="AG7" s="292">
        <f t="shared" si="2"/>
        <v>0.27094350727472583</v>
      </c>
      <c r="AH7" s="292">
        <f t="shared" si="2"/>
        <v>0.27388465525707945</v>
      </c>
      <c r="AI7" s="292">
        <f t="shared" si="2"/>
        <v>0.27992604964633971</v>
      </c>
      <c r="AJ7" s="27">
        <f t="shared" si="3"/>
        <v>0.11463590189260335</v>
      </c>
      <c r="AK7" s="27">
        <f t="shared" si="4"/>
        <v>0.18192213520492273</v>
      </c>
      <c r="AL7" s="27">
        <f t="shared" si="5"/>
        <v>0.16266146283718425</v>
      </c>
      <c r="AM7" s="27">
        <f t="shared" si="6"/>
        <v>0.17319521290903347</v>
      </c>
      <c r="AN7" s="293">
        <f t="shared" si="7"/>
        <v>25.43983486173229</v>
      </c>
      <c r="AO7" s="294">
        <f t="shared" si="7"/>
        <v>20.07940372298588</v>
      </c>
      <c r="AP7" s="294">
        <f t="shared" si="7"/>
        <v>17.549574027547038</v>
      </c>
      <c r="AQ7" s="294">
        <f t="shared" si="7"/>
        <v>15.408050354232831</v>
      </c>
      <c r="AR7" s="294">
        <f t="shared" si="7"/>
        <v>18.065864076361215</v>
      </c>
      <c r="AS7" s="294">
        <f t="shared" si="7"/>
        <v>14.764832652836398</v>
      </c>
      <c r="AT7" s="294">
        <f t="shared" si="7"/>
        <v>13.044589086927429</v>
      </c>
      <c r="AU7" s="294">
        <f t="shared" si="7"/>
        <v>11.494733456621372</v>
      </c>
      <c r="AV7" s="294">
        <f t="shared" si="8"/>
        <v>30.599634121552949</v>
      </c>
      <c r="AW7" s="294">
        <f t="shared" si="8"/>
        <v>24.044850498338871</v>
      </c>
      <c r="AX7" s="294">
        <f t="shared" si="8"/>
        <v>21.421456556591693</v>
      </c>
      <c r="AY7" s="294">
        <f t="shared" si="8"/>
        <v>18.949833000453165</v>
      </c>
    </row>
    <row r="8" spans="1:51">
      <c r="B8" t="s">
        <v>462</v>
      </c>
      <c r="C8" s="307">
        <v>674.88</v>
      </c>
      <c r="D8" s="9">
        <v>290800</v>
      </c>
      <c r="E8" s="9">
        <f>300300*F8</f>
        <v>300300</v>
      </c>
      <c r="F8" s="306">
        <v>1</v>
      </c>
      <c r="G8" s="64" t="s">
        <v>430</v>
      </c>
      <c r="H8" s="9">
        <v>33723</v>
      </c>
      <c r="I8" s="9">
        <v>38650</v>
      </c>
      <c r="J8" s="9">
        <v>43250</v>
      </c>
      <c r="K8" s="9">
        <v>47995</v>
      </c>
      <c r="L8" s="9">
        <v>6954</v>
      </c>
      <c r="M8" s="9">
        <v>9640</v>
      </c>
      <c r="N8" s="9">
        <v>11630</v>
      </c>
      <c r="O8" s="9">
        <v>13791</v>
      </c>
      <c r="P8" s="9">
        <v>7650</v>
      </c>
      <c r="Q8" s="9">
        <v>10420</v>
      </c>
      <c r="R8" s="9">
        <v>12481</v>
      </c>
      <c r="S8" s="9">
        <v>14613</v>
      </c>
      <c r="T8" s="9">
        <v>5408</v>
      </c>
      <c r="U8" s="9">
        <v>8049</v>
      </c>
      <c r="V8" s="9">
        <v>9592</v>
      </c>
      <c r="W8" s="9">
        <v>11248</v>
      </c>
      <c r="X8" s="292">
        <f t="shared" si="0"/>
        <v>0.20620941197402368</v>
      </c>
      <c r="Y8" s="292">
        <f t="shared" si="0"/>
        <v>0.24941785252263907</v>
      </c>
      <c r="Z8" s="292">
        <f t="shared" si="0"/>
        <v>0.26890173410404622</v>
      </c>
      <c r="AA8" s="292">
        <f t="shared" si="0"/>
        <v>0.28734243150328159</v>
      </c>
      <c r="AB8" s="292">
        <f t="shared" si="1"/>
        <v>0.2268481451828129</v>
      </c>
      <c r="AC8" s="292">
        <f t="shared" si="1"/>
        <v>0.26959896507115133</v>
      </c>
      <c r="AD8" s="292">
        <f t="shared" si="1"/>
        <v>0.28857803468208093</v>
      </c>
      <c r="AE8" s="292">
        <f t="shared" si="1"/>
        <v>0.30446921554328576</v>
      </c>
      <c r="AF8" s="292">
        <f t="shared" si="2"/>
        <v>0.16036532930047742</v>
      </c>
      <c r="AG8" s="292">
        <f t="shared" si="2"/>
        <v>0.20825355756791722</v>
      </c>
      <c r="AH8" s="292">
        <f t="shared" si="2"/>
        <v>0.22178034682080924</v>
      </c>
      <c r="AI8" s="292">
        <f t="shared" si="2"/>
        <v>0.23435774559849984</v>
      </c>
      <c r="AJ8" s="27">
        <f t="shared" si="3"/>
        <v>0.12483787469522845</v>
      </c>
      <c r="AK8" s="27">
        <f t="shared" si="4"/>
        <v>0.25637809940482442</v>
      </c>
      <c r="AL8" s="27">
        <f t="shared" si="5"/>
        <v>0.24077390087743464</v>
      </c>
      <c r="AM8" s="27">
        <f t="shared" si="6"/>
        <v>0.27647665014768874</v>
      </c>
      <c r="AN8" s="293">
        <f t="shared" si="7"/>
        <v>43.183779119930975</v>
      </c>
      <c r="AO8" s="294">
        <f t="shared" si="7"/>
        <v>31.151452282157678</v>
      </c>
      <c r="AP8" s="294">
        <f t="shared" si="7"/>
        <v>25.821152192605332</v>
      </c>
      <c r="AQ8" s="294">
        <f t="shared" si="7"/>
        <v>21.775070698281489</v>
      </c>
      <c r="AR8" s="294">
        <f t="shared" si="7"/>
        <v>39.254901960784316</v>
      </c>
      <c r="AS8" s="294">
        <f t="shared" si="7"/>
        <v>28.81957773512476</v>
      </c>
      <c r="AT8" s="294">
        <f t="shared" si="7"/>
        <v>24.06057206954571</v>
      </c>
      <c r="AU8" s="294">
        <f t="shared" si="7"/>
        <v>20.55019503182098</v>
      </c>
      <c r="AV8" s="294">
        <f t="shared" si="8"/>
        <v>53.772189349112423</v>
      </c>
      <c r="AW8" s="294">
        <f t="shared" si="8"/>
        <v>36.128711641197661</v>
      </c>
      <c r="AX8" s="294">
        <f t="shared" si="8"/>
        <v>30.316930775646373</v>
      </c>
      <c r="AY8" s="294">
        <f t="shared" si="8"/>
        <v>25.85348506401138</v>
      </c>
    </row>
    <row r="9" spans="1:51">
      <c r="B9" s="310" t="s">
        <v>344</v>
      </c>
      <c r="C9" s="311">
        <v>148.04</v>
      </c>
      <c r="D9" s="312">
        <v>68489</v>
      </c>
      <c r="E9" s="312">
        <f>84866*F9</f>
        <v>84866</v>
      </c>
      <c r="F9" s="313">
        <v>1</v>
      </c>
      <c r="G9" s="314" t="s">
        <v>430</v>
      </c>
      <c r="H9" s="312">
        <v>107412</v>
      </c>
      <c r="I9" s="312">
        <v>106931</v>
      </c>
      <c r="J9" s="312">
        <v>110748</v>
      </c>
      <c r="K9" s="312">
        <v>114715</v>
      </c>
      <c r="L9" s="312">
        <v>5707</v>
      </c>
      <c r="M9" s="312">
        <v>5924</v>
      </c>
      <c r="N9" s="312">
        <v>6442</v>
      </c>
      <c r="O9" s="312">
        <v>6853</v>
      </c>
      <c r="P9" s="312">
        <v>8600</v>
      </c>
      <c r="Q9" s="312">
        <v>8676</v>
      </c>
      <c r="R9" s="312">
        <v>9258</v>
      </c>
      <c r="S9" s="312">
        <v>9638</v>
      </c>
      <c r="T9" s="312">
        <v>4138</v>
      </c>
      <c r="U9" s="312">
        <v>4311</v>
      </c>
      <c r="V9" s="312">
        <v>4708</v>
      </c>
      <c r="W9" s="312">
        <v>4945</v>
      </c>
      <c r="X9" s="315">
        <f t="shared" si="0"/>
        <v>5.3131866085725989E-2</v>
      </c>
      <c r="Y9" s="315">
        <f t="shared" si="0"/>
        <v>5.5400211351245197E-2</v>
      </c>
      <c r="Z9" s="315">
        <f t="shared" si="0"/>
        <v>5.8168093328999172E-2</v>
      </c>
      <c r="AA9" s="315">
        <f t="shared" si="0"/>
        <v>5.9739354051344638E-2</v>
      </c>
      <c r="AB9" s="315">
        <f t="shared" si="1"/>
        <v>8.006554202509962E-2</v>
      </c>
      <c r="AC9" s="315">
        <f t="shared" si="1"/>
        <v>8.1136433775051198E-2</v>
      </c>
      <c r="AD9" s="315">
        <f t="shared" si="1"/>
        <v>8.3595189077906598E-2</v>
      </c>
      <c r="AE9" s="315">
        <f t="shared" si="1"/>
        <v>8.4016911476267275E-2</v>
      </c>
      <c r="AF9" s="315">
        <f t="shared" si="2"/>
        <v>3.8524559639518861E-2</v>
      </c>
      <c r="AG9" s="315">
        <f t="shared" si="2"/>
        <v>4.0315717612292037E-2</v>
      </c>
      <c r="AH9" s="315">
        <f t="shared" si="2"/>
        <v>4.2510925705204608E-2</v>
      </c>
      <c r="AI9" s="315">
        <f t="shared" si="2"/>
        <v>4.3106829969925466E-2</v>
      </c>
      <c r="AJ9" s="315">
        <f t="shared" si="3"/>
        <v>2.2168442375444929E-2</v>
      </c>
      <c r="AK9" s="315">
        <f t="shared" si="4"/>
        <v>6.2896441552515878E-2</v>
      </c>
      <c r="AL9" s="315">
        <f t="shared" si="5"/>
        <v>3.8714410748091822E-2</v>
      </c>
      <c r="AM9" s="315">
        <f t="shared" si="6"/>
        <v>6.1187037845162086E-2</v>
      </c>
      <c r="AN9" s="318">
        <f t="shared" si="7"/>
        <v>14.870509900122656</v>
      </c>
      <c r="AO9" s="317">
        <f t="shared" si="7"/>
        <v>14.325793382849426</v>
      </c>
      <c r="AP9" s="317">
        <f t="shared" si="7"/>
        <v>13.173859049984477</v>
      </c>
      <c r="AQ9" s="317">
        <f t="shared" si="7"/>
        <v>12.383773529840946</v>
      </c>
      <c r="AR9" s="317">
        <f t="shared" si="7"/>
        <v>9.8681395348837206</v>
      </c>
      <c r="AS9" s="317">
        <f t="shared" si="7"/>
        <v>9.7816966343937306</v>
      </c>
      <c r="AT9" s="317">
        <f t="shared" si="7"/>
        <v>9.1667746813566637</v>
      </c>
      <c r="AU9" s="317">
        <f t="shared" si="7"/>
        <v>8.8053538078439502</v>
      </c>
      <c r="AV9" s="317">
        <f t="shared" si="8"/>
        <v>16.551232479458676</v>
      </c>
      <c r="AW9" s="317">
        <f t="shared" si="8"/>
        <v>15.887033170958015</v>
      </c>
      <c r="AX9" s="317">
        <f t="shared" si="8"/>
        <v>14.547366185216653</v>
      </c>
      <c r="AY9" s="317">
        <f t="shared" si="8"/>
        <v>13.85015166835187</v>
      </c>
    </row>
    <row r="10" spans="1:51">
      <c r="B10" t="s">
        <v>459</v>
      </c>
      <c r="C10" s="307">
        <v>446.95</v>
      </c>
      <c r="D10" s="9">
        <v>3321900</v>
      </c>
      <c r="E10" s="9">
        <f>3348100*F10</f>
        <v>3348100</v>
      </c>
      <c r="F10" s="306">
        <v>1</v>
      </c>
      <c r="G10" s="64" t="s">
        <v>430</v>
      </c>
      <c r="H10" s="9">
        <v>211915</v>
      </c>
      <c r="I10" s="9">
        <v>244932</v>
      </c>
      <c r="J10" s="9">
        <v>280242</v>
      </c>
      <c r="K10" s="9">
        <v>322501</v>
      </c>
      <c r="L10" s="9">
        <v>89694</v>
      </c>
      <c r="M10" s="9">
        <v>108644</v>
      </c>
      <c r="N10" s="9">
        <v>122600</v>
      </c>
      <c r="O10" s="9">
        <v>142874</v>
      </c>
      <c r="P10" s="9">
        <v>103555</v>
      </c>
      <c r="Q10" s="9">
        <v>129600</v>
      </c>
      <c r="R10" s="9">
        <v>148232</v>
      </c>
      <c r="S10" s="9">
        <v>172172</v>
      </c>
      <c r="T10" s="9">
        <v>72361</v>
      </c>
      <c r="U10" s="9">
        <v>88039</v>
      </c>
      <c r="V10" s="9">
        <v>99221</v>
      </c>
      <c r="W10" s="9">
        <v>115782</v>
      </c>
      <c r="X10" s="292">
        <f t="shared" si="0"/>
        <v>0.42325460679989618</v>
      </c>
      <c r="Y10" s="292">
        <f t="shared" si="0"/>
        <v>0.44356801071317753</v>
      </c>
      <c r="Z10" s="292">
        <f t="shared" si="0"/>
        <v>0.43747903597604926</v>
      </c>
      <c r="AA10" s="292">
        <f t="shared" si="0"/>
        <v>0.44301878133711214</v>
      </c>
      <c r="AB10" s="292">
        <f t="shared" si="1"/>
        <v>0.48866290729773731</v>
      </c>
      <c r="AC10" s="292">
        <f t="shared" si="1"/>
        <v>0.52912645142325221</v>
      </c>
      <c r="AD10" s="292">
        <f t="shared" si="1"/>
        <v>0.52894284225776289</v>
      </c>
      <c r="AE10" s="292">
        <f t="shared" si="1"/>
        <v>0.53386501127128283</v>
      </c>
      <c r="AF10" s="292">
        <f t="shared" si="2"/>
        <v>0.34146237878394642</v>
      </c>
      <c r="AG10" s="292">
        <f t="shared" si="2"/>
        <v>0.35944262080904088</v>
      </c>
      <c r="AH10" s="292">
        <f t="shared" si="2"/>
        <v>0.35405470985790854</v>
      </c>
      <c r="AI10" s="292">
        <f t="shared" si="2"/>
        <v>0.3590128402702627</v>
      </c>
      <c r="AJ10" s="27">
        <f t="shared" si="3"/>
        <v>0.15024350339461373</v>
      </c>
      <c r="AK10" s="27">
        <f t="shared" si="4"/>
        <v>0.16787565065331567</v>
      </c>
      <c r="AL10" s="27">
        <f t="shared" si="5"/>
        <v>0.18466934457922071</v>
      </c>
      <c r="AM10" s="27">
        <f t="shared" si="6"/>
        <v>0.16962191164003076</v>
      </c>
      <c r="AN10" s="293">
        <f t="shared" si="7"/>
        <v>37.32802640087408</v>
      </c>
      <c r="AO10" s="294">
        <f t="shared" si="7"/>
        <v>30.817164316483193</v>
      </c>
      <c r="AP10" s="294">
        <f t="shared" si="7"/>
        <v>27.309135399673735</v>
      </c>
      <c r="AQ10" s="294">
        <f t="shared" si="7"/>
        <v>23.433934795694107</v>
      </c>
      <c r="AR10" s="294">
        <f t="shared" si="7"/>
        <v>32.331611221090242</v>
      </c>
      <c r="AS10" s="294">
        <f t="shared" si="7"/>
        <v>25.834104938271604</v>
      </c>
      <c r="AT10" s="294">
        <f t="shared" si="7"/>
        <v>22.586890819795997</v>
      </c>
      <c r="AU10" s="294">
        <f t="shared" si="7"/>
        <v>19.446251422995608</v>
      </c>
      <c r="AV10" s="294">
        <f t="shared" si="8"/>
        <v>45.907325769406171</v>
      </c>
      <c r="AW10" s="294">
        <f t="shared" si="8"/>
        <v>37.732141437317551</v>
      </c>
      <c r="AX10" s="294">
        <f t="shared" si="8"/>
        <v>33.479807701998567</v>
      </c>
      <c r="AY10" s="294">
        <f t="shared" si="8"/>
        <v>28.690988236513448</v>
      </c>
    </row>
    <row r="11" spans="1:51">
      <c r="B11" t="s">
        <v>453</v>
      </c>
      <c r="C11" s="307">
        <v>53.72</v>
      </c>
      <c r="D11" s="9">
        <v>27290</v>
      </c>
      <c r="E11" s="9">
        <v>28377</v>
      </c>
      <c r="F11" s="306">
        <v>1</v>
      </c>
      <c r="G11" s="64" t="s">
        <v>430</v>
      </c>
      <c r="H11" s="9">
        <v>10112</v>
      </c>
      <c r="I11" s="9">
        <v>10270</v>
      </c>
      <c r="J11" s="9">
        <v>10614</v>
      </c>
      <c r="K11" s="9">
        <v>10967</v>
      </c>
      <c r="L11" s="9">
        <v>2772</v>
      </c>
      <c r="M11" s="9">
        <v>2897</v>
      </c>
      <c r="N11" s="9">
        <v>3020</v>
      </c>
      <c r="O11" s="9">
        <v>3141</v>
      </c>
      <c r="P11" s="9">
        <v>3175</v>
      </c>
      <c r="Q11" s="9">
        <v>3220</v>
      </c>
      <c r="R11" s="9">
        <v>3364</v>
      </c>
      <c r="S11" s="9">
        <v>3534</v>
      </c>
      <c r="T11" s="9">
        <v>2767</v>
      </c>
      <c r="U11" s="9">
        <v>1666</v>
      </c>
      <c r="V11" s="9">
        <v>1748</v>
      </c>
      <c r="W11" s="9">
        <v>1838</v>
      </c>
      <c r="X11" s="292">
        <f t="shared" ref="X11" si="9">L11/H11</f>
        <v>0.27412974683544306</v>
      </c>
      <c r="Y11" s="292">
        <f t="shared" ref="Y11" si="10">M11/I11</f>
        <v>0.28208373904576434</v>
      </c>
      <c r="Z11" s="292">
        <f t="shared" ref="Z11" si="11">N11/J11</f>
        <v>0.28452986621443377</v>
      </c>
      <c r="AA11" s="292">
        <f t="shared" ref="AA11" si="12">O11/K11</f>
        <v>0.28640466855110785</v>
      </c>
      <c r="AB11" s="292">
        <f t="shared" ref="AB11" si="13">P11/H11</f>
        <v>0.31398338607594939</v>
      </c>
      <c r="AC11" s="292">
        <f t="shared" ref="AC11" si="14">Q11/I11</f>
        <v>0.31353456669912366</v>
      </c>
      <c r="AD11" s="292">
        <f t="shared" ref="AD11" si="15">R11/J11</f>
        <v>0.31693989071038253</v>
      </c>
      <c r="AE11" s="292">
        <f t="shared" ref="AE11" si="16">S11/K11</f>
        <v>0.32223944560955592</v>
      </c>
      <c r="AF11" s="292">
        <f t="shared" ref="AF11" si="17">T11/H11</f>
        <v>0.27363528481012656</v>
      </c>
      <c r="AG11" s="292">
        <f t="shared" ref="AG11" si="18">U11/I11</f>
        <v>0.16222005842259007</v>
      </c>
      <c r="AH11" s="292">
        <f t="shared" ref="AH11" si="19">V11/J11</f>
        <v>0.16468814772941398</v>
      </c>
      <c r="AI11" s="292">
        <f t="shared" ref="AI11" si="20">W11/K11</f>
        <v>0.16759369016139328</v>
      </c>
      <c r="AJ11" s="27">
        <f t="shared" ref="AJ11" si="21">RATE(3,0,-H11,K11)</f>
        <v>2.7425311756168021E-2</v>
      </c>
      <c r="AK11" s="27">
        <f t="shared" ref="AK11" si="22">RATE(3,0,-L11,O11)</f>
        <v>4.2537223181371021E-2</v>
      </c>
      <c r="AL11" s="27">
        <f t="shared" ref="AL11" si="23">RATE(3,0,-P11,S11)</f>
        <v>3.6352752442345398E-2</v>
      </c>
      <c r="AM11" s="27">
        <f t="shared" ref="AM11" si="24">RATE(3,0,-T11,W11)</f>
        <v>-0.12747318538125024</v>
      </c>
      <c r="AN11" s="293">
        <f t="shared" ref="AN11" si="25">$E11/L11</f>
        <v>10.237012987012987</v>
      </c>
      <c r="AO11" s="294">
        <f t="shared" ref="AO11" si="26">$E11/M11</f>
        <v>9.7953054884363127</v>
      </c>
      <c r="AP11" s="294">
        <f t="shared" ref="AP11" si="27">$E11/N11</f>
        <v>9.3963576158940398</v>
      </c>
      <c r="AQ11" s="294">
        <f t="shared" ref="AQ11" si="28">$E11/O11</f>
        <v>9.0343839541547286</v>
      </c>
      <c r="AR11" s="294">
        <f t="shared" ref="AR11" si="29">$E11/P11</f>
        <v>8.9376377952755899</v>
      </c>
      <c r="AS11" s="294">
        <f t="shared" ref="AS11" si="30">$E11/Q11</f>
        <v>8.8127329192546586</v>
      </c>
      <c r="AT11" s="294">
        <f t="shared" ref="AT11" si="31">$E11/R11</f>
        <v>8.4354934601664677</v>
      </c>
      <c r="AU11" s="294">
        <f t="shared" ref="AU11" si="32">$E11/S11</f>
        <v>8.0297113752122247</v>
      </c>
      <c r="AV11" s="294">
        <f t="shared" ref="AV11" si="33">$D11/T11</f>
        <v>9.8626671485363211</v>
      </c>
      <c r="AW11" s="294">
        <f t="shared" ref="AW11" si="34">$D11/U11</f>
        <v>16.380552220888354</v>
      </c>
      <c r="AX11" s="294">
        <f t="shared" ref="AX11" si="35">$D11/V11</f>
        <v>15.61212814645309</v>
      </c>
      <c r="AY11" s="294">
        <f t="shared" ref="AY11" si="36">$D11/W11</f>
        <v>14.84766050054407</v>
      </c>
    </row>
    <row r="12" spans="1:51">
      <c r="B12" s="310" t="s">
        <v>454</v>
      </c>
      <c r="C12" s="319">
        <v>70.5</v>
      </c>
      <c r="D12" s="312">
        <f>1379360</f>
        <v>1379360</v>
      </c>
      <c r="E12" s="312">
        <f>1233355</f>
        <v>1233355</v>
      </c>
      <c r="F12" s="313">
        <v>0.14000000000000001</v>
      </c>
      <c r="G12" s="314" t="s">
        <v>466</v>
      </c>
      <c r="H12" s="312">
        <v>941168</v>
      </c>
      <c r="I12" s="312">
        <v>1019329</v>
      </c>
      <c r="J12" s="312">
        <v>1099290</v>
      </c>
      <c r="K12" s="312">
        <v>1182421</v>
      </c>
      <c r="L12" s="312">
        <v>113350</v>
      </c>
      <c r="M12" s="312">
        <v>130847</v>
      </c>
      <c r="N12" s="312">
        <v>147023</v>
      </c>
      <c r="O12" s="312">
        <v>159092</v>
      </c>
      <c r="P12" s="312">
        <v>191668</v>
      </c>
      <c r="Q12" s="312">
        <v>188135</v>
      </c>
      <c r="R12" s="312">
        <v>210410</v>
      </c>
      <c r="S12" s="312">
        <v>222947</v>
      </c>
      <c r="T12" s="312">
        <v>79741</v>
      </c>
      <c r="U12" s="312">
        <v>106288</v>
      </c>
      <c r="V12" s="312">
        <v>123065</v>
      </c>
      <c r="W12" s="312">
        <v>137978</v>
      </c>
      <c r="X12" s="315">
        <f t="shared" ref="X12" si="37">L12/H12</f>
        <v>0.12043545891913027</v>
      </c>
      <c r="Y12" s="315">
        <f t="shared" ref="Y12" si="38">M12/I12</f>
        <v>0.1283658171208707</v>
      </c>
      <c r="Z12" s="315">
        <f t="shared" ref="Z12" si="39">N12/J12</f>
        <v>0.13374359814061804</v>
      </c>
      <c r="AA12" s="315">
        <f t="shared" ref="AA12" si="40">O12/K12</f>
        <v>0.13454767802669268</v>
      </c>
      <c r="AB12" s="315">
        <f t="shared" ref="AB12" si="41">P12/H12</f>
        <v>0.20364908284174557</v>
      </c>
      <c r="AC12" s="315">
        <f t="shared" ref="AC12" si="42">Q12/I12</f>
        <v>0.18456749489124707</v>
      </c>
      <c r="AD12" s="315">
        <f t="shared" ref="AD12" si="43">R12/J12</f>
        <v>0.1914053616425147</v>
      </c>
      <c r="AE12" s="315">
        <f t="shared" ref="AE12" si="44">S12/K12</f>
        <v>0.18855128587871833</v>
      </c>
      <c r="AF12" s="315">
        <f t="shared" ref="AF12" si="45">T12/H12</f>
        <v>8.4725575030175276E-2</v>
      </c>
      <c r="AG12" s="315">
        <f t="shared" ref="AG12" si="46">U12/I12</f>
        <v>0.10427251652802971</v>
      </c>
      <c r="AH12" s="315">
        <f t="shared" ref="AH12" si="47">V12/J12</f>
        <v>0.11194953106095752</v>
      </c>
      <c r="AI12" s="315">
        <f t="shared" ref="AI12" si="48">W12/K12</f>
        <v>0.11669109395046265</v>
      </c>
      <c r="AJ12" s="315">
        <f t="shared" ref="AJ12" si="49">RATE(3,0,-H12,K12)</f>
        <v>7.9033663372212126E-2</v>
      </c>
      <c r="AK12" s="315">
        <f t="shared" ref="AK12" si="50">RATE(3,0,-L12,O12)</f>
        <v>0.11963278173629137</v>
      </c>
      <c r="AL12" s="315">
        <f t="shared" ref="AL12" si="51">RATE(3,0,-P12,S12)</f>
        <v>5.1680949956667013E-2</v>
      </c>
      <c r="AM12" s="315">
        <f t="shared" ref="AM12" si="52">RATE(3,0,-T12,W12)</f>
        <v>0.20053840040297929</v>
      </c>
      <c r="AN12" s="318">
        <f t="shared" ref="AN12" si="53">$E12/L12</f>
        <v>10.880943978826643</v>
      </c>
      <c r="AO12" s="317">
        <f t="shared" ref="AO12" si="54">$E12/M12</f>
        <v>9.4259325777434722</v>
      </c>
      <c r="AP12" s="317">
        <f t="shared" ref="AP12" si="55">$E12/N12</f>
        <v>8.3888575256932594</v>
      </c>
      <c r="AQ12" s="317">
        <f t="shared" ref="AQ12" si="56">$E12/O12</f>
        <v>7.752463983104116</v>
      </c>
      <c r="AR12" s="317">
        <f t="shared" ref="AR12" si="57">$E12/P12</f>
        <v>6.4348508879938224</v>
      </c>
      <c r="AS12" s="317">
        <f t="shared" ref="AS12" si="58">$E12/Q12</f>
        <v>6.5556913918197042</v>
      </c>
      <c r="AT12" s="317">
        <f t="shared" ref="AT12" si="59">$E12/R12</f>
        <v>5.8616748253410007</v>
      </c>
      <c r="AU12" s="317">
        <f t="shared" ref="AU12" si="60">$E12/S12</f>
        <v>5.5320547035842598</v>
      </c>
      <c r="AV12" s="317">
        <f t="shared" ref="AV12" si="61">$D12/T12</f>
        <v>17.298002282389234</v>
      </c>
      <c r="AW12" s="317">
        <f t="shared" ref="AW12" si="62">$D12/U12</f>
        <v>12.977570374830648</v>
      </c>
      <c r="AX12" s="317">
        <f t="shared" ref="AX12" si="63">$D12/V12</f>
        <v>11.208385812375575</v>
      </c>
      <c r="AY12" s="317">
        <f t="shared" ref="AY12" si="64">$D12/W12</f>
        <v>9.996956036469582</v>
      </c>
    </row>
    <row r="13" spans="1:51">
      <c r="AN13" s="295"/>
    </row>
    <row r="14" spans="1:51">
      <c r="B14" s="296" t="s">
        <v>402</v>
      </c>
      <c r="C14" s="308">
        <f>'ASOS M&amp;A'!B7</f>
        <v>187.57</v>
      </c>
      <c r="D14" s="297">
        <v>2011100</v>
      </c>
      <c r="E14" s="297">
        <f>2086600*F14</f>
        <v>2086600</v>
      </c>
      <c r="F14" s="298">
        <v>1</v>
      </c>
      <c r="G14" s="299" t="s">
        <v>430</v>
      </c>
      <c r="H14" s="297">
        <v>574785</v>
      </c>
      <c r="I14" s="297">
        <v>638799</v>
      </c>
      <c r="J14" s="297">
        <v>710166</v>
      </c>
      <c r="K14" s="297">
        <v>788946</v>
      </c>
      <c r="L14" s="297">
        <v>36852</v>
      </c>
      <c r="M14" s="297">
        <v>62096</v>
      </c>
      <c r="N14" s="297">
        <v>76392</v>
      </c>
      <c r="O14" s="297">
        <v>97374</v>
      </c>
      <c r="P14" s="297">
        <v>110305</v>
      </c>
      <c r="Q14" s="297">
        <v>137471</v>
      </c>
      <c r="R14" s="297">
        <v>160268</v>
      </c>
      <c r="S14" s="297">
        <v>190901</v>
      </c>
      <c r="T14" s="297">
        <v>30425</v>
      </c>
      <c r="U14" s="297">
        <v>48857</v>
      </c>
      <c r="V14" s="297">
        <v>62336</v>
      </c>
      <c r="W14" s="297">
        <v>80060</v>
      </c>
      <c r="X14" s="300">
        <f>L14/H14</f>
        <v>6.4114407996033296E-2</v>
      </c>
      <c r="Y14" s="300">
        <f>M14/I14</f>
        <v>9.720741579119567E-2</v>
      </c>
      <c r="Z14" s="300">
        <f>N14/J14</f>
        <v>0.10756921621142099</v>
      </c>
      <c r="AA14" s="300">
        <f>O14/K14</f>
        <v>0.12342289586359523</v>
      </c>
      <c r="AB14" s="300">
        <f>P14/H14</f>
        <v>0.19190653896674409</v>
      </c>
      <c r="AC14" s="300">
        <f>Q14/I14</f>
        <v>0.21520227802485603</v>
      </c>
      <c r="AD14" s="300">
        <f>R14/J14</f>
        <v>0.22567681359006203</v>
      </c>
      <c r="AE14" s="300">
        <f>S14/K14</f>
        <v>0.24196966585799282</v>
      </c>
      <c r="AF14" s="300">
        <f>T14/H14</f>
        <v>5.2932835755978319E-2</v>
      </c>
      <c r="AG14" s="300">
        <f>U14/I14</f>
        <v>7.648258685439395E-2</v>
      </c>
      <c r="AH14" s="300">
        <f>V14/J14</f>
        <v>8.7776660668069162E-2</v>
      </c>
      <c r="AI14" s="300">
        <f>W14/K14</f>
        <v>0.10147716066752351</v>
      </c>
      <c r="AJ14" s="301">
        <f>RATE(3,0,-H14,K14)</f>
        <v>0.11134086546742387</v>
      </c>
      <c r="AK14" s="300">
        <f>RATE(3,0,-L14,O14)</f>
        <v>0.38248570505702389</v>
      </c>
      <c r="AL14" s="300">
        <f>RATE(3,0,-P14,S14)</f>
        <v>0.20061657536112076</v>
      </c>
      <c r="AM14" s="301">
        <f>RATE(3,0,-T14,W14)</f>
        <v>0.38058028187269721</v>
      </c>
      <c r="AN14" s="302">
        <f t="shared" ref="AN14:AU14" si="65">$E14/L14</f>
        <v>56.621078910235539</v>
      </c>
      <c r="AO14" s="309">
        <f t="shared" si="65"/>
        <v>33.602808554496264</v>
      </c>
      <c r="AP14" s="303">
        <f t="shared" si="65"/>
        <v>27.314378468949627</v>
      </c>
      <c r="AQ14" s="303">
        <f t="shared" si="65"/>
        <v>21.428718138312075</v>
      </c>
      <c r="AR14" s="303">
        <f t="shared" si="65"/>
        <v>18.916640224831148</v>
      </c>
      <c r="AS14" s="309">
        <f t="shared" si="65"/>
        <v>15.178474005426599</v>
      </c>
      <c r="AT14" s="303">
        <f t="shared" si="65"/>
        <v>13.019442433923178</v>
      </c>
      <c r="AU14" s="303">
        <f t="shared" si="65"/>
        <v>10.930272759178841</v>
      </c>
      <c r="AV14" s="303">
        <f>$D14/T14</f>
        <v>66.100246507806077</v>
      </c>
      <c r="AW14" s="303">
        <f>$D14/U14</f>
        <v>41.16298585668379</v>
      </c>
      <c r="AX14" s="303">
        <f>$D14/V14</f>
        <v>32.26225616016427</v>
      </c>
      <c r="AY14" s="303">
        <f>$D14/W14</f>
        <v>25.119910067449414</v>
      </c>
    </row>
    <row r="15" spans="1:51">
      <c r="AN15" s="295"/>
    </row>
    <row r="16" spans="1:51">
      <c r="B16" t="s">
        <v>431</v>
      </c>
      <c r="X16" s="27">
        <f t="shared" ref="X16:AY16" si="66">AVERAGE(X5:X10)</f>
        <v>0.17205597406443218</v>
      </c>
      <c r="Y16" s="27">
        <f t="shared" si="66"/>
        <v>0.18935238457901563</v>
      </c>
      <c r="Z16" s="27">
        <f t="shared" si="66"/>
        <v>0.19411372413124375</v>
      </c>
      <c r="AA16" s="27">
        <f t="shared" si="66"/>
        <v>0.20051881970596744</v>
      </c>
      <c r="AB16" s="27">
        <f t="shared" si="66"/>
        <v>0.21404354272449</v>
      </c>
      <c r="AC16" s="27">
        <f t="shared" si="66"/>
        <v>0.23435440519311471</v>
      </c>
      <c r="AD16" s="27">
        <f t="shared" si="66"/>
        <v>0.23986551861316832</v>
      </c>
      <c r="AE16" s="27">
        <f t="shared" si="66"/>
        <v>0.24564518917750436</v>
      </c>
      <c r="AF16" s="27">
        <f t="shared" si="66"/>
        <v>0.13842068834768248</v>
      </c>
      <c r="AG16" s="27">
        <f t="shared" si="66"/>
        <v>0.15614650861566851</v>
      </c>
      <c r="AH16" s="27">
        <f t="shared" si="66"/>
        <v>0.15852562053756541</v>
      </c>
      <c r="AI16" s="27">
        <f t="shared" si="66"/>
        <v>0.16269549107353731</v>
      </c>
      <c r="AJ16" s="27">
        <f t="shared" si="66"/>
        <v>8.6694728537055246E-2</v>
      </c>
      <c r="AK16" s="27">
        <f t="shared" si="66"/>
        <v>0.14533339285829053</v>
      </c>
      <c r="AL16" s="27">
        <f t="shared" si="66"/>
        <v>0.13449102364891827</v>
      </c>
      <c r="AM16" s="27">
        <f t="shared" si="66"/>
        <v>0.15276637378122551</v>
      </c>
      <c r="AN16" s="293">
        <f t="shared" si="66"/>
        <v>31.539156239151612</v>
      </c>
      <c r="AO16" s="294">
        <f t="shared" si="66"/>
        <v>26.280730471043029</v>
      </c>
      <c r="AP16" s="294">
        <f t="shared" si="66"/>
        <v>23.250174993142213</v>
      </c>
      <c r="AQ16" s="294">
        <f t="shared" si="66"/>
        <v>20.606200646254845</v>
      </c>
      <c r="AR16" s="294">
        <f t="shared" si="66"/>
        <v>25.289942056425236</v>
      </c>
      <c r="AS16" s="294">
        <f t="shared" si="66"/>
        <v>21.059970507141596</v>
      </c>
      <c r="AT16" s="294">
        <f t="shared" si="66"/>
        <v>18.612402206935318</v>
      </c>
      <c r="AU16" s="294">
        <f t="shared" si="66"/>
        <v>16.689751998072282</v>
      </c>
      <c r="AV16" s="294">
        <f t="shared" si="66"/>
        <v>40.304419565102023</v>
      </c>
      <c r="AW16" s="294">
        <f t="shared" si="66"/>
        <v>32.205036785565873</v>
      </c>
      <c r="AX16" s="294">
        <f t="shared" si="66"/>
        <v>28.93924090728575</v>
      </c>
      <c r="AY16" s="294">
        <f t="shared" si="66"/>
        <v>26.050398167298482</v>
      </c>
    </row>
    <row r="17" spans="2:51">
      <c r="B17" t="s">
        <v>432</v>
      </c>
      <c r="X17" s="27">
        <f t="shared" ref="X17:AY17" si="67">MEDIAN(X5:X10)</f>
        <v>0.12967063902987483</v>
      </c>
      <c r="Y17" s="27">
        <f t="shared" si="67"/>
        <v>0.15240903193694214</v>
      </c>
      <c r="Z17" s="27">
        <f t="shared" si="67"/>
        <v>0.16353491371652271</v>
      </c>
      <c r="AA17" s="27">
        <f t="shared" si="67"/>
        <v>0.1735408927773131</v>
      </c>
      <c r="AB17" s="27">
        <f t="shared" si="67"/>
        <v>0.15345684360395628</v>
      </c>
      <c r="AC17" s="27">
        <f t="shared" si="67"/>
        <v>0.17536769942310126</v>
      </c>
      <c r="AD17" s="27">
        <f t="shared" si="67"/>
        <v>0.18608661187999376</v>
      </c>
      <c r="AE17" s="27">
        <f t="shared" si="67"/>
        <v>0.19424306350977652</v>
      </c>
      <c r="AF17" s="27">
        <f t="shared" si="67"/>
        <v>9.9444944469998131E-2</v>
      </c>
      <c r="AG17" s="27">
        <f t="shared" si="67"/>
        <v>0.12428463759010462</v>
      </c>
      <c r="AH17" s="27">
        <f t="shared" si="67"/>
        <v>0.1321456362630069</v>
      </c>
      <c r="AI17" s="27">
        <f t="shared" si="67"/>
        <v>0.13873228778421265</v>
      </c>
      <c r="AJ17" s="27">
        <f t="shared" si="67"/>
        <v>8.8857309950971991E-2</v>
      </c>
      <c r="AK17" s="27">
        <f t="shared" si="67"/>
        <v>0.1407828931423786</v>
      </c>
      <c r="AL17" s="27">
        <f t="shared" si="67"/>
        <v>0.13186785767053363</v>
      </c>
      <c r="AM17" s="27">
        <f t="shared" si="67"/>
        <v>0.15305914104115637</v>
      </c>
      <c r="AN17" s="293">
        <f t="shared" si="67"/>
        <v>31.383930631303187</v>
      </c>
      <c r="AO17" s="294">
        <f t="shared" si="67"/>
        <v>25.647472561731234</v>
      </c>
      <c r="AP17" s="294">
        <f t="shared" si="67"/>
        <v>22.369695197143265</v>
      </c>
      <c r="AQ17" s="294">
        <f t="shared" si="67"/>
        <v>19.494444940065463</v>
      </c>
      <c r="AR17" s="294">
        <f t="shared" si="67"/>
        <v>25.198737648725729</v>
      </c>
      <c r="AS17" s="294">
        <f t="shared" si="67"/>
        <v>20.299468795554002</v>
      </c>
      <c r="AT17" s="294">
        <f t="shared" si="67"/>
        <v>17.940422246693643</v>
      </c>
      <c r="AU17" s="294">
        <f t="shared" si="67"/>
        <v>15.876105437076342</v>
      </c>
      <c r="AV17" s="294">
        <f t="shared" si="67"/>
        <v>40.508946232005002</v>
      </c>
      <c r="AW17" s="294">
        <f t="shared" si="67"/>
        <v>31.793306107984129</v>
      </c>
      <c r="AX17" s="294">
        <f t="shared" si="67"/>
        <v>27.958126946533348</v>
      </c>
      <c r="AY17" s="294">
        <f t="shared" si="67"/>
        <v>24.88598536216951</v>
      </c>
    </row>
    <row r="18" spans="2:51">
      <c r="B18" t="s">
        <v>402</v>
      </c>
      <c r="X18" s="27">
        <f t="shared" ref="X18:AY18" si="68">X14</f>
        <v>6.4114407996033296E-2</v>
      </c>
      <c r="Y18" s="27">
        <f t="shared" si="68"/>
        <v>9.720741579119567E-2</v>
      </c>
      <c r="Z18" s="27">
        <f t="shared" si="68"/>
        <v>0.10756921621142099</v>
      </c>
      <c r="AA18" s="27">
        <f t="shared" si="68"/>
        <v>0.12342289586359523</v>
      </c>
      <c r="AB18" s="27">
        <f t="shared" si="68"/>
        <v>0.19190653896674409</v>
      </c>
      <c r="AC18" s="27">
        <f t="shared" si="68"/>
        <v>0.21520227802485603</v>
      </c>
      <c r="AD18" s="27">
        <f t="shared" si="68"/>
        <v>0.22567681359006203</v>
      </c>
      <c r="AE18" s="27">
        <f t="shared" si="68"/>
        <v>0.24196966585799282</v>
      </c>
      <c r="AF18" s="27">
        <f t="shared" si="68"/>
        <v>5.2932835755978319E-2</v>
      </c>
      <c r="AG18" s="27">
        <f t="shared" si="68"/>
        <v>7.648258685439395E-2</v>
      </c>
      <c r="AH18" s="27">
        <f t="shared" si="68"/>
        <v>8.7776660668069162E-2</v>
      </c>
      <c r="AI18" s="27">
        <f t="shared" si="68"/>
        <v>0.10147716066752351</v>
      </c>
      <c r="AJ18" s="27">
        <f t="shared" si="68"/>
        <v>0.11134086546742387</v>
      </c>
      <c r="AK18" s="27">
        <f t="shared" si="68"/>
        <v>0.38248570505702389</v>
      </c>
      <c r="AL18" s="27">
        <f t="shared" si="68"/>
        <v>0.20061657536112076</v>
      </c>
      <c r="AM18" s="27">
        <f t="shared" si="68"/>
        <v>0.38058028187269721</v>
      </c>
      <c r="AN18" s="293">
        <f t="shared" si="68"/>
        <v>56.621078910235539</v>
      </c>
      <c r="AO18" s="294">
        <f t="shared" si="68"/>
        <v>33.602808554496264</v>
      </c>
      <c r="AP18" s="294">
        <f t="shared" si="68"/>
        <v>27.314378468949627</v>
      </c>
      <c r="AQ18" s="294">
        <f t="shared" si="68"/>
        <v>21.428718138312075</v>
      </c>
      <c r="AR18" s="294">
        <f t="shared" si="68"/>
        <v>18.916640224831148</v>
      </c>
      <c r="AS18" s="294">
        <f t="shared" si="68"/>
        <v>15.178474005426599</v>
      </c>
      <c r="AT18" s="294">
        <f t="shared" si="68"/>
        <v>13.019442433923178</v>
      </c>
      <c r="AU18" s="294">
        <f t="shared" si="68"/>
        <v>10.930272759178841</v>
      </c>
      <c r="AV18" s="294">
        <f t="shared" si="68"/>
        <v>66.100246507806077</v>
      </c>
      <c r="AW18" s="294">
        <f t="shared" si="68"/>
        <v>41.16298585668379</v>
      </c>
      <c r="AX18" s="294">
        <f t="shared" si="68"/>
        <v>32.26225616016427</v>
      </c>
      <c r="AY18" s="294">
        <f t="shared" si="68"/>
        <v>25.119910067449414</v>
      </c>
    </row>
    <row r="19" spans="2:51">
      <c r="AR19" t="s">
        <v>432</v>
      </c>
      <c r="AS19" s="294">
        <f>MEDIAN(AS5:AS6,AS9,AS12)</f>
        <v>12.032177467225388</v>
      </c>
    </row>
    <row r="20" spans="2:51">
      <c r="AR20" t="s">
        <v>433</v>
      </c>
      <c r="AS20" s="294">
        <f>AS19*1.2</f>
        <v>14.438612960670465</v>
      </c>
      <c r="AW20" s="294"/>
    </row>
    <row r="21" spans="2:51">
      <c r="AR21" t="s">
        <v>434</v>
      </c>
      <c r="AS21" s="294">
        <f>AS19*0.8</f>
        <v>9.6257419737803112</v>
      </c>
      <c r="AW21" s="294"/>
    </row>
    <row r="22" spans="2:51">
      <c r="B22" t="s">
        <v>455</v>
      </c>
      <c r="AL22" s="33"/>
      <c r="AN22" t="s">
        <v>435</v>
      </c>
      <c r="AO22" s="294">
        <f>MAX(AO5:AO6,AO9,AO12)</f>
        <v>40.832788314802706</v>
      </c>
    </row>
    <row r="23" spans="2:51">
      <c r="B23" t="s">
        <v>453</v>
      </c>
      <c r="AL23" s="33"/>
      <c r="AN23" t="s">
        <v>436</v>
      </c>
      <c r="AO23" s="294">
        <f>MIN(AO5:AO6,AO9,AO12)</f>
        <v>9.4259325777434722</v>
      </c>
    </row>
    <row r="24" spans="2:51">
      <c r="B24" t="s">
        <v>456</v>
      </c>
      <c r="AR24" t="s">
        <v>433</v>
      </c>
      <c r="AS24" s="294">
        <f>MAX(AS5:AS6,AS9,AS12)</f>
        <v>32.87695278216605</v>
      </c>
      <c r="AV24" t="s">
        <v>437</v>
      </c>
      <c r="AW24" s="294">
        <f>MAX(AW5:AW6,AW9,AW12)</f>
        <v>51.979583390812529</v>
      </c>
    </row>
    <row r="25" spans="2:51">
      <c r="B25" t="s">
        <v>457</v>
      </c>
      <c r="AN25" t="s">
        <v>218</v>
      </c>
      <c r="AO25" s="9">
        <f>M14</f>
        <v>62096</v>
      </c>
      <c r="AR25" t="s">
        <v>434</v>
      </c>
      <c r="AS25" s="294">
        <f>MIN(AS5:AS6,AS9,AS12)</f>
        <v>6.5556913918197042</v>
      </c>
      <c r="AV25" t="s">
        <v>438</v>
      </c>
      <c r="AW25" s="294">
        <f>MIN(AW5:AW6,AW9,AW12)</f>
        <v>12.977570374830648</v>
      </c>
    </row>
    <row r="26" spans="2:51">
      <c r="B26" t="s">
        <v>462</v>
      </c>
      <c r="AO26" s="9"/>
    </row>
    <row r="27" spans="2:51">
      <c r="B27" t="s">
        <v>463</v>
      </c>
      <c r="AL27" s="33"/>
      <c r="AN27" t="s">
        <v>439</v>
      </c>
      <c r="AO27" s="134">
        <f>AO25*AO22</f>
        <v>2535552.8231959888</v>
      </c>
      <c r="AR27" t="s">
        <v>218</v>
      </c>
      <c r="AS27" s="9">
        <f>Q14</f>
        <v>137471</v>
      </c>
      <c r="AV27" t="s">
        <v>147</v>
      </c>
      <c r="AW27" s="9">
        <f>U14</f>
        <v>48857</v>
      </c>
    </row>
    <row r="28" spans="2:51">
      <c r="B28" t="s">
        <v>464</v>
      </c>
      <c r="AL28" s="33"/>
      <c r="AN28" t="s">
        <v>440</v>
      </c>
      <c r="AO28" s="134">
        <f>AO25*AO23</f>
        <v>585312.70934755867</v>
      </c>
      <c r="AS28" s="9"/>
      <c r="AW28" s="9"/>
    </row>
    <row r="29" spans="2:51">
      <c r="B29" t="s">
        <v>454</v>
      </c>
      <c r="AL29" s="33"/>
      <c r="AR29" t="s">
        <v>439</v>
      </c>
      <c r="AS29" s="134">
        <f>AS27*AS24</f>
        <v>4519627.575917149</v>
      </c>
      <c r="AV29" t="s">
        <v>441</v>
      </c>
      <c r="AW29" s="134">
        <f>AW27*AW24</f>
        <v>2539566.5057249279</v>
      </c>
    </row>
    <row r="30" spans="2:51">
      <c r="AL30" s="33"/>
      <c r="AR30" t="s">
        <v>440</v>
      </c>
      <c r="AS30" s="134">
        <f>AS27*AS25</f>
        <v>901217.4513248466</v>
      </c>
      <c r="AV30" t="s">
        <v>442</v>
      </c>
      <c r="AW30" s="134">
        <f>AW27*AW25</f>
        <v>634045.15580310102</v>
      </c>
    </row>
    <row r="31" spans="2:51">
      <c r="AN31" t="s">
        <v>234</v>
      </c>
      <c r="AO31" s="134">
        <f ca="1">BS!H8-BS!H25</f>
        <v>39167.328723951607</v>
      </c>
    </row>
    <row r="32" spans="2:51">
      <c r="B32" s="326" t="s">
        <v>465</v>
      </c>
      <c r="AL32" s="33"/>
      <c r="AN32" t="s">
        <v>443</v>
      </c>
      <c r="AO32" s="59">
        <f ca="1">AO27-AO31</f>
        <v>2496385.4944720371</v>
      </c>
      <c r="AV32" t="s">
        <v>444</v>
      </c>
      <c r="AW32" s="129">
        <f>AS37</f>
        <v>10383</v>
      </c>
    </row>
    <row r="33" spans="36:49">
      <c r="AL33" s="33"/>
      <c r="AN33" t="s">
        <v>445</v>
      </c>
      <c r="AO33" s="59">
        <f ca="1">AO28-AO31</f>
        <v>546145.38062360708</v>
      </c>
      <c r="AR33" t="s">
        <v>234</v>
      </c>
      <c r="AS33" s="134">
        <f ca="1">AO31</f>
        <v>39167.328723951607</v>
      </c>
      <c r="AW33" s="304"/>
    </row>
    <row r="34" spans="36:49">
      <c r="AR34" t="s">
        <v>443</v>
      </c>
      <c r="AS34" s="59">
        <f ca="1">AS29-AS33</f>
        <v>4480460.2471931977</v>
      </c>
      <c r="AV34" t="s">
        <v>446</v>
      </c>
      <c r="AW34" s="304">
        <f>AW29/AW32</f>
        <v>244.58889586101589</v>
      </c>
    </row>
    <row r="35" spans="36:49">
      <c r="AJ35" s="33"/>
      <c r="AN35" t="s">
        <v>444</v>
      </c>
      <c r="AO35" s="129">
        <f>SH!H75</f>
        <v>10383</v>
      </c>
      <c r="AR35" t="s">
        <v>445</v>
      </c>
      <c r="AS35" s="59">
        <f ca="1">AS30-AS33</f>
        <v>862050.122600895</v>
      </c>
      <c r="AV35" t="s">
        <v>447</v>
      </c>
      <c r="AW35" s="304">
        <f>AW30/AW32</f>
        <v>61.065699297226331</v>
      </c>
    </row>
    <row r="37" spans="36:49">
      <c r="AL37" s="33"/>
      <c r="AN37" t="s">
        <v>446</v>
      </c>
      <c r="AO37" s="304">
        <f ca="1">AO32/AO35</f>
        <v>240.43007747973004</v>
      </c>
      <c r="AR37" t="s">
        <v>444</v>
      </c>
      <c r="AS37" s="129">
        <f>AO35</f>
        <v>10383</v>
      </c>
    </row>
    <row r="38" spans="36:49">
      <c r="AL38" s="33"/>
      <c r="AN38" t="s">
        <v>447</v>
      </c>
      <c r="AO38" s="304">
        <f ca="1">AO33/AO35</f>
        <v>52.599959609323612</v>
      </c>
      <c r="AS38" s="304"/>
    </row>
    <row r="39" spans="36:49">
      <c r="AR39" t="s">
        <v>446</v>
      </c>
      <c r="AS39" s="304">
        <f ca="1">AS34/AS37</f>
        <v>431.51885266235172</v>
      </c>
    </row>
    <row r="40" spans="36:49">
      <c r="AR40" t="s">
        <v>447</v>
      </c>
      <c r="AS40" s="304">
        <f ca="1">AS35/AS37</f>
        <v>83.025149051420115</v>
      </c>
    </row>
  </sheetData>
  <mergeCells count="11">
    <mergeCell ref="X3:AA3"/>
    <mergeCell ref="B3:B4"/>
    <mergeCell ref="H3:K3"/>
    <mergeCell ref="L3:O3"/>
    <mergeCell ref="P3:S3"/>
    <mergeCell ref="T3:W3"/>
    <mergeCell ref="AB3:AE3"/>
    <mergeCell ref="AF3:AI3"/>
    <mergeCell ref="AN3:AQ3"/>
    <mergeCell ref="AR3:AU3"/>
    <mergeCell ref="AV3:AY3"/>
  </mergeCells>
  <hyperlinks>
    <hyperlink ref="B32" r:id="rId1" xr:uid="{6FE66236-798F-491F-9EE1-72440970EB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34E6-D0BE-4366-9B85-655A4FD6BB85}">
  <dimension ref="A1:N98"/>
  <sheetViews>
    <sheetView showGridLines="0" topLeftCell="A7" zoomScale="57" workbookViewId="0">
      <selection activeCell="AB84" sqref="AB84"/>
    </sheetView>
  </sheetViews>
  <sheetFormatPr defaultRowHeight="15"/>
  <cols>
    <col min="1" max="1" width="6.140625" bestFit="1" customWidth="1"/>
    <col min="2" max="2" width="69.85546875" bestFit="1" customWidth="1"/>
    <col min="3" max="3" width="12.5703125" bestFit="1" customWidth="1"/>
    <col min="4" max="8" width="7.42578125" bestFit="1" customWidth="1"/>
    <col min="9" max="9" width="9" bestFit="1" customWidth="1"/>
  </cols>
  <sheetData>
    <row r="1" spans="1:14">
      <c r="A1" t="s">
        <v>468</v>
      </c>
    </row>
    <row r="3" spans="1:14">
      <c r="C3" s="320"/>
      <c r="D3" s="320">
        <v>2023</v>
      </c>
      <c r="E3" s="321">
        <f>D3+1</f>
        <v>2024</v>
      </c>
      <c r="F3" s="321">
        <f t="shared" ref="F3:I3" si="0">E3+1</f>
        <v>2025</v>
      </c>
      <c r="G3" s="321">
        <f t="shared" si="0"/>
        <v>2026</v>
      </c>
      <c r="H3" s="321">
        <f t="shared" si="0"/>
        <v>2027</v>
      </c>
      <c r="I3" s="321">
        <f t="shared" si="0"/>
        <v>2028</v>
      </c>
      <c r="J3" s="321">
        <f t="shared" ref="J3" si="1">I3+1</f>
        <v>2029</v>
      </c>
      <c r="K3" s="321">
        <f t="shared" ref="K3" si="2">J3+1</f>
        <v>2030</v>
      </c>
      <c r="L3" s="321">
        <f t="shared" ref="L3" si="3">K3+1</f>
        <v>2031</v>
      </c>
      <c r="M3" s="321">
        <f t="shared" ref="M3" si="4">L3+1</f>
        <v>2032</v>
      </c>
      <c r="N3" s="321">
        <f t="shared" ref="N3" si="5">M3+1</f>
        <v>2033</v>
      </c>
    </row>
    <row r="4" spans="1:14">
      <c r="C4" t="s">
        <v>73</v>
      </c>
      <c r="D4" s="9">
        <f>IS!G8</f>
        <v>574785</v>
      </c>
      <c r="E4" s="9">
        <f>IS!H8</f>
        <v>638011.35000000009</v>
      </c>
      <c r="F4" s="9">
        <f>IS!I8</f>
        <v>708192.5985000002</v>
      </c>
      <c r="G4" s="9">
        <f>IS!J8</f>
        <v>786093.78433500032</v>
      </c>
      <c r="H4" s="9">
        <f>IS!K8</f>
        <v>872564.10061185039</v>
      </c>
      <c r="I4" s="9">
        <f>IS!L8</f>
        <v>968546.15167915402</v>
      </c>
      <c r="J4" s="9">
        <f>IS!M8</f>
        <v>1075086.2283638611</v>
      </c>
      <c r="K4" s="9">
        <f>IS!N8</f>
        <v>1193345.7134838859</v>
      </c>
      <c r="L4" s="9">
        <f>IS!O8</f>
        <v>1324613.7419671135</v>
      </c>
      <c r="M4" s="9">
        <f>IS!P8</f>
        <v>1470321.253583496</v>
      </c>
      <c r="N4" s="9">
        <f>IS!Q8</f>
        <v>1632056.5914776807</v>
      </c>
    </row>
    <row r="5" spans="1:14">
      <c r="C5" t="s">
        <v>216</v>
      </c>
      <c r="D5" s="9">
        <f>IS!G19</f>
        <v>85873</v>
      </c>
      <c r="E5" s="9">
        <f>IS!H19</f>
        <v>93909.964216450389</v>
      </c>
      <c r="F5" s="9">
        <f>IS!I19</f>
        <v>103748.16855882591</v>
      </c>
      <c r="G5" s="9">
        <f>IS!J19</f>
        <v>114856.81554589685</v>
      </c>
      <c r="H5" s="9">
        <f>IS!K19</f>
        <v>127339.80454223818</v>
      </c>
      <c r="I5" s="9">
        <f>IS!L19</f>
        <v>141319.74235260801</v>
      </c>
      <c r="J5" s="9">
        <f>IS!M19</f>
        <v>156938.41829861366</v>
      </c>
      <c r="K5" s="9">
        <f>IS!N19</f>
        <v>174357.69863957184</v>
      </c>
      <c r="L5" s="9">
        <f>IS!O19</f>
        <v>193760.79665825464</v>
      </c>
      <c r="M5" s="9">
        <f>IS!P19</f>
        <v>215353.89279072866</v>
      </c>
      <c r="N5" s="9">
        <f>IS!Q19</f>
        <v>239368.09324233752</v>
      </c>
    </row>
    <row r="6" spans="1:14">
      <c r="C6" t="s">
        <v>467</v>
      </c>
      <c r="D6" s="27">
        <f>D5/D4</f>
        <v>0.14940021051349636</v>
      </c>
      <c r="E6" s="27">
        <f t="shared" ref="E6:I6" si="6">E5/E4</f>
        <v>0.14719168274428093</v>
      </c>
      <c r="F6" s="27">
        <f t="shared" si="6"/>
        <v>0.14649710937190186</v>
      </c>
      <c r="G6" s="27">
        <f t="shared" si="6"/>
        <v>0.14611083032931052</v>
      </c>
      <c r="H6" s="27">
        <f t="shared" si="6"/>
        <v>0.14593747835023957</v>
      </c>
      <c r="I6" s="27">
        <f t="shared" si="6"/>
        <v>0.14590914651573814</v>
      </c>
      <c r="J6" s="27">
        <f t="shared" ref="J6:N6" si="7">J5/J4</f>
        <v>0.14597751711270002</v>
      </c>
      <c r="K6" s="27">
        <f t="shared" si="7"/>
        <v>0.14610828753936464</v>
      </c>
      <c r="L6" s="27">
        <f t="shared" si="7"/>
        <v>0.14627720558788013</v>
      </c>
      <c r="M6" s="27">
        <f t="shared" si="7"/>
        <v>0.14646723786782234</v>
      </c>
      <c r="N6" s="27">
        <f t="shared" si="7"/>
        <v>0.14666653993021847</v>
      </c>
    </row>
    <row r="26" spans="2:4">
      <c r="B26" t="s">
        <v>473</v>
      </c>
    </row>
    <row r="27" spans="2:4">
      <c r="B27" t="s">
        <v>469</v>
      </c>
    </row>
    <row r="28" spans="2:4">
      <c r="C28">
        <v>2020</v>
      </c>
      <c r="D28">
        <v>2023</v>
      </c>
    </row>
    <row r="29" spans="2:4">
      <c r="B29" t="s">
        <v>402</v>
      </c>
      <c r="C29" s="67">
        <v>0.38700000000000001</v>
      </c>
      <c r="D29" s="67">
        <v>0.376</v>
      </c>
    </row>
    <row r="30" spans="2:4">
      <c r="B30" t="s">
        <v>449</v>
      </c>
      <c r="C30" s="67">
        <v>5.2999999999999999E-2</v>
      </c>
      <c r="D30" s="67">
        <v>6.4000000000000001E-2</v>
      </c>
    </row>
    <row r="31" spans="2:4">
      <c r="B31" t="s">
        <v>458</v>
      </c>
      <c r="C31" s="67">
        <v>1.2E-2</v>
      </c>
      <c r="D31" s="67">
        <v>1.4999999999999999E-2</v>
      </c>
    </row>
    <row r="32" spans="2:4">
      <c r="B32" t="s">
        <v>470</v>
      </c>
      <c r="C32" s="67">
        <v>3.6999999999999998E-2</v>
      </c>
      <c r="D32" s="67">
        <v>3.5999999999999997E-2</v>
      </c>
    </row>
    <row r="33" spans="2:4">
      <c r="B33" t="s">
        <v>453</v>
      </c>
      <c r="C33" s="67">
        <v>4.7E-2</v>
      </c>
      <c r="D33" s="67">
        <v>0.03</v>
      </c>
    </row>
    <row r="34" spans="2:4">
      <c r="B34" t="s">
        <v>344</v>
      </c>
      <c r="C34" s="67">
        <v>1.2E-2</v>
      </c>
      <c r="D34" s="67">
        <v>1.9E-2</v>
      </c>
    </row>
    <row r="35" spans="2:4">
      <c r="B35" t="s">
        <v>471</v>
      </c>
      <c r="C35" s="67">
        <v>1.7000000000000001E-2</v>
      </c>
      <c r="D35" s="67">
        <v>1.9E-2</v>
      </c>
    </row>
    <row r="36" spans="2:4">
      <c r="B36" t="s">
        <v>472</v>
      </c>
      <c r="C36" s="67">
        <v>1.3000000000000001E-2</v>
      </c>
      <c r="D36" s="67">
        <v>1.3999999999999999E-2</v>
      </c>
    </row>
    <row r="37" spans="2:4">
      <c r="B37" t="s">
        <v>153</v>
      </c>
      <c r="C37" s="67">
        <f>1-SUM(C29:C36)</f>
        <v>0.42199999999999993</v>
      </c>
      <c r="D37" s="67">
        <f>1-SUM(D29:D36)</f>
        <v>0.42699999999999994</v>
      </c>
    </row>
    <row r="38" spans="2:4">
      <c r="C38" s="67"/>
      <c r="D38" s="67"/>
    </row>
    <row r="76" spans="2:5">
      <c r="C76" s="67">
        <v>0.09</v>
      </c>
      <c r="D76" s="67">
        <v>0.2</v>
      </c>
    </row>
    <row r="78" spans="2:5">
      <c r="B78" t="s">
        <v>474</v>
      </c>
    </row>
    <row r="79" spans="2:5">
      <c r="C79" t="s">
        <v>475</v>
      </c>
      <c r="D79" t="s">
        <v>476</v>
      </c>
      <c r="E79" t="s">
        <v>477</v>
      </c>
    </row>
    <row r="80" spans="2:5">
      <c r="B80" t="s">
        <v>354</v>
      </c>
      <c r="C80">
        <v>52.8</v>
      </c>
      <c r="D80">
        <f>E80-C80</f>
        <v>5.9000000000000057</v>
      </c>
      <c r="E80">
        <v>58.7</v>
      </c>
    </row>
    <row r="81" spans="2:11">
      <c r="B81" t="s">
        <v>424</v>
      </c>
      <c r="C81">
        <v>10.36345</v>
      </c>
      <c r="D81">
        <f t="shared" ref="D81:D83" si="8">E81-C81</f>
        <v>4.1837599999999995</v>
      </c>
      <c r="E81">
        <v>14.54721</v>
      </c>
    </row>
    <row r="82" spans="2:11">
      <c r="B82" t="s">
        <v>423</v>
      </c>
      <c r="C82">
        <v>21.02</v>
      </c>
      <c r="D82">
        <f t="shared" si="8"/>
        <v>12.970000000000002</v>
      </c>
      <c r="E82">
        <v>33.99</v>
      </c>
      <c r="K82">
        <v>13.674429999999999</v>
      </c>
    </row>
    <row r="83" spans="2:11">
      <c r="B83" t="s">
        <v>488</v>
      </c>
      <c r="C83">
        <v>100</v>
      </c>
      <c r="D83">
        <f t="shared" si="8"/>
        <v>30</v>
      </c>
      <c r="E83">
        <v>130</v>
      </c>
    </row>
    <row r="84" spans="2:11">
      <c r="B84" t="s">
        <v>489</v>
      </c>
      <c r="C84">
        <v>230.78</v>
      </c>
      <c r="E84">
        <v>330.84</v>
      </c>
    </row>
    <row r="85" spans="2:11">
      <c r="B85" t="s">
        <v>490</v>
      </c>
      <c r="C85">
        <v>159.43</v>
      </c>
      <c r="E85">
        <v>225.08</v>
      </c>
    </row>
    <row r="92" spans="2:11">
      <c r="B92" t="s">
        <v>478</v>
      </c>
    </row>
    <row r="93" spans="2:11">
      <c r="C93" t="s">
        <v>477</v>
      </c>
      <c r="D93" t="s">
        <v>477</v>
      </c>
    </row>
    <row r="94" spans="2:11">
      <c r="B94" t="s">
        <v>479</v>
      </c>
      <c r="C94" s="134">
        <v>5000</v>
      </c>
      <c r="D94" s="134">
        <v>0</v>
      </c>
    </row>
    <row r="95" spans="2:11">
      <c r="B95" t="s">
        <v>480</v>
      </c>
      <c r="C95" s="134">
        <v>5000</v>
      </c>
      <c r="D95" s="134">
        <v>3000</v>
      </c>
    </row>
    <row r="96" spans="2:11">
      <c r="B96" t="s">
        <v>481</v>
      </c>
      <c r="C96" s="134">
        <f>C95+D95</f>
        <v>8000</v>
      </c>
      <c r="D96" s="134">
        <v>1000</v>
      </c>
    </row>
    <row r="97" spans="2:4">
      <c r="B97" t="s">
        <v>482</v>
      </c>
      <c r="C97" s="134">
        <f t="shared" ref="C97" si="9">C96+D96</f>
        <v>9000</v>
      </c>
      <c r="D97" s="134">
        <v>1000</v>
      </c>
    </row>
    <row r="98" spans="2:4">
      <c r="B98" t="s">
        <v>483</v>
      </c>
      <c r="C98" s="134">
        <f>C97+D97</f>
        <v>10000</v>
      </c>
      <c r="D98" s="134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4D5-77AD-44EB-989D-0583E048441F}">
  <dimension ref="B5:M15"/>
  <sheetViews>
    <sheetView topLeftCell="B4" zoomScale="110" workbookViewId="0">
      <selection activeCell="D20" sqref="D20"/>
    </sheetView>
  </sheetViews>
  <sheetFormatPr defaultRowHeight="15"/>
  <cols>
    <col min="2" max="2" width="17.5703125" customWidth="1"/>
    <col min="3" max="3" width="6.85546875" bestFit="1" customWidth="1"/>
    <col min="4" max="4" width="70.5703125" customWidth="1"/>
  </cols>
  <sheetData>
    <row r="5" spans="2:13" ht="15.75" thickBot="1"/>
    <row r="6" spans="2:13" ht="15.75" thickBot="1">
      <c r="B6" s="351" t="s">
        <v>526</v>
      </c>
      <c r="C6" s="351" t="s">
        <v>527</v>
      </c>
      <c r="D6" s="351" t="s">
        <v>528</v>
      </c>
      <c r="E6" s="352"/>
      <c r="F6" s="352"/>
      <c r="G6" s="352"/>
      <c r="H6" s="352"/>
      <c r="I6" s="352"/>
      <c r="J6" s="352"/>
      <c r="K6" s="352"/>
      <c r="L6" s="352"/>
      <c r="M6" s="352"/>
    </row>
    <row r="7" spans="2:13" ht="27" thickBot="1">
      <c r="B7" s="352" t="s">
        <v>529</v>
      </c>
      <c r="C7" s="353">
        <v>42887</v>
      </c>
      <c r="D7" s="354" t="s">
        <v>530</v>
      </c>
      <c r="E7" s="352"/>
      <c r="F7" s="352"/>
      <c r="G7" s="352"/>
      <c r="H7" s="352"/>
      <c r="I7" s="352"/>
      <c r="J7" s="352"/>
      <c r="K7" s="352"/>
      <c r="L7" s="352"/>
      <c r="M7" s="352"/>
    </row>
    <row r="8" spans="2:13" ht="15.75" thickBot="1">
      <c r="B8" s="352" t="s">
        <v>531</v>
      </c>
      <c r="C8" s="353">
        <v>41883</v>
      </c>
      <c r="D8" s="354" t="s">
        <v>532</v>
      </c>
      <c r="E8" s="352"/>
      <c r="F8" s="352"/>
      <c r="G8" s="352"/>
      <c r="H8" s="352"/>
      <c r="I8" s="352"/>
      <c r="J8" s="352"/>
      <c r="K8" s="352"/>
      <c r="L8" s="352"/>
      <c r="M8" s="352"/>
    </row>
    <row r="9" spans="2:13" ht="15.75" thickBot="1">
      <c r="B9" s="352" t="s">
        <v>533</v>
      </c>
      <c r="C9" s="353">
        <v>39508</v>
      </c>
      <c r="D9" s="354" t="s">
        <v>534</v>
      </c>
      <c r="E9" s="352"/>
      <c r="F9" s="352"/>
      <c r="G9" s="352"/>
      <c r="H9" s="352"/>
      <c r="I9" s="352"/>
      <c r="J9" s="352"/>
      <c r="K9" s="352"/>
      <c r="L9" s="352"/>
      <c r="M9" s="352"/>
    </row>
    <row r="10" spans="2:13" ht="15.75" thickBot="1">
      <c r="B10" s="352" t="s">
        <v>535</v>
      </c>
      <c r="C10" s="353">
        <v>39995</v>
      </c>
      <c r="D10" s="354" t="s">
        <v>536</v>
      </c>
      <c r="E10" s="352"/>
      <c r="F10" s="352"/>
      <c r="G10" s="352"/>
      <c r="H10" s="352"/>
      <c r="I10" s="352"/>
      <c r="J10" s="352"/>
      <c r="K10" s="352"/>
      <c r="L10" s="352"/>
      <c r="M10" s="352"/>
    </row>
    <row r="11" spans="2:13" ht="15.75" thickBot="1">
      <c r="B11" s="352" t="s">
        <v>537</v>
      </c>
      <c r="C11" s="353">
        <v>44317</v>
      </c>
      <c r="D11" s="354" t="s">
        <v>538</v>
      </c>
      <c r="E11" s="352"/>
      <c r="F11" s="352"/>
      <c r="G11" s="352"/>
      <c r="H11" s="352"/>
      <c r="I11" s="352"/>
      <c r="J11" s="352"/>
      <c r="K11" s="352"/>
      <c r="L11" s="352"/>
      <c r="M11" s="352"/>
    </row>
    <row r="12" spans="2:13" ht="15.75" thickBot="1">
      <c r="B12" s="352" t="s">
        <v>539</v>
      </c>
      <c r="C12" s="353">
        <v>43132</v>
      </c>
      <c r="D12" s="354" t="s">
        <v>540</v>
      </c>
      <c r="E12" s="352"/>
      <c r="F12" s="352"/>
      <c r="G12" s="352"/>
      <c r="H12" s="352"/>
      <c r="I12" s="352"/>
      <c r="J12" s="352"/>
      <c r="K12" s="352"/>
      <c r="L12" s="352"/>
      <c r="M12" s="352"/>
    </row>
    <row r="13" spans="2:13" ht="15.75" thickBot="1">
      <c r="B13" s="355" t="s">
        <v>541</v>
      </c>
      <c r="C13" s="353">
        <v>36281</v>
      </c>
      <c r="D13" s="354" t="s">
        <v>542</v>
      </c>
      <c r="E13" s="352"/>
      <c r="F13" s="352"/>
      <c r="G13" s="352"/>
      <c r="H13" s="352"/>
      <c r="I13" s="352"/>
      <c r="J13" s="352"/>
      <c r="K13" s="352"/>
      <c r="L13" s="352"/>
      <c r="M13" s="352"/>
    </row>
    <row r="14" spans="2:13" ht="27" thickBot="1">
      <c r="B14" s="352" t="s">
        <v>543</v>
      </c>
      <c r="C14" s="353">
        <v>40969</v>
      </c>
      <c r="D14" s="354" t="s">
        <v>544</v>
      </c>
      <c r="E14" s="352"/>
      <c r="F14" s="352"/>
      <c r="G14" s="352"/>
      <c r="H14" s="352"/>
      <c r="I14" s="352"/>
      <c r="J14" s="352"/>
      <c r="K14" s="352"/>
      <c r="L14" s="352"/>
      <c r="M14" s="352"/>
    </row>
    <row r="15" spans="2:13" ht="15.75" thickBot="1">
      <c r="B15" s="352"/>
      <c r="C15" s="352"/>
      <c r="D15" s="352"/>
      <c r="E15" s="352"/>
      <c r="F15" s="352"/>
      <c r="G15" s="352"/>
      <c r="H15" s="352"/>
      <c r="I15" s="352"/>
      <c r="J15" s="352"/>
      <c r="K15" s="352"/>
      <c r="L15" s="352"/>
      <c r="M15" s="352"/>
    </row>
  </sheetData>
  <hyperlinks>
    <hyperlink ref="B13" r:id="rId1" display="http://alexa.com/" xr:uid="{5F2DB055-9ADE-44BC-A749-57B8CC8D1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</vt:lpstr>
      <vt:lpstr>BS</vt:lpstr>
      <vt:lpstr>Revenue</vt:lpstr>
      <vt:lpstr>CF</vt:lpstr>
      <vt:lpstr>PP&amp;E</vt:lpstr>
      <vt:lpstr>Debt</vt:lpstr>
      <vt:lpstr>SH</vt:lpstr>
      <vt:lpstr>DCF</vt:lpstr>
      <vt:lpstr>DCF (2)</vt:lpstr>
      <vt:lpstr>Credit spreads</vt:lpstr>
      <vt:lpstr>LBO</vt:lpstr>
      <vt:lpstr>ASOS M&amp;A</vt:lpstr>
      <vt:lpstr>Public comp</vt:lpstr>
      <vt:lpstr>Charts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Chamboredon</dc:creator>
  <cp:lastModifiedBy>Eleonore Chamboredon</cp:lastModifiedBy>
  <cp:lastPrinted>2024-11-05T18:51:14Z</cp:lastPrinted>
  <dcterms:created xsi:type="dcterms:W3CDTF">2024-06-11T17:00:50Z</dcterms:created>
  <dcterms:modified xsi:type="dcterms:W3CDTF">2025-06-28T15:37:14Z</dcterms:modified>
</cp:coreProperties>
</file>