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ziethomas/Library/Mobile Documents/com~apple~CloudDocs/UNIVERSITY - Imperial/MSc Thesis /Salmon and Trout/Excel Spreadsheets/"/>
    </mc:Choice>
  </mc:AlternateContent>
  <xr:revisionPtr revIDLastSave="0" documentId="13_ncr:1_{804E5198-0A84-4643-9C5B-B1011017D561}" xr6:coauthVersionLast="47" xr6:coauthVersionMax="47" xr10:uidLastSave="{00000000-0000-0000-0000-000000000000}"/>
  <bookViews>
    <workbookView xWindow="0" yWindow="460" windowWidth="28800" windowHeight="16420" activeTab="6" xr2:uid="{0C2B2C8E-FB53-C440-A54A-BA74AAAF564C}"/>
  </bookViews>
  <sheets>
    <sheet name="Read me" sheetId="3" r:id="rId1"/>
    <sheet name="MA Study Data" sheetId="4" r:id="rId2"/>
    <sheet name="Study coordinates" sheetId="7" r:id="rId3"/>
    <sheet name="Project Study" sheetId="8" r:id="rId4"/>
    <sheet name="MA density data extraction" sheetId="1" r:id="rId5"/>
    <sheet name="Study quality assessment" sheetId="6" r:id="rId6"/>
    <sheet name="MA data" sheetId="5" r:id="rId7"/>
    <sheet name="Excluded from MA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3" i="1" l="1"/>
  <c r="BH93" i="1"/>
  <c r="Q93" i="1"/>
  <c r="BG93" i="1" s="1"/>
  <c r="BF93" i="1"/>
  <c r="T119" i="1"/>
  <c r="H128" i="1"/>
  <c r="S119" i="1"/>
  <c r="H127" i="1"/>
  <c r="O119" i="1"/>
  <c r="G128" i="1"/>
  <c r="N119" i="1"/>
  <c r="G127" i="1"/>
  <c r="T181" i="1"/>
  <c r="V181" i="1" s="1"/>
  <c r="S181" i="1"/>
  <c r="T182" i="1"/>
  <c r="V182" i="1" s="1"/>
  <c r="S182" i="1"/>
  <c r="T180" i="1"/>
  <c r="V180" i="1" s="1"/>
  <c r="S180" i="1"/>
  <c r="O182" i="1"/>
  <c r="Q182" i="1" s="1"/>
  <c r="N182" i="1"/>
  <c r="O181" i="1"/>
  <c r="Q181" i="1" s="1"/>
  <c r="N181" i="1"/>
  <c r="O180" i="1"/>
  <c r="N180" i="1"/>
  <c r="T179" i="1"/>
  <c r="V179" i="1" s="1"/>
  <c r="S179" i="1"/>
  <c r="O179" i="1"/>
  <c r="Q179" i="1" s="1"/>
  <c r="N179" i="1"/>
  <c r="T172" i="1"/>
  <c r="V172" i="1" s="1"/>
  <c r="T171" i="1"/>
  <c r="V171" i="1" s="1"/>
  <c r="S172" i="1"/>
  <c r="T173" i="1"/>
  <c r="V173" i="1" s="1"/>
  <c r="S173" i="1"/>
  <c r="S171" i="1"/>
  <c r="Q172" i="1"/>
  <c r="Q173" i="1"/>
  <c r="Q171" i="1"/>
  <c r="T178" i="1"/>
  <c r="V178" i="1" s="1"/>
  <c r="S178" i="1"/>
  <c r="O178" i="1"/>
  <c r="Q178" i="1" s="1"/>
  <c r="N178" i="1"/>
  <c r="T177" i="1"/>
  <c r="V177" i="1" s="1"/>
  <c r="S177" i="1"/>
  <c r="O177" i="1"/>
  <c r="Q177" i="1" s="1"/>
  <c r="N177" i="1"/>
  <c r="T176" i="1"/>
  <c r="V176" i="1" s="1"/>
  <c r="S176" i="1"/>
  <c r="T175" i="1"/>
  <c r="V175" i="1" s="1"/>
  <c r="S175" i="1"/>
  <c r="O176" i="1"/>
  <c r="Q176" i="1" s="1"/>
  <c r="N176" i="1"/>
  <c r="O175" i="1"/>
  <c r="Q175" i="1" s="1"/>
  <c r="N175" i="1"/>
  <c r="N174" i="1"/>
  <c r="T174" i="1"/>
  <c r="V174" i="1" s="1"/>
  <c r="S174" i="1"/>
  <c r="O174" i="1"/>
  <c r="Q174" i="1" s="1"/>
  <c r="S183" i="1" l="1"/>
  <c r="N183" i="1"/>
  <c r="O183" i="1"/>
  <c r="Q183" i="1" s="1"/>
  <c r="T183" i="1"/>
  <c r="V183" i="1" s="1"/>
  <c r="Q180" i="1"/>
  <c r="V45" i="1"/>
  <c r="V44" i="1"/>
  <c r="Q45" i="1"/>
  <c r="Q44" i="1"/>
  <c r="V101" i="1"/>
  <c r="BJ101" i="1" s="1"/>
  <c r="Q101" i="1"/>
  <c r="BG101" i="1" s="1"/>
  <c r="V99" i="1"/>
  <c r="BJ99" i="1" s="1"/>
  <c r="Q99" i="1"/>
  <c r="BG99" i="1" s="1"/>
  <c r="V97" i="1"/>
  <c r="BJ97" i="1" s="1"/>
  <c r="Q97" i="1"/>
  <c r="BG97" i="1" s="1"/>
  <c r="V95" i="1"/>
  <c r="BJ95" i="1" s="1"/>
  <c r="Q95" i="1"/>
  <c r="BK101" i="1"/>
  <c r="BI101" i="1"/>
  <c r="BH101" i="1"/>
  <c r="BF101" i="1"/>
  <c r="BK99" i="1"/>
  <c r="BI99" i="1"/>
  <c r="BH99" i="1"/>
  <c r="BF99" i="1"/>
  <c r="BK97" i="1"/>
  <c r="BI97" i="1"/>
  <c r="BH97" i="1"/>
  <c r="BF97" i="1"/>
  <c r="BK95" i="1"/>
  <c r="BI95" i="1"/>
  <c r="BH95" i="1"/>
  <c r="BG95" i="1"/>
  <c r="BF95" i="1"/>
  <c r="BJ73" i="1"/>
  <c r="BI73" i="1"/>
  <c r="BH73" i="1"/>
  <c r="BG73" i="1"/>
  <c r="BF73" i="1"/>
  <c r="BJ72" i="1"/>
  <c r="BI72" i="1"/>
  <c r="BH72" i="1"/>
  <c r="BG72" i="1"/>
  <c r="BF72" i="1"/>
  <c r="BK65" i="1"/>
  <c r="BI65" i="1"/>
  <c r="BH65" i="1"/>
  <c r="BF65" i="1"/>
  <c r="BK63" i="1"/>
  <c r="BI63" i="1"/>
  <c r="BH63" i="1"/>
  <c r="BF63" i="1"/>
  <c r="BK61" i="1"/>
  <c r="BI61" i="1"/>
  <c r="BH61" i="1"/>
  <c r="BF61" i="1"/>
  <c r="BK59" i="1"/>
  <c r="BI59" i="1"/>
  <c r="BH59" i="1"/>
  <c r="BF59" i="1"/>
  <c r="BK41" i="1"/>
  <c r="BJ41" i="1"/>
  <c r="BI41" i="1"/>
  <c r="BH41" i="1"/>
  <c r="BG41" i="1"/>
  <c r="BF41" i="1"/>
  <c r="BK40" i="1"/>
  <c r="BJ40" i="1"/>
  <c r="BI40" i="1"/>
  <c r="BH40" i="1"/>
  <c r="BG40" i="1"/>
  <c r="BF40" i="1"/>
  <c r="BK39" i="1"/>
  <c r="BJ39" i="1"/>
  <c r="BI39" i="1"/>
  <c r="BH39" i="1"/>
  <c r="BG39" i="1"/>
  <c r="BF39" i="1"/>
  <c r="BK38" i="1"/>
  <c r="BJ38" i="1"/>
  <c r="BI38" i="1"/>
  <c r="BH38" i="1"/>
  <c r="BG38" i="1"/>
  <c r="BF38" i="1"/>
  <c r="BK23" i="1"/>
  <c r="BI23" i="1"/>
  <c r="BH23" i="1"/>
  <c r="BF23" i="1"/>
  <c r="BK22" i="1"/>
  <c r="BI22" i="1"/>
  <c r="BH22" i="1"/>
  <c r="BF22" i="1"/>
  <c r="BK21" i="1"/>
  <c r="BI21" i="1"/>
  <c r="BH21" i="1"/>
  <c r="BF21" i="1"/>
  <c r="BK20" i="1"/>
  <c r="BI20" i="1"/>
  <c r="BH20" i="1"/>
  <c r="BF20" i="1"/>
  <c r="BK19" i="1"/>
  <c r="BI19" i="1"/>
  <c r="BH19" i="1"/>
  <c r="BF19" i="1"/>
  <c r="BK18" i="1"/>
  <c r="BI18" i="1"/>
  <c r="BH18" i="1"/>
  <c r="BF18" i="1"/>
  <c r="BK11" i="1"/>
  <c r="BI11" i="1"/>
  <c r="BH11" i="1"/>
  <c r="BF11" i="1"/>
  <c r="BK10" i="1"/>
  <c r="BI10" i="1"/>
  <c r="BH10" i="1"/>
  <c r="BF10" i="1"/>
  <c r="BK9" i="1"/>
  <c r="BI9" i="1"/>
  <c r="BH9" i="1"/>
  <c r="BG9" i="1"/>
  <c r="BF9" i="1"/>
  <c r="BK8" i="1"/>
  <c r="BI8" i="1"/>
  <c r="BH8" i="1"/>
  <c r="BF8" i="1"/>
  <c r="BK7" i="1"/>
  <c r="BI7" i="1"/>
  <c r="BH7" i="1"/>
  <c r="BF7" i="1"/>
  <c r="BK6" i="1"/>
  <c r="BI6" i="1"/>
  <c r="BH6" i="1"/>
  <c r="BF6" i="1"/>
  <c r="BK5" i="1"/>
  <c r="BI5" i="1"/>
  <c r="BH5" i="1"/>
  <c r="BF5" i="1"/>
  <c r="BK4" i="1"/>
  <c r="BI4" i="1"/>
  <c r="BH4" i="1"/>
  <c r="BF4" i="1"/>
  <c r="BK3" i="1"/>
  <c r="BI3" i="1"/>
  <c r="BH3" i="1"/>
  <c r="BF3" i="1"/>
  <c r="BK2" i="1"/>
  <c r="BI2" i="1"/>
  <c r="BH2" i="1"/>
  <c r="BF2" i="1"/>
  <c r="V7" i="1"/>
  <c r="BJ7" i="1" s="1"/>
  <c r="V6" i="1"/>
  <c r="BJ6" i="1" s="1"/>
  <c r="V5" i="1"/>
  <c r="BJ5" i="1" s="1"/>
  <c r="Q7" i="1"/>
  <c r="BG7" i="1" s="1"/>
  <c r="Q6" i="1"/>
  <c r="BG6" i="1" s="1"/>
  <c r="Q5" i="1"/>
  <c r="BG5" i="1" s="1"/>
  <c r="V3" i="1" l="1"/>
  <c r="BJ3" i="1" s="1"/>
  <c r="V4" i="1"/>
  <c r="BJ4" i="1" s="1"/>
  <c r="V2" i="1"/>
  <c r="BJ2" i="1" s="1"/>
  <c r="Q4" i="1"/>
  <c r="BG4" i="1" s="1"/>
  <c r="Q3" i="1"/>
  <c r="BG3" i="1" s="1"/>
  <c r="Q2" i="1"/>
  <c r="BG2" i="1" s="1"/>
  <c r="V23" i="1"/>
  <c r="BJ23" i="1" s="1"/>
  <c r="V22" i="1"/>
  <c r="BJ22" i="1" s="1"/>
  <c r="Q23" i="1"/>
  <c r="BG23" i="1" s="1"/>
  <c r="Q22" i="1"/>
  <c r="BG22" i="1" s="1"/>
  <c r="V21" i="1"/>
  <c r="BJ21" i="1" s="1"/>
  <c r="V20" i="1"/>
  <c r="BJ20" i="1" s="1"/>
  <c r="V19" i="1"/>
  <c r="BJ19" i="1" s="1"/>
  <c r="V18" i="1"/>
  <c r="BJ18" i="1" s="1"/>
  <c r="Q19" i="1"/>
  <c r="BG19" i="1" s="1"/>
  <c r="Q20" i="1"/>
  <c r="BG20" i="1" s="1"/>
  <c r="Q21" i="1"/>
  <c r="BG21" i="1" s="1"/>
  <c r="Q18" i="1"/>
  <c r="BG18" i="1" s="1"/>
  <c r="AZ69" i="1" l="1"/>
  <c r="BF69" i="1" s="1"/>
  <c r="BA69" i="1"/>
  <c r="BD69" i="1"/>
  <c r="BH69" i="1" s="1"/>
  <c r="AZ70" i="1"/>
  <c r="BF70" i="1" s="1"/>
  <c r="BA70" i="1"/>
  <c r="BD70" i="1"/>
  <c r="BH70" i="1" s="1"/>
  <c r="AZ71" i="1"/>
  <c r="BF71" i="1" s="1"/>
  <c r="BA71" i="1"/>
  <c r="BD71" i="1"/>
  <c r="BH71" i="1" s="1"/>
  <c r="AT69" i="1"/>
  <c r="BI69" i="1" s="1"/>
  <c r="AU69" i="1"/>
  <c r="AX69" i="1"/>
  <c r="BK69" i="1" s="1"/>
  <c r="AT70" i="1"/>
  <c r="BI70" i="1" s="1"/>
  <c r="AU70" i="1"/>
  <c r="AX70" i="1"/>
  <c r="BK70" i="1" s="1"/>
  <c r="AT71" i="1"/>
  <c r="BI71" i="1" s="1"/>
  <c r="AU71" i="1"/>
  <c r="AX71" i="1"/>
  <c r="BK71" i="1" s="1"/>
  <c r="AB69" i="1"/>
  <c r="AG69" i="1"/>
  <c r="AB70" i="1"/>
  <c r="AG70" i="1"/>
  <c r="AB71" i="1"/>
  <c r="AG71" i="1"/>
  <c r="AQ68" i="1"/>
  <c r="AQ69" i="1"/>
  <c r="AQ70" i="1"/>
  <c r="AQ71" i="1"/>
  <c r="AL69" i="1"/>
  <c r="AL70" i="1"/>
  <c r="AL71" i="1"/>
  <c r="BK92" i="1"/>
  <c r="BI92" i="1"/>
  <c r="BH92" i="1"/>
  <c r="BF92" i="1"/>
  <c r="BK91" i="1"/>
  <c r="BI91" i="1"/>
  <c r="BH91" i="1"/>
  <c r="BF91" i="1"/>
  <c r="BK90" i="1"/>
  <c r="BI90" i="1"/>
  <c r="BH90" i="1"/>
  <c r="BF90" i="1"/>
  <c r="BK89" i="1"/>
  <c r="BI89" i="1"/>
  <c r="BH89" i="1"/>
  <c r="BF89" i="1"/>
  <c r="V92" i="1"/>
  <c r="BJ92" i="1" s="1"/>
  <c r="V91" i="1"/>
  <c r="BJ91" i="1" s="1"/>
  <c r="V90" i="1"/>
  <c r="BJ90" i="1" s="1"/>
  <c r="V89" i="1"/>
  <c r="BJ89" i="1" s="1"/>
  <c r="Q92" i="1"/>
  <c r="BG92" i="1" s="1"/>
  <c r="Q91" i="1"/>
  <c r="BG91" i="1" s="1"/>
  <c r="Q90" i="1"/>
  <c r="BG90" i="1" s="1"/>
  <c r="Q89" i="1"/>
  <c r="BG89" i="1" s="1"/>
  <c r="BK107" i="1"/>
  <c r="BI107" i="1"/>
  <c r="BH107" i="1"/>
  <c r="BF107" i="1"/>
  <c r="BK106" i="1"/>
  <c r="BI106" i="1"/>
  <c r="BH106" i="1"/>
  <c r="BF106" i="1"/>
  <c r="BK105" i="1"/>
  <c r="BI105" i="1"/>
  <c r="BH105" i="1"/>
  <c r="BF105" i="1"/>
  <c r="BK104" i="1"/>
  <c r="BI104" i="1"/>
  <c r="BH104" i="1"/>
  <c r="BF104" i="1"/>
  <c r="BK103" i="1"/>
  <c r="BI103" i="1"/>
  <c r="BH103" i="1"/>
  <c r="BF103" i="1"/>
  <c r="BK102" i="1"/>
  <c r="BI102" i="1"/>
  <c r="BH102" i="1"/>
  <c r="BF102" i="1"/>
  <c r="V107" i="1"/>
  <c r="BJ107" i="1" s="1"/>
  <c r="V106" i="1"/>
  <c r="BJ106" i="1" s="1"/>
  <c r="V105" i="1"/>
  <c r="BJ105" i="1" s="1"/>
  <c r="Q107" i="1"/>
  <c r="BG107" i="1" s="1"/>
  <c r="Q106" i="1"/>
  <c r="BG106" i="1" s="1"/>
  <c r="Q105" i="1"/>
  <c r="BG105" i="1" s="1"/>
  <c r="V104" i="1"/>
  <c r="BJ104" i="1" s="1"/>
  <c r="V103" i="1"/>
  <c r="BJ103" i="1" s="1"/>
  <c r="V102" i="1"/>
  <c r="BJ102" i="1" s="1"/>
  <c r="Q103" i="1"/>
  <c r="BG103" i="1" s="1"/>
  <c r="Q104" i="1"/>
  <c r="BG104" i="1" s="1"/>
  <c r="Q102" i="1"/>
  <c r="BG102" i="1" s="1"/>
  <c r="AQ67" i="1"/>
  <c r="AL67" i="1"/>
  <c r="AL68" i="1"/>
  <c r="AG68" i="1"/>
  <c r="AG67" i="1"/>
  <c r="AB68" i="1"/>
  <c r="AB67" i="1"/>
  <c r="BD68" i="1"/>
  <c r="BH68" i="1" s="1"/>
  <c r="BA68" i="1"/>
  <c r="AZ68" i="1"/>
  <c r="BF68" i="1" s="1"/>
  <c r="AX68" i="1"/>
  <c r="BK68" i="1" s="1"/>
  <c r="AU68" i="1"/>
  <c r="AT68" i="1"/>
  <c r="BI68" i="1" s="1"/>
  <c r="BD67" i="1"/>
  <c r="BH67" i="1" s="1"/>
  <c r="BA67" i="1"/>
  <c r="AZ67" i="1"/>
  <c r="BF67" i="1" s="1"/>
  <c r="AX67" i="1"/>
  <c r="BK67" i="1" s="1"/>
  <c r="AU67" i="1"/>
  <c r="AT67" i="1"/>
  <c r="BI67" i="1" s="1"/>
  <c r="BK58" i="1"/>
  <c r="BI58" i="1"/>
  <c r="BH58" i="1"/>
  <c r="BF58" i="1"/>
  <c r="V58" i="1"/>
  <c r="BJ58" i="1" s="1"/>
  <c r="Q58" i="1"/>
  <c r="BG58" i="1" s="1"/>
  <c r="V61" i="1"/>
  <c r="BJ61" i="1" s="1"/>
  <c r="V63" i="1"/>
  <c r="BJ63" i="1" s="1"/>
  <c r="V65" i="1"/>
  <c r="BJ65" i="1" s="1"/>
  <c r="Q61" i="1"/>
  <c r="BG61" i="1" s="1"/>
  <c r="Q63" i="1"/>
  <c r="BG63" i="1" s="1"/>
  <c r="Q65" i="1"/>
  <c r="BG65" i="1" s="1"/>
  <c r="V59" i="1"/>
  <c r="BJ59" i="1" s="1"/>
  <c r="Q59" i="1"/>
  <c r="BG59" i="1" s="1"/>
  <c r="BK51" i="1"/>
  <c r="BI51" i="1"/>
  <c r="BH51" i="1"/>
  <c r="BF51" i="1"/>
  <c r="V51" i="1"/>
  <c r="BJ51" i="1" s="1"/>
  <c r="Q51" i="1"/>
  <c r="BG51" i="1" s="1"/>
  <c r="AQ17" i="1"/>
  <c r="AQ16" i="1"/>
  <c r="AQ15" i="1"/>
  <c r="AQ12" i="1"/>
  <c r="AL12" i="1"/>
  <c r="AG16" i="1"/>
  <c r="AG15" i="1"/>
  <c r="AG12" i="1"/>
  <c r="AB12" i="1"/>
  <c r="AB16" i="1"/>
  <c r="AB15" i="1"/>
  <c r="AL16" i="1"/>
  <c r="AL15" i="1"/>
  <c r="AL17" i="1"/>
  <c r="AG17" i="1"/>
  <c r="AB17" i="1"/>
  <c r="BK119" i="1"/>
  <c r="BI119" i="1"/>
  <c r="BH119" i="1"/>
  <c r="BF119" i="1"/>
  <c r="V119" i="1"/>
  <c r="BJ119" i="1" s="1"/>
  <c r="Q119" i="1"/>
  <c r="BG119" i="1" s="1"/>
  <c r="AB115" i="1"/>
  <c r="AG115" i="1"/>
  <c r="AL115" i="1"/>
  <c r="AQ115" i="1"/>
  <c r="AT115" i="1"/>
  <c r="BI115" i="1" s="1"/>
  <c r="AU115" i="1"/>
  <c r="AX115" i="1"/>
  <c r="BK115" i="1" s="1"/>
  <c r="AZ115" i="1"/>
  <c r="BF115" i="1" s="1"/>
  <c r="BA115" i="1"/>
  <c r="BD115" i="1"/>
  <c r="BH115" i="1" s="1"/>
  <c r="AV70" i="1" l="1"/>
  <c r="AW70" i="1" s="1"/>
  <c r="BJ70" i="1" s="1"/>
  <c r="AV69" i="1"/>
  <c r="AW69" i="1" s="1"/>
  <c r="BJ69" i="1" s="1"/>
  <c r="BB70" i="1"/>
  <c r="BC70" i="1" s="1"/>
  <c r="BG70" i="1" s="1"/>
  <c r="AV71" i="1"/>
  <c r="AW71" i="1" s="1"/>
  <c r="BJ71" i="1" s="1"/>
  <c r="BB71" i="1"/>
  <c r="BC71" i="1" s="1"/>
  <c r="BG71" i="1" s="1"/>
  <c r="BB69" i="1"/>
  <c r="BC69" i="1" s="1"/>
  <c r="BG69" i="1" s="1"/>
  <c r="AV67" i="1"/>
  <c r="AW67" i="1" s="1"/>
  <c r="BJ67" i="1" s="1"/>
  <c r="AV68" i="1"/>
  <c r="AW68" i="1" s="1"/>
  <c r="BJ68" i="1" s="1"/>
  <c r="BB68" i="1"/>
  <c r="BC68" i="1" s="1"/>
  <c r="BG68" i="1" s="1"/>
  <c r="BB67" i="1"/>
  <c r="BC67" i="1" s="1"/>
  <c r="BG67" i="1" s="1"/>
  <c r="BB115" i="1"/>
  <c r="BC115" i="1" s="1"/>
  <c r="BG115" i="1" s="1"/>
  <c r="AV115" i="1"/>
  <c r="AW115" i="1" s="1"/>
  <c r="BJ115" i="1" s="1"/>
  <c r="BD150" i="1"/>
  <c r="BH150" i="1" s="1"/>
  <c r="BA150" i="1"/>
  <c r="AX150" i="1"/>
  <c r="BK150" i="1" s="1"/>
  <c r="AU150" i="1"/>
  <c r="BD129" i="1"/>
  <c r="BH129" i="1" s="1"/>
  <c r="BA129" i="1"/>
  <c r="AX129" i="1"/>
  <c r="BK129" i="1" s="1"/>
  <c r="AU129" i="1"/>
  <c r="AO150" i="1"/>
  <c r="AN150" i="1"/>
  <c r="AT150" i="1" s="1"/>
  <c r="BI150" i="1" s="1"/>
  <c r="AL150" i="1"/>
  <c r="AV150" i="1" s="1"/>
  <c r="AE150" i="1"/>
  <c r="AG150" i="1" s="1"/>
  <c r="AD150" i="1"/>
  <c r="AB150" i="1"/>
  <c r="Y150" i="1"/>
  <c r="AO129" i="1"/>
  <c r="AQ129" i="1" s="1"/>
  <c r="AN129" i="1"/>
  <c r="AT129" i="1" s="1"/>
  <c r="BI129" i="1" s="1"/>
  <c r="AL129" i="1"/>
  <c r="AE129" i="1"/>
  <c r="AG129" i="1" s="1"/>
  <c r="AD129" i="1"/>
  <c r="AZ129" i="1" s="1"/>
  <c r="BF129" i="1" s="1"/>
  <c r="AB129" i="1"/>
  <c r="BD108" i="1"/>
  <c r="BH108" i="1" s="1"/>
  <c r="BA108" i="1"/>
  <c r="AX108" i="1"/>
  <c r="BK108" i="1" s="1"/>
  <c r="AU108" i="1"/>
  <c r="AO108" i="1"/>
  <c r="AQ108" i="1" s="1"/>
  <c r="AN108" i="1"/>
  <c r="AE108" i="1"/>
  <c r="AG108" i="1" s="1"/>
  <c r="AD108" i="1"/>
  <c r="AJ108" i="1"/>
  <c r="AL108" i="1" s="1"/>
  <c r="AI108" i="1"/>
  <c r="Y108" i="1"/>
  <c r="AB108" i="1"/>
  <c r="BD82" i="1"/>
  <c r="BH82" i="1" s="1"/>
  <c r="BA82" i="1"/>
  <c r="AX82" i="1"/>
  <c r="BK82" i="1" s="1"/>
  <c r="AU82" i="1"/>
  <c r="AO82" i="1"/>
  <c r="AQ82" i="1" s="1"/>
  <c r="AN82" i="1"/>
  <c r="AJ82" i="1"/>
  <c r="AL82" i="1" s="1"/>
  <c r="AI82" i="1"/>
  <c r="AE82" i="1"/>
  <c r="AG82" i="1" s="1"/>
  <c r="AD82" i="1"/>
  <c r="Z82" i="1"/>
  <c r="AB82" i="1" s="1"/>
  <c r="Y82" i="1"/>
  <c r="BA112" i="1"/>
  <c r="BA81" i="1"/>
  <c r="BA80" i="1"/>
  <c r="BA79" i="1"/>
  <c r="BA78" i="1"/>
  <c r="BA77" i="1"/>
  <c r="BA76" i="1"/>
  <c r="BB75" i="1"/>
  <c r="BA75" i="1"/>
  <c r="BB74" i="1"/>
  <c r="BA74" i="1"/>
  <c r="BA43" i="1"/>
  <c r="BA42" i="1"/>
  <c r="BB37" i="1"/>
  <c r="BA37" i="1"/>
  <c r="BB36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B24" i="1"/>
  <c r="BA24" i="1"/>
  <c r="BB17" i="1"/>
  <c r="BA17" i="1"/>
  <c r="AU112" i="1"/>
  <c r="AU81" i="1"/>
  <c r="AU80" i="1"/>
  <c r="AU79" i="1"/>
  <c r="AU78" i="1"/>
  <c r="AU77" i="1"/>
  <c r="AU76" i="1"/>
  <c r="AV75" i="1"/>
  <c r="AU75" i="1"/>
  <c r="AV74" i="1"/>
  <c r="AU74" i="1"/>
  <c r="AU43" i="1"/>
  <c r="AU42" i="1"/>
  <c r="AV37" i="1"/>
  <c r="AU37" i="1"/>
  <c r="AV36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V24" i="1"/>
  <c r="AU24" i="1"/>
  <c r="BB16" i="1"/>
  <c r="BB15" i="1"/>
  <c r="BA16" i="1"/>
  <c r="BA15" i="1"/>
  <c r="AV17" i="1"/>
  <c r="AV16" i="1"/>
  <c r="AV15" i="1"/>
  <c r="AV12" i="1"/>
  <c r="BB12" i="1"/>
  <c r="BA12" i="1"/>
  <c r="AU17" i="1"/>
  <c r="AU16" i="1"/>
  <c r="AU15" i="1"/>
  <c r="AU12" i="1"/>
  <c r="BD43" i="1"/>
  <c r="BH43" i="1" s="1"/>
  <c r="AZ43" i="1"/>
  <c r="BF43" i="1" s="1"/>
  <c r="AX43" i="1"/>
  <c r="BK43" i="1" s="1"/>
  <c r="AT43" i="1"/>
  <c r="BI43" i="1" s="1"/>
  <c r="AQ43" i="1"/>
  <c r="AL43" i="1"/>
  <c r="AG43" i="1"/>
  <c r="AB43" i="1"/>
  <c r="BD42" i="1"/>
  <c r="BH42" i="1" s="1"/>
  <c r="AZ42" i="1"/>
  <c r="BF42" i="1" s="1"/>
  <c r="AX42" i="1"/>
  <c r="BK42" i="1" s="1"/>
  <c r="AT42" i="1"/>
  <c r="BI42" i="1" s="1"/>
  <c r="AQ42" i="1"/>
  <c r="AL42" i="1"/>
  <c r="AG42" i="1"/>
  <c r="AB42" i="1"/>
  <c r="AQ112" i="1"/>
  <c r="AL112" i="1"/>
  <c r="AG112" i="1"/>
  <c r="AB112" i="1"/>
  <c r="AQ25" i="1"/>
  <c r="AL25" i="1"/>
  <c r="AG25" i="1"/>
  <c r="AB25" i="1"/>
  <c r="BD25" i="1"/>
  <c r="BH25" i="1" s="1"/>
  <c r="AZ25" i="1"/>
  <c r="BF25" i="1" s="1"/>
  <c r="AX25" i="1"/>
  <c r="BK25" i="1" s="1"/>
  <c r="AT25" i="1"/>
  <c r="BI25" i="1" s="1"/>
  <c r="BD24" i="1"/>
  <c r="BH24" i="1" s="1"/>
  <c r="AZ24" i="1"/>
  <c r="BF24" i="1" s="1"/>
  <c r="AX24" i="1"/>
  <c r="BK24" i="1" s="1"/>
  <c r="AT24" i="1"/>
  <c r="BI24" i="1" s="1"/>
  <c r="BD112" i="1"/>
  <c r="BH112" i="1" s="1"/>
  <c r="AZ112" i="1"/>
  <c r="BF112" i="1" s="1"/>
  <c r="AX112" i="1"/>
  <c r="BK112" i="1" s="1"/>
  <c r="AT112" i="1"/>
  <c r="BI112" i="1" s="1"/>
  <c r="BD81" i="1"/>
  <c r="BH81" i="1" s="1"/>
  <c r="AZ81" i="1"/>
  <c r="BF81" i="1" s="1"/>
  <c r="AX81" i="1"/>
  <c r="BK81" i="1" s="1"/>
  <c r="AT81" i="1"/>
  <c r="BI81" i="1" s="1"/>
  <c r="AQ81" i="1"/>
  <c r="AL81" i="1"/>
  <c r="AG81" i="1"/>
  <c r="AB81" i="1"/>
  <c r="BD80" i="1"/>
  <c r="BH80" i="1" s="1"/>
  <c r="AZ80" i="1"/>
  <c r="BF80" i="1" s="1"/>
  <c r="AX80" i="1"/>
  <c r="BK80" i="1" s="1"/>
  <c r="AT80" i="1"/>
  <c r="BI80" i="1" s="1"/>
  <c r="AQ80" i="1"/>
  <c r="AL80" i="1"/>
  <c r="AG80" i="1"/>
  <c r="AB80" i="1"/>
  <c r="BD79" i="1"/>
  <c r="BH79" i="1" s="1"/>
  <c r="AZ79" i="1"/>
  <c r="BF79" i="1" s="1"/>
  <c r="AX79" i="1"/>
  <c r="BK79" i="1" s="1"/>
  <c r="AT79" i="1"/>
  <c r="BI79" i="1" s="1"/>
  <c r="AQ79" i="1"/>
  <c r="AL79" i="1"/>
  <c r="AG79" i="1"/>
  <c r="AB79" i="1"/>
  <c r="BD78" i="1"/>
  <c r="BH78" i="1" s="1"/>
  <c r="AZ78" i="1"/>
  <c r="BF78" i="1" s="1"/>
  <c r="AX78" i="1"/>
  <c r="BK78" i="1" s="1"/>
  <c r="AT78" i="1"/>
  <c r="BI78" i="1" s="1"/>
  <c r="AQ78" i="1"/>
  <c r="AL78" i="1"/>
  <c r="AG78" i="1"/>
  <c r="AB78" i="1"/>
  <c r="BD77" i="1"/>
  <c r="BH77" i="1" s="1"/>
  <c r="AZ77" i="1"/>
  <c r="BF77" i="1" s="1"/>
  <c r="AX77" i="1"/>
  <c r="BK77" i="1" s="1"/>
  <c r="AT77" i="1"/>
  <c r="BI77" i="1" s="1"/>
  <c r="AQ77" i="1"/>
  <c r="AL77" i="1"/>
  <c r="AG77" i="1"/>
  <c r="AB77" i="1"/>
  <c r="AQ76" i="1"/>
  <c r="AL76" i="1"/>
  <c r="AG76" i="1"/>
  <c r="AB76" i="1"/>
  <c r="BD76" i="1"/>
  <c r="BH76" i="1" s="1"/>
  <c r="AZ76" i="1"/>
  <c r="BF76" i="1" s="1"/>
  <c r="AX76" i="1"/>
  <c r="BK76" i="1" s="1"/>
  <c r="AT76" i="1"/>
  <c r="BI76" i="1" s="1"/>
  <c r="BD75" i="1"/>
  <c r="BH75" i="1" s="1"/>
  <c r="AZ75" i="1"/>
  <c r="BF75" i="1" s="1"/>
  <c r="AX75" i="1"/>
  <c r="BK75" i="1" s="1"/>
  <c r="AT75" i="1"/>
  <c r="BI75" i="1" s="1"/>
  <c r="BD74" i="1"/>
  <c r="BH74" i="1" s="1"/>
  <c r="AZ74" i="1"/>
  <c r="BF74" i="1" s="1"/>
  <c r="AX74" i="1"/>
  <c r="BK74" i="1" s="1"/>
  <c r="AT74" i="1"/>
  <c r="BI74" i="1" s="1"/>
  <c r="BD37" i="1"/>
  <c r="BH37" i="1" s="1"/>
  <c r="AZ37" i="1"/>
  <c r="BF37" i="1" s="1"/>
  <c r="AX37" i="1"/>
  <c r="BK37" i="1" s="1"/>
  <c r="AT37" i="1"/>
  <c r="BI37" i="1" s="1"/>
  <c r="BD36" i="1"/>
  <c r="BH36" i="1" s="1"/>
  <c r="AZ36" i="1"/>
  <c r="BF36" i="1" s="1"/>
  <c r="AX36" i="1"/>
  <c r="BK36" i="1" s="1"/>
  <c r="AT36" i="1"/>
  <c r="BI36" i="1" s="1"/>
  <c r="BD35" i="1"/>
  <c r="BH35" i="1" s="1"/>
  <c r="AZ35" i="1"/>
  <c r="BF35" i="1" s="1"/>
  <c r="AX35" i="1"/>
  <c r="BK35" i="1" s="1"/>
  <c r="AT35" i="1"/>
  <c r="BI35" i="1" s="1"/>
  <c r="AT27" i="1"/>
  <c r="BI27" i="1" s="1"/>
  <c r="AX27" i="1"/>
  <c r="BK27" i="1" s="1"/>
  <c r="AZ27" i="1"/>
  <c r="BF27" i="1" s="1"/>
  <c r="BD27" i="1"/>
  <c r="BH27" i="1" s="1"/>
  <c r="AT28" i="1"/>
  <c r="BI28" i="1" s="1"/>
  <c r="AX28" i="1"/>
  <c r="BK28" i="1" s="1"/>
  <c r="AZ28" i="1"/>
  <c r="BF28" i="1" s="1"/>
  <c r="BD28" i="1"/>
  <c r="BH28" i="1" s="1"/>
  <c r="AT29" i="1"/>
  <c r="BI29" i="1" s="1"/>
  <c r="AX29" i="1"/>
  <c r="BK29" i="1" s="1"/>
  <c r="AZ29" i="1"/>
  <c r="BF29" i="1" s="1"/>
  <c r="BD29" i="1"/>
  <c r="BH29" i="1" s="1"/>
  <c r="AT30" i="1"/>
  <c r="BI30" i="1" s="1"/>
  <c r="AX30" i="1"/>
  <c r="BK30" i="1" s="1"/>
  <c r="AZ30" i="1"/>
  <c r="BF30" i="1" s="1"/>
  <c r="BD30" i="1"/>
  <c r="BH30" i="1" s="1"/>
  <c r="AT31" i="1"/>
  <c r="BI31" i="1" s="1"/>
  <c r="AX31" i="1"/>
  <c r="BK31" i="1" s="1"/>
  <c r="AZ31" i="1"/>
  <c r="BF31" i="1" s="1"/>
  <c r="BD31" i="1"/>
  <c r="BH31" i="1" s="1"/>
  <c r="AT32" i="1"/>
  <c r="BI32" i="1" s="1"/>
  <c r="AX32" i="1"/>
  <c r="BK32" i="1" s="1"/>
  <c r="AZ32" i="1"/>
  <c r="BF32" i="1" s="1"/>
  <c r="BD32" i="1"/>
  <c r="BH32" i="1" s="1"/>
  <c r="AT33" i="1"/>
  <c r="BI33" i="1" s="1"/>
  <c r="AX33" i="1"/>
  <c r="BK33" i="1" s="1"/>
  <c r="AZ33" i="1"/>
  <c r="BF33" i="1" s="1"/>
  <c r="BD33" i="1"/>
  <c r="BH33" i="1" s="1"/>
  <c r="AT34" i="1"/>
  <c r="BI34" i="1" s="1"/>
  <c r="AX34" i="1"/>
  <c r="BK34" i="1" s="1"/>
  <c r="AZ34" i="1"/>
  <c r="BF34" i="1" s="1"/>
  <c r="BD34" i="1"/>
  <c r="BH34" i="1" s="1"/>
  <c r="BD26" i="1"/>
  <c r="BH26" i="1" s="1"/>
  <c r="AZ26" i="1"/>
  <c r="BF26" i="1" s="1"/>
  <c r="AX26" i="1"/>
  <c r="BK26" i="1" s="1"/>
  <c r="AT26" i="1"/>
  <c r="BI26" i="1" s="1"/>
  <c r="AQ35" i="1"/>
  <c r="AQ34" i="1"/>
  <c r="AQ33" i="1"/>
  <c r="AQ32" i="1"/>
  <c r="AQ31" i="1"/>
  <c r="AQ30" i="1"/>
  <c r="AQ29" i="1"/>
  <c r="AQ28" i="1"/>
  <c r="AQ27" i="1"/>
  <c r="AQ26" i="1"/>
  <c r="AL35" i="1"/>
  <c r="AL34" i="1"/>
  <c r="AL33" i="1"/>
  <c r="AL32" i="1"/>
  <c r="AL31" i="1"/>
  <c r="AL30" i="1"/>
  <c r="AL29" i="1"/>
  <c r="AL28" i="1"/>
  <c r="AL27" i="1"/>
  <c r="AL26" i="1"/>
  <c r="AG35" i="1"/>
  <c r="AG34" i="1"/>
  <c r="AG33" i="1"/>
  <c r="AG32" i="1"/>
  <c r="AG31" i="1"/>
  <c r="AG30" i="1"/>
  <c r="AG29" i="1"/>
  <c r="AG28" i="1"/>
  <c r="AG27" i="1"/>
  <c r="AG26" i="1"/>
  <c r="AB35" i="1"/>
  <c r="AB34" i="1"/>
  <c r="AB33" i="1"/>
  <c r="AB32" i="1"/>
  <c r="AB31" i="1"/>
  <c r="AB30" i="1"/>
  <c r="AB29" i="1"/>
  <c r="AB28" i="1"/>
  <c r="AB27" i="1"/>
  <c r="AB26" i="1"/>
  <c r="BD17" i="1"/>
  <c r="BH17" i="1" s="1"/>
  <c r="AZ17" i="1"/>
  <c r="BF17" i="1" s="1"/>
  <c r="AX17" i="1"/>
  <c r="BK17" i="1" s="1"/>
  <c r="AT17" i="1"/>
  <c r="BI17" i="1" s="1"/>
  <c r="BD16" i="1"/>
  <c r="BH16" i="1" s="1"/>
  <c r="AZ16" i="1"/>
  <c r="BF16" i="1" s="1"/>
  <c r="BD15" i="1"/>
  <c r="BH15" i="1" s="1"/>
  <c r="BD12" i="1"/>
  <c r="BH12" i="1" s="1"/>
  <c r="AX12" i="1"/>
  <c r="BK12" i="1" s="1"/>
  <c r="AX16" i="1"/>
  <c r="BK16" i="1" s="1"/>
  <c r="AX15" i="1"/>
  <c r="BK15" i="1" s="1"/>
  <c r="AT16" i="1"/>
  <c r="BI16" i="1" s="1"/>
  <c r="AZ15" i="1"/>
  <c r="BF15" i="1" s="1"/>
  <c r="AT15" i="1"/>
  <c r="BI15" i="1" s="1"/>
  <c r="AZ12" i="1"/>
  <c r="BF12" i="1" s="1"/>
  <c r="AT12" i="1"/>
  <c r="BI12" i="1" s="1"/>
  <c r="V10" i="1"/>
  <c r="BJ10" i="1" s="1"/>
  <c r="V11" i="1"/>
  <c r="BJ11" i="1" s="1"/>
  <c r="Q11" i="1"/>
  <c r="BG11" i="1" s="1"/>
  <c r="Q10" i="1"/>
  <c r="BG10" i="1" s="1"/>
  <c r="V9" i="1"/>
  <c r="BJ9" i="1" s="1"/>
  <c r="V8" i="1"/>
  <c r="BJ8" i="1" s="1"/>
  <c r="Q8" i="1"/>
  <c r="BG8" i="1" s="1"/>
  <c r="AW75" i="1" l="1"/>
  <c r="BJ75" i="1" s="1"/>
  <c r="BB129" i="1"/>
  <c r="BC129" i="1" s="1"/>
  <c r="BG129" i="1" s="1"/>
  <c r="BB150" i="1"/>
  <c r="BC150" i="1" s="1"/>
  <c r="BG150" i="1" s="1"/>
  <c r="BB27" i="1"/>
  <c r="BC27" i="1" s="1"/>
  <c r="BG27" i="1" s="1"/>
  <c r="BB31" i="1"/>
  <c r="BC31" i="1" s="1"/>
  <c r="BG31" i="1" s="1"/>
  <c r="BB35" i="1"/>
  <c r="BC35" i="1" s="1"/>
  <c r="BG35" i="1" s="1"/>
  <c r="AV27" i="1"/>
  <c r="AW27" i="1" s="1"/>
  <c r="BJ27" i="1" s="1"/>
  <c r="AV31" i="1"/>
  <c r="AW31" i="1" s="1"/>
  <c r="BJ31" i="1" s="1"/>
  <c r="AZ150" i="1"/>
  <c r="BF150" i="1" s="1"/>
  <c r="AW150" i="1"/>
  <c r="BJ150" i="1" s="1"/>
  <c r="BB112" i="1"/>
  <c r="BC112" i="1" s="1"/>
  <c r="BG112" i="1" s="1"/>
  <c r="BB42" i="1"/>
  <c r="BC42" i="1" s="1"/>
  <c r="BG42" i="1" s="1"/>
  <c r="BB43" i="1"/>
  <c r="BC43" i="1" s="1"/>
  <c r="BG43" i="1" s="1"/>
  <c r="BC12" i="1"/>
  <c r="BG12" i="1" s="1"/>
  <c r="BB28" i="1"/>
  <c r="BC28" i="1" s="1"/>
  <c r="BG28" i="1" s="1"/>
  <c r="BB32" i="1"/>
  <c r="BC32" i="1" s="1"/>
  <c r="BG32" i="1" s="1"/>
  <c r="AV28" i="1"/>
  <c r="AW28" i="1" s="1"/>
  <c r="BJ28" i="1" s="1"/>
  <c r="AV32" i="1"/>
  <c r="AW32" i="1" s="1"/>
  <c r="BJ32" i="1" s="1"/>
  <c r="AV77" i="1"/>
  <c r="AW77" i="1" s="1"/>
  <c r="BJ77" i="1" s="1"/>
  <c r="BB25" i="1"/>
  <c r="BC25" i="1" s="1"/>
  <c r="BG25" i="1" s="1"/>
  <c r="BC15" i="1"/>
  <c r="BG15" i="1" s="1"/>
  <c r="AV129" i="1"/>
  <c r="AW129" i="1" s="1"/>
  <c r="BJ129" i="1" s="1"/>
  <c r="AV112" i="1"/>
  <c r="AW112" i="1" s="1"/>
  <c r="BJ112" i="1" s="1"/>
  <c r="AV42" i="1"/>
  <c r="AW42" i="1" s="1"/>
  <c r="BJ42" i="1" s="1"/>
  <c r="AV43" i="1"/>
  <c r="AW43" i="1" s="1"/>
  <c r="BJ43" i="1" s="1"/>
  <c r="AZ82" i="1"/>
  <c r="BF82" i="1" s="1"/>
  <c r="AT82" i="1"/>
  <c r="BI82" i="1" s="1"/>
  <c r="AT108" i="1"/>
  <c r="BI108" i="1" s="1"/>
  <c r="AV35" i="1"/>
  <c r="AW35" i="1" s="1"/>
  <c r="BJ35" i="1" s="1"/>
  <c r="AV79" i="1"/>
  <c r="AW79" i="1" s="1"/>
  <c r="BJ79" i="1" s="1"/>
  <c r="AV82" i="1"/>
  <c r="AW82" i="1" s="1"/>
  <c r="BJ82" i="1" s="1"/>
  <c r="AV76" i="1"/>
  <c r="AW76" i="1" s="1"/>
  <c r="BJ76" i="1" s="1"/>
  <c r="AV78" i="1"/>
  <c r="AW78" i="1" s="1"/>
  <c r="BJ78" i="1" s="1"/>
  <c r="AV80" i="1"/>
  <c r="AW80" i="1" s="1"/>
  <c r="BJ80" i="1" s="1"/>
  <c r="AV81" i="1"/>
  <c r="AW81" i="1" s="1"/>
  <c r="BJ81" i="1" s="1"/>
  <c r="BB82" i="1"/>
  <c r="BC82" i="1" s="1"/>
  <c r="BG82" i="1" s="1"/>
  <c r="BB29" i="1"/>
  <c r="BC29" i="1" s="1"/>
  <c r="BG29" i="1" s="1"/>
  <c r="AV29" i="1"/>
  <c r="AW29" i="1" s="1"/>
  <c r="BJ29" i="1" s="1"/>
  <c r="AW15" i="1"/>
  <c r="BJ15" i="1" s="1"/>
  <c r="BC16" i="1"/>
  <c r="BG16" i="1" s="1"/>
  <c r="AV108" i="1"/>
  <c r="AW108" i="1" s="1"/>
  <c r="BJ108" i="1" s="1"/>
  <c r="BB33" i="1"/>
  <c r="BC33" i="1" s="1"/>
  <c r="BG33" i="1" s="1"/>
  <c r="AV33" i="1"/>
  <c r="AW33" i="1" s="1"/>
  <c r="BJ33" i="1" s="1"/>
  <c r="BB26" i="1"/>
  <c r="BC26" i="1" s="1"/>
  <c r="BG26" i="1" s="1"/>
  <c r="BB30" i="1"/>
  <c r="BC30" i="1" s="1"/>
  <c r="BG30" i="1" s="1"/>
  <c r="BB34" i="1"/>
  <c r="BC34" i="1" s="1"/>
  <c r="BG34" i="1" s="1"/>
  <c r="AV26" i="1"/>
  <c r="AW26" i="1" s="1"/>
  <c r="BJ26" i="1" s="1"/>
  <c r="AV30" i="1"/>
  <c r="AW30" i="1" s="1"/>
  <c r="BJ30" i="1" s="1"/>
  <c r="AV34" i="1"/>
  <c r="AW34" i="1" s="1"/>
  <c r="BJ34" i="1" s="1"/>
  <c r="BB76" i="1"/>
  <c r="BC76" i="1" s="1"/>
  <c r="BG76" i="1" s="1"/>
  <c r="BB77" i="1"/>
  <c r="BC77" i="1" s="1"/>
  <c r="BG77" i="1" s="1"/>
  <c r="BB78" i="1"/>
  <c r="BC78" i="1" s="1"/>
  <c r="BG78" i="1" s="1"/>
  <c r="BB79" i="1"/>
  <c r="BC79" i="1" s="1"/>
  <c r="BG79" i="1" s="1"/>
  <c r="BB80" i="1"/>
  <c r="BC80" i="1" s="1"/>
  <c r="BG80" i="1" s="1"/>
  <c r="BB81" i="1"/>
  <c r="BC81" i="1" s="1"/>
  <c r="BG81" i="1" s="1"/>
  <c r="AV25" i="1"/>
  <c r="AW25" i="1" s="1"/>
  <c r="BJ25" i="1" s="1"/>
  <c r="AW37" i="1"/>
  <c r="BJ37" i="1" s="1"/>
  <c r="BB108" i="1"/>
  <c r="BC108" i="1" s="1"/>
  <c r="BG108" i="1" s="1"/>
  <c r="AZ108" i="1"/>
  <c r="BF108" i="1" s="1"/>
  <c r="BC24" i="1"/>
  <c r="BG24" i="1" s="1"/>
  <c r="BC37" i="1"/>
  <c r="BG37" i="1" s="1"/>
  <c r="BC75" i="1"/>
  <c r="BG75" i="1" s="1"/>
  <c r="AW36" i="1"/>
  <c r="BJ36" i="1" s="1"/>
  <c r="AW74" i="1"/>
  <c r="BJ74" i="1" s="1"/>
  <c r="AW24" i="1"/>
  <c r="BJ24" i="1" s="1"/>
  <c r="BC17" i="1"/>
  <c r="BG17" i="1" s="1"/>
  <c r="BC36" i="1"/>
  <c r="BG36" i="1" s="1"/>
  <c r="BC74" i="1"/>
  <c r="BG74" i="1" s="1"/>
  <c r="AW12" i="1"/>
  <c r="BJ12" i="1" s="1"/>
  <c r="AW16" i="1"/>
  <c r="BJ16" i="1" s="1"/>
  <c r="AW17" i="1"/>
  <c r="BJ17" i="1" s="1"/>
</calcChain>
</file>

<file path=xl/sharedStrings.xml><?xml version="1.0" encoding="utf-8"?>
<sst xmlns="http://schemas.openxmlformats.org/spreadsheetml/2006/main" count="5259" uniqueCount="1000">
  <si>
    <t>Finland</t>
  </si>
  <si>
    <t>Teno</t>
  </si>
  <si>
    <t>BA</t>
  </si>
  <si>
    <t>before_abundance</t>
  </si>
  <si>
    <t>after_abundance</t>
  </si>
  <si>
    <t>impact_abundance</t>
  </si>
  <si>
    <t>control_abundance</t>
  </si>
  <si>
    <t>0,0,0</t>
  </si>
  <si>
    <t>Salmon_Boulder</t>
  </si>
  <si>
    <t>Salmon_V Dams</t>
  </si>
  <si>
    <t>Salmon_Log covers</t>
  </si>
  <si>
    <t>de Jong</t>
  </si>
  <si>
    <t>Canada</t>
  </si>
  <si>
    <t>Joe Farrell's Brook</t>
  </si>
  <si>
    <t>BACI</t>
  </si>
  <si>
    <t>Hesthagen</t>
  </si>
  <si>
    <t>Norway</t>
  </si>
  <si>
    <t>Multiple</t>
  </si>
  <si>
    <t>Fry in rivers with formely lost 
stocks</t>
  </si>
  <si>
    <t>Parr in formely lost 
stocks</t>
  </si>
  <si>
    <t>Fry in formely 
reduced stocks</t>
  </si>
  <si>
    <t>Parr in formely 
reduced stocks</t>
  </si>
  <si>
    <t>Scherelis</t>
  </si>
  <si>
    <t>Penobscot</t>
  </si>
  <si>
    <t>USA</t>
  </si>
  <si>
    <t>Culvert restoration</t>
  </si>
  <si>
    <t>Boulder addition, V-dams and half-log covers</t>
  </si>
  <si>
    <t>Liming</t>
  </si>
  <si>
    <t>Dam removal</t>
  </si>
  <si>
    <t>McLennan</t>
  </si>
  <si>
    <t>Scotland</t>
  </si>
  <si>
    <t>Nutrient release</t>
  </si>
  <si>
    <t>Fry</t>
  </si>
  <si>
    <t>Parr</t>
  </si>
  <si>
    <t>CI</t>
  </si>
  <si>
    <t>Floyd</t>
  </si>
  <si>
    <t>Brierly Brook</t>
  </si>
  <si>
    <t>before_control_abundance</t>
  </si>
  <si>
    <t xml:space="preserve">after_control_abundance </t>
  </si>
  <si>
    <t>Wood addition</t>
  </si>
  <si>
    <t>Pedersen</t>
  </si>
  <si>
    <t>Denmark</t>
  </si>
  <si>
    <t>Skjern River</t>
  </si>
  <si>
    <t>Salmon</t>
  </si>
  <si>
    <t>Louhi</t>
  </si>
  <si>
    <t>Oulujoki</t>
  </si>
  <si>
    <t>Trout</t>
  </si>
  <si>
    <t>LWD and boulders</t>
  </si>
  <si>
    <t>Birnie-Gauvin</t>
  </si>
  <si>
    <t>Kolding</t>
  </si>
  <si>
    <t>39,21.5,2.7</t>
  </si>
  <si>
    <t>50,56.3,7.9</t>
  </si>
  <si>
    <t>23.3,13.6,10.3</t>
  </si>
  <si>
    <t>25.7,10.1,4.4</t>
  </si>
  <si>
    <t>4.8,11.6,28.2</t>
  </si>
  <si>
    <t>3.3,26.3,9.9</t>
  </si>
  <si>
    <t>34,38.9</t>
  </si>
  <si>
    <t>30.3,40.9,0.9</t>
  </si>
  <si>
    <t>8.0,134.7,7.3</t>
  </si>
  <si>
    <t>58.7,94.1,9.1</t>
  </si>
  <si>
    <t>74.6,100,88.8</t>
  </si>
  <si>
    <t>28.3,35.6,34.4</t>
  </si>
  <si>
    <t>1.7,21.6</t>
  </si>
  <si>
    <t>33.3,6</t>
  </si>
  <si>
    <t>81.3,40.1</t>
  </si>
  <si>
    <t>0,4</t>
  </si>
  <si>
    <t>131.5,108.5,79.5</t>
  </si>
  <si>
    <t>78.4,188.9</t>
  </si>
  <si>
    <t>0,1.5,0</t>
  </si>
  <si>
    <t>0,10.9,59.8</t>
  </si>
  <si>
    <t>32,13.3,32.5</t>
  </si>
  <si>
    <t>10,11.7</t>
  </si>
  <si>
    <t>64.5,64.3,31.3</t>
  </si>
  <si>
    <t>31.8,12.5</t>
  </si>
  <si>
    <t>25,16.4,4.4</t>
  </si>
  <si>
    <t>14,13,23.4</t>
  </si>
  <si>
    <t>5,11.7</t>
  </si>
  <si>
    <t>7.1,0</t>
  </si>
  <si>
    <t>14.3,12.7</t>
  </si>
  <si>
    <t>9.9,9.7,4.9</t>
  </si>
  <si>
    <t>35.8,13.9,6.4</t>
  </si>
  <si>
    <t>3.3,17.8,6.8</t>
  </si>
  <si>
    <t>15.4,24.2,3.1</t>
  </si>
  <si>
    <t>6.1,18.5,9.9</t>
  </si>
  <si>
    <t>9.6,22,5.5</t>
  </si>
  <si>
    <t>5.3,8.2</t>
  </si>
  <si>
    <t>6.4,9.1,3.5</t>
  </si>
  <si>
    <t>0,6.7,2.7</t>
  </si>
  <si>
    <t>3.7,17,5.6</t>
  </si>
  <si>
    <t>86,21.4,8.9</t>
  </si>
  <si>
    <t>44,17.5,6.7</t>
  </si>
  <si>
    <t>6.7,24.4,26.8</t>
  </si>
  <si>
    <t>6.7,12.9</t>
  </si>
  <si>
    <t>8.3,8.0</t>
  </si>
  <si>
    <t>Age-0+</t>
  </si>
  <si>
    <t xml:space="preserve">2.17±1.93, 6.13±4.21 </t>
  </si>
  <si>
    <t>0.18±0.18, 2.70±1.37</t>
  </si>
  <si>
    <t>5.2±1.66, 3.43±1.19</t>
  </si>
  <si>
    <t>2.44±0.93, 0.9±0.31</t>
  </si>
  <si>
    <t>2.82±1.3,
1.79±1.5, 1.96±0.88, 
1.59±1.32,1.98±1.54, 
2.04±1.31,2.77±2.51</t>
  </si>
  <si>
    <t>3.82±2.07, 3.94±2.06</t>
  </si>
  <si>
    <t>3.56±0.99, 
5.46±2.38,4.79±2.58, 
1.95±0.7,1.89±0.94, 
2.85±1.21, 1.19±0.83</t>
  </si>
  <si>
    <t>2.97±1.14, 2.56±1.26</t>
  </si>
  <si>
    <t>5.41±3.47,
1.83±0.92, 3.03±2.01,
1.23±0.73, 1.28±0.81, 
1.73±1.11, 0.34±0.34</t>
  </si>
  <si>
    <t>1.36±0.42, 1.99±0.58</t>
  </si>
  <si>
    <t>0.99±0.49, 1.16±0.38</t>
  </si>
  <si>
    <t>0.84±0.35, 1.16±0.35</t>
  </si>
  <si>
    <t>0.85±0.37, 
1.61±0.67, 1.15±0.62, 
0.63±0.35,0.94±0.32, 
1.68±1.01</t>
  </si>
  <si>
    <t>2.17±1.73, 
2.25±1.74,0.52±0.45, 
3.09±2.1,5.5±3.0, 
2.57±1.47,1.39±1.32, 
4.25±1.83</t>
  </si>
  <si>
    <t>0.71±0.42, 
8.13±5.15, 5.41±3.5, 
1.99±1.35,8.02±6.18, 
1.99±0.98,0.68±0.62, 
6.14±2.06</t>
  </si>
  <si>
    <t>1.74±1.67, 
4.25±4.25, 3.32±3.19, 
2.61±2.56, 3.64±3.48, 
0.35±0.35,0.59±0.59, 
3.30±1.52</t>
  </si>
  <si>
    <t>0.78±0.28, 
2.44±1.82, 0.64±0.26,
1.50±1.14, 0.76±0.62,
1.88±1.09</t>
  </si>
  <si>
    <t>1.41±0.66,
4.68±2.38, 3.64±1.91, 
1.28±0.58, 1.53±0.55,
3.3±1.84</t>
  </si>
  <si>
    <t>Spain</t>
  </si>
  <si>
    <t>Basque</t>
  </si>
  <si>
    <t>LWD</t>
  </si>
  <si>
    <t>Anton</t>
  </si>
  <si>
    <t>NOTES</t>
  </si>
  <si>
    <t>Fjellheim</t>
  </si>
  <si>
    <t>River Teigdalselva</t>
  </si>
  <si>
    <t>Salmon and Trout</t>
  </si>
  <si>
    <t>Lehane</t>
  </si>
  <si>
    <t>Ireland</t>
  </si>
  <si>
    <t>Douglas River</t>
  </si>
  <si>
    <t>68,24,46,37,29,41</t>
  </si>
  <si>
    <t>33,34</t>
  </si>
  <si>
    <t>77,66,
97,77,
44,47</t>
  </si>
  <si>
    <t>98,59,78,63,50,40
83,10,25,38,21,14
53,51,11,21,18,11</t>
  </si>
  <si>
    <t>38,41</t>
  </si>
  <si>
    <t>27,33,57,47,35,28</t>
  </si>
  <si>
    <t>74,76
71,58,
38,68</t>
  </si>
  <si>
    <t>63,69,93,109,85,70
26,28,38,73,44,21,
23,15,34,62,16,18</t>
  </si>
  <si>
    <t>Linløkken</t>
  </si>
  <si>
    <t>River Glomma</t>
  </si>
  <si>
    <t>Nilsson</t>
  </si>
  <si>
    <t>Sweden</t>
  </si>
  <si>
    <t>Vindel River</t>
  </si>
  <si>
    <t>0+</t>
  </si>
  <si>
    <t>&gt;1+</t>
  </si>
  <si>
    <t>Quinn</t>
  </si>
  <si>
    <t>Beaver Dam
tailwater</t>
  </si>
  <si>
    <t>Martilla</t>
  </si>
  <si>
    <t>LWD, boulders, 
flow deflectors,
spawning gravel</t>
  </si>
  <si>
    <t>Champkin</t>
  </si>
  <si>
    <t>England</t>
  </si>
  <si>
    <t>River Galvin</t>
  </si>
  <si>
    <t>Re-meandering</t>
  </si>
  <si>
    <t>Age-0+ (fry)</t>
  </si>
  <si>
    <t>Number of sites (control-treatment/ before-after)</t>
  </si>
  <si>
    <t>Koljonen</t>
  </si>
  <si>
    <t>River Kiiminkijoki</t>
  </si>
  <si>
    <t>In-stream structures</t>
  </si>
  <si>
    <t>Luhta</t>
  </si>
  <si>
    <t>Multiple streams</t>
  </si>
  <si>
    <t>0, 0, 0.2, 0.4</t>
  </si>
  <si>
    <t xml:space="preserve">5, 4.5, 4.2, 3.8, 3, 2, 
1.2, 0.8, 0.2, 0.1 </t>
  </si>
  <si>
    <t>0, 0.1, 0.8, 1.1</t>
  </si>
  <si>
    <t>0.1, 0.2, 0.7, 0.8, 1.3, 
1.4, 2, 2, 2.5, 6.3</t>
  </si>
  <si>
    <t>Fjelstad</t>
  </si>
  <si>
    <t>River Nidelva</t>
  </si>
  <si>
    <t>Weir removal</t>
  </si>
  <si>
    <t>0,3,0,0</t>
  </si>
  <si>
    <t>28,26,27</t>
  </si>
  <si>
    <t>4,5,4,6</t>
  </si>
  <si>
    <t>4,11,1</t>
  </si>
  <si>
    <t>70±12</t>
  </si>
  <si>
    <t>68±12</t>
  </si>
  <si>
    <t>15±2</t>
  </si>
  <si>
    <t>14±2</t>
  </si>
  <si>
    <t>No SD/SE/CI given</t>
  </si>
  <si>
    <t>Space-for-time
No SD/SE/CI given
substitution</t>
  </si>
  <si>
    <t>115 (SD: 117),
80 (SD: 83),
95 (SD: 96),
60 (SD: 61)</t>
  </si>
  <si>
    <t>41 (SD: 42.5),
42 (SD: 43),
95 (SD: 100),
50 (SD: 51)</t>
  </si>
  <si>
    <t>130 (SD: 131),
104 (SD: 105),
76 (SD: 78),
40 (SD: 41)</t>
  </si>
  <si>
    <t>12 (SD: 12.4),
10 (SD: 13),
16 (SD: 17), 
4 (SD: 4)</t>
  </si>
  <si>
    <t>Palm</t>
  </si>
  <si>
    <t>River Kalix</t>
  </si>
  <si>
    <t>Boulder and
spawning gravel</t>
  </si>
  <si>
    <t>River Gudenaa</t>
  </si>
  <si>
    <t>YOY (Downstream)</t>
  </si>
  <si>
    <t>YOY (Upstream)</t>
  </si>
  <si>
    <t>0.06, 0.38, 0.06</t>
  </si>
  <si>
    <t>54.14, 27.45, 18.82,
19.0, 39.76, 21.31,
21.41, 46.37</t>
  </si>
  <si>
    <t>Older (Downstream)</t>
  </si>
  <si>
    <t>0.8, 7.13, 6.94, 2.4,
8.99, 2.07, 15.02, 
0.27, 13.18</t>
  </si>
  <si>
    <t>0.79, 1.44, 1.63, 0.97,
1.4, 3.63, 1.39, 1.45,
2.39</t>
  </si>
  <si>
    <t>0.39, 2.36, 2.51, 4.1,
1.76, 2.89, 2.14</t>
  </si>
  <si>
    <t>Older (Upstream)</t>
  </si>
  <si>
    <t>1.04, 1, 0.31</t>
  </si>
  <si>
    <t>1.59, 1.3, 1.78, 1.45,
2.03, 1, 1.22, 1.69</t>
  </si>
  <si>
    <t>Estonia</t>
  </si>
  <si>
    <t>Spawning gravel</t>
  </si>
  <si>
    <t>Vodja River</t>
  </si>
  <si>
    <t>Esna</t>
  </si>
  <si>
    <t>Körtsioja</t>
  </si>
  <si>
    <t>Männiku</t>
  </si>
  <si>
    <t>Piirsalu</t>
  </si>
  <si>
    <t>Piusa</t>
  </si>
  <si>
    <t>Pori</t>
  </si>
  <si>
    <t>Preedi</t>
  </si>
  <si>
    <t>Lifestage</t>
  </si>
  <si>
    <t>95%CI</t>
  </si>
  <si>
    <t>Ozerov</t>
  </si>
  <si>
    <t>Mean±SE</t>
  </si>
  <si>
    <t>River Main</t>
  </si>
  <si>
    <t>Boulders, 
deflectors</t>
  </si>
  <si>
    <t>Kennedy</t>
  </si>
  <si>
    <t>Streams of 
Catskill Mountains</t>
  </si>
  <si>
    <t>Natural channel
design</t>
  </si>
  <si>
    <t>1,1</t>
  </si>
  <si>
    <t>0.5, 1</t>
  </si>
  <si>
    <t>10.5, 29, 9</t>
  </si>
  <si>
    <t>1, 0, 2</t>
  </si>
  <si>
    <t>1, 0.5</t>
  </si>
  <si>
    <t>East Kill stream</t>
  </si>
  <si>
    <t>Batavia Kill</t>
  </si>
  <si>
    <t>Broadstreet Hollow
brook</t>
  </si>
  <si>
    <t>Total trout density
±95%CI</t>
  </si>
  <si>
    <t>Baldigo</t>
  </si>
  <si>
    <t>Muotka</t>
  </si>
  <si>
    <t>7.5, 13, 4, 27</t>
  </si>
  <si>
    <t>3, 10, 11.5, 5, 12, 2</t>
  </si>
  <si>
    <t>3, 11, 2</t>
  </si>
  <si>
    <t>15, 13.5, 5.5, 6, 1, 0</t>
  </si>
  <si>
    <t>10.5, 15.2, 8</t>
  </si>
  <si>
    <t>Treatment = 1, control = 1</t>
  </si>
  <si>
    <t>Boulders,
deflectors</t>
  </si>
  <si>
    <t>Rye Water</t>
  </si>
  <si>
    <t>Boulders,
deflectors,
pool creation</t>
  </si>
  <si>
    <t>14.7,
4,
16.5</t>
  </si>
  <si>
    <t>8.8,
4.06,
14.19</t>
  </si>
  <si>
    <t>28.5,
8.2,
3.0,
6.0,
6.2,
5.1</t>
  </si>
  <si>
    <t>8.8,
4.4,
7.8,
6.0,
5.1,
10.2</t>
  </si>
  <si>
    <t>6,
10.6,
7.1</t>
  </si>
  <si>
    <t>10.02,
2.9,
15.2</t>
  </si>
  <si>
    <t>8.0,
4.1,
4.1,
3,
4.15,
3</t>
  </si>
  <si>
    <t>5.04,
5.1,
12.3,
9,
13.4,
12</t>
  </si>
  <si>
    <t>Kelly</t>
  </si>
  <si>
    <t>Thompson</t>
  </si>
  <si>
    <t>UK</t>
  </si>
  <si>
    <t>Boulder</t>
  </si>
  <si>
    <t>Hvidsten</t>
  </si>
  <si>
    <t>River Søya</t>
  </si>
  <si>
    <t>Juvenile</t>
  </si>
  <si>
    <t>Langford</t>
  </si>
  <si>
    <t>Gravel beds, 
channel restoration</t>
  </si>
  <si>
    <t>3.8±2.2</t>
  </si>
  <si>
    <t>10.1±12.3</t>
  </si>
  <si>
    <t>0.03±0.02</t>
  </si>
  <si>
    <t>0.23±0.22</t>
  </si>
  <si>
    <t>River Avon
River Piddle
River Wylye</t>
  </si>
  <si>
    <t>10.5±11.5</t>
  </si>
  <si>
    <t>27±19</t>
  </si>
  <si>
    <t>2.5±1.5</t>
  </si>
  <si>
    <t>28±17</t>
  </si>
  <si>
    <t>Sun</t>
  </si>
  <si>
    <t>Claxton Beck</t>
  </si>
  <si>
    <t>29.5±6.5</t>
  </si>
  <si>
    <t>7.5±0.5</t>
  </si>
  <si>
    <t>YOY and Fry</t>
  </si>
  <si>
    <t>Gels Å_YOY</t>
  </si>
  <si>
    <t>Stensbæk_YOY</t>
  </si>
  <si>
    <t>Ryds Å_YOY</t>
  </si>
  <si>
    <t>Gels Å_Fry</t>
  </si>
  <si>
    <t>Stensbæk_Fry</t>
  </si>
  <si>
    <t>Ryds Å_Fry</t>
  </si>
  <si>
    <t>mean_BACI_BI</t>
  </si>
  <si>
    <t>SD_BACI_BI</t>
  </si>
  <si>
    <t>deviance_BACI_BI</t>
  </si>
  <si>
    <t>deviance_type_BACI_BI</t>
  </si>
  <si>
    <t>sample_size_BC</t>
  </si>
  <si>
    <t>mean_BACI_BC</t>
  </si>
  <si>
    <t>deviance_BACI_BC</t>
  </si>
  <si>
    <t>deviance_type_BACI_BC</t>
  </si>
  <si>
    <t>SD_BACI_BC</t>
  </si>
  <si>
    <t>mean_BACI_AI</t>
  </si>
  <si>
    <t>deviance_BACI_AI</t>
  </si>
  <si>
    <t>deviance_type_BACI_AI</t>
  </si>
  <si>
    <t>SD_BACI_AI</t>
  </si>
  <si>
    <t>sample_size_AC</t>
  </si>
  <si>
    <t>mean_BACI_AC</t>
  </si>
  <si>
    <t>deviance_BACI_AC</t>
  </si>
  <si>
    <t>deviance_type_BACI_AC</t>
  </si>
  <si>
    <t>SD_BACI_AC</t>
  </si>
  <si>
    <t>BACI_effect_size_BA_treatment</t>
  </si>
  <si>
    <t>effect_size_value_BACI_BA_treatment</t>
  </si>
  <si>
    <t>SD_BACI_BA_treatment</t>
  </si>
  <si>
    <t>sample_size_BACI_BA_treatment</t>
  </si>
  <si>
    <t>BACI_effect_size_BA_control</t>
  </si>
  <si>
    <t>effect_size_value_BACI_BA_control</t>
  </si>
  <si>
    <t>SD_BACI_BA_control</t>
  </si>
  <si>
    <t>sample_size_BACI_BA_control</t>
  </si>
  <si>
    <t>treatment_mean</t>
  </si>
  <si>
    <t>treatment_SD</t>
  </si>
  <si>
    <t>treatment_sample_size</t>
  </si>
  <si>
    <t>control_mean</t>
  </si>
  <si>
    <t>control_SD</t>
  </si>
  <si>
    <t>control_sample_size</t>
  </si>
  <si>
    <t>Type</t>
  </si>
  <si>
    <t>Last_Name</t>
  </si>
  <si>
    <t>Country</t>
  </si>
  <si>
    <t>River_Name</t>
  </si>
  <si>
    <t>Publication_Year</t>
  </si>
  <si>
    <t>Salmon_Trout</t>
  </si>
  <si>
    <t>Restoration_Type</t>
  </si>
  <si>
    <t>Study_Design</t>
  </si>
  <si>
    <t>Total_After_Years</t>
  </si>
  <si>
    <t>Species</t>
  </si>
  <si>
    <t>BA/CI_treatment_mean</t>
  </si>
  <si>
    <t>BA/CI_treatment_SD</t>
  </si>
  <si>
    <t xml:space="preserve">BA/CI_treatment_sample_size </t>
  </si>
  <si>
    <t>BA/CI_control_mean</t>
  </si>
  <si>
    <t>BA/CI_control_SD</t>
  </si>
  <si>
    <t xml:space="preserve">BA/CI_control_sample_size </t>
  </si>
  <si>
    <t>BA/CI_control_deviance</t>
  </si>
  <si>
    <t>Deviance_type_BA/CI_control</t>
  </si>
  <si>
    <t>SE</t>
  </si>
  <si>
    <t>BA/CI_treatment_deviance</t>
  </si>
  <si>
    <t>Deviance_type_BA/CI_treatment</t>
  </si>
  <si>
    <t>N/A</t>
  </si>
  <si>
    <t>sample_size_BACI_BI</t>
  </si>
  <si>
    <t>sample_size_BACI_AI</t>
  </si>
  <si>
    <t>SD</t>
  </si>
  <si>
    <t>A-B_treatment</t>
  </si>
  <si>
    <t>A-B_control</t>
  </si>
  <si>
    <t>3 Control, 6 Treatment</t>
  </si>
  <si>
    <t>6 Control, 2 Treatment</t>
  </si>
  <si>
    <t>7 Control, 2 Treatment</t>
  </si>
  <si>
    <t>The first line in all
boxes in this study
are directly after the
restoration - unsure
whether to use this
data point.
Mean±SE</t>
  </si>
  <si>
    <t>6 Control, 6 Treatment</t>
  </si>
  <si>
    <t>Stream 1</t>
  </si>
  <si>
    <t>Stream 2</t>
  </si>
  <si>
    <t>Stream 3</t>
  </si>
  <si>
    <t>Stream 4</t>
  </si>
  <si>
    <t>1 Control, 1 Treatment</t>
  </si>
  <si>
    <t>5.5, 3, 11, 4.5</t>
  </si>
  <si>
    <t xml:space="preserve">48.5,13.5 </t>
  </si>
  <si>
    <t xml:space="preserve">0,1.7 </t>
  </si>
  <si>
    <t>Publication</t>
  </si>
  <si>
    <t>Reason for exclusion</t>
  </si>
  <si>
    <t>7
7</t>
  </si>
  <si>
    <t>53±22, 25±15, 68±14,
41±12
49±9, 32±6, 125±23,
37±16</t>
  </si>
  <si>
    <t>40, 31, 64±15, 8±3
9±4, 21±2, 40±54, 21</t>
  </si>
  <si>
    <t>3
3</t>
  </si>
  <si>
    <t>99±40, 35±6, 22,
32.5±6.5
90±51, 70.5±11, 52, 
53±28</t>
  </si>
  <si>
    <t>38±2, 65±37, 23, 32±4
61±14, 103±9, 86±5, 73</t>
  </si>
  <si>
    <t>Lorenz</t>
  </si>
  <si>
    <t>Germany</t>
  </si>
  <si>
    <t>Abundance data
not density (ind/100m,
not ind/100m^2)</t>
  </si>
  <si>
    <t>Wang</t>
  </si>
  <si>
    <t>Spring Creek, Wisconsin
Eagle-Joos 
Creek, 
Wisconsin</t>
  </si>
  <si>
    <t>Burroughs</t>
  </si>
  <si>
    <t>Pine River</t>
  </si>
  <si>
    <t>Dietermann</t>
  </si>
  <si>
    <t>25 streams in
Minnesota</t>
  </si>
  <si>
    <t>Abundance data
not density (ind/km,
not ind/km^2)</t>
  </si>
  <si>
    <t>Zika &amp; Peter</t>
  </si>
  <si>
    <t>Lichtenstein</t>
  </si>
  <si>
    <t>Mühlebach stream</t>
  </si>
  <si>
    <t>Only one abundance
value given for
before and after
restoration</t>
  </si>
  <si>
    <t>Erkinaro</t>
  </si>
  <si>
    <t>2 Treatment,
2 Control</t>
  </si>
  <si>
    <t>Value±value not
indicated in paper.
Each line indicates
a site.</t>
  </si>
  <si>
    <t>BA_control_pooledSD_nominator</t>
  </si>
  <si>
    <t>BA_treatment_pooledSD_denominator</t>
  </si>
  <si>
    <t>BA_treatment_pooledSD_nominator</t>
  </si>
  <si>
    <t>BA_control_pooledSD_denominator</t>
  </si>
  <si>
    <t>5.14±0.15 (SD=0.07), 
5.68±0.12 (SD=0.06),
5.68±0.51 (SD=0.26)</t>
  </si>
  <si>
    <t>3.42±0.06 (SD=0.03), 
3.12±0.49 (SD=0.25),
4.56±0.12 (SD=0.06),
9.64±0.29 (SD=0.15)</t>
  </si>
  <si>
    <t>8.13±0.39 (SD=0.2), 
7.71±2.16 (SD=1.10), 
17.29±0.53 (SD=0.27)</t>
  </si>
  <si>
    <t>3.96±0.2 (SD=0.10),
1.25±0.22 (SD=0.11),
7.5±0.21 (SD=0.11),
11.23±0.39 (0.2)</t>
  </si>
  <si>
    <t>31, 
38±0.5 (SD=0.26), 
44±1 (SD=0.51)</t>
  </si>
  <si>
    <t>11.5±5 (SD=2.55), 
8</t>
  </si>
  <si>
    <t>1, 
9±0.5 (SD=0.26)</t>
  </si>
  <si>
    <t>10, 
13</t>
  </si>
  <si>
    <t>11.5, 
10.5, 
20.5±1 (SD=0.51)</t>
  </si>
  <si>
    <t>66a</t>
  </si>
  <si>
    <t>68a</t>
  </si>
  <si>
    <t>2.2,1.4</t>
  </si>
  <si>
    <t>Pierce</t>
  </si>
  <si>
    <t>Kleinschmidt
Creek</t>
  </si>
  <si>
    <t>Abundance per
linear metre, not
density (ind/100m^2)</t>
  </si>
  <si>
    <t>15.31 (4.71-25.91)
SD=5.41,
12.09 (7.85-16.33)
SD=2.16</t>
  </si>
  <si>
    <t>63.83 (45.49-82.17)
SD=9.36</t>
  </si>
  <si>
    <t>70.76 (26.16-115.36)
SD=22.76</t>
  </si>
  <si>
    <t>106.52(73.60-139.44)
SD=16.8,
25.42(11.63-39.21)
SD=7.04</t>
  </si>
  <si>
    <t>7.44 (4.40-10.48)
SD=1.55,
38.61 (27.67-49.55)
SD=5.58</t>
  </si>
  <si>
    <t>62.60 (29.82-95.38)
SD=16.72</t>
  </si>
  <si>
    <t>77.55(66.27-88.83)
SD=5.76</t>
  </si>
  <si>
    <t>0.98 (0.98-0.98)
SD=0</t>
  </si>
  <si>
    <t>0.18 (0.18-0.18)
SD=0</t>
  </si>
  <si>
    <t>0.42 (0.42-0.42)
SD=0</t>
  </si>
  <si>
    <t>2 Control, 1 Treatment</t>
  </si>
  <si>
    <t>1 Control, 2 Treatment</t>
  </si>
  <si>
    <t>20.42 (3.39-37.35)
SD=8.66, 
2.86 (0.00-5.72)
SD=1.46, 
4.02 (0.00-8.04)
SD=2.05</t>
  </si>
  <si>
    <t>GWCT</t>
  </si>
  <si>
    <t>Grey Literature</t>
  </si>
  <si>
    <t>Fencing (stock
exclusion)
Coppicing</t>
  </si>
  <si>
    <t>13.5±4</t>
  </si>
  <si>
    <t>18±4.5</t>
  </si>
  <si>
    <t>11.5±3</t>
  </si>
  <si>
    <t>20±2.7</t>
  </si>
  <si>
    <t>10 Control, 10 Treatment</t>
  </si>
  <si>
    <t>Summers</t>
  </si>
  <si>
    <t>River Piddle,
Devil's Brook</t>
  </si>
  <si>
    <t>River Monnow</t>
  </si>
  <si>
    <t>Tadnoll Brook</t>
  </si>
  <si>
    <t>Coppicing</t>
  </si>
  <si>
    <t>Age-1+</t>
  </si>
  <si>
    <t>Study_ID</t>
  </si>
  <si>
    <t>12±13.61</t>
  </si>
  <si>
    <t>9.3±6.16</t>
  </si>
  <si>
    <t>8.67±6.29</t>
  </si>
  <si>
    <t>Mean±SD</t>
  </si>
  <si>
    <t>9.33±8.57</t>
  </si>
  <si>
    <t>Only one site sampled</t>
  </si>
  <si>
    <t>Dam/Weir Removal</t>
  </si>
  <si>
    <t>River Trend
River Arup
River Egtred
River Binderup
River Ansayer
River Idom</t>
  </si>
  <si>
    <t>20±10</t>
  </si>
  <si>
    <t>205±15</t>
  </si>
  <si>
    <t>0±0</t>
  </si>
  <si>
    <t>11.6±0.35</t>
  </si>
  <si>
    <t>21.5±6.5</t>
  </si>
  <si>
    <t>34±1</t>
  </si>
  <si>
    <t>39.5±0.5</t>
  </si>
  <si>
    <t>81±5</t>
  </si>
  <si>
    <t>1±2.5</t>
  </si>
  <si>
    <t>7.8±1.1</t>
  </si>
  <si>
    <t>108±2</t>
  </si>
  <si>
    <t>Mean±95CI</t>
  </si>
  <si>
    <t>16.4±2.78</t>
  </si>
  <si>
    <t>67.48±3.62</t>
  </si>
  <si>
    <t>White</t>
  </si>
  <si>
    <t>Colorado streams</t>
  </si>
  <si>
    <t>Gowan &amp; Fausch</t>
  </si>
  <si>
    <t>Blackfoot River Basin</t>
  </si>
  <si>
    <t>15±3</t>
  </si>
  <si>
    <t>30±2</t>
  </si>
  <si>
    <t>6.3±0.6</t>
  </si>
  <si>
    <t>13±0.5</t>
  </si>
  <si>
    <t>41±1.5</t>
  </si>
  <si>
    <t>3±0.3</t>
  </si>
  <si>
    <t>31±0.2</t>
  </si>
  <si>
    <t>17±37</t>
  </si>
  <si>
    <t>11±1</t>
  </si>
  <si>
    <t>5.5±1</t>
  </si>
  <si>
    <t>3±2</t>
  </si>
  <si>
    <t>21±1</t>
  </si>
  <si>
    <t>15.66±1.55</t>
  </si>
  <si>
    <t>18.9±16.58</t>
  </si>
  <si>
    <t>Stuber</t>
  </si>
  <si>
    <t>Abundance per
linear hectare, not
density (ind/100m^2)</t>
  </si>
  <si>
    <t>Sheep Creek</t>
  </si>
  <si>
    <t>River Dee Trust</t>
  </si>
  <si>
    <t>River Dee</t>
  </si>
  <si>
    <t>Larsen &amp; Hesthagen</t>
  </si>
  <si>
    <t xml:space="preserve">4, 4.2, 1.5, 3, 2.5, 2.5, 3, 4.5 </t>
  </si>
  <si>
    <t>Vikedalselva</t>
  </si>
  <si>
    <t>25±2 (SD: 1.77), 15±4 (SD 4.56), 16±9.5 (10.83), 16.5±3.5 (SD: 3.99), 32±7 (13.83), 22±3.5 (SD: 6.92)</t>
  </si>
  <si>
    <t>21.08±8.12</t>
  </si>
  <si>
    <t>19±10 (SD: 8.84), 15±0.2 (0.23), 20±2 (2.28), 17±2 (2.28), 41±1.4 (2.77), 24±0.2 (0.4), 22±0.2 (0.4), 36.5±3 (5.93)</t>
  </si>
  <si>
    <t>24.31±4.05</t>
  </si>
  <si>
    <t>4.5, 5, 3±11 (12.55), 9.5±0.6 (0.68), 1.5±0.5 (1.08), 1</t>
  </si>
  <si>
    <t>4.08±5.15</t>
  </si>
  <si>
    <t>3.15±0.4</t>
  </si>
  <si>
    <t>Lepori</t>
  </si>
  <si>
    <t>Ume River</t>
  </si>
  <si>
    <t>Density recorded as 
fish/100m2 rather
than individual species/100m2</t>
  </si>
  <si>
    <t>Covington &amp; Hubert</t>
  </si>
  <si>
    <t>Salt River Valley</t>
  </si>
  <si>
    <t>Thorn &amp; Anderson</t>
  </si>
  <si>
    <t>Hay Creek</t>
  </si>
  <si>
    <t xml:space="preserve">Abundance per
linear hectare, not
density (ind/100m^2)
No control density given despite control site included in study design </t>
  </si>
  <si>
    <t>Hogg</t>
  </si>
  <si>
    <t>Sedgeunkedunk stream</t>
  </si>
  <si>
    <t xml:space="preserve">Limited baseline data 
available </t>
  </si>
  <si>
    <t>Eddleston Water Project</t>
  </si>
  <si>
    <t>Eddleston Water</t>
  </si>
  <si>
    <t>AS0+</t>
  </si>
  <si>
    <t>AS&gt;0+</t>
  </si>
  <si>
    <t>BT0+</t>
  </si>
  <si>
    <t>BT&gt;0+</t>
  </si>
  <si>
    <t>Salmo salar</t>
  </si>
  <si>
    <t>1.51±2.44</t>
  </si>
  <si>
    <t>4.18±2.18</t>
  </si>
  <si>
    <t>73.88±80.43</t>
  </si>
  <si>
    <t>0.25±0.35</t>
  </si>
  <si>
    <t>7.38±8.31</t>
  </si>
  <si>
    <t>13±12</t>
  </si>
  <si>
    <t>57±30</t>
  </si>
  <si>
    <t xml:space="preserve"> -2±6</t>
  </si>
  <si>
    <t>60±26</t>
  </si>
  <si>
    <t xml:space="preserve"> -12±0.71</t>
  </si>
  <si>
    <t>39±21.21</t>
  </si>
  <si>
    <t>54.8±7.2</t>
  </si>
  <si>
    <t>13.3±5.5</t>
  </si>
  <si>
    <t xml:space="preserve">0.0±0.0 </t>
  </si>
  <si>
    <t>55.2±1.9</t>
  </si>
  <si>
    <t xml:space="preserve">7.3±2.0 </t>
  </si>
  <si>
    <t xml:space="preserve">16.8±4.6 </t>
  </si>
  <si>
    <t>22.4±1.4</t>
  </si>
  <si>
    <t>75±25</t>
  </si>
  <si>
    <t>17±4</t>
  </si>
  <si>
    <t>225±75</t>
  </si>
  <si>
    <t>30±9</t>
  </si>
  <si>
    <t>5±45</t>
  </si>
  <si>
    <t>50±15</t>
  </si>
  <si>
    <t>10±4</t>
  </si>
  <si>
    <t>10±5</t>
  </si>
  <si>
    <t>Salmo salar
Salmo trutta</t>
  </si>
  <si>
    <t>89.23±60.59
12.42±18
48.141±35.83</t>
  </si>
  <si>
    <t>27.17±18.94
13.10±11.51
30.42±18.33</t>
  </si>
  <si>
    <t>4.89±4.12
4.18±3.91
1.67±2.08</t>
  </si>
  <si>
    <t>115.51±136.40
103.48±64.68
102.49±88.57</t>
  </si>
  <si>
    <t>5.52±9.55
8.65±13.24
5.48±8.64</t>
  </si>
  <si>
    <t>1.17±1.20
1.56±1.67
0.95±1.25</t>
  </si>
  <si>
    <t>84.35±39.12
72.31±37.51
97.26±38.03</t>
  </si>
  <si>
    <t>4.48±4.43
8.69±7.32
4.49±4.40</t>
  </si>
  <si>
    <t>Wild Trout Trust</t>
  </si>
  <si>
    <t>Salmo trutta</t>
  </si>
  <si>
    <t>5.06±22.75</t>
  </si>
  <si>
    <t>AS</t>
  </si>
  <si>
    <t>BT</t>
  </si>
  <si>
    <t>0+0</t>
  </si>
  <si>
    <t>4.32±13.67</t>
  </si>
  <si>
    <t>0,0,0,0,0</t>
  </si>
  <si>
    <t>0,0,0,0.9,0</t>
  </si>
  <si>
    <t>0,0,0,0.2,0</t>
  </si>
  <si>
    <t>15.8, 21.3, 18.8, 0.2, 1.6</t>
  </si>
  <si>
    <t>13.1, 16.2, 3.9, 0.2, 0</t>
  </si>
  <si>
    <t>4.3, 0.7, 5.4, 0.5, 0</t>
  </si>
  <si>
    <t>5.7, 3.5, 6.7, 0.2, 0.5</t>
  </si>
  <si>
    <t>AS0+ boulders</t>
  </si>
  <si>
    <t>AS0+ deflectors</t>
  </si>
  <si>
    <t>AS&gt;0+ boulders</t>
  </si>
  <si>
    <t>BT0+ boulders</t>
  </si>
  <si>
    <t>BT0+ deflectors</t>
  </si>
  <si>
    <t>BT1+ boulders</t>
  </si>
  <si>
    <t>BT1+ deflectors</t>
  </si>
  <si>
    <t>BT&gt;1+ boulders</t>
  </si>
  <si>
    <t>BT&gt;1+ deflectors</t>
  </si>
  <si>
    <t>10±14</t>
  </si>
  <si>
    <t>2±1</t>
  </si>
  <si>
    <t>6±3</t>
  </si>
  <si>
    <t>11.5±10.5</t>
  </si>
  <si>
    <t>12±26</t>
  </si>
  <si>
    <t>18±20</t>
  </si>
  <si>
    <t>5±2</t>
  </si>
  <si>
    <t>22.5±10.5</t>
  </si>
  <si>
    <t>3.5±1.5</t>
  </si>
  <si>
    <t>4.5±2.5</t>
  </si>
  <si>
    <t>5.5±4.5</t>
  </si>
  <si>
    <t>22±11.5</t>
  </si>
  <si>
    <t>13±2</t>
  </si>
  <si>
    <t>32±13</t>
  </si>
  <si>
    <t>19±8</t>
  </si>
  <si>
    <t>30.5±9</t>
  </si>
  <si>
    <t>55.5±18.5</t>
  </si>
  <si>
    <t>28±16</t>
  </si>
  <si>
    <t>7±3.5</t>
  </si>
  <si>
    <t>8±14</t>
  </si>
  <si>
    <t>4±8</t>
  </si>
  <si>
    <t>2.5±10</t>
  </si>
  <si>
    <t>7.5±15</t>
  </si>
  <si>
    <t>10±16.5</t>
  </si>
  <si>
    <t>0.9±0.7</t>
  </si>
  <si>
    <t>3.8±1.7</t>
  </si>
  <si>
    <t>0.15±0.15</t>
  </si>
  <si>
    <t>3.1±3.7</t>
  </si>
  <si>
    <t>0.1±0.3</t>
  </si>
  <si>
    <t>BT1+</t>
  </si>
  <si>
    <t>AS1+</t>
  </si>
  <si>
    <t xml:space="preserve">Mean±1SD </t>
  </si>
  <si>
    <t>Weir Removal</t>
  </si>
  <si>
    <t>&gt;0+</t>
  </si>
  <si>
    <t>Location A</t>
  </si>
  <si>
    <t xml:space="preserve">Location B </t>
  </si>
  <si>
    <t>0+ (mean±SE)</t>
  </si>
  <si>
    <t>1+ (mean±SE)</t>
  </si>
  <si>
    <t>&gt;1+(mean±SE)</t>
  </si>
  <si>
    <t>3 Control, 3 Treatment</t>
  </si>
  <si>
    <t>2 Control, 2 Treatment</t>
  </si>
  <si>
    <t>4 Control, 4 Treatment</t>
  </si>
  <si>
    <t xml:space="preserve">6 Control, 3 Treatment </t>
  </si>
  <si>
    <t>5 Control, 5 Treatment</t>
  </si>
  <si>
    <t>3 Control, 9 Treatment</t>
  </si>
  <si>
    <t>37 Control, 37 Treatment</t>
  </si>
  <si>
    <t>71 Control, 71 Treatment</t>
  </si>
  <si>
    <t>8 Control, 7 Treatment</t>
  </si>
  <si>
    <t>8 Control, 5 Treatment</t>
  </si>
  <si>
    <t>11 Control, 11 Treatment</t>
  </si>
  <si>
    <t>15 Control, 15 Treatment</t>
  </si>
  <si>
    <t>4 Control, 10 Treatment</t>
  </si>
  <si>
    <t>230±60</t>
  </si>
  <si>
    <t>75±0.5, 
80±3</t>
  </si>
  <si>
    <t>65±1,
70±2</t>
  </si>
  <si>
    <t>4.5±0.5,
3±0.5</t>
  </si>
  <si>
    <t>115±20</t>
  </si>
  <si>
    <t>81±0.5,
41±4</t>
  </si>
  <si>
    <t>118±1,
78±1</t>
  </si>
  <si>
    <t>5±0.5,
6±1.5</t>
  </si>
  <si>
    <t>5.5±0.16</t>
  </si>
  <si>
    <t>11±1 (0.88), 22.5±0.5 (0.57), 2±0.2(0.23), 5.5±3.5(3.99), 10±4(7.90), 9±5.5(10.87)</t>
  </si>
  <si>
    <t xml:space="preserve">4±0.3(0.59), 21±0.2(0.4), 7±0.2(0.4), 8±0.2(0.4), 9.8±0.4(0.79), 12±0.2(0.4), 9.7±0.3(0.59), 9.4±0.4(0.79)  </t>
  </si>
  <si>
    <t>10±5.73</t>
  </si>
  <si>
    <t>10.11±0.57</t>
  </si>
  <si>
    <t>14±6(5.3), 19.5±1.5(1.71), 19.4±1.6(1.83), 6±0.5(0.57), 23.5±4.5(8.89), 8±0.2(0.4)</t>
  </si>
  <si>
    <t>23±17(33.59), 8±0.2(0.4), 18±1(1.98), 16±1(1.98), 15.8±1(1.98), 14±1(1.98), 13±1(1.98), 29±1.5(2.96)</t>
  </si>
  <si>
    <t>15.07±4.36</t>
  </si>
  <si>
    <t>13.23±12.03</t>
  </si>
  <si>
    <t>5.19±0.15</t>
  </si>
  <si>
    <t>11.04±0.66</t>
  </si>
  <si>
    <t>5.99±0.13</t>
  </si>
  <si>
    <t>0+_36</t>
  </si>
  <si>
    <t>&gt;0+_36</t>
  </si>
  <si>
    <t>7 Control, 20 Treatment</t>
  </si>
  <si>
    <t>7 Control, 21 Treatment</t>
  </si>
  <si>
    <t>9.44±7.91</t>
  </si>
  <si>
    <t>8.58±4.43</t>
  </si>
  <si>
    <t xml:space="preserve">5, 4.5, 5.5
</t>
  </si>
  <si>
    <t>0, 10.5, 11, 0</t>
  </si>
  <si>
    <t>5.17±3.14</t>
  </si>
  <si>
    <t>6.25±5.92</t>
  </si>
  <si>
    <t>5±0</t>
  </si>
  <si>
    <t>5.875±0.29</t>
  </si>
  <si>
    <t>4.3±1.47</t>
  </si>
  <si>
    <t>21.44±0.36</t>
  </si>
  <si>
    <t>19.71±5.96</t>
  </si>
  <si>
    <t>12.6±7.11</t>
  </si>
  <si>
    <t>4.02±2.92</t>
  </si>
  <si>
    <t>30.66±6.40</t>
  </si>
  <si>
    <t>18.62±3.04</t>
  </si>
  <si>
    <t>3.1±2.29</t>
  </si>
  <si>
    <t>19.85±7.1</t>
  </si>
  <si>
    <t>81.91±65.79</t>
  </si>
  <si>
    <t>12.41±6.09</t>
  </si>
  <si>
    <t>3 Control, 8 Treatment</t>
  </si>
  <si>
    <t>9 Control, 7 Treatment</t>
  </si>
  <si>
    <t>13.65, 26.79, 30.86, 26.18, 60.32, 33.46,
43.83</t>
  </si>
  <si>
    <t>0.17±0.18</t>
  </si>
  <si>
    <t>31.03±13.83</t>
  </si>
  <si>
    <t>6.31±5.38</t>
  </si>
  <si>
    <t>33.58±14.86</t>
  </si>
  <si>
    <t>0.78±0.41</t>
  </si>
  <si>
    <t>1.51±0.33</t>
  </si>
  <si>
    <t>1.68±0.86</t>
  </si>
  <si>
    <t>2.31±1.13</t>
  </si>
  <si>
    <t>7±0</t>
  </si>
  <si>
    <t>8±8</t>
  </si>
  <si>
    <t>16±6</t>
  </si>
  <si>
    <t>18±8</t>
  </si>
  <si>
    <t>59±29</t>
  </si>
  <si>
    <t>22±6</t>
  </si>
  <si>
    <t>44±22</t>
  </si>
  <si>
    <t>Mean±95%CI</t>
  </si>
  <si>
    <t>110±2,
95±5,
120±5,
85±3</t>
  </si>
  <si>
    <t>135±15,
95±3,
100±1,
60±1</t>
  </si>
  <si>
    <t>114±2,
104±1,
40±0.5,
35±0.5</t>
  </si>
  <si>
    <t>14±1.7,
4.5±1,
8±0.7,
3±0</t>
  </si>
  <si>
    <t>9.2±4.58</t>
  </si>
  <si>
    <t>23±7.81</t>
  </si>
  <si>
    <t>19.3±2.3</t>
  </si>
  <si>
    <t>25.3±1.81</t>
  </si>
  <si>
    <t>9.96±7.04</t>
  </si>
  <si>
    <t>27.96±6.59</t>
  </si>
  <si>
    <t>12±0.51</t>
  </si>
  <si>
    <t>27±1.44</t>
  </si>
  <si>
    <t>6.06±2.23</t>
  </si>
  <si>
    <t>7.87±1.17</t>
  </si>
  <si>
    <t>6.75±2.49</t>
  </si>
  <si>
    <t>6.75±1.12</t>
  </si>
  <si>
    <t>3 Treatment, 4 Control</t>
  </si>
  <si>
    <t>6 Treatment, 4 Control</t>
  </si>
  <si>
    <t>2 Treatment, 4 Control</t>
  </si>
  <si>
    <t>5 Treatment, 4 Control</t>
  </si>
  <si>
    <t>4 Treatment, 4 Control</t>
  </si>
  <si>
    <t>U</t>
  </si>
  <si>
    <t>Riparian</t>
  </si>
  <si>
    <t>Biological</t>
  </si>
  <si>
    <t>The effect of habitat restoration on Atlantic salmon and brown trout: A meta-analysis</t>
  </si>
  <si>
    <t xml:space="preserve">Thomas, E. 2021. </t>
  </si>
  <si>
    <t>Tab 1: Included in MA</t>
  </si>
  <si>
    <t xml:space="preserve">Contains all articles/studies/datasets included in the meta-analysis. Columns A-X include 
information extracted during data extraction. Columns X-X include extracted quantitative
information on outcomes from before-after, control-impact and 
before-after-control-impact designs (control and treatment mean densities, variances, 
sample sizes). </t>
  </si>
  <si>
    <t>Journal</t>
  </si>
  <si>
    <t>Grey</t>
  </si>
  <si>
    <t>2+</t>
  </si>
  <si>
    <t>1+</t>
  </si>
  <si>
    <t>2+ (mean±SE</t>
  </si>
  <si>
    <t>8±6.87</t>
  </si>
  <si>
    <t>7±1.81</t>
  </si>
  <si>
    <t>1±0.34</t>
  </si>
  <si>
    <t>2±1.16
2±0.6
1±1.72
1±0</t>
  </si>
  <si>
    <t>6±1.53
9±3.02
7±3.43
9±3.42</t>
  </si>
  <si>
    <t>22±10.81
17±5.53
15±11.72
31±16.69</t>
  </si>
  <si>
    <t>Pulg</t>
  </si>
  <si>
    <t>Moosach River</t>
  </si>
  <si>
    <t xml:space="preserve">Semi-quantitative electrofishing </t>
  </si>
  <si>
    <t>Data unavailable</t>
  </si>
  <si>
    <t>study_ID</t>
  </si>
  <si>
    <t>author</t>
  </si>
  <si>
    <t>publication_year</t>
  </si>
  <si>
    <t>publication_type</t>
  </si>
  <si>
    <t>continent</t>
  </si>
  <si>
    <t>country</t>
  </si>
  <si>
    <t>species</t>
  </si>
  <si>
    <t>lifestage</t>
  </si>
  <si>
    <t>before_mean</t>
  </si>
  <si>
    <t>before_SD</t>
  </si>
  <si>
    <t xml:space="preserve">before_sample_size </t>
  </si>
  <si>
    <t>after_mean</t>
  </si>
  <si>
    <t>after_SD</t>
  </si>
  <si>
    <t>after_sample_size</t>
  </si>
  <si>
    <t>Latitude</t>
  </si>
  <si>
    <t>river_depth</t>
  </si>
  <si>
    <t>river_width</t>
  </si>
  <si>
    <t>stocking</t>
  </si>
  <si>
    <t>study_design</t>
  </si>
  <si>
    <t>post_monitoring_years</t>
  </si>
  <si>
    <t>restoration</t>
  </si>
  <si>
    <t>restoration_detail</t>
  </si>
  <si>
    <t>Europe</t>
  </si>
  <si>
    <t>All</t>
  </si>
  <si>
    <t>Natural</t>
  </si>
  <si>
    <t>N</t>
  </si>
  <si>
    <t>Barrier_removal</t>
  </si>
  <si>
    <t>Culvert</t>
  </si>
  <si>
    <t>Physical</t>
  </si>
  <si>
    <t>North_America</t>
  </si>
  <si>
    <t>In-stream_structure</t>
  </si>
  <si>
    <t>V_dams</t>
  </si>
  <si>
    <t>NA</t>
  </si>
  <si>
    <t>Y</t>
  </si>
  <si>
    <t>Chemical</t>
  </si>
  <si>
    <t>Nutrient</t>
  </si>
  <si>
    <t>Agriculture</t>
  </si>
  <si>
    <t>Channel</t>
  </si>
  <si>
    <t>Re-meander</t>
  </si>
  <si>
    <t>Deflector</t>
  </si>
  <si>
    <t>Spawning_gravel</t>
  </si>
  <si>
    <t>Dam_removal</t>
  </si>
  <si>
    <t>Notching</t>
  </si>
  <si>
    <t>YOY</t>
  </si>
  <si>
    <t>Age-2+</t>
  </si>
  <si>
    <t>Restoration_spatial_scale</t>
  </si>
  <si>
    <t>Sampling_spatial_scale</t>
  </si>
  <si>
    <t>Whole-river</t>
  </si>
  <si>
    <t>Reach-scale</t>
  </si>
  <si>
    <t>Habitat-patch</t>
  </si>
  <si>
    <t>Catchment-scale</t>
  </si>
  <si>
    <t>Number_streams/rivers</t>
  </si>
  <si>
    <t>Styffe</t>
  </si>
  <si>
    <t>11
0.2
15</t>
  </si>
  <si>
    <t>4
3.9
2</t>
  </si>
  <si>
    <t>1
0.7
6</t>
  </si>
  <si>
    <t>4.4
4.4
11.8</t>
  </si>
  <si>
    <t>1.75
0.4
1.25</t>
  </si>
  <si>
    <t>1.70
3.6
1.9</t>
  </si>
  <si>
    <t>All ages</t>
  </si>
  <si>
    <t>14.5
1.5
22.5</t>
  </si>
  <si>
    <t>10
11
15.5</t>
  </si>
  <si>
    <t>Lium</t>
  </si>
  <si>
    <t>1.3, 0.5, 0.8, 1.4, 1.0</t>
  </si>
  <si>
    <t>4.5, 2.5, 1.5, 2.9</t>
  </si>
  <si>
    <t>10.6±4.6</t>
  </si>
  <si>
    <t>10.3±2.1</t>
  </si>
  <si>
    <t>10.6±2.3, 8.6±5, 7.5±3, 
15.3±10.9, 20.4±13.8, 14.1±11.3</t>
  </si>
  <si>
    <t>10.6±5.3, 11.1±5.2, 
12.9±4.3, 28.5±26.7, 
32.9±37, 19.8±11.8</t>
  </si>
  <si>
    <t>TOTAL</t>
  </si>
  <si>
    <t>20.9±6.3</t>
  </si>
  <si>
    <t>21.3±6.7, 19.7±6.5,
20.3±6.5, 43.8±28.3,
53.3±47.8, 33.8±16.8</t>
  </si>
  <si>
    <t>Lacroix</t>
  </si>
  <si>
    <t>1.5, 0, 0.5, 23, 12</t>
  </si>
  <si>
    <t>1.5, 4, 3, 78, 43</t>
  </si>
  <si>
    <t>Degerman &amp; Appelberg</t>
  </si>
  <si>
    <t>5,25</t>
  </si>
  <si>
    <t>180, 65, 140, 152</t>
  </si>
  <si>
    <t>90, 165, 270, 225, 25, 215, 350, 95, 52, 60, 105, 20, 62</t>
  </si>
  <si>
    <t>40, 98, 45, 10, 65, 10, 15, 10, 0, 0, 0, 0, 0</t>
  </si>
  <si>
    <t>1 Site</t>
  </si>
  <si>
    <t xml:space="preserve"> 70, 100, 185</t>
  </si>
  <si>
    <t xml:space="preserve"> 240, 340, 230, 350, 305</t>
  </si>
  <si>
    <t>Fiften Mile Brook</t>
  </si>
  <si>
    <t>Norrgren</t>
  </si>
  <si>
    <t>88±32</t>
  </si>
  <si>
    <t>191±55</t>
  </si>
  <si>
    <t>72±40</t>
  </si>
  <si>
    <t>14±20</t>
  </si>
  <si>
    <t>7±6</t>
  </si>
  <si>
    <t>9±3</t>
  </si>
  <si>
    <t>36±14</t>
  </si>
  <si>
    <t>36±15</t>
  </si>
  <si>
    <t>3 Sites</t>
  </si>
  <si>
    <t>2 Sites</t>
  </si>
  <si>
    <t>Morrumsan</t>
  </si>
  <si>
    <t>Walseng</t>
  </si>
  <si>
    <t>Bjerkreim</t>
  </si>
  <si>
    <t>Wear</t>
  </si>
  <si>
    <t>Barrier removal</t>
  </si>
  <si>
    <t>Salangselva</t>
  </si>
  <si>
    <t>Study_Validity</t>
  </si>
  <si>
    <t>Low study validity</t>
  </si>
  <si>
    <t>22.80 (18.40-27.20)
SD=2.24</t>
  </si>
  <si>
    <t>12.99 (12.89-13.09)
SD=0.05</t>
  </si>
  <si>
    <t>44.28 (25.35 - 64.21)
9.91</t>
  </si>
  <si>
    <t>51.22 (0.00-124.41)
SD=31.74, 
34.11 (2.44-65.78)
SD=16.16</t>
  </si>
  <si>
    <t>3.58 (3.58-3.58)
SD=0</t>
  </si>
  <si>
    <t>Mean</t>
  </si>
  <si>
    <t>9 Control, 9 Treatment</t>
  </si>
  <si>
    <t>0.75±0.5</t>
  </si>
  <si>
    <t>3.5±1</t>
  </si>
  <si>
    <t>Thomas</t>
  </si>
  <si>
    <t>European countries</t>
  </si>
  <si>
    <t>10,11,12</t>
  </si>
  <si>
    <t>Medium</t>
  </si>
  <si>
    <t>High</t>
  </si>
  <si>
    <t>0+; &gt;0+</t>
  </si>
  <si>
    <t>Year</t>
  </si>
  <si>
    <t>author_extra</t>
  </si>
  <si>
    <t>de Jong_Boulder</t>
  </si>
  <si>
    <t>de Jong_Vdams</t>
  </si>
  <si>
    <t>de Jong_HalfLogCovers</t>
  </si>
  <si>
    <t>Hesthagen_Fry_LostStock</t>
  </si>
  <si>
    <t>Hesthagen_Fry_ReducedStocks</t>
  </si>
  <si>
    <t>Hesthagen_Parr_LostStocks</t>
  </si>
  <si>
    <t>Hesthagen_Parr_ReducedStocks</t>
  </si>
  <si>
    <t>McLennan_Fry</t>
  </si>
  <si>
    <t>McLennan_Parr</t>
  </si>
  <si>
    <t>Floyd_Fry</t>
  </si>
  <si>
    <t>Floyd_Parr</t>
  </si>
  <si>
    <t>Thompson_Salmon</t>
  </si>
  <si>
    <t>Thompson_Trout</t>
  </si>
  <si>
    <t>Kennedy_Boulders_Salmon_YOY</t>
  </si>
  <si>
    <t>Kennedy_Deflectors_Salmon_YOY</t>
  </si>
  <si>
    <t>Kennedy_Boulders_Salmon_OLD</t>
  </si>
  <si>
    <t>Kennedy_Deflectors_Salmon_OLD</t>
  </si>
  <si>
    <t>Kennedy_Boulders_Trout_YOY</t>
  </si>
  <si>
    <t>Kennedy_Deflectors_Trout_YOY</t>
  </si>
  <si>
    <t>Kennedy_Boulders_Trout_Parr</t>
  </si>
  <si>
    <t>Kennedy_Deflectors_Trout_Parr</t>
  </si>
  <si>
    <t>Kennedy_Boulders_Trout_OLD</t>
  </si>
  <si>
    <t>Kennedy_Deflectors_Trout_OLD</t>
  </si>
  <si>
    <t>Kelly_Salmon</t>
  </si>
  <si>
    <t>Kelly_Trout</t>
  </si>
  <si>
    <t>Langford_Trout_Age0+</t>
  </si>
  <si>
    <t>Langford_Trout_Age1+</t>
  </si>
  <si>
    <t>Langford_Salmon_Avon</t>
  </si>
  <si>
    <t>Langford_Trout_Avon</t>
  </si>
  <si>
    <t>Hvidsten_Salmon</t>
  </si>
  <si>
    <t>Hvidsten_Trout</t>
  </si>
  <si>
    <t>Birnie-Gauvin_YOY</t>
  </si>
  <si>
    <t>Birnie-Gauvin_OLD</t>
  </si>
  <si>
    <t>Haw_Beck</t>
  </si>
  <si>
    <t>Flasby_Beck</t>
  </si>
  <si>
    <t>Aire_River</t>
  </si>
  <si>
    <t>Eastburn_Beck</t>
  </si>
  <si>
    <t>White_Beck</t>
  </si>
  <si>
    <t>Luhta_YOY</t>
  </si>
  <si>
    <t>Luhta_OLD</t>
  </si>
  <si>
    <t>Lehane_A</t>
  </si>
  <si>
    <t>Lehane_B</t>
  </si>
  <si>
    <t>Louhi_Boulder_Age0+</t>
  </si>
  <si>
    <t>Louhi_LWB+Boulder_Age0+</t>
  </si>
  <si>
    <t>Louhi_Boulder_Age1+</t>
  </si>
  <si>
    <t>Louhi_LWD+Boulder_Age1+</t>
  </si>
  <si>
    <t>Louhi_Boulder_Age2+</t>
  </si>
  <si>
    <t>Louhi_LWD+Boulder_Age2+</t>
  </si>
  <si>
    <t>Palm_Gravel</t>
  </si>
  <si>
    <t>Palm_Boulder</t>
  </si>
  <si>
    <t>Birnie-Gauvin_Downstream_YOY</t>
  </si>
  <si>
    <t>Birnie-Gauvin_Downstream_OLD</t>
  </si>
  <si>
    <t>Pedersen_Gels_YOY</t>
  </si>
  <si>
    <t>Pedersen_Gels_Fry</t>
  </si>
  <si>
    <t>Pedersen_Staensbæk_YOY</t>
  </si>
  <si>
    <t>Pedersen_Staensbæk_Fry</t>
  </si>
  <si>
    <t>Pedersen_Ryds_YOY</t>
  </si>
  <si>
    <t>Pedersen_Ryds_Fry</t>
  </si>
  <si>
    <t>Tab 1: MA study data</t>
  </si>
  <si>
    <t>Contains all studies included in the meta-analysis. Columns include information extracted from each study (i.e., project characteristics, river characteristics and catchment characteristics)</t>
  </si>
  <si>
    <t>Contains data for meta-analysis: mean, standard deviation and sample size for before
and after group (or control-impact group); potential factors influencing success (i.e., project characteristics, river characteristics, catchment characteristics)</t>
  </si>
  <si>
    <t xml:space="preserve">Contains studies not eligible for meta-analysis </t>
  </si>
  <si>
    <t>2020a</t>
  </si>
  <si>
    <t>2020b</t>
  </si>
  <si>
    <t>Contains extracted quantitative information from studies: 
mean density, measure of variance, sample size</t>
  </si>
  <si>
    <t xml:space="preserve">0.2±0.2 </t>
  </si>
  <si>
    <t>Pretty</t>
  </si>
  <si>
    <t>Bias</t>
  </si>
  <si>
    <t>Specific data quality features</t>
  </si>
  <si>
    <t>Design of assessed study</t>
  </si>
  <si>
    <t>Erkinaro 
et al. 2017</t>
  </si>
  <si>
    <t>de Jong &amp;
Cowx 2016</t>
  </si>
  <si>
    <t>Hesthagen
et al. 2011</t>
  </si>
  <si>
    <t>Fjeldstad
et al. 2012</t>
  </si>
  <si>
    <t>McLennan
et al. 2019</t>
  </si>
  <si>
    <t>Floyd et al. 
2007</t>
  </si>
  <si>
    <t>Koljonen
et al. 2013</t>
  </si>
  <si>
    <t>Eddleston
Water 2019</t>
  </si>
  <si>
    <t>Marttila
et al. 2019</t>
  </si>
  <si>
    <t>Thompson
et al. 2018</t>
  </si>
  <si>
    <t>Kennedy 
et al. 2014</t>
  </si>
  <si>
    <t>Kelly &amp; 
Bracken 1998</t>
  </si>
  <si>
    <t>Langford
et al. 2001</t>
  </si>
  <si>
    <t>Hvidsten &amp;
Johnson 
1992</t>
  </si>
  <si>
    <t>Birnie-Gauvin 2020 (PhD)</t>
  </si>
  <si>
    <t>Larsen &amp; Hesthagen 1995</t>
  </si>
  <si>
    <t>Fjellheim 
et al. 2003</t>
  </si>
  <si>
    <t>Luhta et al. 2012</t>
  </si>
  <si>
    <t>Lehane 
et al. 2002</t>
  </si>
  <si>
    <t>Louhi et al. 2016</t>
  </si>
  <si>
    <t>Anton 
et al. 2011</t>
  </si>
  <si>
    <t>Champkin
et al. 2018</t>
  </si>
  <si>
    <t>Palm 
et al. 2007</t>
  </si>
  <si>
    <t>Birnie-Gauvin et al. 2017</t>
  </si>
  <si>
    <t>Pedersen et al. 2007</t>
  </si>
  <si>
    <t>Baldigo et al. 2008</t>
  </si>
  <si>
    <t>Muotka et al. 2007</t>
  </si>
  <si>
    <t>Sun et al. 2021 (Journal)</t>
  </si>
  <si>
    <t>GWCT 2021</t>
  </si>
  <si>
    <t>Ozerov 
et al. 2015</t>
  </si>
  <si>
    <t>Sun
et al. 2021 (Thesis)</t>
  </si>
  <si>
    <t>Styffe 2008</t>
  </si>
  <si>
    <t>Lium 2018</t>
  </si>
  <si>
    <t>Lacroix 1992</t>
  </si>
  <si>
    <t>Degermann &amp; Appelberg 1992</t>
  </si>
  <si>
    <t>Norrgren 1993</t>
  </si>
  <si>
    <t>Selection bias</t>
  </si>
  <si>
    <t>Study design</t>
  </si>
  <si>
    <t>x</t>
  </si>
  <si>
    <t>BA/CI</t>
  </si>
  <si>
    <t>Performance 
bias</t>
  </si>
  <si>
    <t>Temporal replication</t>
  </si>
  <si>
    <t>5 years +</t>
  </si>
  <si>
    <t>&gt; 5 years</t>
  </si>
  <si>
    <t>Spatial replication</t>
  </si>
  <si>
    <t>More than two sites</t>
  </si>
  <si>
    <t>Replication at one site (pseudoreplication)</t>
  </si>
  <si>
    <t>Potential confounding factors
addressed</t>
  </si>
  <si>
    <t>Intervention and 
comparator sites comparable with respect to confounding factors</t>
  </si>
  <si>
    <t>Intervention and 
comparator sites hardly comparable with repsonse to confounding factors</t>
  </si>
  <si>
    <t>N/A if BA design</t>
  </si>
  <si>
    <t>Score</t>
  </si>
  <si>
    <t xml:space="preserve">Overall study validity </t>
  </si>
  <si>
    <t>Low</t>
  </si>
  <si>
    <t>Longitude</t>
  </si>
  <si>
    <t>Study ID</t>
  </si>
  <si>
    <t>Both</t>
  </si>
  <si>
    <t>study_extra</t>
  </si>
  <si>
    <t>restoration_type</t>
  </si>
  <si>
    <t>publication</t>
  </si>
  <si>
    <t>monitoring</t>
  </si>
  <si>
    <t>Erkinaro et al. 2017</t>
  </si>
  <si>
    <t>Atlantic salmon</t>
  </si>
  <si>
    <t>van Zyll de Jong &amp; Cowx 2016</t>
  </si>
  <si>
    <t>N_America</t>
  </si>
  <si>
    <t>In-stream structure</t>
  </si>
  <si>
    <t>Hesthagen et al. 2011</t>
  </si>
  <si>
    <t>Fjelstad et al. 2012</t>
  </si>
  <si>
    <t>McLennan et al. 2019</t>
  </si>
  <si>
    <t>Nutrient addition</t>
  </si>
  <si>
    <t>Floyd et al. 2009</t>
  </si>
  <si>
    <t>Brown trout</t>
  </si>
  <si>
    <t>Koljonen et al. 2013</t>
  </si>
  <si>
    <t>McDermott et al. 2019</t>
  </si>
  <si>
    <t>Channel restoration</t>
  </si>
  <si>
    <t>Marttila et al. 2019</t>
  </si>
  <si>
    <t>Thompson et al. 2017</t>
  </si>
  <si>
    <t>Kennedy et al. 2014</t>
  </si>
  <si>
    <t>Kelly et al. 2001</t>
  </si>
  <si>
    <t>Langford et al. 2001</t>
  </si>
  <si>
    <t>Hvidsten &amp; Johnsen 1992</t>
  </si>
  <si>
    <t>Birnie-Gauvin et al. 2020a</t>
  </si>
  <si>
    <t>Wild Trout Trust 2021</t>
  </si>
  <si>
    <t>Lehane et al. 2002</t>
  </si>
  <si>
    <t>Anton et al. 2011</t>
  </si>
  <si>
    <t>Champkin et al. 2018</t>
  </si>
  <si>
    <t>Palm et al. 2007</t>
  </si>
  <si>
    <t>Pedersen et al. 2009</t>
  </si>
  <si>
    <t>Muotka &amp; Syrjänen 2007</t>
  </si>
  <si>
    <t>GWCT River Monnow</t>
  </si>
  <si>
    <t>Riparian restoration</t>
  </si>
  <si>
    <t>GWCT Tadnoll Brook</t>
  </si>
  <si>
    <t>Ozerov et al. 2015</t>
  </si>
  <si>
    <t>Birnie-Gauvin et al. 2020b</t>
  </si>
  <si>
    <t>Sun 2021</t>
  </si>
  <si>
    <t>Degerman &amp; Appelberg 1992</t>
  </si>
  <si>
    <t>Norrgren et al. 1993</t>
  </si>
  <si>
    <t>Coordintes from studies</t>
  </si>
  <si>
    <t>Contains data on projects (some studies consist of multiple projects)
Species, continent, publication type, restoration type, study design and number of 
post-restoration monitoring years</t>
  </si>
  <si>
    <t>Assessment of study quality using pre-defined bias criteria</t>
  </si>
  <si>
    <t>Tab 2: Study cooordinates</t>
  </si>
  <si>
    <t>Tab 3: Project Study</t>
  </si>
  <si>
    <t>Tab 4: MA density data extraction</t>
  </si>
  <si>
    <t>Tab 5: Study quality assessment</t>
  </si>
  <si>
    <t>Tab 6: MA data</t>
  </si>
  <si>
    <t>Tab 7: Excluded from MA</t>
  </si>
  <si>
    <t>land_use</t>
  </si>
  <si>
    <t>Monnow</t>
  </si>
  <si>
    <t>Tadnoll</t>
  </si>
  <si>
    <t>Hvidsten &amp; Johnsen 1993</t>
  </si>
  <si>
    <t>Marttila</t>
  </si>
  <si>
    <t xml:space="preserve">Wild Trout Trust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</si>
</sst>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1" fillId="5" borderId="0" xfId="0" applyFont="1" applyFill="1" applyAlignment="1">
      <alignment wrapText="1"/>
    </xf>
    <xf numFmtId="0" fontId="0" fillId="6" borderId="0" xfId="0" applyFill="1"/>
    <xf numFmtId="0" fontId="0" fillId="7" borderId="0" xfId="0" applyFill="1"/>
    <xf numFmtId="0" fontId="1" fillId="8" borderId="0" xfId="0" applyFont="1" applyFill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9" borderId="0" xfId="0" applyFill="1"/>
    <xf numFmtId="0" fontId="0" fillId="9" borderId="0" xfId="0" applyFill="1" applyAlignment="1">
      <alignment wrapText="1"/>
    </xf>
    <xf numFmtId="0" fontId="4" fillId="9" borderId="0" xfId="0" applyFont="1" applyFill="1"/>
    <xf numFmtId="0" fontId="0" fillId="0" borderId="0" xfId="0" applyFont="1" applyAlignment="1">
      <alignment wrapText="1"/>
    </xf>
    <xf numFmtId="0" fontId="0" fillId="0" borderId="0" xfId="0" applyAlignment="1">
      <alignment horizontal="right" wrapText="1"/>
    </xf>
    <xf numFmtId="16" fontId="0" fillId="0" borderId="0" xfId="0" applyNumberFormat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top"/>
    </xf>
    <xf numFmtId="0" fontId="0" fillId="0" borderId="5" xfId="0" applyBorder="1"/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6" xfId="0" applyBorder="1" applyAlignment="1">
      <alignment vertical="top" wrapText="1"/>
    </xf>
    <xf numFmtId="0" fontId="0" fillId="0" borderId="6" xfId="0" applyBorder="1"/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vertical="top" wrapText="1"/>
    </xf>
    <xf numFmtId="0" fontId="0" fillId="0" borderId="11" xfId="0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vertical="top" wrapText="1"/>
    </xf>
    <xf numFmtId="0" fontId="0" fillId="0" borderId="7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0" fillId="9" borderId="9" xfId="0" applyFill="1" applyBorder="1"/>
    <xf numFmtId="0" fontId="0" fillId="10" borderId="9" xfId="0" applyFill="1" applyBorder="1"/>
    <xf numFmtId="0" fontId="0" fillId="9" borderId="1" xfId="0" applyFill="1" applyBorder="1"/>
    <xf numFmtId="0" fontId="0" fillId="11" borderId="9" xfId="0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8F73C-A158-E74A-924D-770EBDB557E0}">
  <dimension ref="A1:A38"/>
  <sheetViews>
    <sheetView topLeftCell="A15" workbookViewId="0">
      <selection activeCell="A35" sqref="A35"/>
    </sheetView>
  </sheetViews>
  <sheetFormatPr baseColWidth="10" defaultRowHeight="16" x14ac:dyDescent="0.2"/>
  <cols>
    <col min="1" max="1" width="73.6640625" customWidth="1"/>
  </cols>
  <sheetData>
    <row r="1" spans="1:1" x14ac:dyDescent="0.2">
      <c r="A1" t="s">
        <v>679</v>
      </c>
    </row>
    <row r="3" spans="1:1" x14ac:dyDescent="0.2">
      <c r="A3" t="s">
        <v>680</v>
      </c>
    </row>
    <row r="6" spans="1:1" x14ac:dyDescent="0.2">
      <c r="A6" t="s">
        <v>876</v>
      </c>
    </row>
    <row r="7" spans="1:1" ht="51" x14ac:dyDescent="0.2">
      <c r="A7" s="3" t="s">
        <v>877</v>
      </c>
    </row>
    <row r="8" spans="1:1" x14ac:dyDescent="0.2">
      <c r="A8" s="3"/>
    </row>
    <row r="9" spans="1:1" x14ac:dyDescent="0.2">
      <c r="A9" s="3"/>
    </row>
    <row r="10" spans="1:1" ht="17" x14ac:dyDescent="0.2">
      <c r="A10" s="3" t="s">
        <v>988</v>
      </c>
    </row>
    <row r="11" spans="1:1" ht="17" x14ac:dyDescent="0.2">
      <c r="A11" s="3" t="s">
        <v>985</v>
      </c>
    </row>
    <row r="12" spans="1:1" x14ac:dyDescent="0.2">
      <c r="A12" s="3"/>
    </row>
    <row r="13" spans="1:1" x14ac:dyDescent="0.2">
      <c r="A13" s="3"/>
    </row>
    <row r="14" spans="1:1" ht="17" x14ac:dyDescent="0.2">
      <c r="A14" s="3" t="s">
        <v>989</v>
      </c>
    </row>
    <row r="15" spans="1:1" ht="51" x14ac:dyDescent="0.2">
      <c r="A15" s="3" t="s">
        <v>986</v>
      </c>
    </row>
    <row r="16" spans="1:1" x14ac:dyDescent="0.2">
      <c r="A16" s="3"/>
    </row>
    <row r="17" spans="1:1" x14ac:dyDescent="0.2">
      <c r="A17" s="3"/>
    </row>
    <row r="19" spans="1:1" x14ac:dyDescent="0.2">
      <c r="A19" t="s">
        <v>990</v>
      </c>
    </row>
    <row r="20" spans="1:1" ht="34" customHeight="1" x14ac:dyDescent="0.2">
      <c r="A20" s="3" t="s">
        <v>882</v>
      </c>
    </row>
    <row r="23" spans="1:1" x14ac:dyDescent="0.2">
      <c r="A23" t="s">
        <v>991</v>
      </c>
    </row>
    <row r="24" spans="1:1" x14ac:dyDescent="0.2">
      <c r="A24" t="s">
        <v>987</v>
      </c>
    </row>
    <row r="27" spans="1:1" x14ac:dyDescent="0.2">
      <c r="A27" t="s">
        <v>992</v>
      </c>
    </row>
    <row r="28" spans="1:1" ht="51" x14ac:dyDescent="0.2">
      <c r="A28" s="3" t="s">
        <v>878</v>
      </c>
    </row>
    <row r="31" spans="1:1" x14ac:dyDescent="0.2">
      <c r="A31" t="s">
        <v>993</v>
      </c>
    </row>
    <row r="32" spans="1:1" ht="22" customHeight="1" x14ac:dyDescent="0.2">
      <c r="A32" s="3" t="s">
        <v>879</v>
      </c>
    </row>
    <row r="37" spans="1:1" x14ac:dyDescent="0.2">
      <c r="A37" t="s">
        <v>681</v>
      </c>
    </row>
    <row r="38" spans="1:1" ht="136" x14ac:dyDescent="0.2">
      <c r="A38" s="3" t="s">
        <v>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7849-17AB-C148-BCCA-09C64E598932}">
  <dimension ref="A1:P42"/>
  <sheetViews>
    <sheetView topLeftCell="H1" workbookViewId="0">
      <pane ySplit="1" topLeftCell="A3" activePane="bottomLeft" state="frozen"/>
      <selection pane="bottomLeft" activeCell="R1" sqref="R1:S1048576"/>
    </sheetView>
  </sheetViews>
  <sheetFormatPr baseColWidth="10" defaultRowHeight="16" x14ac:dyDescent="0.2"/>
  <cols>
    <col min="2" max="2" width="23" customWidth="1"/>
    <col min="3" max="3" width="14.83203125" customWidth="1"/>
    <col min="5" max="5" width="14" customWidth="1"/>
    <col min="7" max="7" width="18.1640625" customWidth="1"/>
    <col min="8" max="8" width="16.6640625" customWidth="1"/>
    <col min="11" max="11" width="17.83203125" customWidth="1"/>
    <col min="12" max="12" width="21.83203125" customWidth="1"/>
    <col min="13" max="13" width="20.5" customWidth="1"/>
    <col min="14" max="14" width="13.83203125" customWidth="1"/>
    <col min="15" max="15" width="21.6640625" customWidth="1"/>
    <col min="16" max="16" width="16.1640625" customWidth="1"/>
  </cols>
  <sheetData>
    <row r="1" spans="1:16" x14ac:dyDescent="0.2">
      <c r="A1" s="26" t="s">
        <v>409</v>
      </c>
      <c r="B1" s="26" t="s">
        <v>299</v>
      </c>
      <c r="C1" s="26" t="s">
        <v>302</v>
      </c>
      <c r="D1" s="26" t="s">
        <v>298</v>
      </c>
      <c r="E1" s="26" t="s">
        <v>799</v>
      </c>
      <c r="F1" s="26" t="s">
        <v>300</v>
      </c>
      <c r="G1" s="26" t="s">
        <v>301</v>
      </c>
      <c r="H1" s="26" t="s">
        <v>303</v>
      </c>
      <c r="I1" s="26" t="s">
        <v>307</v>
      </c>
      <c r="J1" s="26" t="s">
        <v>200</v>
      </c>
      <c r="K1" s="26" t="s">
        <v>304</v>
      </c>
      <c r="L1" s="26" t="s">
        <v>743</v>
      </c>
      <c r="M1" s="26" t="s">
        <v>749</v>
      </c>
      <c r="N1" s="26" t="s">
        <v>305</v>
      </c>
      <c r="O1" s="26" t="s">
        <v>744</v>
      </c>
      <c r="P1" s="26" t="s">
        <v>306</v>
      </c>
    </row>
    <row r="2" spans="1:16" ht="17" x14ac:dyDescent="0.2">
      <c r="A2" s="3">
        <v>1</v>
      </c>
      <c r="B2" t="s">
        <v>360</v>
      </c>
      <c r="C2">
        <v>2017</v>
      </c>
      <c r="D2" t="s">
        <v>683</v>
      </c>
      <c r="E2" t="s">
        <v>813</v>
      </c>
      <c r="F2" s="3" t="s">
        <v>0</v>
      </c>
      <c r="G2" t="s">
        <v>1</v>
      </c>
      <c r="H2" t="s">
        <v>43</v>
      </c>
      <c r="I2" s="17" t="s">
        <v>482</v>
      </c>
      <c r="J2" t="s">
        <v>243</v>
      </c>
      <c r="K2" t="s">
        <v>25</v>
      </c>
      <c r="L2" t="s">
        <v>745</v>
      </c>
      <c r="M2">
        <v>7</v>
      </c>
      <c r="N2" t="s">
        <v>2</v>
      </c>
      <c r="O2" t="s">
        <v>746</v>
      </c>
      <c r="P2">
        <v>10</v>
      </c>
    </row>
    <row r="3" spans="1:16" ht="51" x14ac:dyDescent="0.2">
      <c r="A3">
        <v>2</v>
      </c>
      <c r="B3" t="s">
        <v>11</v>
      </c>
      <c r="C3">
        <v>2016</v>
      </c>
      <c r="D3" t="s">
        <v>683</v>
      </c>
      <c r="E3" t="s">
        <v>813</v>
      </c>
      <c r="F3" t="s">
        <v>12</v>
      </c>
      <c r="G3" t="s">
        <v>13</v>
      </c>
      <c r="H3" t="s">
        <v>43</v>
      </c>
      <c r="I3" s="17" t="s">
        <v>482</v>
      </c>
      <c r="J3" t="s">
        <v>730</v>
      </c>
      <c r="K3" s="3" t="s">
        <v>26</v>
      </c>
      <c r="L3" t="s">
        <v>747</v>
      </c>
      <c r="M3">
        <v>4</v>
      </c>
      <c r="N3" t="s">
        <v>14</v>
      </c>
      <c r="O3" t="s">
        <v>747</v>
      </c>
      <c r="P3">
        <v>21</v>
      </c>
    </row>
    <row r="4" spans="1:16" x14ac:dyDescent="0.2">
      <c r="A4">
        <v>3</v>
      </c>
      <c r="B4" t="s">
        <v>15</v>
      </c>
      <c r="C4">
        <v>2011</v>
      </c>
      <c r="D4" t="s">
        <v>683</v>
      </c>
      <c r="E4" t="s">
        <v>813</v>
      </c>
      <c r="F4" t="s">
        <v>16</v>
      </c>
      <c r="G4" t="s">
        <v>17</v>
      </c>
      <c r="H4" t="s">
        <v>43</v>
      </c>
      <c r="I4" s="17" t="s">
        <v>482</v>
      </c>
      <c r="J4" t="s">
        <v>243</v>
      </c>
      <c r="K4" t="s">
        <v>27</v>
      </c>
      <c r="L4" t="s">
        <v>745</v>
      </c>
      <c r="M4">
        <v>11</v>
      </c>
      <c r="N4" t="s">
        <v>2</v>
      </c>
      <c r="O4" t="s">
        <v>745</v>
      </c>
      <c r="P4">
        <v>12</v>
      </c>
    </row>
    <row r="5" spans="1:16" x14ac:dyDescent="0.2">
      <c r="A5">
        <v>4</v>
      </c>
      <c r="B5" t="s">
        <v>158</v>
      </c>
      <c r="C5">
        <v>2012</v>
      </c>
      <c r="D5" t="s">
        <v>683</v>
      </c>
      <c r="E5" t="s">
        <v>813</v>
      </c>
      <c r="F5" t="s">
        <v>16</v>
      </c>
      <c r="G5" t="s">
        <v>159</v>
      </c>
      <c r="H5" t="s">
        <v>43</v>
      </c>
      <c r="I5" s="17" t="s">
        <v>482</v>
      </c>
      <c r="J5" t="s">
        <v>243</v>
      </c>
      <c r="K5" t="s">
        <v>160</v>
      </c>
      <c r="L5" t="s">
        <v>745</v>
      </c>
      <c r="M5">
        <v>2</v>
      </c>
      <c r="N5" t="s">
        <v>14</v>
      </c>
      <c r="O5" t="s">
        <v>746</v>
      </c>
      <c r="P5">
        <v>5</v>
      </c>
    </row>
    <row r="6" spans="1:16" x14ac:dyDescent="0.2">
      <c r="A6">
        <v>5</v>
      </c>
      <c r="B6" t="s">
        <v>29</v>
      </c>
      <c r="C6">
        <v>2019</v>
      </c>
      <c r="D6" t="s">
        <v>683</v>
      </c>
      <c r="E6" t="s">
        <v>813</v>
      </c>
      <c r="F6" t="s">
        <v>30</v>
      </c>
      <c r="G6" t="s">
        <v>17</v>
      </c>
      <c r="H6" t="s">
        <v>43</v>
      </c>
      <c r="I6" s="17" t="s">
        <v>482</v>
      </c>
      <c r="J6" t="s">
        <v>243</v>
      </c>
      <c r="K6" t="s">
        <v>31</v>
      </c>
      <c r="L6" t="s">
        <v>745</v>
      </c>
      <c r="M6">
        <v>5</v>
      </c>
      <c r="N6" t="s">
        <v>34</v>
      </c>
      <c r="O6" t="s">
        <v>745</v>
      </c>
      <c r="P6">
        <v>1</v>
      </c>
    </row>
    <row r="7" spans="1:16" x14ac:dyDescent="0.2">
      <c r="A7">
        <v>6</v>
      </c>
      <c r="B7" t="s">
        <v>35</v>
      </c>
      <c r="C7">
        <v>2009</v>
      </c>
      <c r="D7" t="s">
        <v>683</v>
      </c>
      <c r="E7" t="s">
        <v>813</v>
      </c>
      <c r="F7" t="s">
        <v>12</v>
      </c>
      <c r="G7" t="s">
        <v>36</v>
      </c>
      <c r="H7" t="s">
        <v>43</v>
      </c>
      <c r="I7" s="17" t="s">
        <v>482</v>
      </c>
      <c r="J7" t="s">
        <v>243</v>
      </c>
      <c r="K7" t="s">
        <v>39</v>
      </c>
      <c r="L7" t="s">
        <v>746</v>
      </c>
      <c r="M7">
        <v>1</v>
      </c>
      <c r="N7" t="s">
        <v>14</v>
      </c>
      <c r="O7" t="s">
        <v>746</v>
      </c>
      <c r="P7">
        <v>1</v>
      </c>
    </row>
    <row r="8" spans="1:16" x14ac:dyDescent="0.2">
      <c r="A8">
        <v>7</v>
      </c>
      <c r="B8" t="s">
        <v>149</v>
      </c>
      <c r="C8">
        <v>2013</v>
      </c>
      <c r="D8" t="s">
        <v>683</v>
      </c>
      <c r="E8" t="s">
        <v>813</v>
      </c>
      <c r="F8" t="s">
        <v>0</v>
      </c>
      <c r="G8" t="s">
        <v>150</v>
      </c>
      <c r="H8" t="s">
        <v>43</v>
      </c>
      <c r="I8" s="17" t="s">
        <v>482</v>
      </c>
      <c r="J8" t="s">
        <v>137</v>
      </c>
      <c r="K8" t="s">
        <v>151</v>
      </c>
      <c r="L8" t="s">
        <v>746</v>
      </c>
      <c r="M8">
        <v>3</v>
      </c>
      <c r="N8" t="s">
        <v>14</v>
      </c>
      <c r="O8" t="s">
        <v>746</v>
      </c>
      <c r="P8" s="3">
        <v>3</v>
      </c>
    </row>
    <row r="9" spans="1:16" ht="51" x14ac:dyDescent="0.2">
      <c r="A9">
        <v>8</v>
      </c>
      <c r="B9" t="s">
        <v>476</v>
      </c>
      <c r="C9">
        <v>2019</v>
      </c>
      <c r="D9" t="s">
        <v>684</v>
      </c>
      <c r="E9" t="s">
        <v>813</v>
      </c>
      <c r="F9" t="s">
        <v>30</v>
      </c>
      <c r="G9" t="s">
        <v>477</v>
      </c>
      <c r="H9" t="s">
        <v>120</v>
      </c>
      <c r="I9" s="18" t="s">
        <v>509</v>
      </c>
      <c r="J9" t="s">
        <v>815</v>
      </c>
      <c r="K9" t="s">
        <v>146</v>
      </c>
      <c r="L9" t="s">
        <v>745</v>
      </c>
      <c r="M9">
        <v>3</v>
      </c>
      <c r="N9" t="s">
        <v>34</v>
      </c>
      <c r="O9" t="s">
        <v>745</v>
      </c>
      <c r="P9">
        <v>5</v>
      </c>
    </row>
    <row r="10" spans="1:16" ht="51" x14ac:dyDescent="0.2">
      <c r="A10">
        <v>9</v>
      </c>
      <c r="B10" t="s">
        <v>141</v>
      </c>
      <c r="C10">
        <v>2019</v>
      </c>
      <c r="D10" t="s">
        <v>683</v>
      </c>
      <c r="E10" t="s">
        <v>813</v>
      </c>
      <c r="F10" t="s">
        <v>0</v>
      </c>
      <c r="G10" t="s">
        <v>17</v>
      </c>
      <c r="H10" t="s">
        <v>120</v>
      </c>
      <c r="I10" s="18" t="s">
        <v>509</v>
      </c>
      <c r="J10" t="s">
        <v>243</v>
      </c>
      <c r="K10" s="3" t="s">
        <v>142</v>
      </c>
      <c r="L10" t="s">
        <v>745</v>
      </c>
      <c r="M10">
        <v>31</v>
      </c>
      <c r="N10" t="s">
        <v>2</v>
      </c>
      <c r="O10" t="s">
        <v>745</v>
      </c>
      <c r="P10" t="s">
        <v>730</v>
      </c>
    </row>
    <row r="11" spans="1:16" ht="51" x14ac:dyDescent="0.2">
      <c r="A11" s="3">
        <v>10</v>
      </c>
      <c r="B11" t="s">
        <v>238</v>
      </c>
      <c r="C11">
        <v>2018</v>
      </c>
      <c r="D11" t="s">
        <v>683</v>
      </c>
      <c r="E11" t="s">
        <v>813</v>
      </c>
      <c r="F11" t="s">
        <v>239</v>
      </c>
      <c r="G11" t="s">
        <v>17</v>
      </c>
      <c r="H11" t="s">
        <v>120</v>
      </c>
      <c r="I11" s="18" t="s">
        <v>509</v>
      </c>
      <c r="J11" t="s">
        <v>17</v>
      </c>
      <c r="K11" t="s">
        <v>115</v>
      </c>
      <c r="L11" t="s">
        <v>746</v>
      </c>
      <c r="M11">
        <v>5</v>
      </c>
      <c r="N11" t="s">
        <v>14</v>
      </c>
      <c r="O11" t="s">
        <v>746</v>
      </c>
      <c r="P11">
        <v>1</v>
      </c>
    </row>
    <row r="12" spans="1:16" ht="51" x14ac:dyDescent="0.2">
      <c r="A12">
        <v>11</v>
      </c>
      <c r="B12" t="s">
        <v>206</v>
      </c>
      <c r="C12">
        <v>2014</v>
      </c>
      <c r="D12" t="s">
        <v>683</v>
      </c>
      <c r="E12" t="s">
        <v>814</v>
      </c>
      <c r="F12" t="s">
        <v>122</v>
      </c>
      <c r="G12" t="s">
        <v>204</v>
      </c>
      <c r="H12" t="s">
        <v>120</v>
      </c>
      <c r="I12" s="18" t="s">
        <v>509</v>
      </c>
      <c r="J12" t="s">
        <v>17</v>
      </c>
      <c r="K12" s="3" t="s">
        <v>205</v>
      </c>
      <c r="L12" t="s">
        <v>745</v>
      </c>
      <c r="M12">
        <v>8</v>
      </c>
      <c r="N12" t="s">
        <v>14</v>
      </c>
      <c r="O12" t="s">
        <v>748</v>
      </c>
      <c r="P12" s="3">
        <v>5</v>
      </c>
    </row>
    <row r="13" spans="1:16" ht="51" x14ac:dyDescent="0.2">
      <c r="A13">
        <v>12</v>
      </c>
      <c r="B13" t="s">
        <v>237</v>
      </c>
      <c r="C13">
        <v>1998</v>
      </c>
      <c r="D13" t="s">
        <v>683</v>
      </c>
      <c r="E13" t="s">
        <v>813</v>
      </c>
      <c r="F13" t="s">
        <v>122</v>
      </c>
      <c r="G13" t="s">
        <v>227</v>
      </c>
      <c r="H13" t="s">
        <v>120</v>
      </c>
      <c r="I13" s="18" t="s">
        <v>509</v>
      </c>
      <c r="J13" t="s">
        <v>17</v>
      </c>
      <c r="K13" s="3" t="s">
        <v>228</v>
      </c>
      <c r="L13" t="s">
        <v>745</v>
      </c>
      <c r="M13">
        <v>6</v>
      </c>
      <c r="N13" t="s">
        <v>14</v>
      </c>
      <c r="O13" t="s">
        <v>746</v>
      </c>
      <c r="P13" s="3">
        <v>1</v>
      </c>
    </row>
    <row r="14" spans="1:16" ht="51" x14ac:dyDescent="0.2">
      <c r="A14">
        <v>13</v>
      </c>
      <c r="B14" t="s">
        <v>244</v>
      </c>
      <c r="C14">
        <v>2001</v>
      </c>
      <c r="D14" t="s">
        <v>684</v>
      </c>
      <c r="E14" t="s">
        <v>813</v>
      </c>
      <c r="F14" t="s">
        <v>239</v>
      </c>
      <c r="G14" s="3" t="s">
        <v>250</v>
      </c>
      <c r="H14" t="s">
        <v>120</v>
      </c>
      <c r="I14" s="18" t="s">
        <v>509</v>
      </c>
      <c r="J14" t="s">
        <v>243</v>
      </c>
      <c r="K14" s="3" t="s">
        <v>245</v>
      </c>
      <c r="L14" t="s">
        <v>746</v>
      </c>
      <c r="M14">
        <v>11</v>
      </c>
      <c r="N14" t="s">
        <v>34</v>
      </c>
      <c r="O14" t="s">
        <v>746</v>
      </c>
      <c r="P14" t="s">
        <v>730</v>
      </c>
    </row>
    <row r="15" spans="1:16" ht="51" x14ac:dyDescent="0.2">
      <c r="A15">
        <v>14</v>
      </c>
      <c r="B15" t="s">
        <v>241</v>
      </c>
      <c r="C15">
        <v>1992</v>
      </c>
      <c r="D15" s="1" t="s">
        <v>683</v>
      </c>
      <c r="E15" t="s">
        <v>813</v>
      </c>
      <c r="F15" t="s">
        <v>16</v>
      </c>
      <c r="G15" t="s">
        <v>242</v>
      </c>
      <c r="H15" t="s">
        <v>120</v>
      </c>
      <c r="I15" s="18" t="s">
        <v>509</v>
      </c>
      <c r="J15" t="s">
        <v>243</v>
      </c>
      <c r="L15" t="s">
        <v>746</v>
      </c>
      <c r="M15">
        <v>2</v>
      </c>
      <c r="N15" t="s">
        <v>14</v>
      </c>
      <c r="O15" t="s">
        <v>746</v>
      </c>
      <c r="P15">
        <v>4</v>
      </c>
    </row>
    <row r="16" spans="1:16" ht="102" x14ac:dyDescent="0.2">
      <c r="A16">
        <v>15</v>
      </c>
      <c r="B16" t="s">
        <v>48</v>
      </c>
      <c r="C16">
        <v>2020</v>
      </c>
      <c r="D16" t="s">
        <v>684</v>
      </c>
      <c r="E16" t="s">
        <v>813</v>
      </c>
      <c r="F16" t="s">
        <v>41</v>
      </c>
      <c r="G16" s="3" t="s">
        <v>417</v>
      </c>
      <c r="H16" t="s">
        <v>120</v>
      </c>
      <c r="I16" s="18" t="s">
        <v>509</v>
      </c>
      <c r="J16" t="s">
        <v>243</v>
      </c>
      <c r="K16" t="s">
        <v>416</v>
      </c>
      <c r="L16" t="s">
        <v>745</v>
      </c>
      <c r="M16">
        <v>6</v>
      </c>
      <c r="N16" t="s">
        <v>2</v>
      </c>
      <c r="O16" t="s">
        <v>746</v>
      </c>
      <c r="P16">
        <v>8</v>
      </c>
    </row>
    <row r="17" spans="1:16" ht="51" x14ac:dyDescent="0.2">
      <c r="A17">
        <v>16</v>
      </c>
      <c r="B17" t="s">
        <v>455</v>
      </c>
      <c r="C17">
        <v>1995</v>
      </c>
      <c r="D17" t="s">
        <v>683</v>
      </c>
      <c r="E17" t="s">
        <v>813</v>
      </c>
      <c r="F17" t="s">
        <v>16</v>
      </c>
      <c r="G17" t="s">
        <v>457</v>
      </c>
      <c r="H17" t="s">
        <v>120</v>
      </c>
      <c r="I17" s="18" t="s">
        <v>509</v>
      </c>
      <c r="J17" t="s">
        <v>243</v>
      </c>
      <c r="K17" t="s">
        <v>27</v>
      </c>
      <c r="L17" t="s">
        <v>745</v>
      </c>
      <c r="M17">
        <v>15</v>
      </c>
      <c r="N17" t="s">
        <v>2</v>
      </c>
      <c r="O17" t="s">
        <v>745</v>
      </c>
      <c r="P17">
        <v>8</v>
      </c>
    </row>
    <row r="18" spans="1:16" x14ac:dyDescent="0.2">
      <c r="A18">
        <v>17</v>
      </c>
      <c r="B18" t="s">
        <v>518</v>
      </c>
      <c r="D18" t="s">
        <v>684</v>
      </c>
      <c r="E18" t="s">
        <v>813</v>
      </c>
      <c r="F18" t="s">
        <v>239</v>
      </c>
      <c r="G18" t="s">
        <v>851</v>
      </c>
      <c r="H18" t="s">
        <v>46</v>
      </c>
      <c r="I18" s="17" t="s">
        <v>519</v>
      </c>
      <c r="J18" t="s">
        <v>730</v>
      </c>
      <c r="K18" t="s">
        <v>573</v>
      </c>
      <c r="L18" t="s">
        <v>745</v>
      </c>
      <c r="M18">
        <v>3</v>
      </c>
      <c r="N18" t="s">
        <v>14</v>
      </c>
      <c r="O18" t="s">
        <v>746</v>
      </c>
    </row>
    <row r="19" spans="1:16" x14ac:dyDescent="0.2">
      <c r="A19">
        <v>18</v>
      </c>
      <c r="B19" t="s">
        <v>518</v>
      </c>
      <c r="D19" t="s">
        <v>684</v>
      </c>
      <c r="E19" t="s">
        <v>813</v>
      </c>
      <c r="F19" t="s">
        <v>239</v>
      </c>
      <c r="G19" t="s">
        <v>852</v>
      </c>
      <c r="H19" t="s">
        <v>46</v>
      </c>
      <c r="I19" s="17" t="s">
        <v>519</v>
      </c>
      <c r="J19" t="s">
        <v>730</v>
      </c>
      <c r="K19" t="s">
        <v>115</v>
      </c>
      <c r="L19" t="s">
        <v>747</v>
      </c>
      <c r="M19">
        <v>6</v>
      </c>
      <c r="N19" t="s">
        <v>14</v>
      </c>
      <c r="O19" t="s">
        <v>746</v>
      </c>
    </row>
    <row r="20" spans="1:16" x14ac:dyDescent="0.2">
      <c r="A20">
        <v>19</v>
      </c>
      <c r="B20" t="s">
        <v>518</v>
      </c>
      <c r="D20" t="s">
        <v>684</v>
      </c>
      <c r="E20" t="s">
        <v>813</v>
      </c>
      <c r="F20" t="s">
        <v>239</v>
      </c>
      <c r="G20" t="s">
        <v>853</v>
      </c>
      <c r="H20" t="s">
        <v>46</v>
      </c>
      <c r="I20" s="17" t="s">
        <v>519</v>
      </c>
      <c r="J20" t="s">
        <v>730</v>
      </c>
      <c r="K20" t="s">
        <v>573</v>
      </c>
      <c r="L20" t="s">
        <v>745</v>
      </c>
      <c r="M20">
        <v>2</v>
      </c>
      <c r="N20" t="s">
        <v>14</v>
      </c>
      <c r="O20" t="s">
        <v>746</v>
      </c>
    </row>
    <row r="21" spans="1:16" x14ac:dyDescent="0.2">
      <c r="A21">
        <v>20</v>
      </c>
      <c r="B21" t="s">
        <v>518</v>
      </c>
      <c r="D21" t="s">
        <v>684</v>
      </c>
      <c r="E21" t="s">
        <v>813</v>
      </c>
      <c r="F21" t="s">
        <v>239</v>
      </c>
      <c r="G21" t="s">
        <v>854</v>
      </c>
      <c r="H21" t="s">
        <v>46</v>
      </c>
      <c r="I21" s="17" t="s">
        <v>519</v>
      </c>
      <c r="J21" t="s">
        <v>730</v>
      </c>
      <c r="K21" t="s">
        <v>160</v>
      </c>
      <c r="L21" t="s">
        <v>745</v>
      </c>
      <c r="M21">
        <v>5</v>
      </c>
      <c r="N21" t="s">
        <v>14</v>
      </c>
      <c r="O21" t="s">
        <v>746</v>
      </c>
    </row>
    <row r="22" spans="1:16" x14ac:dyDescent="0.2">
      <c r="A22">
        <v>21</v>
      </c>
      <c r="B22" t="s">
        <v>518</v>
      </c>
      <c r="D22" t="s">
        <v>684</v>
      </c>
      <c r="E22" t="s">
        <v>813</v>
      </c>
      <c r="F22" t="s">
        <v>239</v>
      </c>
      <c r="G22" t="s">
        <v>855</v>
      </c>
      <c r="H22" t="s">
        <v>46</v>
      </c>
      <c r="I22" s="17" t="s">
        <v>519</v>
      </c>
      <c r="J22" t="s">
        <v>730</v>
      </c>
      <c r="K22" t="s">
        <v>115</v>
      </c>
      <c r="L22" t="s">
        <v>747</v>
      </c>
      <c r="M22">
        <v>4</v>
      </c>
      <c r="N22" t="s">
        <v>14</v>
      </c>
      <c r="O22" t="s">
        <v>746</v>
      </c>
    </row>
    <row r="23" spans="1:16" ht="34" x14ac:dyDescent="0.2">
      <c r="A23">
        <v>22</v>
      </c>
      <c r="B23" t="s">
        <v>152</v>
      </c>
      <c r="C23">
        <v>2012</v>
      </c>
      <c r="D23" t="s">
        <v>683</v>
      </c>
      <c r="E23" t="s">
        <v>813</v>
      </c>
      <c r="F23" t="s">
        <v>0</v>
      </c>
      <c r="G23" t="s">
        <v>153</v>
      </c>
      <c r="H23" t="s">
        <v>46</v>
      </c>
      <c r="I23" s="17" t="s">
        <v>519</v>
      </c>
      <c r="J23" t="s">
        <v>17</v>
      </c>
      <c r="K23" s="3" t="s">
        <v>151</v>
      </c>
      <c r="L23" t="s">
        <v>746</v>
      </c>
      <c r="M23">
        <v>10</v>
      </c>
      <c r="N23" t="s">
        <v>2</v>
      </c>
      <c r="O23" t="s">
        <v>748</v>
      </c>
      <c r="P23">
        <v>5</v>
      </c>
    </row>
    <row r="24" spans="1:16" x14ac:dyDescent="0.2">
      <c r="A24">
        <v>23</v>
      </c>
      <c r="B24" t="s">
        <v>121</v>
      </c>
      <c r="C24">
        <v>2002</v>
      </c>
      <c r="D24" s="1" t="s">
        <v>683</v>
      </c>
      <c r="E24" t="s">
        <v>813</v>
      </c>
      <c r="F24" t="s">
        <v>122</v>
      </c>
      <c r="G24" t="s">
        <v>123</v>
      </c>
      <c r="H24" t="s">
        <v>46</v>
      </c>
      <c r="I24" s="17" t="s">
        <v>519</v>
      </c>
      <c r="J24" t="s">
        <v>730</v>
      </c>
      <c r="K24" t="s">
        <v>115</v>
      </c>
      <c r="L24" t="s">
        <v>747</v>
      </c>
      <c r="M24">
        <v>2</v>
      </c>
      <c r="N24" t="s">
        <v>14</v>
      </c>
      <c r="O24" t="s">
        <v>746</v>
      </c>
      <c r="P24">
        <v>2</v>
      </c>
    </row>
    <row r="25" spans="1:16" x14ac:dyDescent="0.2">
      <c r="A25">
        <v>24</v>
      </c>
      <c r="B25" t="s">
        <v>44</v>
      </c>
      <c r="C25">
        <v>2016</v>
      </c>
      <c r="D25" s="1" t="s">
        <v>683</v>
      </c>
      <c r="E25" s="1" t="s">
        <v>814</v>
      </c>
      <c r="F25" t="s">
        <v>0</v>
      </c>
      <c r="G25" t="s">
        <v>45</v>
      </c>
      <c r="H25" t="s">
        <v>46</v>
      </c>
      <c r="I25" s="17" t="s">
        <v>519</v>
      </c>
      <c r="J25" t="s">
        <v>17</v>
      </c>
      <c r="K25" t="s">
        <v>47</v>
      </c>
      <c r="L25" t="s">
        <v>746</v>
      </c>
      <c r="M25">
        <v>6</v>
      </c>
      <c r="N25" t="s">
        <v>14</v>
      </c>
      <c r="O25" t="s">
        <v>746</v>
      </c>
      <c r="P25" s="3">
        <v>12</v>
      </c>
    </row>
    <row r="26" spans="1:16" x14ac:dyDescent="0.2">
      <c r="A26" s="3">
        <v>25</v>
      </c>
      <c r="B26" t="s">
        <v>116</v>
      </c>
      <c r="C26">
        <v>2011</v>
      </c>
      <c r="D26" s="1" t="s">
        <v>683</v>
      </c>
      <c r="E26" s="1" t="s">
        <v>813</v>
      </c>
      <c r="F26" t="s">
        <v>113</v>
      </c>
      <c r="G26" t="s">
        <v>114</v>
      </c>
      <c r="H26" t="s">
        <v>46</v>
      </c>
      <c r="I26" s="17" t="s">
        <v>519</v>
      </c>
      <c r="J26" t="s">
        <v>730</v>
      </c>
      <c r="K26" t="s">
        <v>115</v>
      </c>
      <c r="L26" t="s">
        <v>746</v>
      </c>
      <c r="M26">
        <v>4</v>
      </c>
      <c r="N26" t="s">
        <v>14</v>
      </c>
      <c r="O26" t="s">
        <v>746</v>
      </c>
      <c r="P26" s="3">
        <v>2</v>
      </c>
    </row>
    <row r="27" spans="1:16" ht="17" x14ac:dyDescent="0.2">
      <c r="A27" s="3">
        <v>26</v>
      </c>
      <c r="B27" t="s">
        <v>143</v>
      </c>
      <c r="C27">
        <v>2018</v>
      </c>
      <c r="D27" s="1" t="s">
        <v>683</v>
      </c>
      <c r="E27" s="1" t="s">
        <v>813</v>
      </c>
      <c r="F27" t="s">
        <v>144</v>
      </c>
      <c r="G27" t="s">
        <v>145</v>
      </c>
      <c r="H27" t="s">
        <v>46</v>
      </c>
      <c r="I27" s="17" t="s">
        <v>519</v>
      </c>
      <c r="J27" t="s">
        <v>730</v>
      </c>
      <c r="K27" s="3" t="s">
        <v>146</v>
      </c>
      <c r="L27" t="s">
        <v>746</v>
      </c>
      <c r="M27">
        <v>1</v>
      </c>
      <c r="N27" t="s">
        <v>14</v>
      </c>
      <c r="O27" t="s">
        <v>746</v>
      </c>
      <c r="P27" s="3">
        <v>4</v>
      </c>
    </row>
    <row r="28" spans="1:16" ht="34" x14ac:dyDescent="0.2">
      <c r="A28">
        <v>27</v>
      </c>
      <c r="B28" t="s">
        <v>175</v>
      </c>
      <c r="C28">
        <v>2007</v>
      </c>
      <c r="D28" s="1" t="s">
        <v>683</v>
      </c>
      <c r="E28" s="1" t="s">
        <v>813</v>
      </c>
      <c r="F28" t="s">
        <v>135</v>
      </c>
      <c r="G28" t="s">
        <v>176</v>
      </c>
      <c r="H28" t="s">
        <v>46</v>
      </c>
      <c r="I28" s="17" t="s">
        <v>519</v>
      </c>
      <c r="J28" t="s">
        <v>137</v>
      </c>
      <c r="K28" s="3" t="s">
        <v>177</v>
      </c>
      <c r="L28" t="s">
        <v>745</v>
      </c>
      <c r="M28">
        <v>1</v>
      </c>
      <c r="N28" t="s">
        <v>2</v>
      </c>
      <c r="O28" t="s">
        <v>745</v>
      </c>
      <c r="P28" s="3">
        <v>11</v>
      </c>
    </row>
    <row r="29" spans="1:16" ht="17" x14ac:dyDescent="0.2">
      <c r="A29">
        <v>28</v>
      </c>
      <c r="B29" t="s">
        <v>48</v>
      </c>
      <c r="C29">
        <v>2017</v>
      </c>
      <c r="D29" s="1" t="s">
        <v>683</v>
      </c>
      <c r="E29" s="1" t="s">
        <v>813</v>
      </c>
      <c r="F29" t="s">
        <v>41</v>
      </c>
      <c r="G29" t="s">
        <v>178</v>
      </c>
      <c r="H29" t="s">
        <v>46</v>
      </c>
      <c r="I29" s="17" t="s">
        <v>519</v>
      </c>
      <c r="J29" t="s">
        <v>17</v>
      </c>
      <c r="K29" s="3" t="s">
        <v>28</v>
      </c>
      <c r="L29" t="s">
        <v>745</v>
      </c>
      <c r="M29">
        <v>1</v>
      </c>
      <c r="N29" t="s">
        <v>2</v>
      </c>
      <c r="O29" t="s">
        <v>745</v>
      </c>
      <c r="P29" s="3">
        <v>8</v>
      </c>
    </row>
    <row r="30" spans="1:16" ht="17" x14ac:dyDescent="0.2">
      <c r="A30">
        <v>29</v>
      </c>
      <c r="B30" t="s">
        <v>40</v>
      </c>
      <c r="C30">
        <v>2009</v>
      </c>
      <c r="D30" s="1" t="s">
        <v>683</v>
      </c>
      <c r="E30" s="1" t="s">
        <v>813</v>
      </c>
      <c r="F30" t="s">
        <v>41</v>
      </c>
      <c r="G30" t="s">
        <v>17</v>
      </c>
      <c r="H30" t="s">
        <v>46</v>
      </c>
      <c r="I30" s="17" t="s">
        <v>519</v>
      </c>
      <c r="J30" t="s">
        <v>259</v>
      </c>
      <c r="K30" s="3" t="s">
        <v>191</v>
      </c>
      <c r="L30" t="s">
        <v>746</v>
      </c>
      <c r="M30">
        <v>3</v>
      </c>
      <c r="N30" t="s">
        <v>34</v>
      </c>
      <c r="O30" t="s">
        <v>746</v>
      </c>
      <c r="P30" s="25" t="s">
        <v>812</v>
      </c>
    </row>
    <row r="31" spans="1:16" ht="34" x14ac:dyDescent="0.2">
      <c r="A31">
        <v>30</v>
      </c>
      <c r="B31" t="s">
        <v>218</v>
      </c>
      <c r="C31">
        <v>2008</v>
      </c>
      <c r="D31" s="1" t="s">
        <v>683</v>
      </c>
      <c r="E31" s="1" t="s">
        <v>813</v>
      </c>
      <c r="F31" t="s">
        <v>24</v>
      </c>
      <c r="G31" s="3" t="s">
        <v>207</v>
      </c>
      <c r="H31" t="s">
        <v>46</v>
      </c>
      <c r="I31" s="17" t="s">
        <v>519</v>
      </c>
      <c r="J31" t="s">
        <v>730</v>
      </c>
      <c r="K31" s="3" t="s">
        <v>208</v>
      </c>
      <c r="L31" t="s">
        <v>746</v>
      </c>
      <c r="M31" s="3">
        <v>3</v>
      </c>
      <c r="N31" s="3" t="s">
        <v>14</v>
      </c>
      <c r="O31" t="s">
        <v>746</v>
      </c>
      <c r="P31" s="3">
        <v>4</v>
      </c>
    </row>
    <row r="32" spans="1:16" ht="34" x14ac:dyDescent="0.2">
      <c r="A32">
        <v>31</v>
      </c>
      <c r="B32" t="s">
        <v>219</v>
      </c>
      <c r="C32">
        <v>2007</v>
      </c>
      <c r="D32" s="1" t="s">
        <v>683</v>
      </c>
      <c r="E32" s="1" t="s">
        <v>814</v>
      </c>
      <c r="F32" t="s">
        <v>0</v>
      </c>
      <c r="G32" s="3" t="s">
        <v>153</v>
      </c>
      <c r="H32" t="s">
        <v>46</v>
      </c>
      <c r="I32" s="17" t="s">
        <v>519</v>
      </c>
      <c r="J32" t="s">
        <v>137</v>
      </c>
      <c r="K32" s="3" t="s">
        <v>226</v>
      </c>
      <c r="L32" t="s">
        <v>747</v>
      </c>
      <c r="M32" s="3">
        <v>2</v>
      </c>
      <c r="N32" s="3" t="s">
        <v>14</v>
      </c>
      <c r="O32" s="3" t="s">
        <v>746</v>
      </c>
      <c r="P32" s="3">
        <v>5</v>
      </c>
    </row>
    <row r="33" spans="1:16" ht="51" x14ac:dyDescent="0.2">
      <c r="A33">
        <v>32</v>
      </c>
      <c r="B33" t="s">
        <v>395</v>
      </c>
      <c r="D33" t="s">
        <v>684</v>
      </c>
      <c r="E33" s="1" t="s">
        <v>813</v>
      </c>
      <c r="F33" t="s">
        <v>239</v>
      </c>
      <c r="G33" s="3" t="s">
        <v>405</v>
      </c>
      <c r="H33" t="s">
        <v>46</v>
      </c>
      <c r="I33" s="17" t="s">
        <v>519</v>
      </c>
      <c r="J33" t="s">
        <v>32</v>
      </c>
      <c r="K33" s="3" t="s">
        <v>397</v>
      </c>
      <c r="L33" t="s">
        <v>746</v>
      </c>
      <c r="M33" s="3">
        <v>4</v>
      </c>
      <c r="N33" s="3" t="s">
        <v>14</v>
      </c>
      <c r="O33" s="3" t="s">
        <v>746</v>
      </c>
      <c r="P33" s="3">
        <v>2</v>
      </c>
    </row>
    <row r="34" spans="1:16" ht="17" x14ac:dyDescent="0.2">
      <c r="A34">
        <v>33</v>
      </c>
      <c r="B34" t="s">
        <v>395</v>
      </c>
      <c r="D34" t="s">
        <v>684</v>
      </c>
      <c r="E34" s="1" t="s">
        <v>813</v>
      </c>
      <c r="F34" t="s">
        <v>239</v>
      </c>
      <c r="G34" s="3" t="s">
        <v>406</v>
      </c>
      <c r="H34" t="s">
        <v>46</v>
      </c>
      <c r="I34" s="17" t="s">
        <v>519</v>
      </c>
      <c r="J34" t="s">
        <v>243</v>
      </c>
      <c r="K34" s="3" t="s">
        <v>407</v>
      </c>
      <c r="L34" t="s">
        <v>746</v>
      </c>
      <c r="M34" s="3">
        <v>1</v>
      </c>
      <c r="N34" s="3" t="s">
        <v>14</v>
      </c>
      <c r="O34" s="3" t="s">
        <v>746</v>
      </c>
      <c r="P34" s="3">
        <v>4</v>
      </c>
    </row>
    <row r="35" spans="1:16" ht="17" x14ac:dyDescent="0.2">
      <c r="A35">
        <v>34</v>
      </c>
      <c r="B35" t="s">
        <v>202</v>
      </c>
      <c r="C35">
        <v>2015</v>
      </c>
      <c r="D35" s="1" t="s">
        <v>683</v>
      </c>
      <c r="E35" s="1" t="s">
        <v>813</v>
      </c>
      <c r="F35" t="s">
        <v>190</v>
      </c>
      <c r="G35" t="s">
        <v>17</v>
      </c>
      <c r="H35" t="s">
        <v>46</v>
      </c>
      <c r="I35" s="17" t="s">
        <v>519</v>
      </c>
      <c r="J35" t="s">
        <v>94</v>
      </c>
      <c r="K35" s="3" t="s">
        <v>191</v>
      </c>
      <c r="L35" t="s">
        <v>746</v>
      </c>
      <c r="M35" s="3">
        <v>9</v>
      </c>
      <c r="N35" t="s">
        <v>34</v>
      </c>
      <c r="O35" s="3" t="s">
        <v>746</v>
      </c>
      <c r="P35" s="3">
        <v>1</v>
      </c>
    </row>
    <row r="36" spans="1:16" ht="17" x14ac:dyDescent="0.2">
      <c r="A36">
        <v>35</v>
      </c>
      <c r="B36" t="s">
        <v>48</v>
      </c>
      <c r="C36">
        <v>2020</v>
      </c>
      <c r="D36" s="1" t="s">
        <v>683</v>
      </c>
      <c r="E36" s="1" t="s">
        <v>814</v>
      </c>
      <c r="F36" t="s">
        <v>41</v>
      </c>
      <c r="G36" t="s">
        <v>49</v>
      </c>
      <c r="H36" t="s">
        <v>46</v>
      </c>
      <c r="I36" s="17" t="s">
        <v>519</v>
      </c>
      <c r="J36" t="s">
        <v>17</v>
      </c>
      <c r="K36" t="s">
        <v>28</v>
      </c>
      <c r="L36" t="s">
        <v>745</v>
      </c>
      <c r="M36" s="3">
        <v>21</v>
      </c>
      <c r="N36" t="s">
        <v>14</v>
      </c>
      <c r="O36" s="3" t="s">
        <v>748</v>
      </c>
      <c r="P36" s="3">
        <v>20</v>
      </c>
    </row>
    <row r="37" spans="1:16" ht="17" x14ac:dyDescent="0.2">
      <c r="A37">
        <v>36</v>
      </c>
      <c r="B37" t="s">
        <v>255</v>
      </c>
      <c r="C37">
        <v>2021</v>
      </c>
      <c r="D37" t="s">
        <v>684</v>
      </c>
      <c r="E37" s="1" t="s">
        <v>813</v>
      </c>
      <c r="F37" t="s">
        <v>239</v>
      </c>
      <c r="G37" t="s">
        <v>796</v>
      </c>
      <c r="H37" t="s">
        <v>46</v>
      </c>
      <c r="I37" s="17" t="s">
        <v>519</v>
      </c>
      <c r="J37" t="s">
        <v>243</v>
      </c>
      <c r="K37" t="s">
        <v>797</v>
      </c>
      <c r="L37" t="s">
        <v>745</v>
      </c>
      <c r="M37" s="3">
        <v>4</v>
      </c>
      <c r="N37" t="s">
        <v>2</v>
      </c>
      <c r="O37" s="3" t="s">
        <v>745</v>
      </c>
      <c r="P37" s="3">
        <v>6</v>
      </c>
    </row>
    <row r="38" spans="1:16" ht="17" x14ac:dyDescent="0.2">
      <c r="A38" s="5">
        <v>37</v>
      </c>
      <c r="B38" s="5" t="s">
        <v>750</v>
      </c>
      <c r="C38" s="5">
        <v>2008</v>
      </c>
      <c r="D38" t="s">
        <v>684</v>
      </c>
      <c r="E38" s="1" t="s">
        <v>813</v>
      </c>
      <c r="F38" s="5" t="s">
        <v>135</v>
      </c>
      <c r="G38" s="5" t="s">
        <v>153</v>
      </c>
      <c r="H38" s="5" t="s">
        <v>46</v>
      </c>
      <c r="I38" s="17" t="s">
        <v>519</v>
      </c>
      <c r="J38" t="s">
        <v>243</v>
      </c>
      <c r="K38" s="3" t="s">
        <v>115</v>
      </c>
      <c r="L38" t="s">
        <v>746</v>
      </c>
      <c r="M38" s="3">
        <v>3</v>
      </c>
      <c r="N38" t="s">
        <v>34</v>
      </c>
      <c r="O38" s="3" t="s">
        <v>746</v>
      </c>
      <c r="P38" t="s">
        <v>730</v>
      </c>
    </row>
    <row r="39" spans="1:16" ht="17" x14ac:dyDescent="0.2">
      <c r="A39">
        <v>38</v>
      </c>
      <c r="B39" t="s">
        <v>760</v>
      </c>
      <c r="C39">
        <v>2018</v>
      </c>
      <c r="D39" t="s">
        <v>684</v>
      </c>
      <c r="E39" s="1" t="s">
        <v>813</v>
      </c>
      <c r="F39" t="s">
        <v>16</v>
      </c>
      <c r="G39" t="s">
        <v>798</v>
      </c>
      <c r="H39" t="s">
        <v>46</v>
      </c>
      <c r="I39" s="17" t="s">
        <v>519</v>
      </c>
      <c r="J39" t="s">
        <v>243</v>
      </c>
      <c r="K39" s="3" t="s">
        <v>735</v>
      </c>
      <c r="L39" t="s">
        <v>745</v>
      </c>
      <c r="M39" s="3">
        <v>3</v>
      </c>
      <c r="N39" t="s">
        <v>2</v>
      </c>
      <c r="O39" s="3" t="s">
        <v>745</v>
      </c>
      <c r="P39" s="3">
        <v>11</v>
      </c>
    </row>
    <row r="40" spans="1:16" ht="17" x14ac:dyDescent="0.2">
      <c r="A40">
        <v>39</v>
      </c>
      <c r="B40" t="s">
        <v>770</v>
      </c>
      <c r="C40">
        <v>1992</v>
      </c>
      <c r="D40" t="s">
        <v>683</v>
      </c>
      <c r="E40" s="1" t="s">
        <v>813</v>
      </c>
      <c r="F40" t="s">
        <v>12</v>
      </c>
      <c r="G40" t="s">
        <v>781</v>
      </c>
      <c r="H40" t="s">
        <v>43</v>
      </c>
      <c r="I40" s="17" t="s">
        <v>482</v>
      </c>
      <c r="J40" t="s">
        <v>243</v>
      </c>
      <c r="K40" s="3" t="s">
        <v>27</v>
      </c>
      <c r="L40" t="s">
        <v>745</v>
      </c>
      <c r="M40" s="3">
        <v>1</v>
      </c>
      <c r="N40" t="s">
        <v>34</v>
      </c>
      <c r="O40" s="3" t="s">
        <v>745</v>
      </c>
      <c r="P40" s="3">
        <v>2</v>
      </c>
    </row>
    <row r="41" spans="1:16" ht="17" x14ac:dyDescent="0.2">
      <c r="A41">
        <v>40</v>
      </c>
      <c r="B41" t="s">
        <v>773</v>
      </c>
      <c r="C41">
        <v>1992</v>
      </c>
      <c r="D41" t="s">
        <v>683</v>
      </c>
      <c r="E41" s="1" t="s">
        <v>813</v>
      </c>
      <c r="F41" t="s">
        <v>135</v>
      </c>
      <c r="G41" t="s">
        <v>17</v>
      </c>
      <c r="H41" t="s">
        <v>43</v>
      </c>
      <c r="I41" s="17" t="s">
        <v>482</v>
      </c>
      <c r="J41" t="s">
        <v>574</v>
      </c>
      <c r="K41" s="3" t="s">
        <v>27</v>
      </c>
      <c r="L41" t="s">
        <v>745</v>
      </c>
      <c r="M41" s="3">
        <v>3</v>
      </c>
      <c r="N41" t="s">
        <v>2</v>
      </c>
      <c r="O41" s="3" t="s">
        <v>745</v>
      </c>
      <c r="P41" s="3">
        <v>11</v>
      </c>
    </row>
    <row r="42" spans="1:16" ht="17" x14ac:dyDescent="0.2">
      <c r="A42">
        <v>41</v>
      </c>
      <c r="B42" t="s">
        <v>782</v>
      </c>
      <c r="C42">
        <v>1993</v>
      </c>
      <c r="D42" t="s">
        <v>683</v>
      </c>
      <c r="E42" s="1" t="s">
        <v>813</v>
      </c>
      <c r="F42" t="s">
        <v>135</v>
      </c>
      <c r="G42" t="s">
        <v>793</v>
      </c>
      <c r="H42" t="s">
        <v>43</v>
      </c>
      <c r="I42" s="17" t="s">
        <v>482</v>
      </c>
      <c r="J42" t="s">
        <v>243</v>
      </c>
      <c r="K42" s="3" t="s">
        <v>27</v>
      </c>
      <c r="L42" t="s">
        <v>745</v>
      </c>
      <c r="M42">
        <v>5</v>
      </c>
      <c r="N42" t="s">
        <v>2</v>
      </c>
      <c r="O42" s="3" t="s">
        <v>745</v>
      </c>
      <c r="P42" s="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1137-4649-494A-A48D-DF4D24D49D23}">
  <dimension ref="A1:D46"/>
  <sheetViews>
    <sheetView workbookViewId="0">
      <selection activeCell="H11" sqref="H11"/>
    </sheetView>
  </sheetViews>
  <sheetFormatPr baseColWidth="10" defaultRowHeight="16" x14ac:dyDescent="0.2"/>
  <sheetData>
    <row r="1" spans="1:4" x14ac:dyDescent="0.2">
      <c r="A1" s="2" t="s">
        <v>943</v>
      </c>
      <c r="B1" s="2" t="s">
        <v>307</v>
      </c>
      <c r="C1" s="2" t="s">
        <v>712</v>
      </c>
      <c r="D1" s="2" t="s">
        <v>942</v>
      </c>
    </row>
    <row r="2" spans="1:4" x14ac:dyDescent="0.2">
      <c r="A2">
        <v>1</v>
      </c>
      <c r="B2" t="s">
        <v>43</v>
      </c>
      <c r="C2">
        <v>70.034251999999995</v>
      </c>
      <c r="D2">
        <v>27.761839999999999</v>
      </c>
    </row>
    <row r="3" spans="1:4" x14ac:dyDescent="0.2">
      <c r="A3">
        <v>2</v>
      </c>
      <c r="B3" t="s">
        <v>43</v>
      </c>
      <c r="C3">
        <v>48.501440000000002</v>
      </c>
      <c r="D3">
        <v>-58.147640000000003</v>
      </c>
    </row>
    <row r="4" spans="1:4" x14ac:dyDescent="0.2">
      <c r="A4">
        <v>3</v>
      </c>
      <c r="B4" t="s">
        <v>43</v>
      </c>
      <c r="C4">
        <v>60</v>
      </c>
      <c r="D4">
        <v>6</v>
      </c>
    </row>
    <row r="5" spans="1:4" x14ac:dyDescent="0.2">
      <c r="A5">
        <v>3</v>
      </c>
      <c r="B5" t="s">
        <v>43</v>
      </c>
      <c r="C5">
        <v>61</v>
      </c>
      <c r="D5">
        <v>9</v>
      </c>
    </row>
    <row r="6" spans="1:4" x14ac:dyDescent="0.2">
      <c r="A6">
        <v>4</v>
      </c>
      <c r="B6" t="s">
        <v>43</v>
      </c>
      <c r="C6">
        <v>58.408068999999998</v>
      </c>
      <c r="D6">
        <v>8.6543949999999992</v>
      </c>
    </row>
    <row r="7" spans="1:4" x14ac:dyDescent="0.2">
      <c r="A7">
        <v>5</v>
      </c>
      <c r="B7" t="s">
        <v>43</v>
      </c>
      <c r="C7">
        <v>57.597999999999999</v>
      </c>
      <c r="D7">
        <v>-4.9489999999999998</v>
      </c>
    </row>
    <row r="8" spans="1:4" x14ac:dyDescent="0.2">
      <c r="A8">
        <v>6</v>
      </c>
      <c r="B8" t="s">
        <v>43</v>
      </c>
      <c r="C8">
        <v>45.612499999999997</v>
      </c>
      <c r="D8">
        <v>-62.077222220000003</v>
      </c>
    </row>
    <row r="9" spans="1:4" x14ac:dyDescent="0.2">
      <c r="A9">
        <v>7</v>
      </c>
      <c r="B9" t="s">
        <v>43</v>
      </c>
      <c r="C9">
        <v>65.133927</v>
      </c>
      <c r="D9">
        <v>25.781659000000001</v>
      </c>
    </row>
    <row r="10" spans="1:4" x14ac:dyDescent="0.2">
      <c r="A10">
        <v>8</v>
      </c>
      <c r="B10" t="s">
        <v>944</v>
      </c>
      <c r="C10">
        <v>55.694046</v>
      </c>
      <c r="D10">
        <v>-3.2138501000000002</v>
      </c>
    </row>
    <row r="11" spans="1:4" x14ac:dyDescent="0.2">
      <c r="A11">
        <v>9</v>
      </c>
      <c r="B11" t="s">
        <v>944</v>
      </c>
      <c r="C11">
        <v>60</v>
      </c>
      <c r="D11">
        <v>22</v>
      </c>
    </row>
    <row r="12" spans="1:4" x14ac:dyDescent="0.2">
      <c r="A12">
        <v>9</v>
      </c>
      <c r="B12" t="s">
        <v>944</v>
      </c>
      <c r="C12">
        <v>68</v>
      </c>
      <c r="D12">
        <v>30</v>
      </c>
    </row>
    <row r="13" spans="1:4" x14ac:dyDescent="0.2">
      <c r="A13">
        <v>10</v>
      </c>
      <c r="B13" t="s">
        <v>944</v>
      </c>
      <c r="C13">
        <v>51.292149999999999</v>
      </c>
      <c r="D13">
        <v>-1.0221</v>
      </c>
    </row>
    <row r="14" spans="1:4" x14ac:dyDescent="0.2">
      <c r="A14">
        <v>11</v>
      </c>
      <c r="B14" t="s">
        <v>944</v>
      </c>
      <c r="C14">
        <v>54.850270000000002</v>
      </c>
      <c r="D14">
        <v>-6.3187139999999999</v>
      </c>
    </row>
    <row r="15" spans="1:4" x14ac:dyDescent="0.2">
      <c r="A15">
        <v>12</v>
      </c>
      <c r="B15" t="s">
        <v>944</v>
      </c>
      <c r="C15">
        <v>53.374045000000002</v>
      </c>
      <c r="D15">
        <v>-6.510421</v>
      </c>
    </row>
    <row r="16" spans="1:4" x14ac:dyDescent="0.2">
      <c r="A16">
        <v>13</v>
      </c>
      <c r="B16" t="s">
        <v>944</v>
      </c>
      <c r="C16">
        <v>50.746389999999998</v>
      </c>
      <c r="D16">
        <v>-2.315677</v>
      </c>
    </row>
    <row r="17" spans="1:4" x14ac:dyDescent="0.2">
      <c r="A17">
        <v>14</v>
      </c>
      <c r="B17" t="s">
        <v>944</v>
      </c>
      <c r="C17">
        <v>62.902096</v>
      </c>
      <c r="D17">
        <v>8.6246170000000006</v>
      </c>
    </row>
    <row r="18" spans="1:4" x14ac:dyDescent="0.2">
      <c r="A18">
        <v>15</v>
      </c>
      <c r="B18" t="s">
        <v>944</v>
      </c>
      <c r="C18">
        <v>55.684987999999997</v>
      </c>
      <c r="D18">
        <v>8.8582180000000008</v>
      </c>
    </row>
    <row r="19" spans="1:4" x14ac:dyDescent="0.2">
      <c r="A19">
        <v>16</v>
      </c>
      <c r="B19" t="s">
        <v>944</v>
      </c>
      <c r="C19">
        <v>59.535589999999999</v>
      </c>
      <c r="D19">
        <v>5.9721880000000001</v>
      </c>
    </row>
    <row r="20" spans="1:4" x14ac:dyDescent="0.2">
      <c r="A20">
        <v>17</v>
      </c>
      <c r="B20" t="s">
        <v>46</v>
      </c>
      <c r="C20">
        <v>53.975583999999998</v>
      </c>
      <c r="D20">
        <v>-1.9861660999999999</v>
      </c>
    </row>
    <row r="21" spans="1:4" x14ac:dyDescent="0.2">
      <c r="A21">
        <v>18</v>
      </c>
      <c r="B21" t="s">
        <v>46</v>
      </c>
      <c r="C21">
        <v>54.014659999999999</v>
      </c>
      <c r="D21">
        <v>-2.0709563000000002</v>
      </c>
    </row>
    <row r="22" spans="1:4" x14ac:dyDescent="0.2">
      <c r="A22">
        <v>19</v>
      </c>
      <c r="B22" t="s">
        <v>46</v>
      </c>
      <c r="C22">
        <v>53.989657999999999</v>
      </c>
      <c r="D22">
        <v>-2.1409023</v>
      </c>
    </row>
    <row r="23" spans="1:4" x14ac:dyDescent="0.2">
      <c r="A23">
        <v>20</v>
      </c>
      <c r="B23" t="s">
        <v>46</v>
      </c>
      <c r="C23">
        <v>53.897266000000002</v>
      </c>
      <c r="D23">
        <v>-2.0021244999999999</v>
      </c>
    </row>
    <row r="24" spans="1:4" x14ac:dyDescent="0.2">
      <c r="A24">
        <v>21</v>
      </c>
      <c r="B24" t="s">
        <v>46</v>
      </c>
      <c r="C24">
        <v>54.101872999999998</v>
      </c>
      <c r="D24">
        <v>-2.0364068</v>
      </c>
    </row>
    <row r="25" spans="1:4" x14ac:dyDescent="0.2">
      <c r="A25">
        <v>22</v>
      </c>
      <c r="B25" t="s">
        <v>46</v>
      </c>
      <c r="C25">
        <v>65</v>
      </c>
      <c r="D25">
        <v>25</v>
      </c>
    </row>
    <row r="26" spans="1:4" x14ac:dyDescent="0.2">
      <c r="A26">
        <v>23</v>
      </c>
      <c r="B26" t="s">
        <v>46</v>
      </c>
      <c r="C26">
        <v>52.2</v>
      </c>
      <c r="D26">
        <v>-8.2166666700000004</v>
      </c>
    </row>
    <row r="27" spans="1:4" x14ac:dyDescent="0.2">
      <c r="A27">
        <v>24</v>
      </c>
      <c r="B27" t="s">
        <v>46</v>
      </c>
      <c r="C27">
        <v>64.226388889999996</v>
      </c>
      <c r="D27">
        <v>30.070277780000001</v>
      </c>
    </row>
    <row r="28" spans="1:4" x14ac:dyDescent="0.2">
      <c r="A28">
        <v>25</v>
      </c>
      <c r="B28" t="s">
        <v>46</v>
      </c>
      <c r="C28">
        <v>43.284669999999998</v>
      </c>
      <c r="D28">
        <v>-1.80427</v>
      </c>
    </row>
    <row r="29" spans="1:4" x14ac:dyDescent="0.2">
      <c r="A29">
        <v>26</v>
      </c>
      <c r="B29" t="s">
        <v>46</v>
      </c>
      <c r="C29">
        <v>52.882151999999998</v>
      </c>
      <c r="D29">
        <v>1.0658938</v>
      </c>
    </row>
    <row r="30" spans="1:4" x14ac:dyDescent="0.2">
      <c r="A30">
        <v>27</v>
      </c>
      <c r="B30" t="s">
        <v>46</v>
      </c>
      <c r="C30">
        <v>67</v>
      </c>
      <c r="D30">
        <v>21</v>
      </c>
    </row>
    <row r="31" spans="1:4" x14ac:dyDescent="0.2">
      <c r="A31">
        <v>28</v>
      </c>
      <c r="B31" t="s">
        <v>46</v>
      </c>
      <c r="C31">
        <v>56.017783999999999</v>
      </c>
      <c r="D31">
        <v>9.6871080000000003</v>
      </c>
    </row>
    <row r="32" spans="1:4" x14ac:dyDescent="0.2">
      <c r="A32">
        <v>29</v>
      </c>
      <c r="B32" t="s">
        <v>46</v>
      </c>
      <c r="C32">
        <v>55.201450000000001</v>
      </c>
      <c r="D32">
        <v>9.2049500000000002</v>
      </c>
    </row>
    <row r="33" spans="1:4" x14ac:dyDescent="0.2">
      <c r="A33">
        <v>29</v>
      </c>
      <c r="B33" t="s">
        <v>46</v>
      </c>
      <c r="C33">
        <v>55.261032999999998</v>
      </c>
      <c r="D33">
        <v>8.9586640000000006</v>
      </c>
    </row>
    <row r="34" spans="1:4" x14ac:dyDescent="0.2">
      <c r="A34">
        <v>29</v>
      </c>
      <c r="B34" t="s">
        <v>46</v>
      </c>
      <c r="C34">
        <v>55.416640000000001</v>
      </c>
      <c r="D34">
        <v>10.31617</v>
      </c>
    </row>
    <row r="35" spans="1:4" x14ac:dyDescent="0.2">
      <c r="A35">
        <v>30</v>
      </c>
      <c r="B35" t="s">
        <v>46</v>
      </c>
      <c r="C35">
        <v>42.293202000000001</v>
      </c>
      <c r="D35">
        <v>-74.301362999999995</v>
      </c>
    </row>
    <row r="36" spans="1:4" x14ac:dyDescent="0.2">
      <c r="A36">
        <v>31</v>
      </c>
      <c r="B36" t="s">
        <v>46</v>
      </c>
      <c r="C36">
        <v>62.233333330000001</v>
      </c>
      <c r="D36">
        <v>25.266666669999999</v>
      </c>
    </row>
    <row r="37" spans="1:4" x14ac:dyDescent="0.2">
      <c r="A37">
        <v>32</v>
      </c>
      <c r="B37" t="s">
        <v>46</v>
      </c>
      <c r="C37">
        <v>51.950223999999999</v>
      </c>
      <c r="D37">
        <v>-2.9844119999999998</v>
      </c>
    </row>
    <row r="38" spans="1:4" x14ac:dyDescent="0.2">
      <c r="A38">
        <v>33</v>
      </c>
      <c r="B38" t="s">
        <v>46</v>
      </c>
      <c r="C38">
        <v>50.682594000000002</v>
      </c>
      <c r="D38">
        <v>-2.3304589999999998</v>
      </c>
    </row>
    <row r="39" spans="1:4" x14ac:dyDescent="0.2">
      <c r="A39">
        <v>34</v>
      </c>
      <c r="B39" t="s">
        <v>46</v>
      </c>
      <c r="C39">
        <v>58.880833330000002</v>
      </c>
      <c r="D39">
        <v>25.596111109999999</v>
      </c>
    </row>
    <row r="40" spans="1:4" x14ac:dyDescent="0.2">
      <c r="A40">
        <v>35</v>
      </c>
      <c r="B40" t="s">
        <v>46</v>
      </c>
      <c r="C40">
        <v>55.537112999999998</v>
      </c>
      <c r="D40">
        <v>9.4026189999999996</v>
      </c>
    </row>
    <row r="41" spans="1:4" x14ac:dyDescent="0.2">
      <c r="A41">
        <v>36</v>
      </c>
      <c r="B41" t="s">
        <v>46</v>
      </c>
      <c r="C41">
        <v>54.777580999999998</v>
      </c>
      <c r="D41">
        <v>-1.6751659999999999</v>
      </c>
    </row>
    <row r="42" spans="1:4" x14ac:dyDescent="0.2">
      <c r="A42">
        <v>37</v>
      </c>
      <c r="B42" t="s">
        <v>46</v>
      </c>
      <c r="C42">
        <v>65.518212000000005</v>
      </c>
      <c r="D42">
        <v>17.523387</v>
      </c>
    </row>
    <row r="43" spans="1:4" x14ac:dyDescent="0.2">
      <c r="A43">
        <v>38</v>
      </c>
      <c r="B43" t="s">
        <v>46</v>
      </c>
      <c r="C43">
        <v>68.643010000000004</v>
      </c>
      <c r="D43">
        <v>18.212774</v>
      </c>
    </row>
    <row r="44" spans="1:4" x14ac:dyDescent="0.2">
      <c r="A44">
        <v>39</v>
      </c>
      <c r="B44" t="s">
        <v>43</v>
      </c>
      <c r="C44">
        <v>44.250160000000001</v>
      </c>
      <c r="D44">
        <v>-64.848789999999994</v>
      </c>
    </row>
    <row r="45" spans="1:4" x14ac:dyDescent="0.2">
      <c r="A45">
        <v>40</v>
      </c>
      <c r="B45" t="s">
        <v>43</v>
      </c>
      <c r="C45">
        <v>57.033203999999998</v>
      </c>
      <c r="D45">
        <v>12.654242</v>
      </c>
    </row>
    <row r="46" spans="1:4" x14ac:dyDescent="0.2">
      <c r="A46">
        <v>41</v>
      </c>
      <c r="B46" t="s">
        <v>43</v>
      </c>
      <c r="C46">
        <v>56.242859000000003</v>
      </c>
      <c r="D46">
        <v>14.781950999999999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D4AF4-7C72-9F47-943D-CBB02A9FD102}">
  <dimension ref="A1:K57"/>
  <sheetViews>
    <sheetView workbookViewId="0">
      <selection activeCell="M13" sqref="M13"/>
    </sheetView>
  </sheetViews>
  <sheetFormatPr baseColWidth="10" defaultRowHeight="16" x14ac:dyDescent="0.2"/>
  <sheetData>
    <row r="1" spans="1:11" x14ac:dyDescent="0.2">
      <c r="A1" t="s">
        <v>698</v>
      </c>
      <c r="B1" t="s">
        <v>699</v>
      </c>
      <c r="C1" t="s">
        <v>945</v>
      </c>
      <c r="D1" t="s">
        <v>702</v>
      </c>
      <c r="E1" t="s">
        <v>704</v>
      </c>
      <c r="F1" t="s">
        <v>718</v>
      </c>
      <c r="G1" t="s">
        <v>719</v>
      </c>
      <c r="H1" t="s">
        <v>946</v>
      </c>
      <c r="I1" t="s">
        <v>716</v>
      </c>
      <c r="J1" t="s">
        <v>947</v>
      </c>
      <c r="K1" t="s">
        <v>948</v>
      </c>
    </row>
    <row r="2" spans="1:11" x14ac:dyDescent="0.2">
      <c r="A2">
        <v>1</v>
      </c>
      <c r="B2" t="s">
        <v>949</v>
      </c>
      <c r="D2" t="s">
        <v>720</v>
      </c>
      <c r="E2" t="s">
        <v>950</v>
      </c>
      <c r="F2" s="1" t="s">
        <v>797</v>
      </c>
      <c r="G2" t="s">
        <v>725</v>
      </c>
      <c r="H2" t="s">
        <v>726</v>
      </c>
      <c r="I2" t="s">
        <v>2</v>
      </c>
      <c r="J2" t="s">
        <v>683</v>
      </c>
      <c r="K2">
        <v>10</v>
      </c>
    </row>
    <row r="3" spans="1:11" x14ac:dyDescent="0.2">
      <c r="A3">
        <v>2</v>
      </c>
      <c r="B3" t="s">
        <v>951</v>
      </c>
      <c r="C3" t="s">
        <v>818</v>
      </c>
      <c r="D3" t="s">
        <v>952</v>
      </c>
      <c r="E3" t="s">
        <v>950</v>
      </c>
      <c r="F3" t="s">
        <v>953</v>
      </c>
      <c r="G3" t="s">
        <v>240</v>
      </c>
      <c r="H3" t="s">
        <v>726</v>
      </c>
      <c r="I3" t="s">
        <v>14</v>
      </c>
      <c r="J3" t="s">
        <v>683</v>
      </c>
      <c r="K3">
        <v>21</v>
      </c>
    </row>
    <row r="4" spans="1:11" x14ac:dyDescent="0.2">
      <c r="A4">
        <v>2</v>
      </c>
      <c r="B4" t="s">
        <v>951</v>
      </c>
      <c r="C4" t="s">
        <v>819</v>
      </c>
      <c r="D4" t="s">
        <v>952</v>
      </c>
      <c r="E4" t="s">
        <v>950</v>
      </c>
      <c r="F4" t="s">
        <v>953</v>
      </c>
      <c r="G4" t="s">
        <v>729</v>
      </c>
      <c r="H4" t="s">
        <v>726</v>
      </c>
      <c r="I4" t="s">
        <v>14</v>
      </c>
    </row>
    <row r="5" spans="1:11" x14ac:dyDescent="0.2">
      <c r="A5">
        <v>2</v>
      </c>
      <c r="B5" t="s">
        <v>951</v>
      </c>
      <c r="C5" t="s">
        <v>820</v>
      </c>
      <c r="D5" t="s">
        <v>952</v>
      </c>
      <c r="E5" t="s">
        <v>950</v>
      </c>
      <c r="F5" t="s">
        <v>953</v>
      </c>
      <c r="G5" t="s">
        <v>115</v>
      </c>
      <c r="H5" t="s">
        <v>726</v>
      </c>
      <c r="I5" t="s">
        <v>14</v>
      </c>
    </row>
    <row r="6" spans="1:11" x14ac:dyDescent="0.2">
      <c r="A6">
        <v>3</v>
      </c>
      <c r="B6" t="s">
        <v>954</v>
      </c>
      <c r="D6" t="s">
        <v>720</v>
      </c>
      <c r="E6" t="s">
        <v>950</v>
      </c>
      <c r="F6" t="s">
        <v>27</v>
      </c>
      <c r="G6" t="s">
        <v>27</v>
      </c>
      <c r="H6" t="s">
        <v>732</v>
      </c>
      <c r="I6" t="s">
        <v>2</v>
      </c>
      <c r="J6" t="s">
        <v>683</v>
      </c>
      <c r="K6">
        <v>12</v>
      </c>
    </row>
    <row r="7" spans="1:11" x14ac:dyDescent="0.2">
      <c r="A7">
        <v>4</v>
      </c>
      <c r="B7" t="s">
        <v>955</v>
      </c>
      <c r="D7" t="s">
        <v>720</v>
      </c>
      <c r="E7" t="s">
        <v>950</v>
      </c>
      <c r="F7" s="1" t="s">
        <v>797</v>
      </c>
      <c r="G7" t="s">
        <v>160</v>
      </c>
      <c r="H7" t="s">
        <v>726</v>
      </c>
      <c r="I7" t="s">
        <v>14</v>
      </c>
      <c r="J7" t="s">
        <v>683</v>
      </c>
      <c r="K7">
        <v>5</v>
      </c>
    </row>
    <row r="8" spans="1:11" x14ac:dyDescent="0.2">
      <c r="A8">
        <v>5</v>
      </c>
      <c r="B8" t="s">
        <v>956</v>
      </c>
      <c r="D8" t="s">
        <v>720</v>
      </c>
      <c r="E8" t="s">
        <v>950</v>
      </c>
      <c r="F8" t="s">
        <v>957</v>
      </c>
      <c r="G8" t="s">
        <v>733</v>
      </c>
      <c r="H8" t="s">
        <v>732</v>
      </c>
      <c r="I8" t="s">
        <v>34</v>
      </c>
      <c r="J8" t="s">
        <v>683</v>
      </c>
      <c r="K8">
        <v>1</v>
      </c>
    </row>
    <row r="9" spans="1:11" x14ac:dyDescent="0.2">
      <c r="A9">
        <v>6</v>
      </c>
      <c r="B9" t="s">
        <v>958</v>
      </c>
      <c r="D9" t="s">
        <v>952</v>
      </c>
      <c r="E9" t="s">
        <v>959</v>
      </c>
      <c r="F9" t="s">
        <v>953</v>
      </c>
      <c r="G9" t="s">
        <v>115</v>
      </c>
      <c r="H9" t="s">
        <v>726</v>
      </c>
      <c r="I9" t="s">
        <v>14</v>
      </c>
      <c r="J9" t="s">
        <v>683</v>
      </c>
      <c r="K9">
        <v>1</v>
      </c>
    </row>
    <row r="10" spans="1:11" x14ac:dyDescent="0.2">
      <c r="A10">
        <v>7</v>
      </c>
      <c r="B10" t="s">
        <v>960</v>
      </c>
      <c r="D10" t="s">
        <v>720</v>
      </c>
      <c r="E10" t="s">
        <v>950</v>
      </c>
      <c r="F10" t="s">
        <v>953</v>
      </c>
      <c r="G10" t="s">
        <v>115</v>
      </c>
      <c r="H10" t="s">
        <v>726</v>
      </c>
      <c r="I10" t="s">
        <v>14</v>
      </c>
      <c r="J10" t="s">
        <v>683</v>
      </c>
      <c r="K10">
        <v>3</v>
      </c>
    </row>
    <row r="11" spans="1:11" x14ac:dyDescent="0.2">
      <c r="A11">
        <v>8</v>
      </c>
      <c r="B11" t="s">
        <v>961</v>
      </c>
      <c r="C11" t="s">
        <v>476</v>
      </c>
      <c r="D11" t="s">
        <v>720</v>
      </c>
      <c r="E11" t="s">
        <v>950</v>
      </c>
      <c r="F11" t="s">
        <v>962</v>
      </c>
      <c r="G11" t="s">
        <v>736</v>
      </c>
      <c r="H11" t="s">
        <v>726</v>
      </c>
      <c r="I11" t="s">
        <v>34</v>
      </c>
      <c r="J11" t="s">
        <v>684</v>
      </c>
      <c r="K11">
        <v>5</v>
      </c>
    </row>
    <row r="12" spans="1:11" x14ac:dyDescent="0.2">
      <c r="A12">
        <v>8</v>
      </c>
      <c r="B12" t="s">
        <v>961</v>
      </c>
      <c r="C12" t="s">
        <v>476</v>
      </c>
      <c r="D12" t="s">
        <v>720</v>
      </c>
      <c r="E12" t="s">
        <v>959</v>
      </c>
      <c r="F12" t="s">
        <v>962</v>
      </c>
      <c r="G12" t="s">
        <v>736</v>
      </c>
      <c r="H12" t="s">
        <v>726</v>
      </c>
      <c r="I12" t="s">
        <v>34</v>
      </c>
    </row>
    <row r="13" spans="1:11" x14ac:dyDescent="0.2">
      <c r="A13">
        <v>9</v>
      </c>
      <c r="B13" t="s">
        <v>963</v>
      </c>
      <c r="D13" t="s">
        <v>720</v>
      </c>
      <c r="E13" t="s">
        <v>950</v>
      </c>
      <c r="F13" t="s">
        <v>953</v>
      </c>
      <c r="G13" t="s">
        <v>115</v>
      </c>
      <c r="H13" t="s">
        <v>726</v>
      </c>
      <c r="I13" t="s">
        <v>2</v>
      </c>
      <c r="J13" t="s">
        <v>683</v>
      </c>
    </row>
    <row r="14" spans="1:11" x14ac:dyDescent="0.2">
      <c r="A14">
        <v>9</v>
      </c>
      <c r="B14" t="s">
        <v>963</v>
      </c>
      <c r="D14" t="s">
        <v>720</v>
      </c>
      <c r="E14" t="s">
        <v>959</v>
      </c>
      <c r="F14" t="s">
        <v>953</v>
      </c>
      <c r="G14" t="s">
        <v>115</v>
      </c>
      <c r="H14" t="s">
        <v>726</v>
      </c>
      <c r="I14" t="s">
        <v>2</v>
      </c>
    </row>
    <row r="15" spans="1:11" x14ac:dyDescent="0.2">
      <c r="A15">
        <v>10</v>
      </c>
      <c r="B15" t="s">
        <v>964</v>
      </c>
      <c r="D15" t="s">
        <v>720</v>
      </c>
      <c r="E15" t="s">
        <v>959</v>
      </c>
      <c r="F15" t="s">
        <v>953</v>
      </c>
      <c r="G15" t="s">
        <v>115</v>
      </c>
      <c r="H15" t="s">
        <v>726</v>
      </c>
      <c r="I15" t="s">
        <v>14</v>
      </c>
      <c r="J15" t="s">
        <v>683</v>
      </c>
      <c r="K15">
        <v>1</v>
      </c>
    </row>
    <row r="16" spans="1:11" x14ac:dyDescent="0.2">
      <c r="A16">
        <v>10</v>
      </c>
      <c r="B16" t="s">
        <v>964</v>
      </c>
      <c r="D16" t="s">
        <v>720</v>
      </c>
      <c r="E16" t="s">
        <v>950</v>
      </c>
      <c r="F16" t="s">
        <v>953</v>
      </c>
      <c r="G16" t="s">
        <v>115</v>
      </c>
      <c r="H16" t="s">
        <v>726</v>
      </c>
      <c r="I16" t="s">
        <v>14</v>
      </c>
    </row>
    <row r="17" spans="1:11" x14ac:dyDescent="0.2">
      <c r="A17">
        <v>11</v>
      </c>
      <c r="B17" t="s">
        <v>965</v>
      </c>
      <c r="D17" t="s">
        <v>720</v>
      </c>
      <c r="E17" t="s">
        <v>950</v>
      </c>
      <c r="F17" t="s">
        <v>953</v>
      </c>
      <c r="G17" t="s">
        <v>240</v>
      </c>
      <c r="H17" t="s">
        <v>726</v>
      </c>
      <c r="I17" t="s">
        <v>14</v>
      </c>
      <c r="J17" t="s">
        <v>683</v>
      </c>
      <c r="K17">
        <v>4</v>
      </c>
    </row>
    <row r="18" spans="1:11" x14ac:dyDescent="0.2">
      <c r="A18">
        <v>11</v>
      </c>
      <c r="B18" t="s">
        <v>965</v>
      </c>
      <c r="D18" t="s">
        <v>720</v>
      </c>
      <c r="E18" t="s">
        <v>950</v>
      </c>
      <c r="F18" t="s">
        <v>953</v>
      </c>
      <c r="G18" t="s">
        <v>737</v>
      </c>
      <c r="H18" t="s">
        <v>726</v>
      </c>
      <c r="I18" t="s">
        <v>14</v>
      </c>
    </row>
    <row r="19" spans="1:11" x14ac:dyDescent="0.2">
      <c r="A19">
        <v>11</v>
      </c>
      <c r="B19" t="s">
        <v>965</v>
      </c>
      <c r="D19" t="s">
        <v>720</v>
      </c>
      <c r="E19" t="s">
        <v>959</v>
      </c>
      <c r="F19" t="s">
        <v>953</v>
      </c>
      <c r="G19" t="s">
        <v>240</v>
      </c>
      <c r="H19" t="s">
        <v>726</v>
      </c>
      <c r="I19" t="s">
        <v>14</v>
      </c>
    </row>
    <row r="20" spans="1:11" x14ac:dyDescent="0.2">
      <c r="A20">
        <v>11</v>
      </c>
      <c r="B20" t="s">
        <v>965</v>
      </c>
      <c r="D20" t="s">
        <v>720</v>
      </c>
      <c r="E20" t="s">
        <v>959</v>
      </c>
      <c r="F20" t="s">
        <v>953</v>
      </c>
      <c r="G20" t="s">
        <v>737</v>
      </c>
      <c r="H20" t="s">
        <v>726</v>
      </c>
      <c r="I20" t="s">
        <v>14</v>
      </c>
    </row>
    <row r="21" spans="1:11" x14ac:dyDescent="0.2">
      <c r="A21">
        <v>12</v>
      </c>
      <c r="B21" t="s">
        <v>966</v>
      </c>
      <c r="D21" t="s">
        <v>720</v>
      </c>
      <c r="E21" t="s">
        <v>950</v>
      </c>
      <c r="F21" t="s">
        <v>953</v>
      </c>
      <c r="G21" t="s">
        <v>240</v>
      </c>
      <c r="H21" t="s">
        <v>726</v>
      </c>
      <c r="I21" t="s">
        <v>14</v>
      </c>
      <c r="J21" t="s">
        <v>683</v>
      </c>
      <c r="K21">
        <v>1</v>
      </c>
    </row>
    <row r="22" spans="1:11" x14ac:dyDescent="0.2">
      <c r="A22">
        <v>12</v>
      </c>
      <c r="B22" t="s">
        <v>966</v>
      </c>
      <c r="D22" t="s">
        <v>720</v>
      </c>
      <c r="E22" t="s">
        <v>959</v>
      </c>
      <c r="F22" t="s">
        <v>953</v>
      </c>
      <c r="G22" t="s">
        <v>240</v>
      </c>
      <c r="H22" t="s">
        <v>726</v>
      </c>
      <c r="I22" t="s">
        <v>14</v>
      </c>
    </row>
    <row r="23" spans="1:11" x14ac:dyDescent="0.2">
      <c r="A23">
        <v>13</v>
      </c>
      <c r="B23" t="s">
        <v>967</v>
      </c>
      <c r="D23" t="s">
        <v>720</v>
      </c>
      <c r="E23" t="s">
        <v>959</v>
      </c>
      <c r="F23" t="s">
        <v>191</v>
      </c>
      <c r="G23" t="s">
        <v>738</v>
      </c>
      <c r="H23" t="s">
        <v>726</v>
      </c>
      <c r="I23" t="s">
        <v>34</v>
      </c>
      <c r="J23" t="s">
        <v>684</v>
      </c>
    </row>
    <row r="24" spans="1:11" x14ac:dyDescent="0.2">
      <c r="A24">
        <v>13</v>
      </c>
      <c r="B24" t="s">
        <v>967</v>
      </c>
      <c r="D24" t="s">
        <v>720</v>
      </c>
      <c r="E24" t="s">
        <v>950</v>
      </c>
      <c r="F24" t="s">
        <v>191</v>
      </c>
      <c r="G24" t="s">
        <v>738</v>
      </c>
      <c r="H24" t="s">
        <v>726</v>
      </c>
      <c r="I24" t="s">
        <v>34</v>
      </c>
    </row>
    <row r="25" spans="1:11" x14ac:dyDescent="0.2">
      <c r="A25">
        <v>14</v>
      </c>
      <c r="B25" t="s">
        <v>968</v>
      </c>
      <c r="D25" t="s">
        <v>720</v>
      </c>
      <c r="E25" t="s">
        <v>950</v>
      </c>
      <c r="F25" t="s">
        <v>191</v>
      </c>
      <c r="G25" t="s">
        <v>738</v>
      </c>
      <c r="H25" t="s">
        <v>726</v>
      </c>
      <c r="I25" t="s">
        <v>14</v>
      </c>
      <c r="J25" t="s">
        <v>683</v>
      </c>
      <c r="K25">
        <v>4</v>
      </c>
    </row>
    <row r="26" spans="1:11" x14ac:dyDescent="0.2">
      <c r="A26">
        <v>14</v>
      </c>
      <c r="B26" t="s">
        <v>968</v>
      </c>
      <c r="D26" t="s">
        <v>720</v>
      </c>
      <c r="E26" t="s">
        <v>959</v>
      </c>
      <c r="F26" t="s">
        <v>191</v>
      </c>
      <c r="G26" t="s">
        <v>738</v>
      </c>
      <c r="H26" t="s">
        <v>726</v>
      </c>
      <c r="I26" t="s">
        <v>14</v>
      </c>
    </row>
    <row r="27" spans="1:11" x14ac:dyDescent="0.2">
      <c r="A27">
        <v>15</v>
      </c>
      <c r="B27" t="s">
        <v>969</v>
      </c>
      <c r="D27" t="s">
        <v>720</v>
      </c>
      <c r="E27" t="s">
        <v>950</v>
      </c>
      <c r="F27" s="1" t="s">
        <v>797</v>
      </c>
      <c r="G27" t="s">
        <v>739</v>
      </c>
      <c r="H27" t="s">
        <v>726</v>
      </c>
      <c r="I27" t="s">
        <v>2</v>
      </c>
      <c r="J27" t="s">
        <v>684</v>
      </c>
    </row>
    <row r="28" spans="1:11" x14ac:dyDescent="0.2">
      <c r="A28">
        <v>15</v>
      </c>
      <c r="B28" t="s">
        <v>969</v>
      </c>
      <c r="D28" t="s">
        <v>720</v>
      </c>
      <c r="E28" t="s">
        <v>959</v>
      </c>
      <c r="F28" s="1" t="s">
        <v>797</v>
      </c>
      <c r="G28" t="s">
        <v>739</v>
      </c>
      <c r="H28" t="s">
        <v>726</v>
      </c>
      <c r="I28" t="s">
        <v>2</v>
      </c>
    </row>
    <row r="29" spans="1:11" x14ac:dyDescent="0.2">
      <c r="A29">
        <v>16</v>
      </c>
      <c r="B29" t="s">
        <v>903</v>
      </c>
      <c r="D29" t="s">
        <v>720</v>
      </c>
      <c r="E29" t="s">
        <v>950</v>
      </c>
      <c r="F29" t="s">
        <v>27</v>
      </c>
      <c r="G29" t="s">
        <v>27</v>
      </c>
      <c r="H29" t="s">
        <v>732</v>
      </c>
      <c r="I29" t="s">
        <v>2</v>
      </c>
      <c r="J29" t="s">
        <v>683</v>
      </c>
      <c r="K29">
        <v>8</v>
      </c>
    </row>
    <row r="30" spans="1:11" x14ac:dyDescent="0.2">
      <c r="A30">
        <v>16</v>
      </c>
      <c r="B30" t="s">
        <v>903</v>
      </c>
      <c r="D30" t="s">
        <v>720</v>
      </c>
      <c r="E30" t="s">
        <v>959</v>
      </c>
      <c r="F30" t="s">
        <v>27</v>
      </c>
      <c r="G30" t="s">
        <v>27</v>
      </c>
      <c r="H30" t="s">
        <v>732</v>
      </c>
      <c r="I30" t="s">
        <v>2</v>
      </c>
    </row>
    <row r="31" spans="1:11" x14ac:dyDescent="0.2">
      <c r="A31">
        <v>17</v>
      </c>
      <c r="B31" t="s">
        <v>970</v>
      </c>
      <c r="C31" t="s">
        <v>851</v>
      </c>
      <c r="D31" t="s">
        <v>720</v>
      </c>
      <c r="E31" t="s">
        <v>959</v>
      </c>
      <c r="F31" t="s">
        <v>797</v>
      </c>
      <c r="G31" t="s">
        <v>160</v>
      </c>
      <c r="H31" t="s">
        <v>726</v>
      </c>
      <c r="I31" t="s">
        <v>14</v>
      </c>
      <c r="J31" t="s">
        <v>684</v>
      </c>
    </row>
    <row r="32" spans="1:11" x14ac:dyDescent="0.2">
      <c r="A32">
        <v>18</v>
      </c>
      <c r="B32" t="s">
        <v>970</v>
      </c>
      <c r="C32" t="s">
        <v>852</v>
      </c>
      <c r="D32" t="s">
        <v>720</v>
      </c>
      <c r="E32" t="s">
        <v>959</v>
      </c>
      <c r="F32" t="s">
        <v>953</v>
      </c>
      <c r="G32" t="s">
        <v>115</v>
      </c>
      <c r="H32" t="s">
        <v>726</v>
      </c>
      <c r="I32" t="s">
        <v>14</v>
      </c>
      <c r="J32" t="s">
        <v>684</v>
      </c>
    </row>
    <row r="33" spans="1:11" x14ac:dyDescent="0.2">
      <c r="A33">
        <v>19</v>
      </c>
      <c r="B33" t="s">
        <v>970</v>
      </c>
      <c r="C33" t="s">
        <v>853</v>
      </c>
      <c r="D33" t="s">
        <v>720</v>
      </c>
      <c r="E33" t="s">
        <v>959</v>
      </c>
      <c r="F33" t="s">
        <v>797</v>
      </c>
      <c r="G33" t="s">
        <v>160</v>
      </c>
      <c r="H33" t="s">
        <v>726</v>
      </c>
      <c r="I33" t="s">
        <v>14</v>
      </c>
      <c r="J33" t="s">
        <v>684</v>
      </c>
    </row>
    <row r="34" spans="1:11" x14ac:dyDescent="0.2">
      <c r="A34">
        <v>20</v>
      </c>
      <c r="B34" t="s">
        <v>970</v>
      </c>
      <c r="C34" t="s">
        <v>854</v>
      </c>
      <c r="D34" t="s">
        <v>720</v>
      </c>
      <c r="E34" t="s">
        <v>959</v>
      </c>
      <c r="F34" t="s">
        <v>797</v>
      </c>
      <c r="G34" t="s">
        <v>740</v>
      </c>
      <c r="H34" t="s">
        <v>726</v>
      </c>
      <c r="I34" t="s">
        <v>14</v>
      </c>
      <c r="J34" t="s">
        <v>684</v>
      </c>
    </row>
    <row r="35" spans="1:11" x14ac:dyDescent="0.2">
      <c r="A35">
        <v>21</v>
      </c>
      <c r="B35" t="s">
        <v>970</v>
      </c>
      <c r="C35" t="s">
        <v>855</v>
      </c>
      <c r="D35" t="s">
        <v>720</v>
      </c>
      <c r="E35" t="s">
        <v>959</v>
      </c>
      <c r="F35" t="s">
        <v>953</v>
      </c>
      <c r="G35" t="s">
        <v>115</v>
      </c>
      <c r="H35" t="s">
        <v>726</v>
      </c>
      <c r="I35" t="s">
        <v>14</v>
      </c>
      <c r="J35" t="s">
        <v>684</v>
      </c>
    </row>
    <row r="36" spans="1:11" x14ac:dyDescent="0.2">
      <c r="A36">
        <v>22</v>
      </c>
      <c r="B36" t="s">
        <v>905</v>
      </c>
      <c r="D36" t="s">
        <v>720</v>
      </c>
      <c r="E36" t="s">
        <v>959</v>
      </c>
      <c r="F36" t="s">
        <v>953</v>
      </c>
      <c r="G36" t="s">
        <v>115</v>
      </c>
      <c r="H36" t="s">
        <v>726</v>
      </c>
      <c r="I36" t="s">
        <v>2</v>
      </c>
      <c r="J36" t="s">
        <v>683</v>
      </c>
      <c r="K36">
        <v>5</v>
      </c>
    </row>
    <row r="37" spans="1:11" x14ac:dyDescent="0.2">
      <c r="A37">
        <v>23</v>
      </c>
      <c r="B37" t="s">
        <v>971</v>
      </c>
      <c r="D37" t="s">
        <v>720</v>
      </c>
      <c r="E37" t="s">
        <v>959</v>
      </c>
      <c r="F37" t="s">
        <v>953</v>
      </c>
      <c r="G37" t="s">
        <v>115</v>
      </c>
      <c r="H37" t="s">
        <v>726</v>
      </c>
      <c r="I37" t="s">
        <v>14</v>
      </c>
      <c r="J37" t="s">
        <v>683</v>
      </c>
      <c r="K37">
        <v>2</v>
      </c>
    </row>
    <row r="38" spans="1:11" x14ac:dyDescent="0.2">
      <c r="A38">
        <v>24</v>
      </c>
      <c r="B38" t="s">
        <v>907</v>
      </c>
      <c r="D38" t="s">
        <v>720</v>
      </c>
      <c r="E38" t="s">
        <v>959</v>
      </c>
      <c r="F38" t="s">
        <v>953</v>
      </c>
      <c r="G38" t="s">
        <v>240</v>
      </c>
      <c r="H38" t="s">
        <v>726</v>
      </c>
      <c r="I38" t="s">
        <v>14</v>
      </c>
      <c r="J38" t="s">
        <v>683</v>
      </c>
      <c r="K38">
        <v>12</v>
      </c>
    </row>
    <row r="39" spans="1:11" x14ac:dyDescent="0.2">
      <c r="A39">
        <v>24</v>
      </c>
      <c r="B39" t="s">
        <v>907</v>
      </c>
      <c r="D39" t="s">
        <v>720</v>
      </c>
      <c r="E39" t="s">
        <v>959</v>
      </c>
      <c r="F39" t="s">
        <v>953</v>
      </c>
      <c r="G39" t="s">
        <v>115</v>
      </c>
      <c r="H39" t="s">
        <v>726</v>
      </c>
      <c r="I39" t="s">
        <v>14</v>
      </c>
    </row>
    <row r="40" spans="1:11" x14ac:dyDescent="0.2">
      <c r="A40">
        <v>25</v>
      </c>
      <c r="B40" t="s">
        <v>972</v>
      </c>
      <c r="D40" t="s">
        <v>720</v>
      </c>
      <c r="E40" t="s">
        <v>959</v>
      </c>
      <c r="F40" t="s">
        <v>953</v>
      </c>
      <c r="G40" t="s">
        <v>115</v>
      </c>
      <c r="H40" t="s">
        <v>726</v>
      </c>
      <c r="I40" t="s">
        <v>14</v>
      </c>
      <c r="J40" t="s">
        <v>683</v>
      </c>
      <c r="K40">
        <v>2</v>
      </c>
    </row>
    <row r="41" spans="1:11" x14ac:dyDescent="0.2">
      <c r="A41">
        <v>26</v>
      </c>
      <c r="B41" t="s">
        <v>973</v>
      </c>
      <c r="D41" t="s">
        <v>720</v>
      </c>
      <c r="E41" t="s">
        <v>959</v>
      </c>
      <c r="F41" t="s">
        <v>962</v>
      </c>
      <c r="G41" t="s">
        <v>736</v>
      </c>
      <c r="H41" t="s">
        <v>726</v>
      </c>
      <c r="I41" t="s">
        <v>14</v>
      </c>
      <c r="J41" t="s">
        <v>683</v>
      </c>
      <c r="K41">
        <v>4</v>
      </c>
    </row>
    <row r="42" spans="1:11" x14ac:dyDescent="0.2">
      <c r="A42">
        <v>27</v>
      </c>
      <c r="B42" t="s">
        <v>974</v>
      </c>
      <c r="D42" t="s">
        <v>720</v>
      </c>
      <c r="E42" t="s">
        <v>959</v>
      </c>
      <c r="F42" t="s">
        <v>191</v>
      </c>
      <c r="G42" t="s">
        <v>738</v>
      </c>
      <c r="H42" t="s">
        <v>726</v>
      </c>
      <c r="I42" t="s">
        <v>2</v>
      </c>
      <c r="J42" t="s">
        <v>683</v>
      </c>
      <c r="K42">
        <v>11</v>
      </c>
    </row>
    <row r="43" spans="1:11" x14ac:dyDescent="0.2">
      <c r="A43">
        <v>27</v>
      </c>
      <c r="B43" t="s">
        <v>974</v>
      </c>
      <c r="D43" t="s">
        <v>720</v>
      </c>
      <c r="E43" t="s">
        <v>959</v>
      </c>
      <c r="F43" t="s">
        <v>953</v>
      </c>
      <c r="G43" t="s">
        <v>240</v>
      </c>
      <c r="H43" t="s">
        <v>726</v>
      </c>
      <c r="I43" t="s">
        <v>2</v>
      </c>
    </row>
    <row r="44" spans="1:11" x14ac:dyDescent="0.2">
      <c r="A44">
        <v>28</v>
      </c>
      <c r="B44" t="s">
        <v>911</v>
      </c>
      <c r="D44" t="s">
        <v>720</v>
      </c>
      <c r="E44" t="s">
        <v>959</v>
      </c>
      <c r="F44" s="1" t="s">
        <v>797</v>
      </c>
      <c r="G44" t="s">
        <v>739</v>
      </c>
      <c r="H44" t="s">
        <v>726</v>
      </c>
      <c r="I44" t="s">
        <v>2</v>
      </c>
      <c r="J44" t="s">
        <v>683</v>
      </c>
      <c r="K44">
        <v>8</v>
      </c>
    </row>
    <row r="45" spans="1:11" x14ac:dyDescent="0.2">
      <c r="A45">
        <v>29</v>
      </c>
      <c r="B45" t="s">
        <v>975</v>
      </c>
      <c r="D45" t="s">
        <v>720</v>
      </c>
      <c r="E45" t="s">
        <v>959</v>
      </c>
      <c r="F45" t="s">
        <v>191</v>
      </c>
      <c r="G45" t="s">
        <v>738</v>
      </c>
      <c r="H45" t="s">
        <v>726</v>
      </c>
      <c r="I45" t="s">
        <v>34</v>
      </c>
      <c r="J45" t="s">
        <v>683</v>
      </c>
      <c r="K45">
        <v>11</v>
      </c>
    </row>
    <row r="46" spans="1:11" x14ac:dyDescent="0.2">
      <c r="A46">
        <v>30</v>
      </c>
      <c r="B46" t="s">
        <v>913</v>
      </c>
      <c r="D46" t="s">
        <v>952</v>
      </c>
      <c r="E46" t="s">
        <v>959</v>
      </c>
      <c r="F46" t="s">
        <v>962</v>
      </c>
      <c r="G46" t="s">
        <v>735</v>
      </c>
      <c r="H46" t="s">
        <v>726</v>
      </c>
      <c r="I46" t="s">
        <v>14</v>
      </c>
      <c r="J46" t="s">
        <v>683</v>
      </c>
      <c r="K46">
        <v>4</v>
      </c>
    </row>
    <row r="47" spans="1:11" x14ac:dyDescent="0.2">
      <c r="A47">
        <v>31</v>
      </c>
      <c r="B47" t="s">
        <v>976</v>
      </c>
      <c r="D47" t="s">
        <v>720</v>
      </c>
      <c r="E47" t="s">
        <v>959</v>
      </c>
      <c r="F47" t="s">
        <v>953</v>
      </c>
      <c r="G47" t="s">
        <v>240</v>
      </c>
      <c r="H47" t="s">
        <v>726</v>
      </c>
      <c r="I47" t="s">
        <v>14</v>
      </c>
      <c r="J47" t="s">
        <v>683</v>
      </c>
      <c r="K47">
        <v>5</v>
      </c>
    </row>
    <row r="48" spans="1:11" x14ac:dyDescent="0.2">
      <c r="A48">
        <v>32</v>
      </c>
      <c r="B48" t="s">
        <v>977</v>
      </c>
      <c r="D48" t="s">
        <v>720</v>
      </c>
      <c r="E48" t="s">
        <v>959</v>
      </c>
      <c r="F48" t="s">
        <v>978</v>
      </c>
      <c r="G48" t="s">
        <v>407</v>
      </c>
      <c r="H48" t="s">
        <v>678</v>
      </c>
      <c r="I48" t="s">
        <v>14</v>
      </c>
      <c r="J48" t="s">
        <v>684</v>
      </c>
      <c r="K48">
        <v>2</v>
      </c>
    </row>
    <row r="49" spans="1:11" x14ac:dyDescent="0.2">
      <c r="A49">
        <v>33</v>
      </c>
      <c r="B49" t="s">
        <v>979</v>
      </c>
      <c r="D49" t="s">
        <v>720</v>
      </c>
      <c r="E49" t="s">
        <v>959</v>
      </c>
      <c r="F49" t="s">
        <v>978</v>
      </c>
      <c r="G49" t="s">
        <v>407</v>
      </c>
      <c r="H49" t="s">
        <v>678</v>
      </c>
      <c r="I49" t="s">
        <v>2</v>
      </c>
      <c r="J49" t="s">
        <v>684</v>
      </c>
      <c r="K49">
        <v>4</v>
      </c>
    </row>
    <row r="50" spans="1:11" x14ac:dyDescent="0.2">
      <c r="A50">
        <v>34</v>
      </c>
      <c r="B50" t="s">
        <v>980</v>
      </c>
      <c r="D50" t="s">
        <v>720</v>
      </c>
      <c r="E50" t="s">
        <v>959</v>
      </c>
      <c r="F50" t="s">
        <v>191</v>
      </c>
      <c r="G50" t="s">
        <v>738</v>
      </c>
      <c r="H50" t="s">
        <v>726</v>
      </c>
      <c r="I50" t="s">
        <v>34</v>
      </c>
      <c r="J50" t="s">
        <v>683</v>
      </c>
      <c r="K50">
        <v>1</v>
      </c>
    </row>
    <row r="51" spans="1:11" x14ac:dyDescent="0.2">
      <c r="A51">
        <v>35</v>
      </c>
      <c r="B51" t="s">
        <v>981</v>
      </c>
      <c r="D51" t="s">
        <v>720</v>
      </c>
      <c r="E51" t="s">
        <v>959</v>
      </c>
      <c r="F51" s="1" t="s">
        <v>797</v>
      </c>
      <c r="G51" t="s">
        <v>739</v>
      </c>
      <c r="H51" t="s">
        <v>726</v>
      </c>
      <c r="I51" t="s">
        <v>14</v>
      </c>
      <c r="J51" t="s">
        <v>683</v>
      </c>
      <c r="K51">
        <v>9</v>
      </c>
    </row>
    <row r="52" spans="1:11" x14ac:dyDescent="0.2">
      <c r="A52">
        <v>36</v>
      </c>
      <c r="B52" t="s">
        <v>982</v>
      </c>
      <c r="D52" t="s">
        <v>720</v>
      </c>
      <c r="E52" t="s">
        <v>959</v>
      </c>
      <c r="F52" t="s">
        <v>797</v>
      </c>
      <c r="G52" t="s">
        <v>725</v>
      </c>
      <c r="H52" t="s">
        <v>726</v>
      </c>
      <c r="I52" t="s">
        <v>2</v>
      </c>
      <c r="J52" t="s">
        <v>684</v>
      </c>
      <c r="K52">
        <v>6</v>
      </c>
    </row>
    <row r="53" spans="1:11" x14ac:dyDescent="0.2">
      <c r="A53">
        <v>37</v>
      </c>
      <c r="B53" t="s">
        <v>919</v>
      </c>
      <c r="D53" t="s">
        <v>720</v>
      </c>
      <c r="E53" t="s">
        <v>959</v>
      </c>
      <c r="F53" t="s">
        <v>953</v>
      </c>
      <c r="G53" t="s">
        <v>115</v>
      </c>
      <c r="H53" t="s">
        <v>726</v>
      </c>
      <c r="I53" t="s">
        <v>34</v>
      </c>
      <c r="J53" t="s">
        <v>684</v>
      </c>
    </row>
    <row r="54" spans="1:11" x14ac:dyDescent="0.2">
      <c r="A54">
        <v>38</v>
      </c>
      <c r="B54" t="s">
        <v>920</v>
      </c>
      <c r="D54" t="s">
        <v>720</v>
      </c>
      <c r="E54" t="s">
        <v>959</v>
      </c>
      <c r="F54" t="s">
        <v>962</v>
      </c>
      <c r="G54" t="s">
        <v>735</v>
      </c>
      <c r="H54" t="s">
        <v>726</v>
      </c>
      <c r="I54" t="s">
        <v>2</v>
      </c>
      <c r="J54" t="s">
        <v>684</v>
      </c>
      <c r="K54">
        <v>11</v>
      </c>
    </row>
    <row r="55" spans="1:11" x14ac:dyDescent="0.2">
      <c r="A55">
        <v>39</v>
      </c>
      <c r="B55" t="s">
        <v>921</v>
      </c>
      <c r="D55" t="s">
        <v>952</v>
      </c>
      <c r="E55" t="s">
        <v>950</v>
      </c>
      <c r="F55" t="s">
        <v>27</v>
      </c>
      <c r="G55" t="s">
        <v>27</v>
      </c>
      <c r="H55" t="s">
        <v>732</v>
      </c>
      <c r="I55" t="s">
        <v>34</v>
      </c>
      <c r="J55" t="s">
        <v>683</v>
      </c>
      <c r="K55">
        <v>2</v>
      </c>
    </row>
    <row r="56" spans="1:11" x14ac:dyDescent="0.2">
      <c r="A56">
        <v>40</v>
      </c>
      <c r="B56" t="s">
        <v>983</v>
      </c>
      <c r="D56" t="s">
        <v>720</v>
      </c>
      <c r="E56" t="s">
        <v>950</v>
      </c>
      <c r="F56" t="s">
        <v>27</v>
      </c>
      <c r="G56" t="s">
        <v>27</v>
      </c>
      <c r="H56" t="s">
        <v>732</v>
      </c>
      <c r="I56" t="s">
        <v>2</v>
      </c>
      <c r="J56" t="s">
        <v>683</v>
      </c>
      <c r="K56">
        <v>11</v>
      </c>
    </row>
    <row r="57" spans="1:11" x14ac:dyDescent="0.2">
      <c r="A57">
        <v>41</v>
      </c>
      <c r="B57" t="s">
        <v>984</v>
      </c>
      <c r="D57" t="s">
        <v>720</v>
      </c>
      <c r="E57" t="s">
        <v>950</v>
      </c>
      <c r="F57" t="s">
        <v>27</v>
      </c>
      <c r="G57" t="s">
        <v>27</v>
      </c>
      <c r="H57" t="s">
        <v>732</v>
      </c>
      <c r="I57" t="s">
        <v>2</v>
      </c>
      <c r="J57" t="s">
        <v>683</v>
      </c>
      <c r="K57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61AD-98D7-8744-8906-C170E778DFF9}">
  <dimension ref="A1:BK187"/>
  <sheetViews>
    <sheetView workbookViewId="0">
      <pane ySplit="1" topLeftCell="A63" activePane="bottomLeft" state="frozen"/>
      <selection pane="bottomLeft" activeCell="E8" sqref="E8"/>
    </sheetView>
  </sheetViews>
  <sheetFormatPr baseColWidth="10" defaultRowHeight="16" x14ac:dyDescent="0.2"/>
  <cols>
    <col min="1" max="2" width="12.6640625" customWidth="1"/>
    <col min="3" max="3" width="14.5" customWidth="1"/>
    <col min="4" max="5" width="19" customWidth="1"/>
    <col min="6" max="6" width="20" customWidth="1"/>
    <col min="7" max="7" width="23.1640625" customWidth="1"/>
    <col min="8" max="8" width="20.5" customWidth="1"/>
    <col min="9" max="9" width="25.6640625" customWidth="1"/>
    <col min="10" max="10" width="23.83203125" customWidth="1"/>
    <col min="11" max="11" width="42.6640625" customWidth="1"/>
    <col min="12" max="13" width="17.83203125" customWidth="1"/>
    <col min="14" max="14" width="17.6640625" customWidth="1"/>
    <col min="15" max="15" width="22.1640625" customWidth="1"/>
    <col min="16" max="16" width="25.5" customWidth="1"/>
    <col min="17" max="17" width="17.83203125" customWidth="1"/>
    <col min="18" max="20" width="23.6640625" customWidth="1"/>
    <col min="21" max="21" width="28.1640625" customWidth="1"/>
    <col min="22" max="22" width="19.1640625" customWidth="1"/>
    <col min="23" max="23" width="27.33203125" customWidth="1"/>
    <col min="24" max="24" width="17.83203125" customWidth="1"/>
    <col min="25" max="25" width="15.1640625" customWidth="1"/>
    <col min="26" max="26" width="16.83203125" customWidth="1"/>
    <col min="27" max="27" width="21.5" customWidth="1"/>
    <col min="28" max="28" width="13.33203125" customWidth="1"/>
    <col min="29" max="29" width="15.6640625" customWidth="1"/>
    <col min="30" max="30" width="15.5" customWidth="1"/>
    <col min="31" max="31" width="18.5" customWidth="1"/>
    <col min="32" max="32" width="22.33203125" customWidth="1"/>
    <col min="33" max="33" width="13.5" customWidth="1"/>
    <col min="34" max="34" width="16.1640625" customWidth="1"/>
    <col min="35" max="35" width="15.1640625" customWidth="1"/>
    <col min="36" max="36" width="19" customWidth="1"/>
    <col min="37" max="37" width="20.5" customWidth="1"/>
    <col min="39" max="39" width="21" customWidth="1"/>
    <col min="40" max="40" width="16.1640625" customWidth="1"/>
    <col min="41" max="41" width="17.5" customWidth="1"/>
    <col min="42" max="42" width="21.33203125" customWidth="1"/>
    <col min="43" max="43" width="13.83203125" customWidth="1"/>
    <col min="44" max="44" width="19.33203125" customWidth="1"/>
    <col min="45" max="45" width="28.6640625" customWidth="1"/>
    <col min="46" max="48" width="33.1640625" customWidth="1"/>
    <col min="49" max="49" width="21.1640625" customWidth="1"/>
    <col min="50" max="50" width="29.33203125" customWidth="1"/>
    <col min="51" max="51" width="26.5" customWidth="1"/>
    <col min="52" max="54" width="30.1640625" customWidth="1"/>
    <col min="55" max="55" width="20.83203125" customWidth="1"/>
    <col min="56" max="56" width="26.83203125" customWidth="1"/>
    <col min="58" max="58" width="12.5" customWidth="1"/>
    <col min="60" max="60" width="18.83203125" customWidth="1"/>
    <col min="61" max="61" width="16" customWidth="1"/>
    <col min="62" max="62" width="12.5" customWidth="1"/>
    <col min="63" max="63" width="22" customWidth="1"/>
  </cols>
  <sheetData>
    <row r="1" spans="1:63" ht="34" x14ac:dyDescent="0.2">
      <c r="A1" t="s">
        <v>409</v>
      </c>
      <c r="B1" t="s">
        <v>299</v>
      </c>
      <c r="C1" t="s">
        <v>816</v>
      </c>
      <c r="E1" t="s">
        <v>3</v>
      </c>
      <c r="F1" t="s">
        <v>4</v>
      </c>
      <c r="G1" t="s">
        <v>6</v>
      </c>
      <c r="H1" t="s">
        <v>5</v>
      </c>
      <c r="I1" t="s">
        <v>37</v>
      </c>
      <c r="J1" t="s">
        <v>38</v>
      </c>
      <c r="K1" t="s">
        <v>148</v>
      </c>
      <c r="L1" t="s">
        <v>117</v>
      </c>
      <c r="N1" s="14" t="s">
        <v>311</v>
      </c>
      <c r="O1" s="14" t="s">
        <v>314</v>
      </c>
      <c r="P1" s="14" t="s">
        <v>315</v>
      </c>
      <c r="Q1" s="14" t="s">
        <v>312</v>
      </c>
      <c r="R1" s="14" t="s">
        <v>313</v>
      </c>
      <c r="S1" s="15" t="s">
        <v>308</v>
      </c>
      <c r="T1" s="15" t="s">
        <v>317</v>
      </c>
      <c r="U1" s="15" t="s">
        <v>318</v>
      </c>
      <c r="V1" s="15" t="s">
        <v>309</v>
      </c>
      <c r="W1" s="15" t="s">
        <v>310</v>
      </c>
      <c r="Y1" s="11" t="s">
        <v>271</v>
      </c>
      <c r="Z1" s="11" t="s">
        <v>272</v>
      </c>
      <c r="AA1" s="11" t="s">
        <v>273</v>
      </c>
      <c r="AB1" s="10" t="s">
        <v>274</v>
      </c>
      <c r="AC1" s="10" t="s">
        <v>270</v>
      </c>
      <c r="AD1" s="13" t="s">
        <v>280</v>
      </c>
      <c r="AE1" s="13" t="s">
        <v>281</v>
      </c>
      <c r="AF1" s="13" t="s">
        <v>282</v>
      </c>
      <c r="AG1" s="12" t="s">
        <v>283</v>
      </c>
      <c r="AH1" s="12" t="s">
        <v>279</v>
      </c>
      <c r="AI1" s="6" t="s">
        <v>266</v>
      </c>
      <c r="AJ1" s="6" t="s">
        <v>268</v>
      </c>
      <c r="AK1" s="6" t="s">
        <v>269</v>
      </c>
      <c r="AL1" s="7" t="s">
        <v>267</v>
      </c>
      <c r="AM1" s="7" t="s">
        <v>320</v>
      </c>
      <c r="AN1" s="8" t="s">
        <v>275</v>
      </c>
      <c r="AO1" s="8" t="s">
        <v>276</v>
      </c>
      <c r="AP1" s="8" t="s">
        <v>277</v>
      </c>
      <c r="AQ1" s="9" t="s">
        <v>278</v>
      </c>
      <c r="AR1" s="9" t="s">
        <v>321</v>
      </c>
      <c r="AS1" s="6" t="s">
        <v>284</v>
      </c>
      <c r="AT1" s="7" t="s">
        <v>285</v>
      </c>
      <c r="AU1" s="7" t="s">
        <v>364</v>
      </c>
      <c r="AV1" s="7" t="s">
        <v>365</v>
      </c>
      <c r="AW1" s="7" t="s">
        <v>286</v>
      </c>
      <c r="AX1" s="7" t="s">
        <v>287</v>
      </c>
      <c r="AY1" s="11" t="s">
        <v>288</v>
      </c>
      <c r="AZ1" s="10" t="s">
        <v>289</v>
      </c>
      <c r="BA1" s="10" t="s">
        <v>366</v>
      </c>
      <c r="BB1" s="10" t="s">
        <v>363</v>
      </c>
      <c r="BC1" s="10" t="s">
        <v>290</v>
      </c>
      <c r="BD1" s="10" t="s">
        <v>291</v>
      </c>
      <c r="BF1" s="16" t="s">
        <v>295</v>
      </c>
      <c r="BG1" s="16" t="s">
        <v>296</v>
      </c>
      <c r="BH1" s="16" t="s">
        <v>297</v>
      </c>
      <c r="BI1" s="16" t="s">
        <v>292</v>
      </c>
      <c r="BJ1" s="16" t="s">
        <v>293</v>
      </c>
      <c r="BK1" s="16" t="s">
        <v>294</v>
      </c>
    </row>
    <row r="2" spans="1:63" x14ac:dyDescent="0.2">
      <c r="A2" s="3">
        <v>1</v>
      </c>
      <c r="B2" t="s">
        <v>360</v>
      </c>
      <c r="C2">
        <v>2017</v>
      </c>
      <c r="E2" t="s">
        <v>483</v>
      </c>
      <c r="F2" t="s">
        <v>484</v>
      </c>
      <c r="K2" t="s">
        <v>580</v>
      </c>
      <c r="N2">
        <v>1.51</v>
      </c>
      <c r="O2">
        <v>2.44</v>
      </c>
      <c r="P2" t="s">
        <v>322</v>
      </c>
      <c r="Q2">
        <f t="shared" ref="Q2:Q7" si="0">O2</f>
        <v>2.44</v>
      </c>
      <c r="R2">
        <v>3</v>
      </c>
      <c r="S2">
        <v>4.18</v>
      </c>
      <c r="T2">
        <v>2.1800000000000002</v>
      </c>
      <c r="U2" t="s">
        <v>322</v>
      </c>
      <c r="V2">
        <f>T2</f>
        <v>2.1800000000000002</v>
      </c>
      <c r="W2">
        <v>3</v>
      </c>
      <c r="Y2" t="s">
        <v>319</v>
      </c>
      <c r="Z2" t="s">
        <v>319</v>
      </c>
      <c r="AA2" t="s">
        <v>319</v>
      </c>
      <c r="AB2" t="s">
        <v>319</v>
      </c>
      <c r="AC2" t="s">
        <v>319</v>
      </c>
      <c r="AD2" t="s">
        <v>319</v>
      </c>
      <c r="AE2" t="s">
        <v>319</v>
      </c>
      <c r="AF2" t="s">
        <v>319</v>
      </c>
      <c r="AG2" t="s">
        <v>319</v>
      </c>
      <c r="AH2" t="s">
        <v>319</v>
      </c>
      <c r="AI2" t="s">
        <v>319</v>
      </c>
      <c r="AJ2" t="s">
        <v>319</v>
      </c>
      <c r="AK2" t="s">
        <v>319</v>
      </c>
      <c r="AL2" t="s">
        <v>319</v>
      </c>
      <c r="AM2" t="s">
        <v>319</v>
      </c>
      <c r="AN2" t="s">
        <v>319</v>
      </c>
      <c r="AO2" t="s">
        <v>319</v>
      </c>
      <c r="AP2" t="s">
        <v>319</v>
      </c>
      <c r="AQ2" t="s">
        <v>319</v>
      </c>
      <c r="AR2" t="s">
        <v>319</v>
      </c>
      <c r="AS2" t="s">
        <v>319</v>
      </c>
      <c r="AT2" t="s">
        <v>319</v>
      </c>
      <c r="AU2" t="s">
        <v>319</v>
      </c>
      <c r="AV2" t="s">
        <v>319</v>
      </c>
      <c r="AW2" t="s">
        <v>319</v>
      </c>
      <c r="AX2" t="s">
        <v>319</v>
      </c>
      <c r="AY2" t="s">
        <v>319</v>
      </c>
      <c r="AZ2" t="s">
        <v>319</v>
      </c>
      <c r="BA2" t="s">
        <v>319</v>
      </c>
      <c r="BB2" t="s">
        <v>319</v>
      </c>
      <c r="BC2" t="s">
        <v>319</v>
      </c>
      <c r="BD2" t="s">
        <v>319</v>
      </c>
      <c r="BF2">
        <f t="shared" ref="BF2:BF11" si="1">N2</f>
        <v>1.51</v>
      </c>
      <c r="BG2">
        <f t="shared" ref="BG2:BG11" si="2">Q2</f>
        <v>2.44</v>
      </c>
      <c r="BH2">
        <f t="shared" ref="BH2:BH11" si="3">R2</f>
        <v>3</v>
      </c>
      <c r="BI2">
        <f t="shared" ref="BI2:BI11" si="4">S2</f>
        <v>4.18</v>
      </c>
      <c r="BJ2">
        <f t="shared" ref="BJ2:BJ11" si="5">V2</f>
        <v>2.1800000000000002</v>
      </c>
      <c r="BK2">
        <f t="shared" ref="BK2:BK11" si="6">W2</f>
        <v>3</v>
      </c>
    </row>
    <row r="3" spans="1:63" x14ac:dyDescent="0.2">
      <c r="A3" s="3">
        <v>1</v>
      </c>
      <c r="E3" t="s">
        <v>420</v>
      </c>
      <c r="F3" t="s">
        <v>485</v>
      </c>
      <c r="K3" t="s">
        <v>581</v>
      </c>
      <c r="N3">
        <v>0</v>
      </c>
      <c r="O3">
        <v>0</v>
      </c>
      <c r="P3" t="s">
        <v>322</v>
      </c>
      <c r="Q3">
        <f t="shared" si="0"/>
        <v>0</v>
      </c>
      <c r="R3">
        <v>2</v>
      </c>
      <c r="S3">
        <v>73.88</v>
      </c>
      <c r="T3">
        <v>80.430000000000007</v>
      </c>
      <c r="U3" t="s">
        <v>322</v>
      </c>
      <c r="V3">
        <f t="shared" ref="V3:V4" si="7">T3</f>
        <v>80.430000000000007</v>
      </c>
      <c r="W3">
        <v>2</v>
      </c>
      <c r="Y3" t="s">
        <v>319</v>
      </c>
      <c r="Z3" t="s">
        <v>319</v>
      </c>
      <c r="AA3" t="s">
        <v>319</v>
      </c>
      <c r="AB3" t="s">
        <v>319</v>
      </c>
      <c r="AC3" t="s">
        <v>319</v>
      </c>
      <c r="AD3" t="s">
        <v>319</v>
      </c>
      <c r="AE3" t="s">
        <v>319</v>
      </c>
      <c r="AF3" t="s">
        <v>319</v>
      </c>
      <c r="AG3" t="s">
        <v>319</v>
      </c>
      <c r="AH3" t="s">
        <v>319</v>
      </c>
      <c r="AI3" t="s">
        <v>319</v>
      </c>
      <c r="AJ3" t="s">
        <v>319</v>
      </c>
      <c r="AK3" t="s">
        <v>319</v>
      </c>
      <c r="AL3" t="s">
        <v>319</v>
      </c>
      <c r="AM3" t="s">
        <v>319</v>
      </c>
      <c r="AN3" t="s">
        <v>319</v>
      </c>
      <c r="AO3" t="s">
        <v>319</v>
      </c>
      <c r="AP3" t="s">
        <v>319</v>
      </c>
      <c r="AQ3" t="s">
        <v>319</v>
      </c>
      <c r="AR3" t="s">
        <v>319</v>
      </c>
      <c r="AS3" t="s">
        <v>319</v>
      </c>
      <c r="AT3" t="s">
        <v>319</v>
      </c>
      <c r="AU3" t="s">
        <v>319</v>
      </c>
      <c r="AV3" t="s">
        <v>319</v>
      </c>
      <c r="AW3" t="s">
        <v>319</v>
      </c>
      <c r="AX3" t="s">
        <v>319</v>
      </c>
      <c r="AY3" t="s">
        <v>319</v>
      </c>
      <c r="AZ3" t="s">
        <v>319</v>
      </c>
      <c r="BA3" t="s">
        <v>319</v>
      </c>
      <c r="BB3" t="s">
        <v>319</v>
      </c>
      <c r="BC3" t="s">
        <v>319</v>
      </c>
      <c r="BD3" t="s">
        <v>319</v>
      </c>
      <c r="BF3">
        <f t="shared" si="1"/>
        <v>0</v>
      </c>
      <c r="BG3">
        <f t="shared" si="2"/>
        <v>0</v>
      </c>
      <c r="BH3">
        <f t="shared" si="3"/>
        <v>2</v>
      </c>
      <c r="BI3">
        <f t="shared" si="4"/>
        <v>73.88</v>
      </c>
      <c r="BJ3">
        <f t="shared" si="5"/>
        <v>80.430000000000007</v>
      </c>
      <c r="BK3">
        <f t="shared" si="6"/>
        <v>2</v>
      </c>
    </row>
    <row r="4" spans="1:63" x14ac:dyDescent="0.2">
      <c r="A4" s="3">
        <v>1</v>
      </c>
      <c r="E4" t="s">
        <v>486</v>
      </c>
      <c r="F4" t="s">
        <v>487</v>
      </c>
      <c r="K4" t="s">
        <v>581</v>
      </c>
      <c r="N4">
        <v>0.25</v>
      </c>
      <c r="O4">
        <v>0.35</v>
      </c>
      <c r="P4" t="s">
        <v>322</v>
      </c>
      <c r="Q4">
        <f t="shared" si="0"/>
        <v>0.35</v>
      </c>
      <c r="R4">
        <v>2</v>
      </c>
      <c r="S4">
        <v>7.38</v>
      </c>
      <c r="T4">
        <v>8.31</v>
      </c>
      <c r="U4" t="s">
        <v>322</v>
      </c>
      <c r="V4">
        <f t="shared" si="7"/>
        <v>8.31</v>
      </c>
      <c r="W4">
        <v>2</v>
      </c>
      <c r="AU4" t="s">
        <v>319</v>
      </c>
      <c r="BF4">
        <f t="shared" si="1"/>
        <v>0.25</v>
      </c>
      <c r="BG4">
        <f t="shared" si="2"/>
        <v>0.35</v>
      </c>
      <c r="BH4">
        <f t="shared" si="3"/>
        <v>2</v>
      </c>
      <c r="BI4">
        <f t="shared" si="4"/>
        <v>7.38</v>
      </c>
      <c r="BJ4">
        <f t="shared" si="5"/>
        <v>8.31</v>
      </c>
      <c r="BK4">
        <f t="shared" si="6"/>
        <v>2</v>
      </c>
    </row>
    <row r="5" spans="1:63" ht="17" x14ac:dyDescent="0.2">
      <c r="A5">
        <v>2</v>
      </c>
      <c r="B5" t="s">
        <v>11</v>
      </c>
      <c r="C5">
        <v>2016</v>
      </c>
      <c r="D5" s="1" t="s">
        <v>8</v>
      </c>
      <c r="E5" s="4" t="s">
        <v>490</v>
      </c>
      <c r="F5" s="4" t="s">
        <v>491</v>
      </c>
      <c r="K5" t="s">
        <v>582</v>
      </c>
      <c r="L5" s="4"/>
      <c r="M5" s="4"/>
      <c r="N5">
        <v>-2</v>
      </c>
      <c r="O5">
        <v>6</v>
      </c>
      <c r="P5" t="s">
        <v>322</v>
      </c>
      <c r="Q5">
        <f t="shared" si="0"/>
        <v>6</v>
      </c>
      <c r="R5">
        <v>4</v>
      </c>
      <c r="S5">
        <v>60</v>
      </c>
      <c r="T5">
        <v>26</v>
      </c>
      <c r="U5" t="s">
        <v>322</v>
      </c>
      <c r="V5">
        <f>T5</f>
        <v>26</v>
      </c>
      <c r="W5">
        <v>4</v>
      </c>
      <c r="Y5" t="s">
        <v>319</v>
      </c>
      <c r="Z5" t="s">
        <v>319</v>
      </c>
      <c r="AA5" t="s">
        <v>319</v>
      </c>
      <c r="AB5" t="s">
        <v>319</v>
      </c>
      <c r="AC5" t="s">
        <v>319</v>
      </c>
      <c r="AD5" t="s">
        <v>319</v>
      </c>
      <c r="AE5" t="s">
        <v>319</v>
      </c>
      <c r="AF5" t="s">
        <v>319</v>
      </c>
      <c r="AG5" t="s">
        <v>319</v>
      </c>
      <c r="AH5" t="s">
        <v>319</v>
      </c>
      <c r="AI5" t="s">
        <v>319</v>
      </c>
      <c r="AJ5" t="s">
        <v>319</v>
      </c>
      <c r="AK5" t="s">
        <v>319</v>
      </c>
      <c r="AL5" t="s">
        <v>319</v>
      </c>
      <c r="AM5" t="s">
        <v>319</v>
      </c>
      <c r="AN5" t="s">
        <v>319</v>
      </c>
      <c r="AO5" t="s">
        <v>319</v>
      </c>
      <c r="AP5" t="s">
        <v>319</v>
      </c>
      <c r="AQ5" t="s">
        <v>319</v>
      </c>
      <c r="AR5" t="s">
        <v>319</v>
      </c>
      <c r="AS5" t="s">
        <v>319</v>
      </c>
      <c r="AT5" t="s">
        <v>319</v>
      </c>
      <c r="AU5" t="s">
        <v>319</v>
      </c>
      <c r="AV5" t="s">
        <v>319</v>
      </c>
      <c r="AW5" t="s">
        <v>319</v>
      </c>
      <c r="AX5" t="s">
        <v>319</v>
      </c>
      <c r="AY5" t="s">
        <v>319</v>
      </c>
      <c r="AZ5" t="s">
        <v>319</v>
      </c>
      <c r="BA5" t="s">
        <v>319</v>
      </c>
      <c r="BB5" t="s">
        <v>319</v>
      </c>
      <c r="BC5" t="s">
        <v>319</v>
      </c>
      <c r="BD5" t="s">
        <v>319</v>
      </c>
      <c r="BF5">
        <f t="shared" si="1"/>
        <v>-2</v>
      </c>
      <c r="BG5">
        <f t="shared" si="2"/>
        <v>6</v>
      </c>
      <c r="BH5">
        <f t="shared" si="3"/>
        <v>4</v>
      </c>
      <c r="BI5">
        <f t="shared" si="4"/>
        <v>60</v>
      </c>
      <c r="BJ5">
        <f t="shared" si="5"/>
        <v>26</v>
      </c>
      <c r="BK5">
        <f t="shared" si="6"/>
        <v>4</v>
      </c>
    </row>
    <row r="6" spans="1:63" ht="17" x14ac:dyDescent="0.2">
      <c r="A6">
        <v>2</v>
      </c>
      <c r="D6" s="1" t="s">
        <v>9</v>
      </c>
      <c r="E6" s="4" t="s">
        <v>488</v>
      </c>
      <c r="F6" s="4" t="s">
        <v>489</v>
      </c>
      <c r="K6" t="s">
        <v>582</v>
      </c>
      <c r="L6" s="4"/>
      <c r="M6" s="4"/>
      <c r="N6">
        <v>13</v>
      </c>
      <c r="O6">
        <v>12</v>
      </c>
      <c r="P6" t="s">
        <v>322</v>
      </c>
      <c r="Q6">
        <f t="shared" si="0"/>
        <v>12</v>
      </c>
      <c r="R6">
        <v>4</v>
      </c>
      <c r="S6">
        <v>57</v>
      </c>
      <c r="T6">
        <v>30</v>
      </c>
      <c r="U6" t="s">
        <v>322</v>
      </c>
      <c r="V6">
        <f>T6</f>
        <v>30</v>
      </c>
      <c r="W6">
        <v>4</v>
      </c>
      <c r="Y6" t="s">
        <v>319</v>
      </c>
      <c r="Z6" t="s">
        <v>319</v>
      </c>
      <c r="AA6" t="s">
        <v>319</v>
      </c>
      <c r="AB6" t="s">
        <v>319</v>
      </c>
      <c r="AC6" t="s">
        <v>319</v>
      </c>
      <c r="AD6" t="s">
        <v>319</v>
      </c>
      <c r="AE6" t="s">
        <v>319</v>
      </c>
      <c r="AF6" t="s">
        <v>319</v>
      </c>
      <c r="AG6" t="s">
        <v>319</v>
      </c>
      <c r="AH6" t="s">
        <v>319</v>
      </c>
      <c r="AI6" t="s">
        <v>319</v>
      </c>
      <c r="AJ6" t="s">
        <v>319</v>
      </c>
      <c r="AK6" t="s">
        <v>319</v>
      </c>
      <c r="AL6" t="s">
        <v>319</v>
      </c>
      <c r="AM6" t="s">
        <v>319</v>
      </c>
      <c r="AN6" t="s">
        <v>319</v>
      </c>
      <c r="AO6" t="s">
        <v>319</v>
      </c>
      <c r="AP6" t="s">
        <v>319</v>
      </c>
      <c r="AQ6" t="s">
        <v>319</v>
      </c>
      <c r="AR6" t="s">
        <v>319</v>
      </c>
      <c r="AS6" t="s">
        <v>319</v>
      </c>
      <c r="AT6" t="s">
        <v>319</v>
      </c>
      <c r="AU6" t="s">
        <v>319</v>
      </c>
      <c r="AV6" t="s">
        <v>319</v>
      </c>
      <c r="AW6" t="s">
        <v>319</v>
      </c>
      <c r="AX6" t="s">
        <v>319</v>
      </c>
      <c r="AY6" t="s">
        <v>319</v>
      </c>
      <c r="AZ6" t="s">
        <v>319</v>
      </c>
      <c r="BA6" t="s">
        <v>319</v>
      </c>
      <c r="BB6" t="s">
        <v>319</v>
      </c>
      <c r="BC6" t="s">
        <v>319</v>
      </c>
      <c r="BD6" t="s">
        <v>319</v>
      </c>
      <c r="BF6">
        <f t="shared" si="1"/>
        <v>13</v>
      </c>
      <c r="BG6">
        <f t="shared" si="2"/>
        <v>12</v>
      </c>
      <c r="BH6">
        <f t="shared" si="3"/>
        <v>4</v>
      </c>
      <c r="BI6">
        <f t="shared" si="4"/>
        <v>57</v>
      </c>
      <c r="BJ6">
        <f t="shared" si="5"/>
        <v>30</v>
      </c>
      <c r="BK6">
        <f t="shared" si="6"/>
        <v>4</v>
      </c>
    </row>
    <row r="7" spans="1:63" ht="17" x14ac:dyDescent="0.2">
      <c r="A7">
        <v>2</v>
      </c>
      <c r="D7" s="1" t="s">
        <v>10</v>
      </c>
      <c r="E7" s="4" t="s">
        <v>492</v>
      </c>
      <c r="F7" s="4" t="s">
        <v>493</v>
      </c>
      <c r="K7" t="s">
        <v>581</v>
      </c>
      <c r="L7" s="4"/>
      <c r="M7" s="4"/>
      <c r="N7">
        <v>-12</v>
      </c>
      <c r="O7">
        <v>0.71</v>
      </c>
      <c r="P7" t="s">
        <v>322</v>
      </c>
      <c r="Q7">
        <f t="shared" si="0"/>
        <v>0.71</v>
      </c>
      <c r="R7">
        <v>2</v>
      </c>
      <c r="S7">
        <v>39</v>
      </c>
      <c r="T7">
        <v>21.21</v>
      </c>
      <c r="U7" t="s">
        <v>322</v>
      </c>
      <c r="V7">
        <f>T7</f>
        <v>21.21</v>
      </c>
      <c r="W7">
        <v>2</v>
      </c>
      <c r="BF7">
        <f t="shared" si="1"/>
        <v>-12</v>
      </c>
      <c r="BG7">
        <f t="shared" si="2"/>
        <v>0.71</v>
      </c>
      <c r="BH7">
        <f t="shared" si="3"/>
        <v>2</v>
      </c>
      <c r="BI7">
        <f t="shared" si="4"/>
        <v>39</v>
      </c>
      <c r="BJ7">
        <f t="shared" si="5"/>
        <v>21.21</v>
      </c>
      <c r="BK7">
        <f t="shared" si="6"/>
        <v>2</v>
      </c>
    </row>
    <row r="8" spans="1:63" ht="51" x14ac:dyDescent="0.2">
      <c r="A8">
        <v>3</v>
      </c>
      <c r="B8" t="s">
        <v>15</v>
      </c>
      <c r="C8">
        <v>2011</v>
      </c>
      <c r="D8" s="3" t="s">
        <v>18</v>
      </c>
      <c r="E8" t="s">
        <v>883</v>
      </c>
      <c r="F8" s="3" t="s">
        <v>494</v>
      </c>
      <c r="K8" t="s">
        <v>583</v>
      </c>
      <c r="L8" s="3"/>
      <c r="N8">
        <v>0.2</v>
      </c>
      <c r="O8">
        <v>0.2</v>
      </c>
      <c r="P8" t="s">
        <v>316</v>
      </c>
      <c r="Q8">
        <f>O8*SQRT(R8)</f>
        <v>0.4898979485566356</v>
      </c>
      <c r="R8">
        <v>6</v>
      </c>
      <c r="S8">
        <v>54.8</v>
      </c>
      <c r="T8">
        <v>7.2</v>
      </c>
      <c r="U8" t="s">
        <v>316</v>
      </c>
      <c r="V8">
        <f>T8*SQRT(W8)</f>
        <v>12.470765814495916</v>
      </c>
      <c r="W8">
        <v>3</v>
      </c>
      <c r="Y8" t="s">
        <v>319</v>
      </c>
      <c r="Z8" t="s">
        <v>319</v>
      </c>
      <c r="AA8" t="s">
        <v>319</v>
      </c>
      <c r="AB8" t="s">
        <v>319</v>
      </c>
      <c r="AC8" t="s">
        <v>319</v>
      </c>
      <c r="AD8" t="s">
        <v>319</v>
      </c>
      <c r="AE8" t="s">
        <v>319</v>
      </c>
      <c r="AF8" t="s">
        <v>319</v>
      </c>
      <c r="AG8" t="s">
        <v>319</v>
      </c>
      <c r="AH8" t="s">
        <v>319</v>
      </c>
      <c r="AI8" t="s">
        <v>319</v>
      </c>
      <c r="AJ8" t="s">
        <v>319</v>
      </c>
      <c r="AK8" t="s">
        <v>319</v>
      </c>
      <c r="AL8" t="s">
        <v>319</v>
      </c>
      <c r="AM8" t="s">
        <v>319</v>
      </c>
      <c r="AN8" t="s">
        <v>319</v>
      </c>
      <c r="AO8" t="s">
        <v>319</v>
      </c>
      <c r="AP8" t="s">
        <v>319</v>
      </c>
      <c r="AQ8" t="s">
        <v>319</v>
      </c>
      <c r="AS8" t="s">
        <v>319</v>
      </c>
      <c r="AT8" t="s">
        <v>319</v>
      </c>
      <c r="AW8" t="s">
        <v>319</v>
      </c>
      <c r="AX8" t="s">
        <v>319</v>
      </c>
      <c r="AY8" t="s">
        <v>319</v>
      </c>
      <c r="AZ8" t="s">
        <v>319</v>
      </c>
      <c r="BC8" t="s">
        <v>319</v>
      </c>
      <c r="BD8" t="s">
        <v>319</v>
      </c>
      <c r="BF8">
        <f t="shared" si="1"/>
        <v>0.2</v>
      </c>
      <c r="BG8">
        <f t="shared" si="2"/>
        <v>0.4898979485566356</v>
      </c>
      <c r="BH8">
        <f t="shared" si="3"/>
        <v>6</v>
      </c>
      <c r="BI8">
        <f t="shared" si="4"/>
        <v>54.8</v>
      </c>
      <c r="BJ8">
        <f t="shared" si="5"/>
        <v>12.470765814495916</v>
      </c>
      <c r="BK8">
        <f t="shared" si="6"/>
        <v>3</v>
      </c>
    </row>
    <row r="9" spans="1:63" ht="34" x14ac:dyDescent="0.2">
      <c r="A9">
        <v>3</v>
      </c>
      <c r="D9" s="3" t="s">
        <v>19</v>
      </c>
      <c r="E9" t="s">
        <v>496</v>
      </c>
      <c r="F9" s="3" t="s">
        <v>495</v>
      </c>
      <c r="K9" t="s">
        <v>583</v>
      </c>
      <c r="N9">
        <v>0</v>
      </c>
      <c r="O9">
        <v>0</v>
      </c>
      <c r="P9" t="s">
        <v>316</v>
      </c>
      <c r="Q9">
        <v>0</v>
      </c>
      <c r="R9">
        <v>6</v>
      </c>
      <c r="S9">
        <v>13.3</v>
      </c>
      <c r="T9">
        <v>5.5</v>
      </c>
      <c r="U9" t="s">
        <v>316</v>
      </c>
      <c r="V9">
        <f>T9*SQRT(W9)</f>
        <v>9.5262794416288248</v>
      </c>
      <c r="W9">
        <v>3</v>
      </c>
      <c r="Y9" t="s">
        <v>319</v>
      </c>
      <c r="Z9" t="s">
        <v>319</v>
      </c>
      <c r="AA9" t="s">
        <v>319</v>
      </c>
      <c r="AB9" t="s">
        <v>319</v>
      </c>
      <c r="AC9" t="s">
        <v>319</v>
      </c>
      <c r="AD9" t="s">
        <v>319</v>
      </c>
      <c r="AE9" t="s">
        <v>319</v>
      </c>
      <c r="AF9" t="s">
        <v>319</v>
      </c>
      <c r="AG9" t="s">
        <v>319</v>
      </c>
      <c r="AH9" t="s">
        <v>319</v>
      </c>
      <c r="AI9" t="s">
        <v>319</v>
      </c>
      <c r="AJ9" t="s">
        <v>319</v>
      </c>
      <c r="AK9" t="s">
        <v>319</v>
      </c>
      <c r="AL9" t="s">
        <v>319</v>
      </c>
      <c r="AM9" t="s">
        <v>319</v>
      </c>
      <c r="AN9" t="s">
        <v>319</v>
      </c>
      <c r="AO9" t="s">
        <v>319</v>
      </c>
      <c r="AP9" t="s">
        <v>319</v>
      </c>
      <c r="AQ9" t="s">
        <v>319</v>
      </c>
      <c r="AS9" t="s">
        <v>319</v>
      </c>
      <c r="AT9" t="s">
        <v>319</v>
      </c>
      <c r="AW9" t="s">
        <v>319</v>
      </c>
      <c r="AX9" t="s">
        <v>319</v>
      </c>
      <c r="AY9" t="s">
        <v>319</v>
      </c>
      <c r="AZ9" t="s">
        <v>319</v>
      </c>
      <c r="BC9" t="s">
        <v>319</v>
      </c>
      <c r="BD9" t="s">
        <v>319</v>
      </c>
      <c r="BF9">
        <f t="shared" si="1"/>
        <v>0</v>
      </c>
      <c r="BG9">
        <f t="shared" si="2"/>
        <v>0</v>
      </c>
      <c r="BH9">
        <f t="shared" si="3"/>
        <v>6</v>
      </c>
      <c r="BI9">
        <f t="shared" si="4"/>
        <v>13.3</v>
      </c>
      <c r="BJ9">
        <f t="shared" si="5"/>
        <v>9.5262794416288248</v>
      </c>
      <c r="BK9">
        <f t="shared" si="6"/>
        <v>3</v>
      </c>
    </row>
    <row r="10" spans="1:63" ht="34" x14ac:dyDescent="0.2">
      <c r="A10">
        <v>3</v>
      </c>
      <c r="D10" s="3" t="s">
        <v>20</v>
      </c>
      <c r="E10" t="s">
        <v>499</v>
      </c>
      <c r="F10" s="3" t="s">
        <v>497</v>
      </c>
      <c r="K10" t="s">
        <v>327</v>
      </c>
      <c r="N10">
        <v>16.8</v>
      </c>
      <c r="O10">
        <v>4.5999999999999996</v>
      </c>
      <c r="P10" t="s">
        <v>316</v>
      </c>
      <c r="Q10">
        <f>O10*SQRT(R10)</f>
        <v>12.170456030897116</v>
      </c>
      <c r="R10">
        <v>7</v>
      </c>
      <c r="S10">
        <v>55.2</v>
      </c>
      <c r="T10">
        <v>1.9</v>
      </c>
      <c r="U10" t="s">
        <v>316</v>
      </c>
      <c r="V10">
        <f>T10*SQRT(W10)</f>
        <v>2.6870057685088806</v>
      </c>
      <c r="W10">
        <v>2</v>
      </c>
      <c r="Y10" t="s">
        <v>319</v>
      </c>
      <c r="Z10" t="s">
        <v>319</v>
      </c>
      <c r="AA10" t="s">
        <v>319</v>
      </c>
      <c r="AB10" t="s">
        <v>319</v>
      </c>
      <c r="AC10" t="s">
        <v>319</v>
      </c>
      <c r="AD10" t="s">
        <v>319</v>
      </c>
      <c r="AE10" t="s">
        <v>319</v>
      </c>
      <c r="AF10" t="s">
        <v>319</v>
      </c>
      <c r="AG10" t="s">
        <v>319</v>
      </c>
      <c r="AH10" t="s">
        <v>319</v>
      </c>
      <c r="AI10" t="s">
        <v>319</v>
      </c>
      <c r="AJ10" t="s">
        <v>319</v>
      </c>
      <c r="AK10" t="s">
        <v>319</v>
      </c>
      <c r="AL10" t="s">
        <v>319</v>
      </c>
      <c r="AM10" t="s">
        <v>319</v>
      </c>
      <c r="AN10" t="s">
        <v>319</v>
      </c>
      <c r="AO10" t="s">
        <v>319</v>
      </c>
      <c r="AP10" t="s">
        <v>319</v>
      </c>
      <c r="AQ10" t="s">
        <v>319</v>
      </c>
      <c r="AS10" t="s">
        <v>319</v>
      </c>
      <c r="AT10" t="s">
        <v>319</v>
      </c>
      <c r="AW10" t="s">
        <v>319</v>
      </c>
      <c r="AX10" t="s">
        <v>319</v>
      </c>
      <c r="AY10" t="s">
        <v>319</v>
      </c>
      <c r="AZ10" t="s">
        <v>319</v>
      </c>
      <c r="BC10" t="s">
        <v>319</v>
      </c>
      <c r="BD10" t="s">
        <v>319</v>
      </c>
      <c r="BF10">
        <f t="shared" si="1"/>
        <v>16.8</v>
      </c>
      <c r="BG10">
        <f t="shared" si="2"/>
        <v>12.170456030897116</v>
      </c>
      <c r="BH10">
        <f t="shared" si="3"/>
        <v>7</v>
      </c>
      <c r="BI10">
        <f t="shared" si="4"/>
        <v>55.2</v>
      </c>
      <c r="BJ10">
        <f t="shared" si="5"/>
        <v>2.6870057685088806</v>
      </c>
      <c r="BK10">
        <f t="shared" si="6"/>
        <v>2</v>
      </c>
    </row>
    <row r="11" spans="1:63" ht="34" x14ac:dyDescent="0.2">
      <c r="A11">
        <v>3</v>
      </c>
      <c r="D11" s="3" t="s">
        <v>21</v>
      </c>
      <c r="E11" t="s">
        <v>498</v>
      </c>
      <c r="F11" s="3" t="s">
        <v>500</v>
      </c>
      <c r="K11" t="s">
        <v>327</v>
      </c>
      <c r="N11">
        <v>7.3</v>
      </c>
      <c r="O11">
        <v>2</v>
      </c>
      <c r="P11" t="s">
        <v>316</v>
      </c>
      <c r="Q11">
        <f>O11*SQRT(R11)</f>
        <v>5.2915026221291814</v>
      </c>
      <c r="R11">
        <v>7</v>
      </c>
      <c r="S11">
        <v>22.4</v>
      </c>
      <c r="T11">
        <v>1.4</v>
      </c>
      <c r="U11" t="s">
        <v>316</v>
      </c>
      <c r="V11">
        <f>T11*SQRT(W11)</f>
        <v>1.9798989873223332</v>
      </c>
      <c r="W11">
        <v>2</v>
      </c>
      <c r="Y11" t="s">
        <v>319</v>
      </c>
      <c r="Z11" t="s">
        <v>319</v>
      </c>
      <c r="AA11" t="s">
        <v>319</v>
      </c>
      <c r="AB11" t="s">
        <v>319</v>
      </c>
      <c r="AC11" t="s">
        <v>319</v>
      </c>
      <c r="AD11" t="s">
        <v>319</v>
      </c>
      <c r="AE11" t="s">
        <v>319</v>
      </c>
      <c r="AF11" t="s">
        <v>319</v>
      </c>
      <c r="AG11" t="s">
        <v>319</v>
      </c>
      <c r="AH11" t="s">
        <v>319</v>
      </c>
      <c r="AI11" t="s">
        <v>319</v>
      </c>
      <c r="AJ11" t="s">
        <v>319</v>
      </c>
      <c r="AK11" t="s">
        <v>319</v>
      </c>
      <c r="AL11" t="s">
        <v>319</v>
      </c>
      <c r="AM11" t="s">
        <v>319</v>
      </c>
      <c r="AN11" t="s">
        <v>319</v>
      </c>
      <c r="AO11" t="s">
        <v>319</v>
      </c>
      <c r="AP11" t="s">
        <v>319</v>
      </c>
      <c r="AQ11" t="s">
        <v>319</v>
      </c>
      <c r="AS11" t="s">
        <v>319</v>
      </c>
      <c r="AT11" t="s">
        <v>319</v>
      </c>
      <c r="AW11" t="s">
        <v>319</v>
      </c>
      <c r="AX11" t="s">
        <v>319</v>
      </c>
      <c r="AY11" t="s">
        <v>319</v>
      </c>
      <c r="AZ11" t="s">
        <v>319</v>
      </c>
      <c r="BC11" t="s">
        <v>319</v>
      </c>
      <c r="BD11" t="s">
        <v>319</v>
      </c>
      <c r="BF11">
        <f t="shared" si="1"/>
        <v>7.3</v>
      </c>
      <c r="BG11">
        <f t="shared" si="2"/>
        <v>5.2915026221291814</v>
      </c>
      <c r="BH11">
        <f t="shared" si="3"/>
        <v>7</v>
      </c>
      <c r="BI11">
        <f t="shared" si="4"/>
        <v>22.4</v>
      </c>
      <c r="BJ11">
        <f t="shared" si="5"/>
        <v>1.9798989873223332</v>
      </c>
      <c r="BK11">
        <f t="shared" si="6"/>
        <v>2</v>
      </c>
    </row>
    <row r="12" spans="1:63" x14ac:dyDescent="0.2">
      <c r="A12">
        <v>4</v>
      </c>
      <c r="B12" t="s">
        <v>158</v>
      </c>
      <c r="C12">
        <v>2012</v>
      </c>
      <c r="D12" s="3"/>
      <c r="E12" t="s">
        <v>161</v>
      </c>
      <c r="F12" t="s">
        <v>162</v>
      </c>
      <c r="I12" t="s">
        <v>163</v>
      </c>
      <c r="J12" t="s">
        <v>164</v>
      </c>
      <c r="K12" t="s">
        <v>581</v>
      </c>
      <c r="N12" t="s">
        <v>319</v>
      </c>
      <c r="O12" t="s">
        <v>319</v>
      </c>
      <c r="P12" t="s">
        <v>319</v>
      </c>
      <c r="Q12" t="s">
        <v>319</v>
      </c>
      <c r="R12" t="s">
        <v>319</v>
      </c>
      <c r="S12" t="s">
        <v>319</v>
      </c>
      <c r="T12" t="s">
        <v>319</v>
      </c>
      <c r="U12" t="s">
        <v>319</v>
      </c>
      <c r="V12" t="s">
        <v>319</v>
      </c>
      <c r="W12" t="s">
        <v>319</v>
      </c>
      <c r="Y12">
        <v>4.75</v>
      </c>
      <c r="Z12">
        <v>0.96</v>
      </c>
      <c r="AA12" t="s">
        <v>322</v>
      </c>
      <c r="AB12">
        <f>Z12</f>
        <v>0.96</v>
      </c>
      <c r="AC12">
        <v>2</v>
      </c>
      <c r="AD12">
        <v>5.33</v>
      </c>
      <c r="AE12">
        <v>5.13</v>
      </c>
      <c r="AF12" t="s">
        <v>322</v>
      </c>
      <c r="AG12">
        <f>AE12</f>
        <v>5.13</v>
      </c>
      <c r="AH12">
        <v>2</v>
      </c>
      <c r="AI12">
        <v>0.75</v>
      </c>
      <c r="AJ12">
        <v>1.5</v>
      </c>
      <c r="AK12" t="s">
        <v>322</v>
      </c>
      <c r="AL12">
        <f>AJ12</f>
        <v>1.5</v>
      </c>
      <c r="AM12">
        <v>2</v>
      </c>
      <c r="AN12">
        <v>27</v>
      </c>
      <c r="AO12">
        <v>1</v>
      </c>
      <c r="AP12" t="s">
        <v>322</v>
      </c>
      <c r="AQ12">
        <f>AO12</f>
        <v>1</v>
      </c>
      <c r="AR12">
        <v>2</v>
      </c>
      <c r="AS12" t="s">
        <v>323</v>
      </c>
      <c r="AT12">
        <f>AN12-AI12</f>
        <v>26.25</v>
      </c>
      <c r="AU12">
        <f>AR12+AM12</f>
        <v>4</v>
      </c>
      <c r="AV12">
        <f>((AR12-1)*AQ12^2)+((AM12-1)*AL12^2)</f>
        <v>3.25</v>
      </c>
      <c r="AW12">
        <f>SQRT(AV12/(AU12-2))</f>
        <v>1.2747548783981961</v>
      </c>
      <c r="AX12">
        <f>AR12</f>
        <v>2</v>
      </c>
      <c r="AY12" t="s">
        <v>324</v>
      </c>
      <c r="AZ12">
        <f>AD12-Y12</f>
        <v>0.58000000000000007</v>
      </c>
      <c r="BA12">
        <f>AH12+AC12</f>
        <v>4</v>
      </c>
      <c r="BB12">
        <f>((AH12-1)*AG12^2)+((AC12-1)*AB12^2)</f>
        <v>27.238500000000002</v>
      </c>
      <c r="BC12">
        <f>SQRT(BB12/(BA12-2))</f>
        <v>3.6904268045850741</v>
      </c>
      <c r="BD12">
        <f>AH12</f>
        <v>2</v>
      </c>
      <c r="BF12">
        <f>AZ12</f>
        <v>0.58000000000000007</v>
      </c>
      <c r="BG12">
        <f>BC12</f>
        <v>3.6904268045850741</v>
      </c>
      <c r="BH12">
        <f>BD12</f>
        <v>2</v>
      </c>
      <c r="BI12">
        <f>AT12</f>
        <v>26.25</v>
      </c>
      <c r="BJ12">
        <f>AW12</f>
        <v>1.2747548783981961</v>
      </c>
      <c r="BK12">
        <f>AX12</f>
        <v>2</v>
      </c>
    </row>
    <row r="13" spans="1:63" x14ac:dyDescent="0.2">
      <c r="A13">
        <v>5</v>
      </c>
      <c r="B13" t="s">
        <v>29</v>
      </c>
      <c r="C13">
        <v>2019</v>
      </c>
      <c r="D13" t="s">
        <v>32</v>
      </c>
      <c r="G13" t="s">
        <v>165</v>
      </c>
      <c r="H13" t="s">
        <v>166</v>
      </c>
      <c r="K13" t="s">
        <v>584</v>
      </c>
    </row>
    <row r="14" spans="1:63" x14ac:dyDescent="0.2">
      <c r="A14">
        <v>5</v>
      </c>
      <c r="D14" t="s">
        <v>33</v>
      </c>
      <c r="G14" t="s">
        <v>167</v>
      </c>
      <c r="H14" t="s">
        <v>168</v>
      </c>
      <c r="K14" t="s">
        <v>584</v>
      </c>
    </row>
    <row r="15" spans="1:63" x14ac:dyDescent="0.2">
      <c r="A15">
        <v>6</v>
      </c>
      <c r="B15" t="s">
        <v>35</v>
      </c>
      <c r="C15">
        <v>2009</v>
      </c>
      <c r="D15" t="s">
        <v>32</v>
      </c>
      <c r="E15" t="s">
        <v>501</v>
      </c>
      <c r="F15" t="s">
        <v>503</v>
      </c>
      <c r="I15" t="s">
        <v>505</v>
      </c>
      <c r="J15" t="s">
        <v>506</v>
      </c>
      <c r="K15" t="s">
        <v>334</v>
      </c>
      <c r="N15" t="s">
        <v>319</v>
      </c>
      <c r="O15" t="s">
        <v>319</v>
      </c>
      <c r="P15" t="s">
        <v>319</v>
      </c>
      <c r="Q15" t="s">
        <v>319</v>
      </c>
      <c r="R15" t="s">
        <v>319</v>
      </c>
      <c r="S15" t="s">
        <v>319</v>
      </c>
      <c r="T15" t="s">
        <v>319</v>
      </c>
      <c r="U15" t="s">
        <v>319</v>
      </c>
      <c r="V15" t="s">
        <v>319</v>
      </c>
      <c r="W15" t="s">
        <v>319</v>
      </c>
      <c r="Y15">
        <v>5</v>
      </c>
      <c r="Z15">
        <v>45</v>
      </c>
      <c r="AA15" t="s">
        <v>322</v>
      </c>
      <c r="AB15">
        <f>Z15</f>
        <v>45</v>
      </c>
      <c r="AC15">
        <v>1</v>
      </c>
      <c r="AD15">
        <v>50</v>
      </c>
      <c r="AE15">
        <v>15</v>
      </c>
      <c r="AF15" t="s">
        <v>322</v>
      </c>
      <c r="AG15">
        <f>AE15</f>
        <v>15</v>
      </c>
      <c r="AH15">
        <v>1</v>
      </c>
      <c r="AI15">
        <v>75</v>
      </c>
      <c r="AJ15">
        <v>25</v>
      </c>
      <c r="AK15" t="s">
        <v>322</v>
      </c>
      <c r="AL15">
        <f>AJ15</f>
        <v>25</v>
      </c>
      <c r="AM15">
        <v>1</v>
      </c>
      <c r="AN15">
        <v>225</v>
      </c>
      <c r="AO15">
        <v>75</v>
      </c>
      <c r="AP15" t="s">
        <v>322</v>
      </c>
      <c r="AQ15">
        <f>AO15</f>
        <v>75</v>
      </c>
      <c r="AR15">
        <v>1</v>
      </c>
      <c r="AS15" t="s">
        <v>323</v>
      </c>
      <c r="AT15">
        <f>AN15-AI15</f>
        <v>150</v>
      </c>
      <c r="AU15">
        <f>AR15+AM15</f>
        <v>2</v>
      </c>
      <c r="AV15">
        <f>((AR15-1)*AQ15^2)+((AM15-1)*AL15^2)</f>
        <v>0</v>
      </c>
      <c r="AW15" t="e">
        <f>SQRT(AV15/(AU15-2))</f>
        <v>#DIV/0!</v>
      </c>
      <c r="AX15">
        <f>AR15</f>
        <v>1</v>
      </c>
      <c r="AY15" t="s">
        <v>324</v>
      </c>
      <c r="AZ15">
        <f>AD15-Y15</f>
        <v>45</v>
      </c>
      <c r="BA15">
        <f>AH15+AC15</f>
        <v>2</v>
      </c>
      <c r="BB15">
        <f>((AH15-1)*AG15^2)+((AC15-1)*AB15^2)</f>
        <v>0</v>
      </c>
      <c r="BC15" t="e">
        <f>SQRT(BB15/(BA15-2))</f>
        <v>#DIV/0!</v>
      </c>
      <c r="BD15">
        <f>AH15</f>
        <v>1</v>
      </c>
      <c r="BF15">
        <f>AZ15</f>
        <v>45</v>
      </c>
      <c r="BG15" t="e">
        <f t="shared" ref="BG15:BH17" si="8">BC15</f>
        <v>#DIV/0!</v>
      </c>
      <c r="BH15">
        <f t="shared" si="8"/>
        <v>1</v>
      </c>
      <c r="BI15">
        <f>AT15</f>
        <v>150</v>
      </c>
      <c r="BJ15" t="e">
        <f t="shared" ref="BJ15:BK17" si="9">AW15</f>
        <v>#DIV/0!</v>
      </c>
      <c r="BK15">
        <f t="shared" si="9"/>
        <v>1</v>
      </c>
    </row>
    <row r="16" spans="1:63" x14ac:dyDescent="0.2">
      <c r="A16">
        <v>6</v>
      </c>
      <c r="D16" t="s">
        <v>33</v>
      </c>
      <c r="E16" t="s">
        <v>502</v>
      </c>
      <c r="F16" t="s">
        <v>504</v>
      </c>
      <c r="I16" t="s">
        <v>507</v>
      </c>
      <c r="J16" t="s">
        <v>508</v>
      </c>
      <c r="K16" t="s">
        <v>334</v>
      </c>
      <c r="N16" t="s">
        <v>319</v>
      </c>
      <c r="O16" t="s">
        <v>319</v>
      </c>
      <c r="P16" t="s">
        <v>319</v>
      </c>
      <c r="Q16" t="s">
        <v>319</v>
      </c>
      <c r="R16" t="s">
        <v>319</v>
      </c>
      <c r="S16" t="s">
        <v>319</v>
      </c>
      <c r="T16" t="s">
        <v>319</v>
      </c>
      <c r="U16" t="s">
        <v>319</v>
      </c>
      <c r="V16" t="s">
        <v>319</v>
      </c>
      <c r="W16" t="s">
        <v>319</v>
      </c>
      <c r="Y16">
        <v>10</v>
      </c>
      <c r="Z16">
        <v>4</v>
      </c>
      <c r="AA16" t="s">
        <v>322</v>
      </c>
      <c r="AB16">
        <f>Z16</f>
        <v>4</v>
      </c>
      <c r="AC16">
        <v>1</v>
      </c>
      <c r="AD16">
        <v>10</v>
      </c>
      <c r="AE16">
        <v>5</v>
      </c>
      <c r="AF16" t="s">
        <v>322</v>
      </c>
      <c r="AG16">
        <f>AE16</f>
        <v>5</v>
      </c>
      <c r="AH16">
        <v>1</v>
      </c>
      <c r="AI16">
        <v>17</v>
      </c>
      <c r="AJ16">
        <v>4</v>
      </c>
      <c r="AK16" t="s">
        <v>322</v>
      </c>
      <c r="AL16">
        <f>AJ16</f>
        <v>4</v>
      </c>
      <c r="AM16">
        <v>1</v>
      </c>
      <c r="AN16">
        <v>30</v>
      </c>
      <c r="AO16">
        <v>9</v>
      </c>
      <c r="AP16" t="s">
        <v>322</v>
      </c>
      <c r="AQ16">
        <f>AO16</f>
        <v>9</v>
      </c>
      <c r="AR16">
        <v>1</v>
      </c>
      <c r="AS16" t="s">
        <v>323</v>
      </c>
      <c r="AT16">
        <f>AN16-AI16</f>
        <v>13</v>
      </c>
      <c r="AU16">
        <f>AR16+AM16</f>
        <v>2</v>
      </c>
      <c r="AV16">
        <f>((AR16-1)*AQ16^2)+((AM16-1)*AL16^2)</f>
        <v>0</v>
      </c>
      <c r="AW16" t="e">
        <f>SQRT(AV16/(AU16-2))</f>
        <v>#DIV/0!</v>
      </c>
      <c r="AX16">
        <f>AR16</f>
        <v>1</v>
      </c>
      <c r="AY16" t="s">
        <v>324</v>
      </c>
      <c r="AZ16">
        <f>AD16-Y16</f>
        <v>0</v>
      </c>
      <c r="BA16">
        <f>AH16+AC16</f>
        <v>2</v>
      </c>
      <c r="BB16">
        <f>((AH16-1)*AG16^2)+((AC16-1)*AB16^2)</f>
        <v>0</v>
      </c>
      <c r="BC16" t="e">
        <f>SQRT(BB16/(BA16-2))</f>
        <v>#DIV/0!</v>
      </c>
      <c r="BD16">
        <f>AH16</f>
        <v>1</v>
      </c>
      <c r="BF16">
        <f>AZ16</f>
        <v>0</v>
      </c>
      <c r="BG16" t="e">
        <f t="shared" si="8"/>
        <v>#DIV/0!</v>
      </c>
      <c r="BH16">
        <f t="shared" si="8"/>
        <v>1</v>
      </c>
      <c r="BI16">
        <f>AT16</f>
        <v>13</v>
      </c>
      <c r="BJ16" t="e">
        <f t="shared" si="9"/>
        <v>#DIV/0!</v>
      </c>
      <c r="BK16">
        <f t="shared" si="9"/>
        <v>1</v>
      </c>
    </row>
    <row r="17" spans="1:63" ht="17" x14ac:dyDescent="0.2">
      <c r="A17">
        <v>7</v>
      </c>
      <c r="B17" t="s">
        <v>149</v>
      </c>
      <c r="C17">
        <v>2013</v>
      </c>
      <c r="D17" t="s">
        <v>147</v>
      </c>
      <c r="E17" s="3" t="s">
        <v>410</v>
      </c>
      <c r="F17" s="3" t="s">
        <v>411</v>
      </c>
      <c r="I17" s="3" t="s">
        <v>412</v>
      </c>
      <c r="J17" s="3" t="s">
        <v>414</v>
      </c>
      <c r="K17" t="s">
        <v>580</v>
      </c>
      <c r="N17" t="s">
        <v>319</v>
      </c>
      <c r="O17" t="s">
        <v>319</v>
      </c>
      <c r="P17" t="s">
        <v>319</v>
      </c>
      <c r="Q17" t="s">
        <v>319</v>
      </c>
      <c r="R17" t="s">
        <v>319</v>
      </c>
      <c r="S17" t="s">
        <v>319</v>
      </c>
      <c r="T17" t="s">
        <v>319</v>
      </c>
      <c r="U17" t="s">
        <v>319</v>
      </c>
      <c r="V17" t="s">
        <v>319</v>
      </c>
      <c r="W17" t="s">
        <v>319</v>
      </c>
      <c r="Y17">
        <v>8.67</v>
      </c>
      <c r="Z17">
        <v>6.29</v>
      </c>
      <c r="AA17" t="s">
        <v>322</v>
      </c>
      <c r="AB17">
        <f>Z17</f>
        <v>6.29</v>
      </c>
      <c r="AC17">
        <v>3</v>
      </c>
      <c r="AD17">
        <v>9.33</v>
      </c>
      <c r="AE17">
        <v>8.57</v>
      </c>
      <c r="AF17" t="s">
        <v>322</v>
      </c>
      <c r="AG17">
        <f>AE17</f>
        <v>8.57</v>
      </c>
      <c r="AH17">
        <v>3</v>
      </c>
      <c r="AI17">
        <v>12</v>
      </c>
      <c r="AJ17">
        <v>13.61</v>
      </c>
      <c r="AK17" t="s">
        <v>322</v>
      </c>
      <c r="AL17">
        <f>AJ17</f>
        <v>13.61</v>
      </c>
      <c r="AM17">
        <v>3</v>
      </c>
      <c r="AN17">
        <v>9.33</v>
      </c>
      <c r="AO17">
        <v>6.16</v>
      </c>
      <c r="AP17" t="s">
        <v>322</v>
      </c>
      <c r="AQ17">
        <f>AO17</f>
        <v>6.16</v>
      </c>
      <c r="AR17">
        <v>3</v>
      </c>
      <c r="AS17" t="s">
        <v>323</v>
      </c>
      <c r="AT17">
        <f>AN17-AI17</f>
        <v>-2.67</v>
      </c>
      <c r="AU17">
        <f>AR17+AM17</f>
        <v>6</v>
      </c>
      <c r="AV17">
        <f>((AR17-1)*AQ17^2)+((AM17-1)*AL17^2)</f>
        <v>446.35539999999992</v>
      </c>
      <c r="AW17">
        <f>SQRT(AV17/(AU17-2))</f>
        <v>10.563562372608967</v>
      </c>
      <c r="AX17">
        <f>AR17</f>
        <v>3</v>
      </c>
      <c r="AY17" t="s">
        <v>324</v>
      </c>
      <c r="AZ17">
        <f>AD17-Y17</f>
        <v>0.66000000000000014</v>
      </c>
      <c r="BA17">
        <f>AH17+AC17</f>
        <v>6</v>
      </c>
      <c r="BB17">
        <f>((AH17-1)*AG17^2)+((AC17-1)*AB17^2)</f>
        <v>226.01800000000003</v>
      </c>
      <c r="BC17">
        <f>SQRT(BB17/(BA17-2))</f>
        <v>7.5169475187738275</v>
      </c>
      <c r="BD17">
        <f>AH17</f>
        <v>3</v>
      </c>
      <c r="BF17">
        <f>AZ17</f>
        <v>0.66000000000000014</v>
      </c>
      <c r="BG17">
        <f t="shared" si="8"/>
        <v>7.5169475187738275</v>
      </c>
      <c r="BH17">
        <f t="shared" si="8"/>
        <v>3</v>
      </c>
      <c r="BI17">
        <f>AT17</f>
        <v>-2.67</v>
      </c>
      <c r="BJ17">
        <f t="shared" si="9"/>
        <v>10.563562372608967</v>
      </c>
      <c r="BK17">
        <f t="shared" si="9"/>
        <v>3</v>
      </c>
    </row>
    <row r="18" spans="1:63" ht="51" x14ac:dyDescent="0.2">
      <c r="A18">
        <v>8</v>
      </c>
      <c r="B18" t="s">
        <v>476</v>
      </c>
      <c r="C18">
        <v>2019</v>
      </c>
      <c r="D18" t="s">
        <v>478</v>
      </c>
      <c r="G18" s="3" t="s">
        <v>510</v>
      </c>
      <c r="H18" s="3" t="s">
        <v>511</v>
      </c>
      <c r="K18" t="s">
        <v>585</v>
      </c>
      <c r="N18">
        <v>49.93</v>
      </c>
      <c r="O18">
        <v>41.95</v>
      </c>
      <c r="P18" t="s">
        <v>322</v>
      </c>
      <c r="Q18">
        <f>O18</f>
        <v>41.95</v>
      </c>
      <c r="R18">
        <v>3</v>
      </c>
      <c r="S18">
        <v>23.56</v>
      </c>
      <c r="T18">
        <v>16.61</v>
      </c>
      <c r="U18" t="s">
        <v>322</v>
      </c>
      <c r="V18">
        <f>T18</f>
        <v>16.61</v>
      </c>
      <c r="W18">
        <v>9</v>
      </c>
      <c r="BF18">
        <f t="shared" ref="BF18:BF23" si="10">N18</f>
        <v>49.93</v>
      </c>
      <c r="BG18">
        <f t="shared" ref="BG18:BI23" si="11">Q18</f>
        <v>41.95</v>
      </c>
      <c r="BH18">
        <f t="shared" si="11"/>
        <v>3</v>
      </c>
      <c r="BI18">
        <f t="shared" si="11"/>
        <v>23.56</v>
      </c>
      <c r="BJ18">
        <f t="shared" ref="BJ18:BK23" si="12">V18</f>
        <v>16.61</v>
      </c>
      <c r="BK18">
        <f t="shared" si="12"/>
        <v>9</v>
      </c>
    </row>
    <row r="19" spans="1:63" ht="51" x14ac:dyDescent="0.2">
      <c r="D19" t="s">
        <v>479</v>
      </c>
      <c r="G19" s="3" t="s">
        <v>512</v>
      </c>
      <c r="H19" s="3" t="s">
        <v>515</v>
      </c>
      <c r="K19" t="s">
        <v>585</v>
      </c>
      <c r="N19">
        <v>3.58</v>
      </c>
      <c r="O19">
        <v>3.49</v>
      </c>
      <c r="P19" t="s">
        <v>322</v>
      </c>
      <c r="Q19">
        <f t="shared" ref="Q19:Q23" si="13">O19</f>
        <v>3.49</v>
      </c>
      <c r="R19">
        <v>3</v>
      </c>
      <c r="S19">
        <v>1.23</v>
      </c>
      <c r="T19">
        <v>1.39</v>
      </c>
      <c r="U19" t="s">
        <v>322</v>
      </c>
      <c r="V19">
        <f t="shared" ref="V19:V23" si="14">T19</f>
        <v>1.39</v>
      </c>
      <c r="W19">
        <v>9</v>
      </c>
      <c r="BF19">
        <f t="shared" si="10"/>
        <v>3.58</v>
      </c>
      <c r="BG19">
        <f t="shared" si="11"/>
        <v>3.49</v>
      </c>
      <c r="BH19">
        <f t="shared" si="11"/>
        <v>3</v>
      </c>
      <c r="BI19">
        <f t="shared" si="11"/>
        <v>1.23</v>
      </c>
      <c r="BJ19">
        <f t="shared" si="12"/>
        <v>1.39</v>
      </c>
      <c r="BK19">
        <f t="shared" si="12"/>
        <v>9</v>
      </c>
    </row>
    <row r="20" spans="1:63" ht="51" x14ac:dyDescent="0.2">
      <c r="D20" t="s">
        <v>480</v>
      </c>
      <c r="G20" s="3" t="s">
        <v>513</v>
      </c>
      <c r="H20" s="3" t="s">
        <v>516</v>
      </c>
      <c r="K20" t="s">
        <v>585</v>
      </c>
      <c r="N20">
        <v>107.61</v>
      </c>
      <c r="O20">
        <v>101.05</v>
      </c>
      <c r="P20" t="s">
        <v>322</v>
      </c>
      <c r="Q20">
        <f t="shared" si="13"/>
        <v>101.05</v>
      </c>
      <c r="R20">
        <v>3</v>
      </c>
      <c r="S20">
        <v>84.64</v>
      </c>
      <c r="T20">
        <v>38.229999999999997</v>
      </c>
      <c r="U20" t="s">
        <v>322</v>
      </c>
      <c r="V20">
        <f t="shared" si="14"/>
        <v>38.229999999999997</v>
      </c>
      <c r="W20">
        <v>9</v>
      </c>
      <c r="BF20">
        <f t="shared" si="10"/>
        <v>107.61</v>
      </c>
      <c r="BG20">
        <f t="shared" si="11"/>
        <v>101.05</v>
      </c>
      <c r="BH20">
        <f t="shared" si="11"/>
        <v>3</v>
      </c>
      <c r="BI20">
        <f t="shared" si="11"/>
        <v>84.64</v>
      </c>
      <c r="BJ20">
        <f t="shared" si="12"/>
        <v>38.229999999999997</v>
      </c>
      <c r="BK20">
        <f t="shared" si="12"/>
        <v>9</v>
      </c>
    </row>
    <row r="21" spans="1:63" ht="51" x14ac:dyDescent="0.2">
      <c r="D21" t="s">
        <v>481</v>
      </c>
      <c r="G21" s="3" t="s">
        <v>514</v>
      </c>
      <c r="H21" s="3" t="s">
        <v>517</v>
      </c>
      <c r="K21" t="s">
        <v>585</v>
      </c>
      <c r="N21">
        <v>6.55</v>
      </c>
      <c r="O21">
        <v>10.66</v>
      </c>
      <c r="P21" t="s">
        <v>322</v>
      </c>
      <c r="Q21">
        <f t="shared" si="13"/>
        <v>10.66</v>
      </c>
      <c r="R21">
        <v>3</v>
      </c>
      <c r="S21">
        <v>5.89</v>
      </c>
      <c r="T21">
        <v>5.55</v>
      </c>
      <c r="U21" t="s">
        <v>322</v>
      </c>
      <c r="V21">
        <f t="shared" si="14"/>
        <v>5.55</v>
      </c>
      <c r="W21">
        <v>9</v>
      </c>
      <c r="BF21">
        <f t="shared" si="10"/>
        <v>6.55</v>
      </c>
      <c r="BG21">
        <f t="shared" si="11"/>
        <v>10.66</v>
      </c>
      <c r="BH21">
        <f t="shared" si="11"/>
        <v>3</v>
      </c>
      <c r="BI21">
        <f t="shared" si="11"/>
        <v>5.89</v>
      </c>
      <c r="BJ21">
        <f t="shared" si="12"/>
        <v>5.55</v>
      </c>
      <c r="BK21">
        <f t="shared" si="12"/>
        <v>9</v>
      </c>
    </row>
    <row r="22" spans="1:63" ht="17" x14ac:dyDescent="0.2">
      <c r="A22">
        <v>9</v>
      </c>
      <c r="B22" t="s">
        <v>141</v>
      </c>
      <c r="C22">
        <v>2019</v>
      </c>
      <c r="D22" s="3" t="s">
        <v>521</v>
      </c>
      <c r="E22" t="s">
        <v>420</v>
      </c>
      <c r="F22" s="3" t="s">
        <v>520</v>
      </c>
      <c r="K22" t="s">
        <v>586</v>
      </c>
      <c r="M22" s="3"/>
      <c r="N22">
        <v>0</v>
      </c>
      <c r="O22">
        <v>0</v>
      </c>
      <c r="P22" t="s">
        <v>322</v>
      </c>
      <c r="Q22">
        <f t="shared" si="13"/>
        <v>0</v>
      </c>
      <c r="R22">
        <v>37</v>
      </c>
      <c r="S22">
        <v>5.0599999999999996</v>
      </c>
      <c r="T22">
        <v>22.75</v>
      </c>
      <c r="U22" t="s">
        <v>322</v>
      </c>
      <c r="V22">
        <f t="shared" si="14"/>
        <v>22.75</v>
      </c>
      <c r="W22">
        <v>37</v>
      </c>
      <c r="BF22">
        <f t="shared" si="10"/>
        <v>0</v>
      </c>
      <c r="BG22">
        <f t="shared" si="11"/>
        <v>0</v>
      </c>
      <c r="BH22">
        <f t="shared" si="11"/>
        <v>37</v>
      </c>
      <c r="BI22">
        <f t="shared" si="11"/>
        <v>5.0599999999999996</v>
      </c>
      <c r="BJ22">
        <f t="shared" si="12"/>
        <v>22.75</v>
      </c>
      <c r="BK22">
        <f t="shared" si="12"/>
        <v>37</v>
      </c>
    </row>
    <row r="23" spans="1:63" ht="17" x14ac:dyDescent="0.2">
      <c r="A23">
        <v>9</v>
      </c>
      <c r="D23" s="3" t="s">
        <v>522</v>
      </c>
      <c r="E23" t="s">
        <v>523</v>
      </c>
      <c r="F23" s="3" t="s">
        <v>524</v>
      </c>
      <c r="K23" t="s">
        <v>587</v>
      </c>
      <c r="M23" s="3"/>
      <c r="N23">
        <v>0</v>
      </c>
      <c r="O23">
        <v>0</v>
      </c>
      <c r="P23" t="s">
        <v>322</v>
      </c>
      <c r="Q23">
        <f t="shared" si="13"/>
        <v>0</v>
      </c>
      <c r="R23">
        <v>37</v>
      </c>
      <c r="S23">
        <v>4.32</v>
      </c>
      <c r="T23">
        <v>13.67</v>
      </c>
      <c r="U23" t="s">
        <v>322</v>
      </c>
      <c r="V23">
        <f t="shared" si="14"/>
        <v>13.67</v>
      </c>
      <c r="W23">
        <v>27</v>
      </c>
      <c r="BF23">
        <f t="shared" si="10"/>
        <v>0</v>
      </c>
      <c r="BG23">
        <f t="shared" si="11"/>
        <v>0</v>
      </c>
      <c r="BH23">
        <f t="shared" si="11"/>
        <v>37</v>
      </c>
      <c r="BI23">
        <f t="shared" si="11"/>
        <v>4.32</v>
      </c>
      <c r="BJ23">
        <f t="shared" si="12"/>
        <v>13.67</v>
      </c>
      <c r="BK23">
        <f t="shared" si="12"/>
        <v>27</v>
      </c>
    </row>
    <row r="24" spans="1:63" x14ac:dyDescent="0.2">
      <c r="A24" s="3">
        <v>10</v>
      </c>
      <c r="B24" t="s">
        <v>238</v>
      </c>
      <c r="C24">
        <v>2018</v>
      </c>
      <c r="D24" t="s">
        <v>521</v>
      </c>
      <c r="E24" t="s">
        <v>525</v>
      </c>
      <c r="F24" t="s">
        <v>526</v>
      </c>
      <c r="I24" t="s">
        <v>525</v>
      </c>
      <c r="J24" t="s">
        <v>527</v>
      </c>
      <c r="K24" t="s">
        <v>584</v>
      </c>
      <c r="N24" t="s">
        <v>319</v>
      </c>
      <c r="O24" t="s">
        <v>319</v>
      </c>
      <c r="P24" t="s">
        <v>319</v>
      </c>
      <c r="Q24" t="s">
        <v>319</v>
      </c>
      <c r="R24" t="s">
        <v>319</v>
      </c>
      <c r="S24" t="s">
        <v>319</v>
      </c>
      <c r="T24" t="s">
        <v>319</v>
      </c>
      <c r="U24" t="s">
        <v>319</v>
      </c>
      <c r="V24" t="s">
        <v>319</v>
      </c>
      <c r="W24" t="s">
        <v>319</v>
      </c>
      <c r="Y24">
        <v>0</v>
      </c>
      <c r="Z24">
        <v>0</v>
      </c>
      <c r="AA24" t="s">
        <v>322</v>
      </c>
      <c r="AB24">
        <v>0</v>
      </c>
      <c r="AC24">
        <v>5</v>
      </c>
      <c r="AD24">
        <v>0.04</v>
      </c>
      <c r="AE24">
        <v>0.09</v>
      </c>
      <c r="AF24" t="s">
        <v>322</v>
      </c>
      <c r="AG24">
        <v>0.09</v>
      </c>
      <c r="AH24">
        <v>5</v>
      </c>
      <c r="AI24">
        <v>0</v>
      </c>
      <c r="AJ24">
        <v>0</v>
      </c>
      <c r="AK24" t="s">
        <v>322</v>
      </c>
      <c r="AL24">
        <v>0</v>
      </c>
      <c r="AM24">
        <v>5</v>
      </c>
      <c r="AN24">
        <v>0.18</v>
      </c>
      <c r="AO24">
        <v>0.4</v>
      </c>
      <c r="AP24" t="s">
        <v>322</v>
      </c>
      <c r="AQ24">
        <v>0.4</v>
      </c>
      <c r="AR24">
        <v>5</v>
      </c>
      <c r="AS24" t="s">
        <v>323</v>
      </c>
      <c r="AT24">
        <f>AN24-AI24</f>
        <v>0.18</v>
      </c>
      <c r="AU24">
        <f>AR24+AM24</f>
        <v>10</v>
      </c>
      <c r="AV24">
        <f>((AR24-1)*AQ24^2)+((AM24-1)*AL24^2)</f>
        <v>0.64000000000000012</v>
      </c>
      <c r="AW24">
        <f>SQRT(AV24/(AU24-2))</f>
        <v>0.28284271247461906</v>
      </c>
      <c r="AX24">
        <f>AR24</f>
        <v>5</v>
      </c>
      <c r="AY24" t="s">
        <v>324</v>
      </c>
      <c r="AZ24">
        <f>AD24-Y24</f>
        <v>0.04</v>
      </c>
      <c r="BA24">
        <f>AH24+AC24</f>
        <v>10</v>
      </c>
      <c r="BB24">
        <f>((AH24-1)*AG24^2)+((AC24-1)*AB24^2)</f>
        <v>3.2399999999999998E-2</v>
      </c>
      <c r="BC24">
        <f>SQRT(BB24/(BA24-2))</f>
        <v>6.3639610306789274E-2</v>
      </c>
      <c r="BD24">
        <f>AH24</f>
        <v>5</v>
      </c>
      <c r="BF24">
        <f>AZ24</f>
        <v>0.04</v>
      </c>
      <c r="BG24">
        <f>BC24</f>
        <v>6.3639610306789274E-2</v>
      </c>
      <c r="BH24">
        <f>BD24</f>
        <v>5</v>
      </c>
      <c r="BI24">
        <f>AT24</f>
        <v>0.18</v>
      </c>
      <c r="BJ24">
        <f>AW24</f>
        <v>0.28284271247461906</v>
      </c>
      <c r="BK24">
        <f>AX24</f>
        <v>5</v>
      </c>
    </row>
    <row r="25" spans="1:63" x14ac:dyDescent="0.2">
      <c r="A25">
        <v>10</v>
      </c>
      <c r="D25" t="s">
        <v>522</v>
      </c>
      <c r="E25" t="s">
        <v>529</v>
      </c>
      <c r="F25" t="s">
        <v>528</v>
      </c>
      <c r="I25" t="s">
        <v>530</v>
      </c>
      <c r="J25" t="s">
        <v>531</v>
      </c>
      <c r="K25" t="s">
        <v>584</v>
      </c>
      <c r="N25" t="s">
        <v>319</v>
      </c>
      <c r="O25" t="s">
        <v>319</v>
      </c>
      <c r="P25" t="s">
        <v>319</v>
      </c>
      <c r="Q25" t="s">
        <v>319</v>
      </c>
      <c r="R25" t="s">
        <v>319</v>
      </c>
      <c r="S25" t="s">
        <v>319</v>
      </c>
      <c r="T25" t="s">
        <v>319</v>
      </c>
      <c r="U25" t="s">
        <v>319</v>
      </c>
      <c r="V25" t="s">
        <v>319</v>
      </c>
      <c r="W25" t="s">
        <v>319</v>
      </c>
      <c r="Y25">
        <v>2.1800000000000002</v>
      </c>
      <c r="Z25">
        <v>2.48</v>
      </c>
      <c r="AA25" t="s">
        <v>322</v>
      </c>
      <c r="AB25">
        <f>Z25</f>
        <v>2.48</v>
      </c>
      <c r="AC25">
        <v>5</v>
      </c>
      <c r="AD25">
        <v>3.32</v>
      </c>
      <c r="AE25">
        <v>2.95</v>
      </c>
      <c r="AF25" t="s">
        <v>322</v>
      </c>
      <c r="AG25">
        <f>AE25</f>
        <v>2.95</v>
      </c>
      <c r="AH25">
        <v>5</v>
      </c>
      <c r="AI25">
        <v>6.68</v>
      </c>
      <c r="AJ25">
        <v>7.52</v>
      </c>
      <c r="AK25" t="s">
        <v>322</v>
      </c>
      <c r="AL25">
        <f>AJ25</f>
        <v>7.52</v>
      </c>
      <c r="AM25">
        <v>5</v>
      </c>
      <c r="AN25">
        <v>11.54</v>
      </c>
      <c r="AO25">
        <v>9.92</v>
      </c>
      <c r="AP25" t="s">
        <v>322</v>
      </c>
      <c r="AQ25">
        <f>AO25</f>
        <v>9.92</v>
      </c>
      <c r="AR25">
        <v>5</v>
      </c>
      <c r="AS25" t="s">
        <v>323</v>
      </c>
      <c r="AT25">
        <f>AN25-AI25</f>
        <v>4.8599999999999994</v>
      </c>
      <c r="AU25">
        <f>AR25+AM25</f>
        <v>10</v>
      </c>
      <c r="AV25">
        <f>((AR25-1)*AQ25^2)+((AM25-1)*AL25^2)</f>
        <v>619.82719999999995</v>
      </c>
      <c r="AW25">
        <f>SQRT(AV25/(AU25-2))</f>
        <v>8.802181547775529</v>
      </c>
      <c r="AX25">
        <f>AR25</f>
        <v>5</v>
      </c>
      <c r="AY25" t="s">
        <v>324</v>
      </c>
      <c r="AZ25">
        <f>AD25-Y25</f>
        <v>1.1399999999999997</v>
      </c>
      <c r="BA25">
        <f>AH25+AC25</f>
        <v>10</v>
      </c>
      <c r="BB25">
        <f>((AH25-1)*AG25^2)+((AC25-1)*AB25^2)</f>
        <v>59.411600000000007</v>
      </c>
      <c r="BC25">
        <f>SQRT(BB25/(BA25-2))</f>
        <v>2.7251513719424838</v>
      </c>
      <c r="BD25">
        <f>AH25</f>
        <v>5</v>
      </c>
      <c r="BF25">
        <f>AZ25</f>
        <v>1.1399999999999997</v>
      </c>
      <c r="BG25">
        <f t="shared" ref="BG25:BH25" si="15">BC25</f>
        <v>2.7251513719424838</v>
      </c>
      <c r="BH25">
        <f t="shared" si="15"/>
        <v>5</v>
      </c>
      <c r="BI25">
        <f>AT25</f>
        <v>4.8599999999999994</v>
      </c>
      <c r="BJ25">
        <f t="shared" ref="BJ25:BK25" si="16">AW25</f>
        <v>8.802181547775529</v>
      </c>
      <c r="BK25">
        <f t="shared" si="16"/>
        <v>5</v>
      </c>
    </row>
    <row r="26" spans="1:63" ht="17" x14ac:dyDescent="0.2">
      <c r="A26">
        <v>11</v>
      </c>
      <c r="B26" t="s">
        <v>206</v>
      </c>
      <c r="C26">
        <v>2014</v>
      </c>
      <c r="D26" s="3" t="s">
        <v>532</v>
      </c>
      <c r="E26" t="s">
        <v>542</v>
      </c>
      <c r="F26" s="3" t="s">
        <v>541</v>
      </c>
      <c r="I26" t="s">
        <v>543</v>
      </c>
      <c r="J26" s="3" t="s">
        <v>544</v>
      </c>
      <c r="K26" s="3" t="s">
        <v>588</v>
      </c>
      <c r="L26" t="s">
        <v>203</v>
      </c>
      <c r="N26" t="s">
        <v>319</v>
      </c>
      <c r="O26" t="s">
        <v>319</v>
      </c>
      <c r="P26" t="s">
        <v>319</v>
      </c>
      <c r="Q26" t="s">
        <v>319</v>
      </c>
      <c r="R26" t="s">
        <v>319</v>
      </c>
      <c r="S26" t="s">
        <v>319</v>
      </c>
      <c r="T26" t="s">
        <v>319</v>
      </c>
      <c r="U26" t="s">
        <v>319</v>
      </c>
      <c r="V26" t="s">
        <v>319</v>
      </c>
      <c r="W26" t="s">
        <v>319</v>
      </c>
      <c r="Y26">
        <v>6</v>
      </c>
      <c r="Z26">
        <v>3</v>
      </c>
      <c r="AA26" t="s">
        <v>316</v>
      </c>
      <c r="AB26">
        <f>Z26*SQRT(AC26)</f>
        <v>8.4852813742385713</v>
      </c>
      <c r="AC26">
        <v>8</v>
      </c>
      <c r="AD26">
        <v>11.5</v>
      </c>
      <c r="AE26">
        <v>10.5</v>
      </c>
      <c r="AF26" t="s">
        <v>316</v>
      </c>
      <c r="AG26">
        <f>AE26*SQRT(AH26)</f>
        <v>29.698484809834998</v>
      </c>
      <c r="AH26">
        <v>8</v>
      </c>
      <c r="AI26">
        <v>2</v>
      </c>
      <c r="AJ26">
        <v>1</v>
      </c>
      <c r="AK26" t="s">
        <v>316</v>
      </c>
      <c r="AL26">
        <f>AJ26*SQRT(AM26)</f>
        <v>2.6457513110645907</v>
      </c>
      <c r="AM26">
        <v>7</v>
      </c>
      <c r="AN26">
        <v>10</v>
      </c>
      <c r="AO26">
        <v>14</v>
      </c>
      <c r="AP26" t="s">
        <v>316</v>
      </c>
      <c r="AQ26">
        <f>AO26*SQRT(AR26)</f>
        <v>37.040518354904272</v>
      </c>
      <c r="AR26">
        <v>7</v>
      </c>
      <c r="AS26" t="s">
        <v>323</v>
      </c>
      <c r="AT26">
        <f>AN26-AI26</f>
        <v>8</v>
      </c>
      <c r="AU26">
        <f t="shared" ref="AU26:AU35" si="17">AR26+AM26</f>
        <v>14</v>
      </c>
      <c r="AV26">
        <f t="shared" ref="AV26:AV35" si="18">((AR26-1)*AQ26^2)+((AM26-1)*AL26^2)</f>
        <v>8274.0000000000018</v>
      </c>
      <c r="AW26">
        <f t="shared" ref="AW26:AW35" si="19">SQRT(AV26/(AU26-2))</f>
        <v>26.258332011001766</v>
      </c>
      <c r="AX26">
        <f>AR26</f>
        <v>7</v>
      </c>
      <c r="AY26" t="s">
        <v>324</v>
      </c>
      <c r="AZ26">
        <f>AD26-Y26</f>
        <v>5.5</v>
      </c>
      <c r="BA26">
        <f t="shared" ref="BA26:BA35" si="20">AH26+AC26</f>
        <v>16</v>
      </c>
      <c r="BB26">
        <f t="shared" ref="BB26:BB35" si="21">((AH26-1)*AG26^2)+((AC26-1)*AB26^2)</f>
        <v>6678.0000000000009</v>
      </c>
      <c r="BC26">
        <f t="shared" ref="BC26:BC35" si="22">SQRT(BB26/(BA26-2))</f>
        <v>21.840329667841555</v>
      </c>
      <c r="BD26">
        <f t="shared" ref="BD26:BD35" si="23">AH26</f>
        <v>8</v>
      </c>
      <c r="BF26">
        <f t="shared" ref="BF26:BF35" si="24">AZ26</f>
        <v>5.5</v>
      </c>
      <c r="BG26">
        <f>BC26</f>
        <v>21.840329667841555</v>
      </c>
      <c r="BH26">
        <f>BD26</f>
        <v>8</v>
      </c>
      <c r="BI26">
        <f t="shared" ref="BI26:BI35" si="25">AT26</f>
        <v>8</v>
      </c>
      <c r="BJ26">
        <f t="shared" ref="BJ26:BJ35" si="26">AW26</f>
        <v>26.258332011001766</v>
      </c>
      <c r="BK26">
        <f t="shared" ref="BK26:BK35" si="27">AX26</f>
        <v>7</v>
      </c>
    </row>
    <row r="27" spans="1:63" ht="17" x14ac:dyDescent="0.2">
      <c r="A27">
        <v>11</v>
      </c>
      <c r="D27" s="3" t="s">
        <v>533</v>
      </c>
      <c r="E27" t="s">
        <v>545</v>
      </c>
      <c r="F27" s="3" t="s">
        <v>546</v>
      </c>
      <c r="I27" t="s">
        <v>543</v>
      </c>
      <c r="J27" s="3" t="s">
        <v>544</v>
      </c>
      <c r="K27" s="3" t="s">
        <v>589</v>
      </c>
      <c r="L27" t="s">
        <v>203</v>
      </c>
      <c r="N27" t="s">
        <v>319</v>
      </c>
      <c r="O27" t="s">
        <v>319</v>
      </c>
      <c r="P27" t="s">
        <v>319</v>
      </c>
      <c r="Q27" t="s">
        <v>319</v>
      </c>
      <c r="R27" t="s">
        <v>319</v>
      </c>
      <c r="S27" t="s">
        <v>319</v>
      </c>
      <c r="T27" t="s">
        <v>319</v>
      </c>
      <c r="U27" t="s">
        <v>319</v>
      </c>
      <c r="V27" t="s">
        <v>319</v>
      </c>
      <c r="W27" t="s">
        <v>319</v>
      </c>
      <c r="Y27">
        <v>6</v>
      </c>
      <c r="Z27">
        <v>3</v>
      </c>
      <c r="AA27" t="s">
        <v>316</v>
      </c>
      <c r="AB27">
        <f t="shared" ref="AB27:AB35" si="28">Z27*SQRT(AC27)</f>
        <v>8.4852813742385713</v>
      </c>
      <c r="AC27">
        <v>8</v>
      </c>
      <c r="AD27">
        <v>11.5</v>
      </c>
      <c r="AE27">
        <v>10.5</v>
      </c>
      <c r="AF27" t="s">
        <v>316</v>
      </c>
      <c r="AG27">
        <f t="shared" ref="AG27:AG35" si="29">AE27*SQRT(AH27)</f>
        <v>29.698484809834998</v>
      </c>
      <c r="AH27">
        <v>8</v>
      </c>
      <c r="AI27">
        <v>12</v>
      </c>
      <c r="AJ27">
        <v>26</v>
      </c>
      <c r="AK27" t="s">
        <v>316</v>
      </c>
      <c r="AL27">
        <f t="shared" ref="AL27:AL35" si="30">AJ27*SQRT(AM27)</f>
        <v>58.137767414994535</v>
      </c>
      <c r="AM27">
        <v>5</v>
      </c>
      <c r="AN27">
        <v>18</v>
      </c>
      <c r="AO27">
        <v>20</v>
      </c>
      <c r="AP27" t="s">
        <v>316</v>
      </c>
      <c r="AQ27">
        <f t="shared" ref="AQ27:AQ35" si="31">AO27*SQRT(AR27)</f>
        <v>44.721359549995796</v>
      </c>
      <c r="AR27">
        <v>5</v>
      </c>
      <c r="AS27" t="s">
        <v>323</v>
      </c>
      <c r="AT27">
        <f t="shared" ref="AT27:AT34" si="32">AN27-AI27</f>
        <v>6</v>
      </c>
      <c r="AU27">
        <f t="shared" si="17"/>
        <v>10</v>
      </c>
      <c r="AV27">
        <f t="shared" si="18"/>
        <v>21520.000000000004</v>
      </c>
      <c r="AW27">
        <f t="shared" si="19"/>
        <v>51.86520991955976</v>
      </c>
      <c r="AX27">
        <f t="shared" ref="AX27:AX34" si="33">AR27</f>
        <v>5</v>
      </c>
      <c r="AY27" t="s">
        <v>324</v>
      </c>
      <c r="AZ27">
        <f t="shared" ref="AZ27:AZ34" si="34">AD27-Y27</f>
        <v>5.5</v>
      </c>
      <c r="BA27">
        <f t="shared" si="20"/>
        <v>16</v>
      </c>
      <c r="BB27">
        <f t="shared" si="21"/>
        <v>6678.0000000000009</v>
      </c>
      <c r="BC27">
        <f t="shared" si="22"/>
        <v>21.840329667841555</v>
      </c>
      <c r="BD27">
        <f t="shared" si="23"/>
        <v>8</v>
      </c>
      <c r="BF27">
        <f t="shared" si="24"/>
        <v>5.5</v>
      </c>
      <c r="BG27">
        <f t="shared" ref="BG27:BG34" si="35">BC27</f>
        <v>21.840329667841555</v>
      </c>
      <c r="BH27">
        <f t="shared" ref="BH27:BH34" si="36">BD27</f>
        <v>8</v>
      </c>
      <c r="BI27">
        <f t="shared" si="25"/>
        <v>6</v>
      </c>
      <c r="BJ27">
        <f t="shared" si="26"/>
        <v>51.86520991955976</v>
      </c>
      <c r="BK27">
        <f t="shared" si="27"/>
        <v>5</v>
      </c>
    </row>
    <row r="28" spans="1:63" ht="17" x14ac:dyDescent="0.2">
      <c r="A28">
        <v>11</v>
      </c>
      <c r="D28" s="3" t="s">
        <v>534</v>
      </c>
      <c r="E28" t="s">
        <v>547</v>
      </c>
      <c r="F28" s="3" t="s">
        <v>548</v>
      </c>
      <c r="I28" t="s">
        <v>549</v>
      </c>
      <c r="J28" s="3" t="s">
        <v>550</v>
      </c>
      <c r="K28" s="3" t="s">
        <v>588</v>
      </c>
      <c r="L28" t="s">
        <v>203</v>
      </c>
      <c r="N28" t="s">
        <v>319</v>
      </c>
      <c r="O28" t="s">
        <v>319</v>
      </c>
      <c r="P28" t="s">
        <v>319</v>
      </c>
      <c r="Q28" t="s">
        <v>319</v>
      </c>
      <c r="R28" t="s">
        <v>319</v>
      </c>
      <c r="S28" t="s">
        <v>319</v>
      </c>
      <c r="T28" t="s">
        <v>319</v>
      </c>
      <c r="U28" t="s">
        <v>319</v>
      </c>
      <c r="V28" t="s">
        <v>319</v>
      </c>
      <c r="W28" t="s">
        <v>319</v>
      </c>
      <c r="Y28">
        <v>3.5</v>
      </c>
      <c r="Z28">
        <v>1.5</v>
      </c>
      <c r="AA28" t="s">
        <v>316</v>
      </c>
      <c r="AB28">
        <f t="shared" si="28"/>
        <v>4.2426406871192857</v>
      </c>
      <c r="AC28">
        <v>8</v>
      </c>
      <c r="AD28">
        <v>4.5</v>
      </c>
      <c r="AE28">
        <v>2.5</v>
      </c>
      <c r="AF28" t="s">
        <v>316</v>
      </c>
      <c r="AG28">
        <f t="shared" si="29"/>
        <v>7.0710678118654755</v>
      </c>
      <c r="AH28">
        <v>8</v>
      </c>
      <c r="AI28">
        <v>5</v>
      </c>
      <c r="AJ28">
        <v>2</v>
      </c>
      <c r="AK28" t="s">
        <v>316</v>
      </c>
      <c r="AL28">
        <f t="shared" si="30"/>
        <v>5.2915026221291814</v>
      </c>
      <c r="AM28">
        <v>7</v>
      </c>
      <c r="AN28">
        <v>22.5</v>
      </c>
      <c r="AO28">
        <v>10.5</v>
      </c>
      <c r="AP28" t="s">
        <v>316</v>
      </c>
      <c r="AQ28">
        <f t="shared" si="31"/>
        <v>27.780388766178202</v>
      </c>
      <c r="AR28">
        <v>7</v>
      </c>
      <c r="AS28" t="s">
        <v>323</v>
      </c>
      <c r="AT28">
        <f t="shared" si="32"/>
        <v>17.5</v>
      </c>
      <c r="AU28">
        <f t="shared" si="17"/>
        <v>14</v>
      </c>
      <c r="AV28">
        <f t="shared" si="18"/>
        <v>4798.5</v>
      </c>
      <c r="AW28">
        <f t="shared" si="19"/>
        <v>19.996874755821221</v>
      </c>
      <c r="AX28">
        <f t="shared" si="33"/>
        <v>7</v>
      </c>
      <c r="AY28" t="s">
        <v>324</v>
      </c>
      <c r="AZ28">
        <f t="shared" si="34"/>
        <v>1</v>
      </c>
      <c r="BA28">
        <f t="shared" si="20"/>
        <v>16</v>
      </c>
      <c r="BB28">
        <f t="shared" si="21"/>
        <v>476.00000000000011</v>
      </c>
      <c r="BC28">
        <f t="shared" si="22"/>
        <v>5.8309518948453007</v>
      </c>
      <c r="BD28">
        <f t="shared" si="23"/>
        <v>8</v>
      </c>
      <c r="BF28">
        <f t="shared" si="24"/>
        <v>1</v>
      </c>
      <c r="BG28">
        <f t="shared" si="35"/>
        <v>5.8309518948453007</v>
      </c>
      <c r="BH28">
        <f t="shared" si="36"/>
        <v>8</v>
      </c>
      <c r="BI28">
        <f t="shared" si="25"/>
        <v>17.5</v>
      </c>
      <c r="BJ28">
        <f t="shared" si="26"/>
        <v>19.996874755821221</v>
      </c>
      <c r="BK28">
        <f t="shared" si="27"/>
        <v>7</v>
      </c>
    </row>
    <row r="29" spans="1:63" ht="17" x14ac:dyDescent="0.2">
      <c r="A29">
        <v>11</v>
      </c>
      <c r="D29" s="4" t="s">
        <v>533</v>
      </c>
      <c r="E29" t="s">
        <v>551</v>
      </c>
      <c r="F29" s="3" t="s">
        <v>552</v>
      </c>
      <c r="I29" t="s">
        <v>549</v>
      </c>
      <c r="J29" s="3" t="s">
        <v>550</v>
      </c>
      <c r="K29" s="3" t="s">
        <v>589</v>
      </c>
      <c r="L29" t="s">
        <v>203</v>
      </c>
      <c r="N29" t="s">
        <v>319</v>
      </c>
      <c r="O29" t="s">
        <v>319</v>
      </c>
      <c r="P29" t="s">
        <v>319</v>
      </c>
      <c r="Q29" t="s">
        <v>319</v>
      </c>
      <c r="R29" t="s">
        <v>319</v>
      </c>
      <c r="S29" t="s">
        <v>319</v>
      </c>
      <c r="T29" t="s">
        <v>319</v>
      </c>
      <c r="U29" t="s">
        <v>319</v>
      </c>
      <c r="V29" t="s">
        <v>319</v>
      </c>
      <c r="W29" t="s">
        <v>319</v>
      </c>
      <c r="Y29">
        <v>3.5</v>
      </c>
      <c r="Z29">
        <v>1.5</v>
      </c>
      <c r="AA29" t="s">
        <v>316</v>
      </c>
      <c r="AB29">
        <f t="shared" si="28"/>
        <v>4.2426406871192857</v>
      </c>
      <c r="AC29">
        <v>8</v>
      </c>
      <c r="AD29">
        <v>4.5</v>
      </c>
      <c r="AE29">
        <v>2.5</v>
      </c>
      <c r="AF29" t="s">
        <v>316</v>
      </c>
      <c r="AG29">
        <f t="shared" si="29"/>
        <v>7.0710678118654755</v>
      </c>
      <c r="AH29">
        <v>8</v>
      </c>
      <c r="AI29">
        <v>5.5</v>
      </c>
      <c r="AJ29">
        <v>4.5</v>
      </c>
      <c r="AK29" t="s">
        <v>316</v>
      </c>
      <c r="AL29">
        <f t="shared" si="30"/>
        <v>10.062305898749054</v>
      </c>
      <c r="AM29">
        <v>5</v>
      </c>
      <c r="AN29">
        <v>22</v>
      </c>
      <c r="AO29">
        <v>11.5</v>
      </c>
      <c r="AP29" t="s">
        <v>316</v>
      </c>
      <c r="AQ29">
        <f t="shared" si="31"/>
        <v>25.714781741247585</v>
      </c>
      <c r="AR29">
        <v>5</v>
      </c>
      <c r="AS29" t="s">
        <v>323</v>
      </c>
      <c r="AT29">
        <f t="shared" si="32"/>
        <v>16.5</v>
      </c>
      <c r="AU29">
        <f t="shared" si="17"/>
        <v>10</v>
      </c>
      <c r="AV29">
        <f t="shared" si="18"/>
        <v>3050.0000000000005</v>
      </c>
      <c r="AW29">
        <f t="shared" si="19"/>
        <v>19.525624189766638</v>
      </c>
      <c r="AX29">
        <f t="shared" si="33"/>
        <v>5</v>
      </c>
      <c r="AY29" t="s">
        <v>324</v>
      </c>
      <c r="AZ29">
        <f t="shared" si="34"/>
        <v>1</v>
      </c>
      <c r="BA29">
        <f t="shared" si="20"/>
        <v>16</v>
      </c>
      <c r="BB29">
        <f t="shared" si="21"/>
        <v>476.00000000000011</v>
      </c>
      <c r="BC29">
        <f t="shared" si="22"/>
        <v>5.8309518948453007</v>
      </c>
      <c r="BD29">
        <f t="shared" si="23"/>
        <v>8</v>
      </c>
      <c r="BF29">
        <f t="shared" si="24"/>
        <v>1</v>
      </c>
      <c r="BG29">
        <f t="shared" si="35"/>
        <v>5.8309518948453007</v>
      </c>
      <c r="BH29">
        <f t="shared" si="36"/>
        <v>8</v>
      </c>
      <c r="BI29">
        <f t="shared" si="25"/>
        <v>16.5</v>
      </c>
      <c r="BJ29">
        <f t="shared" si="26"/>
        <v>19.525624189766638</v>
      </c>
      <c r="BK29">
        <f t="shared" si="27"/>
        <v>5</v>
      </c>
    </row>
    <row r="30" spans="1:63" ht="17" x14ac:dyDescent="0.2">
      <c r="A30">
        <v>11</v>
      </c>
      <c r="D30" s="3" t="s">
        <v>535</v>
      </c>
      <c r="E30" t="s">
        <v>553</v>
      </c>
      <c r="F30" s="3" t="s">
        <v>554</v>
      </c>
      <c r="I30" t="s">
        <v>555</v>
      </c>
      <c r="J30" s="3" t="s">
        <v>556</v>
      </c>
      <c r="K30" s="3" t="s">
        <v>588</v>
      </c>
      <c r="L30" t="s">
        <v>203</v>
      </c>
      <c r="N30" t="s">
        <v>319</v>
      </c>
      <c r="O30" t="s">
        <v>319</v>
      </c>
      <c r="P30" t="s">
        <v>319</v>
      </c>
      <c r="Q30" t="s">
        <v>319</v>
      </c>
      <c r="R30" t="s">
        <v>319</v>
      </c>
      <c r="S30" t="s">
        <v>319</v>
      </c>
      <c r="T30" t="s">
        <v>319</v>
      </c>
      <c r="U30" t="s">
        <v>319</v>
      </c>
      <c r="V30" t="s">
        <v>319</v>
      </c>
      <c r="W30" t="s">
        <v>319</v>
      </c>
      <c r="Y30">
        <v>19</v>
      </c>
      <c r="Z30">
        <v>8</v>
      </c>
      <c r="AA30" t="s">
        <v>316</v>
      </c>
      <c r="AB30">
        <f t="shared" si="28"/>
        <v>22.627416997969522</v>
      </c>
      <c r="AC30">
        <v>8</v>
      </c>
      <c r="AD30">
        <v>30.5</v>
      </c>
      <c r="AE30">
        <v>9</v>
      </c>
      <c r="AF30" t="s">
        <v>316</v>
      </c>
      <c r="AG30">
        <f t="shared" si="29"/>
        <v>25.455844122715714</v>
      </c>
      <c r="AH30">
        <v>8</v>
      </c>
      <c r="AI30">
        <v>13</v>
      </c>
      <c r="AJ30">
        <v>2</v>
      </c>
      <c r="AK30" t="s">
        <v>316</v>
      </c>
      <c r="AL30">
        <f t="shared" si="30"/>
        <v>5.2915026221291814</v>
      </c>
      <c r="AM30">
        <v>7</v>
      </c>
      <c r="AN30">
        <v>32</v>
      </c>
      <c r="AO30">
        <v>13</v>
      </c>
      <c r="AP30" t="s">
        <v>316</v>
      </c>
      <c r="AQ30">
        <f t="shared" si="31"/>
        <v>34.394767043839678</v>
      </c>
      <c r="AR30">
        <v>7</v>
      </c>
      <c r="AS30" t="s">
        <v>323</v>
      </c>
      <c r="AT30">
        <f t="shared" si="32"/>
        <v>19</v>
      </c>
      <c r="AU30">
        <f t="shared" si="17"/>
        <v>14</v>
      </c>
      <c r="AV30">
        <f t="shared" si="18"/>
        <v>7266</v>
      </c>
      <c r="AW30">
        <f t="shared" si="19"/>
        <v>24.606909598728564</v>
      </c>
      <c r="AX30">
        <f t="shared" si="33"/>
        <v>7</v>
      </c>
      <c r="AY30" t="s">
        <v>324</v>
      </c>
      <c r="AZ30">
        <f t="shared" si="34"/>
        <v>11.5</v>
      </c>
      <c r="BA30">
        <f t="shared" si="20"/>
        <v>16</v>
      </c>
      <c r="BB30">
        <f t="shared" si="21"/>
        <v>8120.0000000000018</v>
      </c>
      <c r="BC30">
        <f t="shared" si="22"/>
        <v>24.083189157584592</v>
      </c>
      <c r="BD30">
        <f t="shared" si="23"/>
        <v>8</v>
      </c>
      <c r="BF30">
        <f t="shared" si="24"/>
        <v>11.5</v>
      </c>
      <c r="BG30">
        <f t="shared" si="35"/>
        <v>24.083189157584592</v>
      </c>
      <c r="BH30">
        <f t="shared" si="36"/>
        <v>8</v>
      </c>
      <c r="BI30">
        <f t="shared" si="25"/>
        <v>19</v>
      </c>
      <c r="BJ30">
        <f t="shared" si="26"/>
        <v>24.606909598728564</v>
      </c>
      <c r="BK30">
        <f t="shared" si="27"/>
        <v>7</v>
      </c>
    </row>
    <row r="31" spans="1:63" ht="17" x14ac:dyDescent="0.2">
      <c r="A31">
        <v>11</v>
      </c>
      <c r="D31" s="3" t="s">
        <v>536</v>
      </c>
      <c r="E31" t="s">
        <v>558</v>
      </c>
      <c r="F31" s="3" t="s">
        <v>557</v>
      </c>
      <c r="I31" t="s">
        <v>555</v>
      </c>
      <c r="J31" s="3" t="s">
        <v>556</v>
      </c>
      <c r="K31" s="3" t="s">
        <v>589</v>
      </c>
      <c r="L31" t="s">
        <v>203</v>
      </c>
      <c r="N31" t="s">
        <v>319</v>
      </c>
      <c r="O31" t="s">
        <v>319</v>
      </c>
      <c r="P31" t="s">
        <v>319</v>
      </c>
      <c r="Q31" t="s">
        <v>319</v>
      </c>
      <c r="R31" t="s">
        <v>319</v>
      </c>
      <c r="S31" t="s">
        <v>319</v>
      </c>
      <c r="T31" t="s">
        <v>319</v>
      </c>
      <c r="U31" t="s">
        <v>319</v>
      </c>
      <c r="V31" t="s">
        <v>319</v>
      </c>
      <c r="W31" t="s">
        <v>319</v>
      </c>
      <c r="Y31">
        <v>19</v>
      </c>
      <c r="Z31">
        <v>8</v>
      </c>
      <c r="AA31" t="s">
        <v>316</v>
      </c>
      <c r="AB31">
        <f t="shared" si="28"/>
        <v>22.627416997969522</v>
      </c>
      <c r="AC31">
        <v>8</v>
      </c>
      <c r="AD31">
        <v>30.5</v>
      </c>
      <c r="AE31">
        <v>9</v>
      </c>
      <c r="AF31" t="s">
        <v>316</v>
      </c>
      <c r="AG31">
        <f t="shared" si="29"/>
        <v>25.455844122715714</v>
      </c>
      <c r="AH31">
        <v>8</v>
      </c>
      <c r="AI31">
        <v>28</v>
      </c>
      <c r="AJ31">
        <v>16</v>
      </c>
      <c r="AK31" t="s">
        <v>316</v>
      </c>
      <c r="AL31">
        <f t="shared" si="30"/>
        <v>35.777087639996637</v>
      </c>
      <c r="AM31">
        <v>5</v>
      </c>
      <c r="AN31">
        <v>55.5</v>
      </c>
      <c r="AO31">
        <v>18.5</v>
      </c>
      <c r="AP31" t="s">
        <v>316</v>
      </c>
      <c r="AQ31">
        <f t="shared" si="31"/>
        <v>41.36725758374611</v>
      </c>
      <c r="AR31">
        <v>5</v>
      </c>
      <c r="AS31" t="s">
        <v>323</v>
      </c>
      <c r="AT31">
        <f t="shared" si="32"/>
        <v>27.5</v>
      </c>
      <c r="AU31">
        <f t="shared" si="17"/>
        <v>10</v>
      </c>
      <c r="AV31">
        <f t="shared" si="18"/>
        <v>11965</v>
      </c>
      <c r="AW31">
        <f t="shared" si="19"/>
        <v>38.673311210704469</v>
      </c>
      <c r="AX31">
        <f t="shared" si="33"/>
        <v>5</v>
      </c>
      <c r="AY31" t="s">
        <v>324</v>
      </c>
      <c r="AZ31">
        <f t="shared" si="34"/>
        <v>11.5</v>
      </c>
      <c r="BA31">
        <f t="shared" si="20"/>
        <v>16</v>
      </c>
      <c r="BB31">
        <f t="shared" si="21"/>
        <v>8120.0000000000018</v>
      </c>
      <c r="BC31">
        <f t="shared" si="22"/>
        <v>24.083189157584592</v>
      </c>
      <c r="BD31">
        <f t="shared" si="23"/>
        <v>8</v>
      </c>
      <c r="BF31">
        <f t="shared" si="24"/>
        <v>11.5</v>
      </c>
      <c r="BG31">
        <f t="shared" si="35"/>
        <v>24.083189157584592</v>
      </c>
      <c r="BH31">
        <f t="shared" si="36"/>
        <v>8</v>
      </c>
      <c r="BI31">
        <f t="shared" si="25"/>
        <v>27.5</v>
      </c>
      <c r="BJ31">
        <f t="shared" si="26"/>
        <v>38.673311210704469</v>
      </c>
      <c r="BK31">
        <f t="shared" si="27"/>
        <v>5</v>
      </c>
    </row>
    <row r="32" spans="1:63" ht="17" x14ac:dyDescent="0.2">
      <c r="A32">
        <v>11</v>
      </c>
      <c r="D32" s="3" t="s">
        <v>537</v>
      </c>
      <c r="E32" t="s">
        <v>559</v>
      </c>
      <c r="F32" s="3" t="s">
        <v>560</v>
      </c>
      <c r="I32" t="s">
        <v>561</v>
      </c>
      <c r="J32" s="3" t="s">
        <v>562</v>
      </c>
      <c r="K32" s="3" t="s">
        <v>588</v>
      </c>
      <c r="L32" t="s">
        <v>203</v>
      </c>
      <c r="N32" t="s">
        <v>319</v>
      </c>
      <c r="O32" t="s">
        <v>319</v>
      </c>
      <c r="P32" t="s">
        <v>319</v>
      </c>
      <c r="Q32" t="s">
        <v>319</v>
      </c>
      <c r="R32" t="s">
        <v>319</v>
      </c>
      <c r="S32" t="s">
        <v>319</v>
      </c>
      <c r="T32" t="s">
        <v>319</v>
      </c>
      <c r="U32" t="s">
        <v>319</v>
      </c>
      <c r="V32" t="s">
        <v>319</v>
      </c>
      <c r="W32" t="s">
        <v>319</v>
      </c>
      <c r="Y32">
        <v>4</v>
      </c>
      <c r="Z32">
        <v>8</v>
      </c>
      <c r="AA32" t="s">
        <v>316</v>
      </c>
      <c r="AB32">
        <f t="shared" si="28"/>
        <v>22.627416997969522</v>
      </c>
      <c r="AC32">
        <v>8</v>
      </c>
      <c r="AD32">
        <v>2.5</v>
      </c>
      <c r="AE32">
        <v>10</v>
      </c>
      <c r="AF32" t="s">
        <v>316</v>
      </c>
      <c r="AG32">
        <f t="shared" si="29"/>
        <v>28.284271247461902</v>
      </c>
      <c r="AH32">
        <v>8</v>
      </c>
      <c r="AI32">
        <v>7</v>
      </c>
      <c r="AJ32">
        <v>3.5</v>
      </c>
      <c r="AK32" t="s">
        <v>316</v>
      </c>
      <c r="AL32">
        <f t="shared" si="30"/>
        <v>9.260129588726068</v>
      </c>
      <c r="AM32">
        <v>7</v>
      </c>
      <c r="AN32">
        <v>8</v>
      </c>
      <c r="AO32">
        <v>14</v>
      </c>
      <c r="AP32" t="s">
        <v>316</v>
      </c>
      <c r="AQ32">
        <f t="shared" si="31"/>
        <v>37.040518354904272</v>
      </c>
      <c r="AR32">
        <v>7</v>
      </c>
      <c r="AS32" t="s">
        <v>323</v>
      </c>
      <c r="AT32">
        <f t="shared" si="32"/>
        <v>1</v>
      </c>
      <c r="AU32">
        <f t="shared" si="17"/>
        <v>14</v>
      </c>
      <c r="AV32">
        <f t="shared" si="18"/>
        <v>8746.5000000000018</v>
      </c>
      <c r="AW32">
        <f t="shared" si="19"/>
        <v>26.997685085947648</v>
      </c>
      <c r="AX32">
        <f t="shared" si="33"/>
        <v>7</v>
      </c>
      <c r="AY32" t="s">
        <v>324</v>
      </c>
      <c r="AZ32">
        <f t="shared" si="34"/>
        <v>-1.5</v>
      </c>
      <c r="BA32">
        <f t="shared" si="20"/>
        <v>16</v>
      </c>
      <c r="BB32">
        <f t="shared" si="21"/>
        <v>9184.0000000000018</v>
      </c>
      <c r="BC32">
        <f t="shared" si="22"/>
        <v>25.612496949731398</v>
      </c>
      <c r="BD32">
        <f t="shared" si="23"/>
        <v>8</v>
      </c>
      <c r="BF32">
        <f t="shared" si="24"/>
        <v>-1.5</v>
      </c>
      <c r="BG32">
        <f t="shared" si="35"/>
        <v>25.612496949731398</v>
      </c>
      <c r="BH32">
        <f t="shared" si="36"/>
        <v>8</v>
      </c>
      <c r="BI32">
        <f t="shared" si="25"/>
        <v>1</v>
      </c>
      <c r="BJ32">
        <f t="shared" si="26"/>
        <v>26.997685085947648</v>
      </c>
      <c r="BK32">
        <f t="shared" si="27"/>
        <v>7</v>
      </c>
    </row>
    <row r="33" spans="1:63" ht="17" x14ac:dyDescent="0.2">
      <c r="A33">
        <v>11</v>
      </c>
      <c r="D33" s="3" t="s">
        <v>538</v>
      </c>
      <c r="E33" t="s">
        <v>563</v>
      </c>
      <c r="F33" s="3" t="s">
        <v>564</v>
      </c>
      <c r="I33" t="s">
        <v>561</v>
      </c>
      <c r="J33" s="3" t="s">
        <v>562</v>
      </c>
      <c r="K33" s="3" t="s">
        <v>589</v>
      </c>
      <c r="L33" t="s">
        <v>203</v>
      </c>
      <c r="N33" t="s">
        <v>319</v>
      </c>
      <c r="O33" t="s">
        <v>319</v>
      </c>
      <c r="P33" t="s">
        <v>319</v>
      </c>
      <c r="Q33" t="s">
        <v>319</v>
      </c>
      <c r="R33" t="s">
        <v>319</v>
      </c>
      <c r="S33" t="s">
        <v>319</v>
      </c>
      <c r="T33" t="s">
        <v>319</v>
      </c>
      <c r="U33" t="s">
        <v>319</v>
      </c>
      <c r="V33" t="s">
        <v>319</v>
      </c>
      <c r="W33" t="s">
        <v>319</v>
      </c>
      <c r="Y33">
        <v>4</v>
      </c>
      <c r="Z33">
        <v>8</v>
      </c>
      <c r="AA33" t="s">
        <v>316</v>
      </c>
      <c r="AB33">
        <f t="shared" si="28"/>
        <v>22.627416997969522</v>
      </c>
      <c r="AC33">
        <v>8</v>
      </c>
      <c r="AD33">
        <v>2.5</v>
      </c>
      <c r="AE33">
        <v>10</v>
      </c>
      <c r="AF33" t="s">
        <v>316</v>
      </c>
      <c r="AG33">
        <f t="shared" si="29"/>
        <v>28.284271247461902</v>
      </c>
      <c r="AH33">
        <v>8</v>
      </c>
      <c r="AI33">
        <v>7.5</v>
      </c>
      <c r="AJ33">
        <v>15</v>
      </c>
      <c r="AK33" t="s">
        <v>316</v>
      </c>
      <c r="AL33">
        <f t="shared" si="30"/>
        <v>33.541019662496851</v>
      </c>
      <c r="AM33">
        <v>5</v>
      </c>
      <c r="AN33">
        <v>10</v>
      </c>
      <c r="AO33">
        <v>16.5</v>
      </c>
      <c r="AP33" t="s">
        <v>316</v>
      </c>
      <c r="AQ33">
        <f t="shared" si="31"/>
        <v>36.89512162874653</v>
      </c>
      <c r="AR33">
        <v>5</v>
      </c>
      <c r="AS33" t="s">
        <v>323</v>
      </c>
      <c r="AT33">
        <f t="shared" si="32"/>
        <v>2.5</v>
      </c>
      <c r="AU33">
        <f t="shared" si="17"/>
        <v>10</v>
      </c>
      <c r="AV33">
        <f t="shared" si="18"/>
        <v>9945.0000000000018</v>
      </c>
      <c r="AW33">
        <f t="shared" si="19"/>
        <v>35.257977820629478</v>
      </c>
      <c r="AX33">
        <f t="shared" si="33"/>
        <v>5</v>
      </c>
      <c r="AY33" t="s">
        <v>324</v>
      </c>
      <c r="AZ33">
        <f t="shared" si="34"/>
        <v>-1.5</v>
      </c>
      <c r="BA33">
        <f t="shared" si="20"/>
        <v>16</v>
      </c>
      <c r="BB33">
        <f t="shared" si="21"/>
        <v>9184.0000000000018</v>
      </c>
      <c r="BC33">
        <f t="shared" si="22"/>
        <v>25.612496949731398</v>
      </c>
      <c r="BD33">
        <f t="shared" si="23"/>
        <v>8</v>
      </c>
      <c r="BF33">
        <f t="shared" si="24"/>
        <v>-1.5</v>
      </c>
      <c r="BG33">
        <f t="shared" si="35"/>
        <v>25.612496949731398</v>
      </c>
      <c r="BH33">
        <f t="shared" si="36"/>
        <v>8</v>
      </c>
      <c r="BI33">
        <f t="shared" si="25"/>
        <v>2.5</v>
      </c>
      <c r="BJ33">
        <f t="shared" si="26"/>
        <v>35.257977820629478</v>
      </c>
      <c r="BK33">
        <f t="shared" si="27"/>
        <v>5</v>
      </c>
    </row>
    <row r="34" spans="1:63" ht="17" x14ac:dyDescent="0.2">
      <c r="A34">
        <v>11</v>
      </c>
      <c r="D34" s="3" t="s">
        <v>539</v>
      </c>
      <c r="E34" t="s">
        <v>565</v>
      </c>
      <c r="F34" s="3" t="s">
        <v>566</v>
      </c>
      <c r="I34" t="s">
        <v>567</v>
      </c>
      <c r="J34" t="s">
        <v>567</v>
      </c>
      <c r="K34" s="3" t="s">
        <v>588</v>
      </c>
      <c r="L34" t="s">
        <v>203</v>
      </c>
      <c r="N34" t="s">
        <v>319</v>
      </c>
      <c r="O34" t="s">
        <v>319</v>
      </c>
      <c r="P34" t="s">
        <v>319</v>
      </c>
      <c r="Q34" t="s">
        <v>319</v>
      </c>
      <c r="R34" t="s">
        <v>319</v>
      </c>
      <c r="S34" t="s">
        <v>319</v>
      </c>
      <c r="T34" t="s">
        <v>319</v>
      </c>
      <c r="U34" t="s">
        <v>319</v>
      </c>
      <c r="V34" t="s">
        <v>319</v>
      </c>
      <c r="W34" t="s">
        <v>319</v>
      </c>
      <c r="Y34">
        <v>0.15</v>
      </c>
      <c r="Z34">
        <v>0.85</v>
      </c>
      <c r="AA34" t="s">
        <v>316</v>
      </c>
      <c r="AB34">
        <f t="shared" si="28"/>
        <v>2.4041630560342617</v>
      </c>
      <c r="AC34">
        <v>8</v>
      </c>
      <c r="AD34">
        <v>0.15</v>
      </c>
      <c r="AE34">
        <v>0.85</v>
      </c>
      <c r="AF34" t="s">
        <v>316</v>
      </c>
      <c r="AG34">
        <f t="shared" si="29"/>
        <v>2.4041630560342617</v>
      </c>
      <c r="AH34">
        <v>8</v>
      </c>
      <c r="AI34">
        <v>0.9</v>
      </c>
      <c r="AJ34">
        <v>0.7</v>
      </c>
      <c r="AK34" t="s">
        <v>316</v>
      </c>
      <c r="AL34">
        <f t="shared" si="30"/>
        <v>1.8520259177452134</v>
      </c>
      <c r="AM34">
        <v>7</v>
      </c>
      <c r="AN34">
        <v>3.8</v>
      </c>
      <c r="AO34">
        <v>1.7</v>
      </c>
      <c r="AP34" t="s">
        <v>316</v>
      </c>
      <c r="AQ34">
        <f t="shared" si="31"/>
        <v>4.4977772288098041</v>
      </c>
      <c r="AR34">
        <v>7</v>
      </c>
      <c r="AS34" t="s">
        <v>323</v>
      </c>
      <c r="AT34">
        <f t="shared" si="32"/>
        <v>2.9</v>
      </c>
      <c r="AU34">
        <f t="shared" si="17"/>
        <v>14</v>
      </c>
      <c r="AV34">
        <f t="shared" si="18"/>
        <v>141.96</v>
      </c>
      <c r="AW34">
        <f t="shared" si="19"/>
        <v>3.4394767043839676</v>
      </c>
      <c r="AX34">
        <f t="shared" si="33"/>
        <v>7</v>
      </c>
      <c r="AY34" t="s">
        <v>324</v>
      </c>
      <c r="AZ34">
        <f t="shared" si="34"/>
        <v>0</v>
      </c>
      <c r="BA34">
        <f t="shared" si="20"/>
        <v>16</v>
      </c>
      <c r="BB34">
        <f t="shared" si="21"/>
        <v>80.92</v>
      </c>
      <c r="BC34">
        <f t="shared" si="22"/>
        <v>2.4041630560342617</v>
      </c>
      <c r="BD34">
        <f t="shared" si="23"/>
        <v>8</v>
      </c>
      <c r="BF34">
        <f t="shared" si="24"/>
        <v>0</v>
      </c>
      <c r="BG34">
        <f t="shared" si="35"/>
        <v>2.4041630560342617</v>
      </c>
      <c r="BH34">
        <f t="shared" si="36"/>
        <v>8</v>
      </c>
      <c r="BI34">
        <f t="shared" si="25"/>
        <v>2.9</v>
      </c>
      <c r="BJ34">
        <f t="shared" si="26"/>
        <v>3.4394767043839676</v>
      </c>
      <c r="BK34">
        <f t="shared" si="27"/>
        <v>7</v>
      </c>
    </row>
    <row r="35" spans="1:63" ht="17" x14ac:dyDescent="0.2">
      <c r="A35">
        <v>11</v>
      </c>
      <c r="D35" s="3" t="s">
        <v>540</v>
      </c>
      <c r="E35" t="s">
        <v>569</v>
      </c>
      <c r="F35" s="3" t="s">
        <v>568</v>
      </c>
      <c r="I35" t="s">
        <v>567</v>
      </c>
      <c r="J35" t="s">
        <v>567</v>
      </c>
      <c r="K35" s="3" t="s">
        <v>589</v>
      </c>
      <c r="L35" t="s">
        <v>203</v>
      </c>
      <c r="N35" t="s">
        <v>319</v>
      </c>
      <c r="O35" t="s">
        <v>319</v>
      </c>
      <c r="P35" t="s">
        <v>319</v>
      </c>
      <c r="Q35" t="s">
        <v>319</v>
      </c>
      <c r="R35" t="s">
        <v>319</v>
      </c>
      <c r="S35" t="s">
        <v>319</v>
      </c>
      <c r="T35" t="s">
        <v>319</v>
      </c>
      <c r="U35" t="s">
        <v>319</v>
      </c>
      <c r="V35" t="s">
        <v>319</v>
      </c>
      <c r="W35" t="s">
        <v>319</v>
      </c>
      <c r="Y35">
        <v>0.15</v>
      </c>
      <c r="Z35">
        <v>0.85</v>
      </c>
      <c r="AA35" t="s">
        <v>316</v>
      </c>
      <c r="AB35">
        <f t="shared" si="28"/>
        <v>2.4041630560342617</v>
      </c>
      <c r="AC35">
        <v>8</v>
      </c>
      <c r="AD35">
        <v>0.15</v>
      </c>
      <c r="AE35">
        <v>0.85</v>
      </c>
      <c r="AF35" t="s">
        <v>316</v>
      </c>
      <c r="AG35">
        <f t="shared" si="29"/>
        <v>2.4041630560342617</v>
      </c>
      <c r="AH35">
        <v>8</v>
      </c>
      <c r="AI35">
        <v>0.1</v>
      </c>
      <c r="AJ35">
        <v>0.3</v>
      </c>
      <c r="AK35" t="s">
        <v>316</v>
      </c>
      <c r="AL35">
        <f t="shared" si="30"/>
        <v>0.67082039324993692</v>
      </c>
      <c r="AM35">
        <v>5</v>
      </c>
      <c r="AN35">
        <v>3.1</v>
      </c>
      <c r="AO35">
        <v>3.7</v>
      </c>
      <c r="AP35" t="s">
        <v>316</v>
      </c>
      <c r="AQ35">
        <f t="shared" si="31"/>
        <v>8.2734515167492226</v>
      </c>
      <c r="AR35">
        <v>5</v>
      </c>
      <c r="AS35" t="s">
        <v>323</v>
      </c>
      <c r="AT35">
        <f t="shared" ref="AT35" si="37">AN35-AI35</f>
        <v>3</v>
      </c>
      <c r="AU35">
        <f t="shared" si="17"/>
        <v>10</v>
      </c>
      <c r="AV35">
        <f t="shared" si="18"/>
        <v>275.60000000000008</v>
      </c>
      <c r="AW35">
        <f t="shared" si="19"/>
        <v>5.8694122363316765</v>
      </c>
      <c r="AX35">
        <f t="shared" ref="AX35" si="38">AR35</f>
        <v>5</v>
      </c>
      <c r="AY35" t="s">
        <v>324</v>
      </c>
      <c r="AZ35">
        <f t="shared" ref="AZ35" si="39">AD35-Y35</f>
        <v>0</v>
      </c>
      <c r="BA35">
        <f t="shared" si="20"/>
        <v>16</v>
      </c>
      <c r="BB35">
        <f t="shared" si="21"/>
        <v>80.92</v>
      </c>
      <c r="BC35">
        <f t="shared" si="22"/>
        <v>2.4041630560342617</v>
      </c>
      <c r="BD35">
        <f t="shared" si="23"/>
        <v>8</v>
      </c>
      <c r="BF35">
        <f t="shared" si="24"/>
        <v>0</v>
      </c>
      <c r="BG35">
        <f t="shared" ref="BG35" si="40">BC35</f>
        <v>2.4041630560342617</v>
      </c>
      <c r="BH35">
        <f t="shared" ref="BH35" si="41">BD35</f>
        <v>8</v>
      </c>
      <c r="BI35">
        <f t="shared" si="25"/>
        <v>3</v>
      </c>
      <c r="BJ35">
        <f t="shared" si="26"/>
        <v>5.8694122363316765</v>
      </c>
      <c r="BK35">
        <f t="shared" si="27"/>
        <v>5</v>
      </c>
    </row>
    <row r="36" spans="1:63" ht="102" x14ac:dyDescent="0.2">
      <c r="A36">
        <v>12</v>
      </c>
      <c r="B36" t="s">
        <v>237</v>
      </c>
      <c r="C36">
        <v>1998</v>
      </c>
      <c r="D36" s="3" t="s">
        <v>522</v>
      </c>
      <c r="E36" s="3" t="s">
        <v>231</v>
      </c>
      <c r="F36" s="3" t="s">
        <v>232</v>
      </c>
      <c r="I36" s="3" t="s">
        <v>229</v>
      </c>
      <c r="J36" s="3" t="s">
        <v>230</v>
      </c>
      <c r="K36" s="3" t="s">
        <v>325</v>
      </c>
      <c r="N36" t="s">
        <v>319</v>
      </c>
      <c r="O36" t="s">
        <v>319</v>
      </c>
      <c r="P36" t="s">
        <v>319</v>
      </c>
      <c r="Q36" t="s">
        <v>319</v>
      </c>
      <c r="R36" t="s">
        <v>319</v>
      </c>
      <c r="S36" t="s">
        <v>319</v>
      </c>
      <c r="T36" t="s">
        <v>319</v>
      </c>
      <c r="U36" t="s">
        <v>319</v>
      </c>
      <c r="V36" t="s">
        <v>319</v>
      </c>
      <c r="W36" t="s">
        <v>319</v>
      </c>
      <c r="Y36">
        <v>11.73</v>
      </c>
      <c r="Z36">
        <v>6.76</v>
      </c>
      <c r="AA36" t="s">
        <v>322</v>
      </c>
      <c r="AB36">
        <v>6.76</v>
      </c>
      <c r="AC36">
        <v>3</v>
      </c>
      <c r="AD36">
        <v>9.02</v>
      </c>
      <c r="AE36">
        <v>5.07</v>
      </c>
      <c r="AF36" t="s">
        <v>322</v>
      </c>
      <c r="AG36">
        <v>5.07</v>
      </c>
      <c r="AH36">
        <v>3</v>
      </c>
      <c r="AI36">
        <v>9.5</v>
      </c>
      <c r="AJ36">
        <v>9.4600000000000009</v>
      </c>
      <c r="AK36" t="s">
        <v>322</v>
      </c>
      <c r="AL36">
        <v>9.4600000000000009</v>
      </c>
      <c r="AM36">
        <v>6</v>
      </c>
      <c r="AN36">
        <v>7.05</v>
      </c>
      <c r="AO36">
        <v>2.2599999999999998</v>
      </c>
      <c r="AP36" t="s">
        <v>322</v>
      </c>
      <c r="AQ36">
        <v>2.2599999999999998</v>
      </c>
      <c r="AR36">
        <v>6</v>
      </c>
      <c r="AS36" t="s">
        <v>323</v>
      </c>
      <c r="AT36">
        <f t="shared" ref="AT36:AT37" si="42">AN36-AI36</f>
        <v>-2.4500000000000002</v>
      </c>
      <c r="AU36">
        <f>AR36+AM36</f>
        <v>12</v>
      </c>
      <c r="AV36">
        <f>((AR36-1)*AQ36^2)+((AM36-1)*AL36^2)</f>
        <v>472.99600000000009</v>
      </c>
      <c r="AW36">
        <f>SQRT(AV36/(AU36-2))</f>
        <v>6.8774704652219345</v>
      </c>
      <c r="AX36">
        <f t="shared" ref="AX36:AX37" si="43">AR36</f>
        <v>6</v>
      </c>
      <c r="AY36" t="s">
        <v>324</v>
      </c>
      <c r="AZ36">
        <f t="shared" ref="AZ36:AZ37" si="44">AD36-Y36</f>
        <v>-2.7100000000000009</v>
      </c>
      <c r="BA36">
        <f>AH36+AC36</f>
        <v>6</v>
      </c>
      <c r="BB36">
        <f>((AH36-1)*AG36^2)+((AC36-1)*AB36^2)</f>
        <v>142.80500000000001</v>
      </c>
      <c r="BC36">
        <f>SQRT(BB36/(BA36-2))</f>
        <v>5.9750523010263263</v>
      </c>
      <c r="BD36">
        <f>AH36</f>
        <v>3</v>
      </c>
      <c r="BF36">
        <f>AZ36</f>
        <v>-2.7100000000000009</v>
      </c>
      <c r="BG36">
        <f t="shared" ref="BG36:BG37" si="45">BC36</f>
        <v>5.9750523010263263</v>
      </c>
      <c r="BH36">
        <f t="shared" ref="BH36:BH37" si="46">BD36</f>
        <v>3</v>
      </c>
      <c r="BI36">
        <f>AT36</f>
        <v>-2.4500000000000002</v>
      </c>
      <c r="BJ36">
        <f>AW36</f>
        <v>6.8774704652219345</v>
      </c>
      <c r="BK36">
        <f>AX36</f>
        <v>6</v>
      </c>
    </row>
    <row r="37" spans="1:63" ht="102" x14ac:dyDescent="0.2">
      <c r="A37">
        <v>12</v>
      </c>
      <c r="D37" s="3" t="s">
        <v>521</v>
      </c>
      <c r="E37" s="3" t="s">
        <v>235</v>
      </c>
      <c r="F37" s="3" t="s">
        <v>236</v>
      </c>
      <c r="I37" s="3" t="s">
        <v>233</v>
      </c>
      <c r="J37" s="3" t="s">
        <v>234</v>
      </c>
      <c r="K37" s="3" t="s">
        <v>325</v>
      </c>
      <c r="N37" t="s">
        <v>319</v>
      </c>
      <c r="O37" t="s">
        <v>319</v>
      </c>
      <c r="P37" t="s">
        <v>319</v>
      </c>
      <c r="Q37" t="s">
        <v>319</v>
      </c>
      <c r="R37" t="s">
        <v>319</v>
      </c>
      <c r="S37" t="s">
        <v>319</v>
      </c>
      <c r="T37" t="s">
        <v>319</v>
      </c>
      <c r="U37" t="s">
        <v>319</v>
      </c>
      <c r="V37" t="s">
        <v>319</v>
      </c>
      <c r="W37" t="s">
        <v>319</v>
      </c>
      <c r="Y37">
        <v>7.9</v>
      </c>
      <c r="Z37">
        <v>2.4</v>
      </c>
      <c r="AA37" t="s">
        <v>322</v>
      </c>
      <c r="AB37">
        <v>2.4</v>
      </c>
      <c r="AC37">
        <v>3</v>
      </c>
      <c r="AD37">
        <v>9.3699999999999992</v>
      </c>
      <c r="AE37">
        <v>6.18</v>
      </c>
      <c r="AF37" t="s">
        <v>322</v>
      </c>
      <c r="AG37">
        <v>6.18</v>
      </c>
      <c r="AH37">
        <v>3</v>
      </c>
      <c r="AI37">
        <v>4.3899999999999997</v>
      </c>
      <c r="AJ37">
        <v>1.85</v>
      </c>
      <c r="AK37" t="s">
        <v>322</v>
      </c>
      <c r="AL37">
        <v>1.85</v>
      </c>
      <c r="AM37">
        <v>6</v>
      </c>
      <c r="AN37">
        <v>9.4700000000000006</v>
      </c>
      <c r="AO37">
        <v>3.71</v>
      </c>
      <c r="AP37" t="s">
        <v>322</v>
      </c>
      <c r="AQ37">
        <v>3.71</v>
      </c>
      <c r="AR37">
        <v>6</v>
      </c>
      <c r="AS37" t="s">
        <v>323</v>
      </c>
      <c r="AT37">
        <f t="shared" si="42"/>
        <v>5.080000000000001</v>
      </c>
      <c r="AU37">
        <f>AR37+AM37</f>
        <v>12</v>
      </c>
      <c r="AV37">
        <f>((AR37-1)*AQ37^2)+((AM37-1)*AL37^2)</f>
        <v>85.932999999999993</v>
      </c>
      <c r="AW37">
        <f>SQRT(AV37/(AU37-2))</f>
        <v>2.9314330966269724</v>
      </c>
      <c r="AX37">
        <f t="shared" si="43"/>
        <v>6</v>
      </c>
      <c r="AY37" t="s">
        <v>324</v>
      </c>
      <c r="AZ37">
        <f t="shared" si="44"/>
        <v>1.4699999999999989</v>
      </c>
      <c r="BA37">
        <f>AH37+AC37</f>
        <v>6</v>
      </c>
      <c r="BB37">
        <f>((AH37-1)*AG37^2)+((AC37-1)*AB37^2)</f>
        <v>87.904799999999994</v>
      </c>
      <c r="BC37">
        <f>SQRT(BB37/(BA37-2))</f>
        <v>4.6878779847602692</v>
      </c>
      <c r="BD37">
        <f>AH37</f>
        <v>3</v>
      </c>
      <c r="BF37">
        <f>AZ37</f>
        <v>1.4699999999999989</v>
      </c>
      <c r="BG37">
        <f t="shared" si="45"/>
        <v>4.6878779847602692</v>
      </c>
      <c r="BH37">
        <f t="shared" si="46"/>
        <v>3</v>
      </c>
      <c r="BI37">
        <f>AT37</f>
        <v>5.080000000000001</v>
      </c>
      <c r="BJ37">
        <f>AW37</f>
        <v>2.9314330966269724</v>
      </c>
      <c r="BK37">
        <f>AX37</f>
        <v>6</v>
      </c>
    </row>
    <row r="38" spans="1:63" ht="17" x14ac:dyDescent="0.2">
      <c r="A38">
        <v>13</v>
      </c>
      <c r="B38" t="s">
        <v>244</v>
      </c>
      <c r="C38">
        <v>2001</v>
      </c>
      <c r="D38" s="3" t="s">
        <v>480</v>
      </c>
      <c r="E38" s="3"/>
      <c r="F38" s="3"/>
      <c r="G38" s="3" t="s">
        <v>251</v>
      </c>
      <c r="H38" s="3" t="s">
        <v>252</v>
      </c>
      <c r="I38" s="3"/>
      <c r="J38" s="3"/>
      <c r="K38" t="s">
        <v>590</v>
      </c>
      <c r="L38" s="3" t="s">
        <v>572</v>
      </c>
      <c r="BF38">
        <f>N38</f>
        <v>0</v>
      </c>
      <c r="BG38">
        <f t="shared" ref="BG38:BI41" si="47">Q38</f>
        <v>0</v>
      </c>
      <c r="BH38">
        <f t="shared" si="47"/>
        <v>0</v>
      </c>
      <c r="BI38">
        <f t="shared" si="47"/>
        <v>0</v>
      </c>
      <c r="BJ38">
        <f t="shared" ref="BJ38:BK41" si="48">V38</f>
        <v>0</v>
      </c>
      <c r="BK38">
        <f t="shared" si="48"/>
        <v>0</v>
      </c>
    </row>
    <row r="39" spans="1:63" ht="17" x14ac:dyDescent="0.2">
      <c r="A39">
        <v>13</v>
      </c>
      <c r="D39" s="3" t="s">
        <v>570</v>
      </c>
      <c r="E39" s="3"/>
      <c r="F39" s="3"/>
      <c r="G39" t="s">
        <v>253</v>
      </c>
      <c r="H39" t="s">
        <v>254</v>
      </c>
      <c r="I39" s="3"/>
      <c r="J39" s="3"/>
      <c r="K39" t="s">
        <v>590</v>
      </c>
      <c r="L39" s="3" t="s">
        <v>572</v>
      </c>
      <c r="BF39">
        <f>N39</f>
        <v>0</v>
      </c>
      <c r="BG39">
        <f t="shared" si="47"/>
        <v>0</v>
      </c>
      <c r="BH39">
        <f t="shared" si="47"/>
        <v>0</v>
      </c>
      <c r="BI39">
        <f t="shared" si="47"/>
        <v>0</v>
      </c>
      <c r="BJ39">
        <f t="shared" si="48"/>
        <v>0</v>
      </c>
      <c r="BK39">
        <f t="shared" si="48"/>
        <v>0</v>
      </c>
    </row>
    <row r="40" spans="1:63" ht="17" x14ac:dyDescent="0.2">
      <c r="A40">
        <v>13</v>
      </c>
      <c r="D40" s="3" t="s">
        <v>571</v>
      </c>
      <c r="E40" s="3"/>
      <c r="F40" s="3"/>
      <c r="G40" s="3" t="s">
        <v>246</v>
      </c>
      <c r="H40" s="3" t="s">
        <v>247</v>
      </c>
      <c r="I40" s="3"/>
      <c r="J40" s="3"/>
      <c r="K40" t="s">
        <v>582</v>
      </c>
      <c r="L40" s="3" t="s">
        <v>572</v>
      </c>
      <c r="BF40">
        <f>N40</f>
        <v>0</v>
      </c>
      <c r="BG40">
        <f t="shared" si="47"/>
        <v>0</v>
      </c>
      <c r="BH40">
        <f t="shared" si="47"/>
        <v>0</v>
      </c>
      <c r="BI40">
        <f t="shared" si="47"/>
        <v>0</v>
      </c>
      <c r="BJ40">
        <f t="shared" si="48"/>
        <v>0</v>
      </c>
      <c r="BK40">
        <f t="shared" si="48"/>
        <v>0</v>
      </c>
    </row>
    <row r="41" spans="1:63" ht="17" x14ac:dyDescent="0.2">
      <c r="A41">
        <v>13</v>
      </c>
      <c r="D41" s="3" t="s">
        <v>570</v>
      </c>
      <c r="E41" s="3"/>
      <c r="F41" s="3"/>
      <c r="G41" t="s">
        <v>248</v>
      </c>
      <c r="H41" t="s">
        <v>249</v>
      </c>
      <c r="I41" s="3"/>
      <c r="J41" s="3"/>
      <c r="K41" t="s">
        <v>582</v>
      </c>
      <c r="L41" s="3" t="s">
        <v>572</v>
      </c>
      <c r="BF41">
        <f>N41</f>
        <v>0</v>
      </c>
      <c r="BG41">
        <f t="shared" si="47"/>
        <v>0</v>
      </c>
      <c r="BH41">
        <f t="shared" si="47"/>
        <v>0</v>
      </c>
      <c r="BI41">
        <f t="shared" si="47"/>
        <v>0</v>
      </c>
      <c r="BJ41">
        <f t="shared" si="48"/>
        <v>0</v>
      </c>
      <c r="BK41">
        <f t="shared" si="48"/>
        <v>0</v>
      </c>
    </row>
    <row r="42" spans="1:63" ht="85" x14ac:dyDescent="0.2">
      <c r="A42">
        <v>14</v>
      </c>
      <c r="B42" t="s">
        <v>241</v>
      </c>
      <c r="C42">
        <v>1992</v>
      </c>
      <c r="D42" s="3" t="s">
        <v>521</v>
      </c>
      <c r="E42" s="3" t="s">
        <v>340</v>
      </c>
      <c r="F42" s="3" t="s">
        <v>341</v>
      </c>
      <c r="I42" s="3" t="s">
        <v>340</v>
      </c>
      <c r="J42" s="3" t="s">
        <v>342</v>
      </c>
      <c r="K42" s="3" t="s">
        <v>581</v>
      </c>
      <c r="L42" s="3" t="s">
        <v>362</v>
      </c>
      <c r="N42" s="3" t="s">
        <v>319</v>
      </c>
      <c r="O42" s="3" t="s">
        <v>319</v>
      </c>
      <c r="P42" s="3" t="s">
        <v>319</v>
      </c>
      <c r="Q42" s="3" t="s">
        <v>319</v>
      </c>
      <c r="R42" s="3" t="s">
        <v>319</v>
      </c>
      <c r="S42" s="3" t="s">
        <v>319</v>
      </c>
      <c r="T42" s="3" t="s">
        <v>319</v>
      </c>
      <c r="U42" s="3" t="s">
        <v>319</v>
      </c>
      <c r="V42" s="3" t="s">
        <v>319</v>
      </c>
      <c r="W42" s="3" t="s">
        <v>319</v>
      </c>
      <c r="Y42">
        <v>7</v>
      </c>
      <c r="Z42">
        <v>0</v>
      </c>
      <c r="AA42" t="s">
        <v>322</v>
      </c>
      <c r="AB42">
        <f>Z42</f>
        <v>0</v>
      </c>
      <c r="AC42">
        <v>2</v>
      </c>
      <c r="AD42">
        <v>29.25</v>
      </c>
      <c r="AE42">
        <v>18.670000000000002</v>
      </c>
      <c r="AF42" t="s">
        <v>322</v>
      </c>
      <c r="AG42">
        <f>AE42</f>
        <v>18.670000000000002</v>
      </c>
      <c r="AH42">
        <v>2</v>
      </c>
      <c r="AI42">
        <v>7</v>
      </c>
      <c r="AJ42">
        <v>0</v>
      </c>
      <c r="AK42" t="s">
        <v>322</v>
      </c>
      <c r="AL42">
        <f>AJ42</f>
        <v>0</v>
      </c>
      <c r="AM42">
        <v>2</v>
      </c>
      <c r="AN42">
        <v>53.75</v>
      </c>
      <c r="AO42">
        <v>31.73</v>
      </c>
      <c r="AP42" t="s">
        <v>322</v>
      </c>
      <c r="AQ42">
        <f>AO42</f>
        <v>31.73</v>
      </c>
      <c r="AR42">
        <v>2</v>
      </c>
      <c r="AS42" t="s">
        <v>323</v>
      </c>
      <c r="AT42">
        <f t="shared" ref="AT42:AT43" si="49">AN42-AI42</f>
        <v>46.75</v>
      </c>
      <c r="AU42">
        <f>AR42+AM42</f>
        <v>4</v>
      </c>
      <c r="AV42">
        <f>((AR42-1)*AQ42^2)+((AM42-1)*AL42^2)</f>
        <v>1006.7929</v>
      </c>
      <c r="AW42">
        <f>SQRT(AV42/(AU42-2))</f>
        <v>22.436498167049152</v>
      </c>
      <c r="AX42">
        <f t="shared" ref="AX42:AX43" si="50">AR42</f>
        <v>2</v>
      </c>
      <c r="AY42" t="s">
        <v>324</v>
      </c>
      <c r="AZ42">
        <f t="shared" ref="AZ42:AZ43" si="51">AD42-Y42</f>
        <v>22.25</v>
      </c>
      <c r="BA42">
        <f>AH42+AC42</f>
        <v>4</v>
      </c>
      <c r="BB42">
        <f>((AH42-1)*AG42^2)+((AC42-1)*AB42^2)</f>
        <v>348.56890000000004</v>
      </c>
      <c r="BC42">
        <f>SQRT(BB42/(BA42-2))</f>
        <v>13.201683604752843</v>
      </c>
      <c r="BD42">
        <f>AH42</f>
        <v>2</v>
      </c>
      <c r="BF42">
        <f>AZ42</f>
        <v>22.25</v>
      </c>
      <c r="BG42">
        <f t="shared" ref="BG42:BG43" si="52">BC42</f>
        <v>13.201683604752843</v>
      </c>
      <c r="BH42">
        <f t="shared" ref="BH42:BH43" si="53">BD42</f>
        <v>2</v>
      </c>
      <c r="BI42">
        <f t="shared" ref="BI42:BI43" si="54">AT42</f>
        <v>46.75</v>
      </c>
      <c r="BJ42">
        <f t="shared" ref="BJ42:BJ43" si="55">AW42</f>
        <v>22.436498167049152</v>
      </c>
      <c r="BK42">
        <f t="shared" ref="BK42:BK43" si="56">AX42</f>
        <v>2</v>
      </c>
    </row>
    <row r="43" spans="1:63" ht="85" x14ac:dyDescent="0.2">
      <c r="A43">
        <v>15</v>
      </c>
      <c r="D43" s="3" t="s">
        <v>522</v>
      </c>
      <c r="E43" s="3" t="s">
        <v>343</v>
      </c>
      <c r="F43" s="3" t="s">
        <v>344</v>
      </c>
      <c r="I43" s="3" t="s">
        <v>343</v>
      </c>
      <c r="J43" s="3" t="s">
        <v>345</v>
      </c>
      <c r="K43" s="3" t="s">
        <v>581</v>
      </c>
      <c r="L43" s="3" t="s">
        <v>362</v>
      </c>
      <c r="N43" s="3" t="s">
        <v>319</v>
      </c>
      <c r="O43" s="3" t="s">
        <v>319</v>
      </c>
      <c r="P43" s="3" t="s">
        <v>319</v>
      </c>
      <c r="Q43" s="3" t="s">
        <v>319</v>
      </c>
      <c r="R43" s="3" t="s">
        <v>319</v>
      </c>
      <c r="S43" s="3" t="s">
        <v>319</v>
      </c>
      <c r="T43" s="3" t="s">
        <v>319</v>
      </c>
      <c r="U43" s="3" t="s">
        <v>319</v>
      </c>
      <c r="V43" s="3" t="s">
        <v>319</v>
      </c>
      <c r="W43" s="3" t="s">
        <v>319</v>
      </c>
      <c r="Y43">
        <v>3</v>
      </c>
      <c r="Z43">
        <v>0</v>
      </c>
      <c r="AA43" t="s">
        <v>322</v>
      </c>
      <c r="AB43">
        <f>Z43</f>
        <v>0</v>
      </c>
      <c r="AC43">
        <v>2</v>
      </c>
      <c r="AD43">
        <v>60.13</v>
      </c>
      <c r="AE43">
        <v>27.66</v>
      </c>
      <c r="AF43" t="s">
        <v>322</v>
      </c>
      <c r="AG43">
        <f>AE43</f>
        <v>27.66</v>
      </c>
      <c r="AH43">
        <v>2</v>
      </c>
      <c r="AI43">
        <v>3</v>
      </c>
      <c r="AJ43">
        <v>0</v>
      </c>
      <c r="AK43" t="s">
        <v>322</v>
      </c>
      <c r="AL43">
        <f>AJ43</f>
        <v>0</v>
      </c>
      <c r="AM43">
        <v>2</v>
      </c>
      <c r="AN43">
        <v>56.75</v>
      </c>
      <c r="AO43">
        <v>27.74</v>
      </c>
      <c r="AP43" t="s">
        <v>322</v>
      </c>
      <c r="AQ43">
        <f>AO43</f>
        <v>27.74</v>
      </c>
      <c r="AR43">
        <v>2</v>
      </c>
      <c r="AS43" t="s">
        <v>323</v>
      </c>
      <c r="AT43">
        <f t="shared" si="49"/>
        <v>53.75</v>
      </c>
      <c r="AU43">
        <f>AR43+AM43</f>
        <v>4</v>
      </c>
      <c r="AV43">
        <f>((AR43-1)*AQ43^2)+((AM43-1)*AL43^2)</f>
        <v>769.50759999999991</v>
      </c>
      <c r="AW43">
        <f>SQRT(AV43/(AU43-2))</f>
        <v>19.615142110114828</v>
      </c>
      <c r="AX43">
        <f t="shared" si="50"/>
        <v>2</v>
      </c>
      <c r="AY43" t="s">
        <v>324</v>
      </c>
      <c r="AZ43">
        <f t="shared" si="51"/>
        <v>57.13</v>
      </c>
      <c r="BA43">
        <f>AH43+AC43</f>
        <v>4</v>
      </c>
      <c r="BB43">
        <f>((AH43-1)*AG43^2)+((AC43-1)*AB43^2)</f>
        <v>765.07560000000001</v>
      </c>
      <c r="BC43">
        <f>SQRT(BB43/(BA43-2))</f>
        <v>19.558573567619906</v>
      </c>
      <c r="BD43">
        <f>AH43</f>
        <v>2</v>
      </c>
      <c r="BF43">
        <f>AZ43</f>
        <v>57.13</v>
      </c>
      <c r="BG43">
        <f t="shared" si="52"/>
        <v>19.558573567619906</v>
      </c>
      <c r="BH43">
        <f t="shared" si="53"/>
        <v>2</v>
      </c>
      <c r="BI43">
        <f t="shared" si="54"/>
        <v>53.75</v>
      </c>
      <c r="BJ43">
        <f t="shared" si="55"/>
        <v>19.615142110114828</v>
      </c>
      <c r="BK43">
        <f t="shared" si="56"/>
        <v>2</v>
      </c>
    </row>
    <row r="44" spans="1:63" ht="17" x14ac:dyDescent="0.2">
      <c r="A44">
        <v>15</v>
      </c>
      <c r="B44" t="s">
        <v>48</v>
      </c>
      <c r="C44" t="s">
        <v>880</v>
      </c>
      <c r="D44" s="3" t="s">
        <v>478</v>
      </c>
      <c r="E44" s="3" t="s">
        <v>420</v>
      </c>
      <c r="F44" s="3" t="s">
        <v>428</v>
      </c>
      <c r="K44" s="3" t="s">
        <v>334</v>
      </c>
      <c r="L44" s="3" t="s">
        <v>429</v>
      </c>
      <c r="N44" s="3">
        <v>0</v>
      </c>
      <c r="O44" s="3">
        <v>0</v>
      </c>
      <c r="P44" s="3" t="s">
        <v>34</v>
      </c>
      <c r="Q44" s="3">
        <f>O44/3.92</f>
        <v>0</v>
      </c>
      <c r="R44" s="3">
        <v>1</v>
      </c>
      <c r="S44" s="3">
        <v>108</v>
      </c>
      <c r="T44" s="3">
        <v>2</v>
      </c>
      <c r="U44" s="4" t="s">
        <v>34</v>
      </c>
      <c r="V44" s="3">
        <f>T44/3.92</f>
        <v>0.51020408163265307</v>
      </c>
      <c r="W44" s="4">
        <v>1</v>
      </c>
    </row>
    <row r="45" spans="1:63" ht="17" x14ac:dyDescent="0.2">
      <c r="A45">
        <v>15</v>
      </c>
      <c r="D45" s="3" t="s">
        <v>479</v>
      </c>
      <c r="E45" s="3" t="s">
        <v>446</v>
      </c>
      <c r="F45" s="3" t="s">
        <v>447</v>
      </c>
      <c r="K45" s="3" t="s">
        <v>334</v>
      </c>
      <c r="L45" s="3" t="s">
        <v>429</v>
      </c>
      <c r="N45" s="3">
        <v>3</v>
      </c>
      <c r="O45" s="3">
        <v>2</v>
      </c>
      <c r="P45" s="3" t="s">
        <v>34</v>
      </c>
      <c r="Q45" s="3">
        <f>O45/3.92</f>
        <v>0.51020408163265307</v>
      </c>
      <c r="R45" s="3">
        <v>1</v>
      </c>
      <c r="S45" s="3">
        <v>21</v>
      </c>
      <c r="T45" s="3">
        <v>1</v>
      </c>
      <c r="U45" s="4" t="s">
        <v>34</v>
      </c>
      <c r="V45" s="3">
        <f>T45/3.92</f>
        <v>0.25510204081632654</v>
      </c>
      <c r="W45" s="4">
        <v>1</v>
      </c>
    </row>
    <row r="46" spans="1:63" ht="17" x14ac:dyDescent="0.2">
      <c r="A46">
        <v>15</v>
      </c>
      <c r="D46" s="3" t="s">
        <v>480</v>
      </c>
      <c r="E46" s="3" t="s">
        <v>418</v>
      </c>
      <c r="F46" s="3" t="s">
        <v>419</v>
      </c>
      <c r="K46" s="3"/>
      <c r="L46" s="3" t="s">
        <v>429</v>
      </c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63" ht="17" x14ac:dyDescent="0.2">
      <c r="A47">
        <v>15</v>
      </c>
      <c r="D47" s="3"/>
      <c r="E47" s="3" t="s">
        <v>420</v>
      </c>
      <c r="F47" s="3" t="s">
        <v>421</v>
      </c>
      <c r="K47" s="3"/>
      <c r="L47" s="3" t="s">
        <v>429</v>
      </c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63" ht="17" x14ac:dyDescent="0.2">
      <c r="A48">
        <v>15</v>
      </c>
      <c r="D48" s="3"/>
      <c r="E48" s="3" t="s">
        <v>422</v>
      </c>
      <c r="F48" s="3" t="s">
        <v>423</v>
      </c>
      <c r="K48" s="3"/>
      <c r="L48" s="3" t="s">
        <v>429</v>
      </c>
    </row>
    <row r="49" spans="1:63" ht="17" x14ac:dyDescent="0.2">
      <c r="A49">
        <v>15</v>
      </c>
      <c r="D49" s="3"/>
      <c r="E49" s="3" t="s">
        <v>424</v>
      </c>
      <c r="F49" s="3" t="s">
        <v>425</v>
      </c>
      <c r="K49" s="3"/>
      <c r="L49" s="3" t="s">
        <v>429</v>
      </c>
    </row>
    <row r="50" spans="1:63" ht="17" x14ac:dyDescent="0.2">
      <c r="A50">
        <v>15</v>
      </c>
      <c r="D50" s="3"/>
      <c r="E50" s="3" t="s">
        <v>426</v>
      </c>
      <c r="F50" s="3" t="s">
        <v>427</v>
      </c>
      <c r="K50" s="3"/>
      <c r="L50" s="3" t="s">
        <v>429</v>
      </c>
    </row>
    <row r="51" spans="1:63" ht="17" x14ac:dyDescent="0.2">
      <c r="A51">
        <v>15</v>
      </c>
      <c r="D51" s="3" t="s">
        <v>413</v>
      </c>
      <c r="E51" s="3" t="s">
        <v>430</v>
      </c>
      <c r="F51" s="3" t="s">
        <v>431</v>
      </c>
      <c r="K51" s="3" t="s">
        <v>584</v>
      </c>
      <c r="L51" s="3" t="s">
        <v>429</v>
      </c>
      <c r="N51">
        <v>16.399999999999999</v>
      </c>
      <c r="O51">
        <v>2.78</v>
      </c>
      <c r="P51" t="s">
        <v>322</v>
      </c>
      <c r="Q51">
        <f>O51</f>
        <v>2.78</v>
      </c>
      <c r="R51">
        <v>5</v>
      </c>
      <c r="S51">
        <v>67.48</v>
      </c>
      <c r="T51">
        <v>3.62</v>
      </c>
      <c r="U51" t="s">
        <v>322</v>
      </c>
      <c r="V51">
        <f>T51</f>
        <v>3.62</v>
      </c>
      <c r="W51">
        <v>5</v>
      </c>
      <c r="Y51" t="s">
        <v>319</v>
      </c>
      <c r="Z51" t="s">
        <v>319</v>
      </c>
      <c r="AA51" t="s">
        <v>319</v>
      </c>
      <c r="AB51" t="s">
        <v>319</v>
      </c>
      <c r="AC51" t="s">
        <v>319</v>
      </c>
      <c r="AD51" t="s">
        <v>319</v>
      </c>
      <c r="AE51" t="s">
        <v>319</v>
      </c>
      <c r="AF51" t="s">
        <v>319</v>
      </c>
      <c r="AG51" t="s">
        <v>319</v>
      </c>
      <c r="AH51" t="s">
        <v>319</v>
      </c>
      <c r="AI51" t="s">
        <v>319</v>
      </c>
      <c r="AJ51" t="s">
        <v>319</v>
      </c>
      <c r="AK51" t="s">
        <v>319</v>
      </c>
      <c r="AL51" t="s">
        <v>319</v>
      </c>
      <c r="AM51" t="s">
        <v>319</v>
      </c>
      <c r="AN51" t="s">
        <v>319</v>
      </c>
      <c r="AO51" t="s">
        <v>319</v>
      </c>
      <c r="AP51" t="s">
        <v>319</v>
      </c>
      <c r="AQ51" t="s">
        <v>319</v>
      </c>
      <c r="AR51" t="s">
        <v>319</v>
      </c>
      <c r="AS51" t="s">
        <v>319</v>
      </c>
      <c r="AT51" t="s">
        <v>319</v>
      </c>
      <c r="AU51" t="s">
        <v>319</v>
      </c>
      <c r="AV51" t="s">
        <v>319</v>
      </c>
      <c r="AW51" t="s">
        <v>319</v>
      </c>
      <c r="AX51" t="s">
        <v>319</v>
      </c>
      <c r="AY51" t="s">
        <v>319</v>
      </c>
      <c r="AZ51" t="s">
        <v>319</v>
      </c>
      <c r="BA51" t="s">
        <v>319</v>
      </c>
      <c r="BB51" t="s">
        <v>319</v>
      </c>
      <c r="BC51" t="s">
        <v>319</v>
      </c>
      <c r="BD51" t="s">
        <v>319</v>
      </c>
      <c r="BF51">
        <f>N51</f>
        <v>16.399999999999999</v>
      </c>
      <c r="BG51">
        <f>Q51</f>
        <v>2.78</v>
      </c>
      <c r="BH51">
        <f>R51</f>
        <v>5</v>
      </c>
      <c r="BI51">
        <f>S51</f>
        <v>67.48</v>
      </c>
      <c r="BJ51">
        <f>V51</f>
        <v>3.62</v>
      </c>
      <c r="BK51">
        <f>W51</f>
        <v>5</v>
      </c>
    </row>
    <row r="52" spans="1:63" ht="17" x14ac:dyDescent="0.2">
      <c r="A52">
        <v>15</v>
      </c>
      <c r="K52" s="3"/>
      <c r="L52" s="3" t="s">
        <v>429</v>
      </c>
    </row>
    <row r="53" spans="1:63" ht="17" x14ac:dyDescent="0.2">
      <c r="A53">
        <v>15</v>
      </c>
      <c r="D53" s="3" t="s">
        <v>481</v>
      </c>
      <c r="E53" s="3" t="s">
        <v>436</v>
      </c>
      <c r="F53" s="3" t="s">
        <v>437</v>
      </c>
      <c r="K53" s="3"/>
      <c r="L53" s="3" t="s">
        <v>429</v>
      </c>
    </row>
    <row r="54" spans="1:63" ht="17" x14ac:dyDescent="0.2">
      <c r="A54">
        <v>15</v>
      </c>
      <c r="D54" s="3"/>
      <c r="E54" s="3" t="s">
        <v>438</v>
      </c>
      <c r="F54" s="3" t="s">
        <v>442</v>
      </c>
      <c r="L54" s="3" t="s">
        <v>429</v>
      </c>
    </row>
    <row r="55" spans="1:63" ht="17" x14ac:dyDescent="0.2">
      <c r="A55">
        <v>15</v>
      </c>
      <c r="D55" s="3"/>
      <c r="E55" s="3" t="s">
        <v>439</v>
      </c>
      <c r="F55" s="3" t="s">
        <v>443</v>
      </c>
      <c r="L55" s="3" t="s">
        <v>429</v>
      </c>
    </row>
    <row r="56" spans="1:63" ht="17" x14ac:dyDescent="0.2">
      <c r="A56">
        <v>15</v>
      </c>
      <c r="D56" s="3"/>
      <c r="E56" s="3" t="s">
        <v>440</v>
      </c>
      <c r="F56" s="3" t="s">
        <v>444</v>
      </c>
      <c r="L56" s="3" t="s">
        <v>429</v>
      </c>
    </row>
    <row r="57" spans="1:63" ht="17" x14ac:dyDescent="0.2">
      <c r="A57">
        <v>15</v>
      </c>
      <c r="D57" s="3"/>
      <c r="E57" s="3" t="s">
        <v>441</v>
      </c>
      <c r="F57" s="3" t="s">
        <v>445</v>
      </c>
      <c r="L57" s="3" t="s">
        <v>429</v>
      </c>
    </row>
    <row r="58" spans="1:63" ht="17" x14ac:dyDescent="0.2">
      <c r="A58">
        <v>15</v>
      </c>
      <c r="D58" s="3" t="s">
        <v>413</v>
      </c>
      <c r="E58" s="3" t="s">
        <v>448</v>
      </c>
      <c r="F58" s="3" t="s">
        <v>449</v>
      </c>
      <c r="K58" t="s">
        <v>584</v>
      </c>
      <c r="L58" s="3" t="s">
        <v>429</v>
      </c>
      <c r="N58">
        <v>15.66</v>
      </c>
      <c r="O58">
        <v>1.55</v>
      </c>
      <c r="P58" t="s">
        <v>322</v>
      </c>
      <c r="Q58">
        <f>O58</f>
        <v>1.55</v>
      </c>
      <c r="R58">
        <v>5</v>
      </c>
      <c r="S58">
        <v>18.899999999999999</v>
      </c>
      <c r="T58">
        <v>16.579999999999998</v>
      </c>
      <c r="U58" t="s">
        <v>322</v>
      </c>
      <c r="V58">
        <f>T58</f>
        <v>16.579999999999998</v>
      </c>
      <c r="W58">
        <v>5</v>
      </c>
      <c r="Y58" t="s">
        <v>319</v>
      </c>
      <c r="Z58" t="s">
        <v>319</v>
      </c>
      <c r="AA58" t="s">
        <v>319</v>
      </c>
      <c r="AB58" t="s">
        <v>319</v>
      </c>
      <c r="AC58" t="s">
        <v>319</v>
      </c>
      <c r="AD58" t="s">
        <v>319</v>
      </c>
      <c r="AE58" t="s">
        <v>319</v>
      </c>
      <c r="AF58" t="s">
        <v>319</v>
      </c>
      <c r="AG58" t="s">
        <v>319</v>
      </c>
      <c r="AH58" t="s">
        <v>319</v>
      </c>
      <c r="AI58" t="s">
        <v>319</v>
      </c>
      <c r="AJ58" t="s">
        <v>319</v>
      </c>
      <c r="AK58" t="s">
        <v>319</v>
      </c>
      <c r="AL58" t="s">
        <v>319</v>
      </c>
      <c r="AM58" t="s">
        <v>319</v>
      </c>
      <c r="AN58" t="s">
        <v>319</v>
      </c>
      <c r="AO58" t="s">
        <v>319</v>
      </c>
      <c r="AP58" t="s">
        <v>319</v>
      </c>
      <c r="AQ58" t="s">
        <v>319</v>
      </c>
      <c r="AR58" t="s">
        <v>319</v>
      </c>
      <c r="AS58" t="s">
        <v>319</v>
      </c>
      <c r="AT58" t="s">
        <v>319</v>
      </c>
      <c r="AU58" t="s">
        <v>319</v>
      </c>
      <c r="AV58" t="s">
        <v>319</v>
      </c>
      <c r="AW58" t="s">
        <v>319</v>
      </c>
      <c r="AX58" t="s">
        <v>319</v>
      </c>
      <c r="AY58" t="s">
        <v>319</v>
      </c>
      <c r="AZ58" t="s">
        <v>319</v>
      </c>
      <c r="BA58" t="s">
        <v>319</v>
      </c>
      <c r="BB58" t="s">
        <v>319</v>
      </c>
      <c r="BC58" t="s">
        <v>319</v>
      </c>
      <c r="BD58" t="s">
        <v>319</v>
      </c>
      <c r="BF58">
        <f>N58</f>
        <v>15.66</v>
      </c>
      <c r="BG58">
        <f t="shared" ref="BG58:BI59" si="57">Q58</f>
        <v>1.55</v>
      </c>
      <c r="BH58">
        <f t="shared" si="57"/>
        <v>5</v>
      </c>
      <c r="BI58">
        <f t="shared" si="57"/>
        <v>18.899999999999999</v>
      </c>
      <c r="BJ58">
        <f>V58</f>
        <v>16.579999999999998</v>
      </c>
      <c r="BK58">
        <f>W58</f>
        <v>5</v>
      </c>
    </row>
    <row r="59" spans="1:63" ht="102" x14ac:dyDescent="0.2">
      <c r="A59">
        <v>16</v>
      </c>
      <c r="B59" t="s">
        <v>455</v>
      </c>
      <c r="C59">
        <v>1995</v>
      </c>
      <c r="D59" s="3" t="s">
        <v>478</v>
      </c>
      <c r="E59" s="3" t="s">
        <v>458</v>
      </c>
      <c r="F59" s="3" t="s">
        <v>460</v>
      </c>
      <c r="K59" t="s">
        <v>591</v>
      </c>
      <c r="N59">
        <v>21.08</v>
      </c>
      <c r="O59">
        <v>8.1199999999999992</v>
      </c>
      <c r="P59" t="s">
        <v>322</v>
      </c>
      <c r="Q59">
        <f>O59</f>
        <v>8.1199999999999992</v>
      </c>
      <c r="R59">
        <v>15</v>
      </c>
      <c r="S59">
        <v>24.31</v>
      </c>
      <c r="T59">
        <v>4.05</v>
      </c>
      <c r="U59" t="s">
        <v>322</v>
      </c>
      <c r="V59">
        <f>T59</f>
        <v>4.05</v>
      </c>
      <c r="W59">
        <v>15</v>
      </c>
      <c r="BF59">
        <f>N59</f>
        <v>21.08</v>
      </c>
      <c r="BG59">
        <f t="shared" si="57"/>
        <v>8.1199999999999992</v>
      </c>
      <c r="BH59">
        <f t="shared" si="57"/>
        <v>15</v>
      </c>
      <c r="BI59">
        <f t="shared" si="57"/>
        <v>24.31</v>
      </c>
      <c r="BJ59">
        <f>V59</f>
        <v>4.05</v>
      </c>
      <c r="BK59">
        <f>W59</f>
        <v>15</v>
      </c>
    </row>
    <row r="60" spans="1:63" ht="17" x14ac:dyDescent="0.2">
      <c r="A60">
        <v>16</v>
      </c>
      <c r="D60" s="3" t="s">
        <v>413</v>
      </c>
      <c r="E60" s="3" t="s">
        <v>459</v>
      </c>
      <c r="F60" s="3" t="s">
        <v>461</v>
      </c>
    </row>
    <row r="61" spans="1:63" ht="119" x14ac:dyDescent="0.2">
      <c r="A61">
        <v>16</v>
      </c>
      <c r="D61" s="3" t="s">
        <v>571</v>
      </c>
      <c r="E61" s="3" t="s">
        <v>602</v>
      </c>
      <c r="F61" s="3" t="s">
        <v>603</v>
      </c>
      <c r="K61" t="s">
        <v>591</v>
      </c>
      <c r="N61">
        <v>10</v>
      </c>
      <c r="P61" t="s">
        <v>322</v>
      </c>
      <c r="Q61">
        <f t="shared" ref="Q61:Q65" si="58">O61</f>
        <v>0</v>
      </c>
      <c r="R61">
        <v>15</v>
      </c>
      <c r="S61">
        <v>10.11</v>
      </c>
      <c r="U61" t="s">
        <v>322</v>
      </c>
      <c r="V61">
        <f t="shared" ref="V61:V65" si="59">T61</f>
        <v>0</v>
      </c>
      <c r="W61">
        <v>15</v>
      </c>
      <c r="BF61">
        <f>N61</f>
        <v>10</v>
      </c>
      <c r="BG61">
        <f>Q61</f>
        <v>0</v>
      </c>
      <c r="BH61">
        <f>R61</f>
        <v>15</v>
      </c>
      <c r="BI61">
        <f>S61</f>
        <v>10.11</v>
      </c>
      <c r="BJ61">
        <f>V61</f>
        <v>0</v>
      </c>
      <c r="BK61">
        <f>W61</f>
        <v>15</v>
      </c>
    </row>
    <row r="62" spans="1:63" ht="17" x14ac:dyDescent="0.2">
      <c r="A62">
        <v>16</v>
      </c>
      <c r="D62" s="3"/>
      <c r="E62" s="3" t="s">
        <v>604</v>
      </c>
      <c r="F62" s="3" t="s">
        <v>605</v>
      </c>
    </row>
    <row r="63" spans="1:63" ht="119" x14ac:dyDescent="0.2">
      <c r="A63">
        <v>16</v>
      </c>
      <c r="D63" s="3" t="s">
        <v>480</v>
      </c>
      <c r="E63" s="3" t="s">
        <v>606</v>
      </c>
      <c r="F63" s="3" t="s">
        <v>607</v>
      </c>
      <c r="K63" t="s">
        <v>591</v>
      </c>
      <c r="N63">
        <v>15.07</v>
      </c>
      <c r="P63" t="s">
        <v>322</v>
      </c>
      <c r="Q63">
        <f t="shared" si="58"/>
        <v>0</v>
      </c>
      <c r="R63">
        <v>15</v>
      </c>
      <c r="S63">
        <v>17.100000000000001</v>
      </c>
      <c r="U63" t="s">
        <v>322</v>
      </c>
      <c r="V63">
        <f t="shared" si="59"/>
        <v>0</v>
      </c>
      <c r="W63">
        <v>15</v>
      </c>
      <c r="BF63">
        <f>N63</f>
        <v>15.07</v>
      </c>
      <c r="BG63">
        <f>Q63</f>
        <v>0</v>
      </c>
      <c r="BH63">
        <f>R63</f>
        <v>15</v>
      </c>
      <c r="BI63">
        <f>S63</f>
        <v>17.100000000000001</v>
      </c>
      <c r="BJ63">
        <f>V63</f>
        <v>0</v>
      </c>
      <c r="BK63">
        <f>W63</f>
        <v>15</v>
      </c>
    </row>
    <row r="64" spans="1:63" ht="17" x14ac:dyDescent="0.2">
      <c r="A64">
        <v>16</v>
      </c>
      <c r="D64" s="3"/>
      <c r="E64" s="3" t="s">
        <v>608</v>
      </c>
      <c r="F64" s="3" t="s">
        <v>609</v>
      </c>
    </row>
    <row r="65" spans="1:63" ht="51" x14ac:dyDescent="0.2">
      <c r="A65">
        <v>16</v>
      </c>
      <c r="D65" s="3" t="s">
        <v>570</v>
      </c>
      <c r="E65" s="3" t="s">
        <v>462</v>
      </c>
      <c r="F65" s="3" t="s">
        <v>456</v>
      </c>
      <c r="K65" t="s">
        <v>591</v>
      </c>
      <c r="N65">
        <v>4.08</v>
      </c>
      <c r="O65">
        <v>5.15</v>
      </c>
      <c r="P65" t="s">
        <v>322</v>
      </c>
      <c r="Q65">
        <f t="shared" si="58"/>
        <v>5.15</v>
      </c>
      <c r="R65">
        <v>15</v>
      </c>
      <c r="S65">
        <v>3.15</v>
      </c>
      <c r="T65">
        <v>0.4</v>
      </c>
      <c r="U65" t="s">
        <v>322</v>
      </c>
      <c r="V65">
        <f t="shared" si="59"/>
        <v>0.4</v>
      </c>
      <c r="W65">
        <v>15</v>
      </c>
      <c r="BF65">
        <f>N65</f>
        <v>4.08</v>
      </c>
      <c r="BG65">
        <f>Q65</f>
        <v>5.15</v>
      </c>
      <c r="BH65">
        <f>R65</f>
        <v>15</v>
      </c>
      <c r="BI65">
        <f>S65</f>
        <v>3.15</v>
      </c>
      <c r="BJ65">
        <f>V65</f>
        <v>0.4</v>
      </c>
      <c r="BK65">
        <f>W65</f>
        <v>15</v>
      </c>
    </row>
    <row r="66" spans="1:63" ht="17" x14ac:dyDescent="0.2">
      <c r="A66">
        <v>16</v>
      </c>
      <c r="D66" s="3" t="s">
        <v>413</v>
      </c>
      <c r="E66" s="3" t="s">
        <v>463</v>
      </c>
      <c r="F66" s="3" t="s">
        <v>464</v>
      </c>
    </row>
    <row r="67" spans="1:63" ht="17" x14ac:dyDescent="0.2">
      <c r="A67">
        <v>17</v>
      </c>
      <c r="B67" t="s">
        <v>518</v>
      </c>
      <c r="C67">
        <v>2021</v>
      </c>
      <c r="D67" t="s">
        <v>851</v>
      </c>
      <c r="E67" s="3" t="s">
        <v>659</v>
      </c>
      <c r="F67" s="3" t="s">
        <v>660</v>
      </c>
      <c r="I67" t="s">
        <v>669</v>
      </c>
      <c r="J67" t="s">
        <v>670</v>
      </c>
      <c r="K67" t="s">
        <v>671</v>
      </c>
      <c r="L67" s="3" t="s">
        <v>413</v>
      </c>
      <c r="N67" t="s">
        <v>319</v>
      </c>
      <c r="O67" t="s">
        <v>319</v>
      </c>
      <c r="P67" t="s">
        <v>319</v>
      </c>
      <c r="Q67" t="s">
        <v>319</v>
      </c>
      <c r="R67" t="s">
        <v>319</v>
      </c>
      <c r="S67" t="s">
        <v>319</v>
      </c>
      <c r="T67" t="s">
        <v>319</v>
      </c>
      <c r="U67" t="s">
        <v>319</v>
      </c>
      <c r="V67" t="s">
        <v>319</v>
      </c>
      <c r="W67" t="s">
        <v>319</v>
      </c>
      <c r="Y67">
        <v>6.75</v>
      </c>
      <c r="Z67">
        <v>2.4900000000000002</v>
      </c>
      <c r="AA67" t="s">
        <v>322</v>
      </c>
      <c r="AB67">
        <f>Z67</f>
        <v>2.4900000000000002</v>
      </c>
      <c r="AC67">
        <v>4</v>
      </c>
      <c r="AD67">
        <v>6.75</v>
      </c>
      <c r="AE67">
        <v>1.1200000000000001</v>
      </c>
      <c r="AF67" t="s">
        <v>322</v>
      </c>
      <c r="AG67">
        <f>AE67</f>
        <v>1.1200000000000001</v>
      </c>
      <c r="AH67">
        <v>3</v>
      </c>
      <c r="AI67">
        <v>9.1999999999999993</v>
      </c>
      <c r="AJ67">
        <v>4.58</v>
      </c>
      <c r="AK67" t="s">
        <v>322</v>
      </c>
      <c r="AL67">
        <f>AJ67</f>
        <v>4.58</v>
      </c>
      <c r="AM67">
        <v>3</v>
      </c>
      <c r="AN67">
        <v>23</v>
      </c>
      <c r="AO67">
        <v>6.59</v>
      </c>
      <c r="AP67" t="s">
        <v>322</v>
      </c>
      <c r="AQ67">
        <f>AO67</f>
        <v>6.59</v>
      </c>
      <c r="AR67">
        <v>3</v>
      </c>
      <c r="AS67" t="s">
        <v>323</v>
      </c>
      <c r="AT67">
        <f t="shared" ref="AT67:AT68" si="60">AN67-AI67</f>
        <v>13.8</v>
      </c>
      <c r="AU67">
        <f>AR67+AM67</f>
        <v>6</v>
      </c>
      <c r="AV67">
        <f>((AR67-1)*AQ67^2)+((AM67-1)*AL67^2)</f>
        <v>128.809</v>
      </c>
      <c r="AW67">
        <f>SQRT(AV67/(AU67-2))</f>
        <v>5.674702635380994</v>
      </c>
      <c r="AX67">
        <f t="shared" ref="AX67:AX68" si="61">AR67</f>
        <v>3</v>
      </c>
      <c r="AY67" t="s">
        <v>324</v>
      </c>
      <c r="AZ67">
        <f t="shared" ref="AZ67:AZ68" si="62">AD67-Y67</f>
        <v>0</v>
      </c>
      <c r="BA67">
        <f>AH67+AC67</f>
        <v>7</v>
      </c>
      <c r="BB67">
        <f>((AH67-1)*AG67^2)+((AC67-1)*AB67^2)</f>
        <v>21.109100000000005</v>
      </c>
      <c r="BC67">
        <f>SQRT(BB67/(BA67-2))</f>
        <v>2.054706791734529</v>
      </c>
      <c r="BD67">
        <f>AH67</f>
        <v>3</v>
      </c>
      <c r="BF67">
        <f>AZ67</f>
        <v>0</v>
      </c>
      <c r="BG67">
        <f t="shared" ref="BG67" si="63">BC67</f>
        <v>2.054706791734529</v>
      </c>
      <c r="BH67">
        <f t="shared" ref="BH67" si="64">BD67</f>
        <v>3</v>
      </c>
      <c r="BI67">
        <f>AT67</f>
        <v>13.8</v>
      </c>
      <c r="BJ67">
        <f>AW67</f>
        <v>5.674702635380994</v>
      </c>
      <c r="BK67">
        <f>AX67</f>
        <v>3</v>
      </c>
    </row>
    <row r="68" spans="1:63" ht="17" x14ac:dyDescent="0.2">
      <c r="A68">
        <v>18</v>
      </c>
      <c r="B68" t="s">
        <v>518</v>
      </c>
      <c r="D68" t="s">
        <v>852</v>
      </c>
      <c r="E68" s="3" t="s">
        <v>661</v>
      </c>
      <c r="F68" s="3" t="s">
        <v>662</v>
      </c>
      <c r="I68" t="s">
        <v>669</v>
      </c>
      <c r="J68" t="s">
        <v>670</v>
      </c>
      <c r="K68" t="s">
        <v>672</v>
      </c>
      <c r="L68" s="3" t="s">
        <v>413</v>
      </c>
      <c r="N68" t="s">
        <v>319</v>
      </c>
      <c r="O68" t="s">
        <v>319</v>
      </c>
      <c r="P68" t="s">
        <v>319</v>
      </c>
      <c r="Q68" t="s">
        <v>319</v>
      </c>
      <c r="R68" t="s">
        <v>319</v>
      </c>
      <c r="S68" t="s">
        <v>319</v>
      </c>
      <c r="T68" t="s">
        <v>319</v>
      </c>
      <c r="U68" t="s">
        <v>319</v>
      </c>
      <c r="V68" t="s">
        <v>319</v>
      </c>
      <c r="W68" t="s">
        <v>319</v>
      </c>
      <c r="Y68">
        <v>6.75</v>
      </c>
      <c r="Z68">
        <v>2.4900000000000002</v>
      </c>
      <c r="AA68" t="s">
        <v>322</v>
      </c>
      <c r="AB68">
        <f>Z68</f>
        <v>2.4900000000000002</v>
      </c>
      <c r="AC68">
        <v>4</v>
      </c>
      <c r="AD68">
        <v>6.75</v>
      </c>
      <c r="AE68">
        <v>1.1200000000000001</v>
      </c>
      <c r="AF68" t="s">
        <v>322</v>
      </c>
      <c r="AG68">
        <f>AE68</f>
        <v>1.1200000000000001</v>
      </c>
      <c r="AH68">
        <v>3</v>
      </c>
      <c r="AI68">
        <v>19.3</v>
      </c>
      <c r="AJ68">
        <v>2.2959999999999998</v>
      </c>
      <c r="AK68" t="s">
        <v>322</v>
      </c>
      <c r="AL68">
        <f>AJ68</f>
        <v>2.2959999999999998</v>
      </c>
      <c r="AM68">
        <v>6</v>
      </c>
      <c r="AN68">
        <v>25.3</v>
      </c>
      <c r="AO68">
        <v>1.8089999999999999</v>
      </c>
      <c r="AP68" t="s">
        <v>322</v>
      </c>
      <c r="AQ68">
        <f t="shared" ref="AQ68:AQ71" si="65">AO68</f>
        <v>1.8089999999999999</v>
      </c>
      <c r="AR68">
        <v>6</v>
      </c>
      <c r="AS68" t="s">
        <v>323</v>
      </c>
      <c r="AT68">
        <f t="shared" si="60"/>
        <v>6</v>
      </c>
      <c r="AU68">
        <f>AR68+AM68</f>
        <v>12</v>
      </c>
      <c r="AV68">
        <f>((AR68-1)*AQ68^2)+((AM68-1)*AL68^2)</f>
        <v>42.720484999999996</v>
      </c>
      <c r="AW68">
        <f>SQRT(AV68/(AU68-2))</f>
        <v>2.0668934418590621</v>
      </c>
      <c r="AX68">
        <f t="shared" si="61"/>
        <v>6</v>
      </c>
      <c r="AY68" t="s">
        <v>324</v>
      </c>
      <c r="AZ68">
        <f t="shared" si="62"/>
        <v>0</v>
      </c>
      <c r="BA68">
        <f>AH68+AC68</f>
        <v>7</v>
      </c>
      <c r="BB68">
        <f>((AH68-1)*AG68^2)+((AC68-1)*AB68^2)</f>
        <v>21.109100000000005</v>
      </c>
      <c r="BC68">
        <f>SQRT(BB68/(BA68-2))</f>
        <v>2.054706791734529</v>
      </c>
      <c r="BD68">
        <f>AH68</f>
        <v>3</v>
      </c>
      <c r="BF68">
        <f t="shared" ref="BF68:BF71" si="66">AZ68</f>
        <v>0</v>
      </c>
      <c r="BG68">
        <f t="shared" ref="BG68:BG71" si="67">BC68</f>
        <v>2.054706791734529</v>
      </c>
      <c r="BH68">
        <f t="shared" ref="BH68:BH71" si="68">BD68</f>
        <v>3</v>
      </c>
      <c r="BI68">
        <f t="shared" ref="BI68:BI71" si="69">AT68</f>
        <v>6</v>
      </c>
      <c r="BJ68">
        <f t="shared" ref="BJ68:BJ71" si="70">AW68</f>
        <v>2.0668934418590621</v>
      </c>
      <c r="BK68">
        <f t="shared" ref="BK68:BK71" si="71">AX68</f>
        <v>6</v>
      </c>
    </row>
    <row r="69" spans="1:63" ht="17" x14ac:dyDescent="0.2">
      <c r="A69">
        <v>19</v>
      </c>
      <c r="B69" t="s">
        <v>518</v>
      </c>
      <c r="D69" t="s">
        <v>853</v>
      </c>
      <c r="E69" s="3" t="s">
        <v>663</v>
      </c>
      <c r="F69" s="3" t="s">
        <v>664</v>
      </c>
      <c r="I69" t="s">
        <v>669</v>
      </c>
      <c r="J69" t="s">
        <v>670</v>
      </c>
      <c r="K69" t="s">
        <v>673</v>
      </c>
      <c r="L69" s="3" t="s">
        <v>413</v>
      </c>
      <c r="N69" t="s">
        <v>319</v>
      </c>
      <c r="O69" t="s">
        <v>319</v>
      </c>
      <c r="P69" t="s">
        <v>319</v>
      </c>
      <c r="Q69" t="s">
        <v>319</v>
      </c>
      <c r="R69" t="s">
        <v>319</v>
      </c>
      <c r="S69" t="s">
        <v>319</v>
      </c>
      <c r="T69" t="s">
        <v>319</v>
      </c>
      <c r="U69" t="s">
        <v>319</v>
      </c>
      <c r="V69" t="s">
        <v>319</v>
      </c>
      <c r="W69" t="s">
        <v>319</v>
      </c>
      <c r="Y69">
        <v>6.75</v>
      </c>
      <c r="Z69">
        <v>2.4900000000000002</v>
      </c>
      <c r="AA69" t="s">
        <v>322</v>
      </c>
      <c r="AB69">
        <f t="shared" ref="AB69:AB71" si="72">Z69</f>
        <v>2.4900000000000002</v>
      </c>
      <c r="AC69">
        <v>4</v>
      </c>
      <c r="AD69">
        <v>6.75</v>
      </c>
      <c r="AE69">
        <v>1.1200000000000001</v>
      </c>
      <c r="AF69" t="s">
        <v>322</v>
      </c>
      <c r="AG69">
        <f t="shared" ref="AG69:AG71" si="73">AE69</f>
        <v>1.1200000000000001</v>
      </c>
      <c r="AH69">
        <v>3</v>
      </c>
      <c r="AI69">
        <v>9.9600000000000009</v>
      </c>
      <c r="AJ69">
        <v>7.04</v>
      </c>
      <c r="AK69" t="s">
        <v>322</v>
      </c>
      <c r="AL69">
        <f t="shared" ref="AL69:AL71" si="74">AJ69</f>
        <v>7.04</v>
      </c>
      <c r="AM69">
        <v>2</v>
      </c>
      <c r="AN69">
        <v>27.96</v>
      </c>
      <c r="AO69">
        <v>6.59</v>
      </c>
      <c r="AP69" t="s">
        <v>322</v>
      </c>
      <c r="AQ69">
        <f t="shared" si="65"/>
        <v>6.59</v>
      </c>
      <c r="AR69">
        <v>2</v>
      </c>
      <c r="AS69" t="s">
        <v>323</v>
      </c>
      <c r="AT69">
        <f t="shared" ref="AT69:AT71" si="75">AN69-AI69</f>
        <v>18</v>
      </c>
      <c r="AU69">
        <f t="shared" ref="AU69:AU71" si="76">AR69+AM69</f>
        <v>4</v>
      </c>
      <c r="AV69">
        <f t="shared" ref="AV69:AV71" si="77">((AR69-1)*AQ69^2)+((AM69-1)*AL69^2)</f>
        <v>92.989699999999999</v>
      </c>
      <c r="AW69">
        <f t="shared" ref="AW69:AW71" si="78">SQRT(AV69/(AU69-2))</f>
        <v>6.8187132217156634</v>
      </c>
      <c r="AX69">
        <f t="shared" ref="AX69:AX71" si="79">AR69</f>
        <v>2</v>
      </c>
      <c r="AY69" t="s">
        <v>324</v>
      </c>
      <c r="AZ69">
        <f t="shared" ref="AZ69:AZ71" si="80">AD69-Y69</f>
        <v>0</v>
      </c>
      <c r="BA69">
        <f t="shared" ref="BA69:BA71" si="81">AH69+AC69</f>
        <v>7</v>
      </c>
      <c r="BB69">
        <f t="shared" ref="BB69:BB71" si="82">((AH69-1)*AG69^2)+((AC69-1)*AB69^2)</f>
        <v>21.109100000000005</v>
      </c>
      <c r="BC69">
        <f t="shared" ref="BC69:BC71" si="83">SQRT(BB69/(BA69-2))</f>
        <v>2.054706791734529</v>
      </c>
      <c r="BD69">
        <f t="shared" ref="BD69:BD71" si="84">AH69</f>
        <v>3</v>
      </c>
      <c r="BF69">
        <f t="shared" si="66"/>
        <v>0</v>
      </c>
      <c r="BG69">
        <f t="shared" si="67"/>
        <v>2.054706791734529</v>
      </c>
      <c r="BH69">
        <f t="shared" si="68"/>
        <v>3</v>
      </c>
      <c r="BI69">
        <f t="shared" si="69"/>
        <v>18</v>
      </c>
      <c r="BJ69">
        <f t="shared" si="70"/>
        <v>6.8187132217156634</v>
      </c>
      <c r="BK69">
        <f t="shared" si="71"/>
        <v>2</v>
      </c>
    </row>
    <row r="70" spans="1:63" ht="17" x14ac:dyDescent="0.2">
      <c r="A70">
        <v>20</v>
      </c>
      <c r="B70" t="s">
        <v>518</v>
      </c>
      <c r="D70" t="s">
        <v>854</v>
      </c>
      <c r="E70" s="3" t="s">
        <v>665</v>
      </c>
      <c r="F70" s="3" t="s">
        <v>666</v>
      </c>
      <c r="I70" t="s">
        <v>669</v>
      </c>
      <c r="J70" t="s">
        <v>670</v>
      </c>
      <c r="K70" t="s">
        <v>674</v>
      </c>
      <c r="L70" s="3" t="s">
        <v>413</v>
      </c>
      <c r="N70" t="s">
        <v>319</v>
      </c>
      <c r="O70" t="s">
        <v>319</v>
      </c>
      <c r="P70" t="s">
        <v>319</v>
      </c>
      <c r="Q70" t="s">
        <v>319</v>
      </c>
      <c r="R70" t="s">
        <v>319</v>
      </c>
      <c r="S70" t="s">
        <v>319</v>
      </c>
      <c r="T70" t="s">
        <v>319</v>
      </c>
      <c r="U70" t="s">
        <v>319</v>
      </c>
      <c r="V70" t="s">
        <v>319</v>
      </c>
      <c r="W70" t="s">
        <v>319</v>
      </c>
      <c r="Y70">
        <v>6.75</v>
      </c>
      <c r="Z70">
        <v>2.4900000000000002</v>
      </c>
      <c r="AA70" t="s">
        <v>322</v>
      </c>
      <c r="AB70">
        <f t="shared" si="72"/>
        <v>2.4900000000000002</v>
      </c>
      <c r="AC70">
        <v>4</v>
      </c>
      <c r="AD70">
        <v>6.75</v>
      </c>
      <c r="AE70">
        <v>1.1200000000000001</v>
      </c>
      <c r="AF70" t="s">
        <v>322</v>
      </c>
      <c r="AG70">
        <f t="shared" si="73"/>
        <v>1.1200000000000001</v>
      </c>
      <c r="AH70">
        <v>3</v>
      </c>
      <c r="AI70">
        <v>12</v>
      </c>
      <c r="AJ70">
        <v>0.51</v>
      </c>
      <c r="AK70" t="s">
        <v>322</v>
      </c>
      <c r="AL70">
        <f t="shared" si="74"/>
        <v>0.51</v>
      </c>
      <c r="AM70">
        <v>5</v>
      </c>
      <c r="AN70">
        <v>27</v>
      </c>
      <c r="AO70">
        <v>1.44</v>
      </c>
      <c r="AP70" t="s">
        <v>322</v>
      </c>
      <c r="AQ70">
        <f t="shared" si="65"/>
        <v>1.44</v>
      </c>
      <c r="AR70">
        <v>5</v>
      </c>
      <c r="AS70" t="s">
        <v>323</v>
      </c>
      <c r="AT70">
        <f t="shared" si="75"/>
        <v>15</v>
      </c>
      <c r="AU70">
        <f t="shared" si="76"/>
        <v>10</v>
      </c>
      <c r="AV70">
        <f t="shared" si="77"/>
        <v>9.3347999999999995</v>
      </c>
      <c r="AW70">
        <f t="shared" si="78"/>
        <v>1.08020831324333</v>
      </c>
      <c r="AX70">
        <f t="shared" si="79"/>
        <v>5</v>
      </c>
      <c r="AY70" t="s">
        <v>324</v>
      </c>
      <c r="AZ70">
        <f t="shared" si="80"/>
        <v>0</v>
      </c>
      <c r="BA70">
        <f t="shared" si="81"/>
        <v>7</v>
      </c>
      <c r="BB70">
        <f t="shared" si="82"/>
        <v>21.109100000000005</v>
      </c>
      <c r="BC70">
        <f t="shared" si="83"/>
        <v>2.054706791734529</v>
      </c>
      <c r="BD70">
        <f t="shared" si="84"/>
        <v>3</v>
      </c>
      <c r="BF70">
        <f t="shared" si="66"/>
        <v>0</v>
      </c>
      <c r="BG70">
        <f t="shared" si="67"/>
        <v>2.054706791734529</v>
      </c>
      <c r="BH70">
        <f t="shared" si="68"/>
        <v>3</v>
      </c>
      <c r="BI70">
        <f t="shared" si="69"/>
        <v>15</v>
      </c>
      <c r="BJ70">
        <f t="shared" si="70"/>
        <v>1.08020831324333</v>
      </c>
      <c r="BK70">
        <f t="shared" si="71"/>
        <v>5</v>
      </c>
    </row>
    <row r="71" spans="1:63" ht="17" x14ac:dyDescent="0.2">
      <c r="A71">
        <v>21</v>
      </c>
      <c r="B71" t="s">
        <v>518</v>
      </c>
      <c r="D71" t="s">
        <v>855</v>
      </c>
      <c r="E71" s="3" t="s">
        <v>667</v>
      </c>
      <c r="F71" s="3" t="s">
        <v>668</v>
      </c>
      <c r="I71" t="s">
        <v>669</v>
      </c>
      <c r="J71" t="s">
        <v>670</v>
      </c>
      <c r="K71" t="s">
        <v>675</v>
      </c>
      <c r="L71" s="3" t="s">
        <v>413</v>
      </c>
      <c r="N71" t="s">
        <v>319</v>
      </c>
      <c r="O71" t="s">
        <v>319</v>
      </c>
      <c r="P71" t="s">
        <v>319</v>
      </c>
      <c r="Q71" t="s">
        <v>319</v>
      </c>
      <c r="R71" t="s">
        <v>319</v>
      </c>
      <c r="S71" t="s">
        <v>319</v>
      </c>
      <c r="T71" t="s">
        <v>319</v>
      </c>
      <c r="U71" t="s">
        <v>319</v>
      </c>
      <c r="V71" t="s">
        <v>319</v>
      </c>
      <c r="W71" t="s">
        <v>319</v>
      </c>
      <c r="Y71">
        <v>6.75</v>
      </c>
      <c r="Z71">
        <v>2.4900000000000002</v>
      </c>
      <c r="AA71" t="s">
        <v>322</v>
      </c>
      <c r="AB71">
        <f t="shared" si="72"/>
        <v>2.4900000000000002</v>
      </c>
      <c r="AC71">
        <v>4</v>
      </c>
      <c r="AD71">
        <v>6.75</v>
      </c>
      <c r="AE71">
        <v>1.1200000000000001</v>
      </c>
      <c r="AF71" t="s">
        <v>322</v>
      </c>
      <c r="AG71">
        <f t="shared" si="73"/>
        <v>1.1200000000000001</v>
      </c>
      <c r="AH71">
        <v>3</v>
      </c>
      <c r="AI71">
        <v>6.06</v>
      </c>
      <c r="AJ71">
        <v>2.226</v>
      </c>
      <c r="AK71" t="s">
        <v>322</v>
      </c>
      <c r="AL71">
        <f t="shared" si="74"/>
        <v>2.226</v>
      </c>
      <c r="AM71">
        <v>4</v>
      </c>
      <c r="AN71">
        <v>7.87</v>
      </c>
      <c r="AO71">
        <v>1.17</v>
      </c>
      <c r="AP71" t="s">
        <v>322</v>
      </c>
      <c r="AQ71">
        <f t="shared" si="65"/>
        <v>1.17</v>
      </c>
      <c r="AR71">
        <v>4</v>
      </c>
      <c r="AS71" t="s">
        <v>323</v>
      </c>
      <c r="AT71">
        <f t="shared" si="75"/>
        <v>1.8100000000000005</v>
      </c>
      <c r="AU71">
        <f t="shared" si="76"/>
        <v>8</v>
      </c>
      <c r="AV71">
        <f t="shared" si="77"/>
        <v>18.971927999999998</v>
      </c>
      <c r="AW71">
        <f t="shared" si="78"/>
        <v>1.7781979642323291</v>
      </c>
      <c r="AX71">
        <f t="shared" si="79"/>
        <v>4</v>
      </c>
      <c r="AY71" t="s">
        <v>324</v>
      </c>
      <c r="AZ71">
        <f t="shared" si="80"/>
        <v>0</v>
      </c>
      <c r="BA71">
        <f t="shared" si="81"/>
        <v>7</v>
      </c>
      <c r="BB71">
        <f t="shared" si="82"/>
        <v>21.109100000000005</v>
      </c>
      <c r="BC71">
        <f t="shared" si="83"/>
        <v>2.054706791734529</v>
      </c>
      <c r="BD71">
        <f t="shared" si="84"/>
        <v>3</v>
      </c>
      <c r="BF71">
        <f t="shared" si="66"/>
        <v>0</v>
      </c>
      <c r="BG71">
        <f t="shared" si="67"/>
        <v>2.054706791734529</v>
      </c>
      <c r="BH71">
        <f t="shared" si="68"/>
        <v>3</v>
      </c>
      <c r="BI71">
        <f t="shared" si="69"/>
        <v>1.8100000000000005</v>
      </c>
      <c r="BJ71">
        <f t="shared" si="70"/>
        <v>1.7781979642323291</v>
      </c>
      <c r="BK71">
        <f t="shared" si="71"/>
        <v>4</v>
      </c>
    </row>
    <row r="72" spans="1:63" ht="51" x14ac:dyDescent="0.2">
      <c r="A72">
        <v>22</v>
      </c>
      <c r="B72" t="s">
        <v>152</v>
      </c>
      <c r="C72">
        <v>2012</v>
      </c>
      <c r="D72" t="s">
        <v>137</v>
      </c>
      <c r="E72" t="s">
        <v>154</v>
      </c>
      <c r="F72" s="3" t="s">
        <v>155</v>
      </c>
      <c r="K72" t="s">
        <v>592</v>
      </c>
      <c r="L72" s="3" t="s">
        <v>170</v>
      </c>
      <c r="BF72">
        <f>N72</f>
        <v>0</v>
      </c>
      <c r="BG72">
        <f t="shared" ref="BG72:BI73" si="85">Q72</f>
        <v>0</v>
      </c>
      <c r="BH72">
        <f t="shared" si="85"/>
        <v>0</v>
      </c>
      <c r="BI72">
        <f t="shared" si="85"/>
        <v>0</v>
      </c>
      <c r="BJ72">
        <f>V72</f>
        <v>0</v>
      </c>
    </row>
    <row r="73" spans="1:63" ht="51" x14ac:dyDescent="0.2">
      <c r="A73">
        <v>22</v>
      </c>
      <c r="D73" t="s">
        <v>574</v>
      </c>
      <c r="E73" t="s">
        <v>156</v>
      </c>
      <c r="F73" s="3" t="s">
        <v>157</v>
      </c>
      <c r="K73" t="s">
        <v>592</v>
      </c>
      <c r="L73" s="3" t="s">
        <v>170</v>
      </c>
      <c r="BF73">
        <f>N73</f>
        <v>0</v>
      </c>
      <c r="BG73">
        <f t="shared" si="85"/>
        <v>0</v>
      </c>
      <c r="BH73">
        <f t="shared" si="85"/>
        <v>0</v>
      </c>
      <c r="BI73">
        <f t="shared" si="85"/>
        <v>0</v>
      </c>
      <c r="BJ73">
        <f>V73</f>
        <v>0</v>
      </c>
    </row>
    <row r="74" spans="1:63" ht="51" x14ac:dyDescent="0.2">
      <c r="A74">
        <v>23</v>
      </c>
      <c r="B74" t="s">
        <v>121</v>
      </c>
      <c r="C74">
        <v>2002</v>
      </c>
      <c r="D74" t="s">
        <v>575</v>
      </c>
      <c r="E74" t="s">
        <v>125</v>
      </c>
      <c r="F74" s="3" t="s">
        <v>126</v>
      </c>
      <c r="I74" t="s">
        <v>124</v>
      </c>
      <c r="J74" s="3" t="s">
        <v>127</v>
      </c>
      <c r="K74" s="3" t="s">
        <v>326</v>
      </c>
      <c r="L74" t="s">
        <v>169</v>
      </c>
      <c r="N74" t="s">
        <v>319</v>
      </c>
      <c r="O74" t="s">
        <v>319</v>
      </c>
      <c r="P74" t="s">
        <v>319</v>
      </c>
      <c r="Q74" t="s">
        <v>319</v>
      </c>
      <c r="R74" t="s">
        <v>319</v>
      </c>
      <c r="S74" t="s">
        <v>319</v>
      </c>
      <c r="T74" t="s">
        <v>319</v>
      </c>
      <c r="U74" t="s">
        <v>319</v>
      </c>
      <c r="V74" t="s">
        <v>319</v>
      </c>
      <c r="W74" t="s">
        <v>319</v>
      </c>
      <c r="Y74">
        <v>40.83</v>
      </c>
      <c r="Z74">
        <v>15.51</v>
      </c>
      <c r="AA74" t="s">
        <v>322</v>
      </c>
      <c r="AB74">
        <v>15.51</v>
      </c>
      <c r="AC74">
        <v>6</v>
      </c>
      <c r="AD74">
        <v>41.33</v>
      </c>
      <c r="AE74">
        <v>27.22</v>
      </c>
      <c r="AF74" t="s">
        <v>322</v>
      </c>
      <c r="AG74">
        <v>27.22</v>
      </c>
      <c r="AH74">
        <v>6</v>
      </c>
      <c r="AI74">
        <v>33.5</v>
      </c>
      <c r="AJ74">
        <v>0.71</v>
      </c>
      <c r="AK74" t="s">
        <v>322</v>
      </c>
      <c r="AL74">
        <v>0.71</v>
      </c>
      <c r="AM74">
        <v>2</v>
      </c>
      <c r="AN74">
        <v>68</v>
      </c>
      <c r="AO74">
        <v>20.12</v>
      </c>
      <c r="AP74" t="s">
        <v>322</v>
      </c>
      <c r="AQ74">
        <v>20.12</v>
      </c>
      <c r="AR74">
        <v>2</v>
      </c>
      <c r="AS74" t="s">
        <v>323</v>
      </c>
      <c r="AT74">
        <f t="shared" ref="AT74:AT75" si="86">AN74-AI74</f>
        <v>34.5</v>
      </c>
      <c r="AU74">
        <f>AR74+AM74</f>
        <v>4</v>
      </c>
      <c r="AV74">
        <f>((AR74-1)*AQ74^2)+((AM74-1)*AL74^2)</f>
        <v>405.31850000000003</v>
      </c>
      <c r="AW74">
        <f>SQRT(AV74/(AU74-2))</f>
        <v>14.235843845729695</v>
      </c>
      <c r="AX74">
        <f t="shared" ref="AX74:AX75" si="87">AR74</f>
        <v>2</v>
      </c>
      <c r="AY74" t="s">
        <v>324</v>
      </c>
      <c r="AZ74">
        <f t="shared" ref="AZ74:AZ75" si="88">AD74-Y74</f>
        <v>0.5</v>
      </c>
      <c r="BA74">
        <f>AH74+AC74</f>
        <v>12</v>
      </c>
      <c r="BB74">
        <f>((AH74-1)*AG74^2)+((AC74-1)*AB74^2)</f>
        <v>4907.4424999999992</v>
      </c>
      <c r="BC74">
        <f>SQRT(BB74/(BA74-2))</f>
        <v>22.15274813651796</v>
      </c>
      <c r="BD74">
        <f>AH74</f>
        <v>6</v>
      </c>
      <c r="BF74">
        <f>AZ74</f>
        <v>0.5</v>
      </c>
      <c r="BG74">
        <f t="shared" ref="BG74:BG75" si="89">BC74</f>
        <v>22.15274813651796</v>
      </c>
      <c r="BH74">
        <f t="shared" ref="BH74:BH75" si="90">BD74</f>
        <v>6</v>
      </c>
      <c r="BI74">
        <f>AT74</f>
        <v>34.5</v>
      </c>
      <c r="BJ74">
        <f>AW74</f>
        <v>14.235843845729695</v>
      </c>
      <c r="BK74">
        <f>AX74</f>
        <v>2</v>
      </c>
    </row>
    <row r="75" spans="1:63" ht="51" x14ac:dyDescent="0.2">
      <c r="A75">
        <v>23</v>
      </c>
      <c r="D75" t="s">
        <v>576</v>
      </c>
      <c r="E75" t="s">
        <v>128</v>
      </c>
      <c r="F75" s="3" t="s">
        <v>130</v>
      </c>
      <c r="I75" t="s">
        <v>129</v>
      </c>
      <c r="J75" s="3" t="s">
        <v>131</v>
      </c>
      <c r="K75" s="3" t="s">
        <v>327</v>
      </c>
      <c r="L75" t="s">
        <v>169</v>
      </c>
      <c r="N75" t="s">
        <v>319</v>
      </c>
      <c r="O75" t="s">
        <v>319</v>
      </c>
      <c r="P75" t="s">
        <v>319</v>
      </c>
      <c r="Q75" t="s">
        <v>319</v>
      </c>
      <c r="R75" t="s">
        <v>319</v>
      </c>
      <c r="S75" t="s">
        <v>319</v>
      </c>
      <c r="T75" t="s">
        <v>319</v>
      </c>
      <c r="U75" t="s">
        <v>319</v>
      </c>
      <c r="V75" t="s">
        <v>319</v>
      </c>
      <c r="W75" t="s">
        <v>319</v>
      </c>
      <c r="Y75">
        <v>37.83</v>
      </c>
      <c r="Z75">
        <v>11.81</v>
      </c>
      <c r="AA75" t="s">
        <v>322</v>
      </c>
      <c r="AB75">
        <v>11.81</v>
      </c>
      <c r="AC75">
        <v>6</v>
      </c>
      <c r="AD75">
        <v>49.28</v>
      </c>
      <c r="AE75">
        <v>29.33</v>
      </c>
      <c r="AF75" t="s">
        <v>322</v>
      </c>
      <c r="AG75">
        <v>29.33</v>
      </c>
      <c r="AH75">
        <v>6</v>
      </c>
      <c r="AI75">
        <v>39.5</v>
      </c>
      <c r="AJ75">
        <v>2.12</v>
      </c>
      <c r="AK75" t="s">
        <v>322</v>
      </c>
      <c r="AL75">
        <v>2.12</v>
      </c>
      <c r="AM75">
        <v>2</v>
      </c>
      <c r="AN75">
        <v>64.17</v>
      </c>
      <c r="AO75">
        <v>14.29</v>
      </c>
      <c r="AP75" t="s">
        <v>322</v>
      </c>
      <c r="AQ75">
        <v>14.29</v>
      </c>
      <c r="AR75">
        <v>2</v>
      </c>
      <c r="AS75" t="s">
        <v>323</v>
      </c>
      <c r="AT75">
        <f t="shared" si="86"/>
        <v>24.67</v>
      </c>
      <c r="AU75">
        <f>AR75+AM75</f>
        <v>4</v>
      </c>
      <c r="AV75">
        <f>((AR75-1)*AQ75^2)+((AM75-1)*AL75^2)</f>
        <v>208.6985</v>
      </c>
      <c r="AW75">
        <f>SQRT(AV75/(AU75-2))</f>
        <v>10.215148065495674</v>
      </c>
      <c r="AX75">
        <f t="shared" si="87"/>
        <v>2</v>
      </c>
      <c r="AY75" t="s">
        <v>324</v>
      </c>
      <c r="AZ75">
        <f t="shared" si="88"/>
        <v>11.450000000000003</v>
      </c>
      <c r="BA75">
        <f>AH75+AC75</f>
        <v>12</v>
      </c>
      <c r="BB75">
        <f>((AH75-1)*AG75^2)+((AC75-1)*AB75^2)</f>
        <v>4998.625</v>
      </c>
      <c r="BC75">
        <f>SQRT(BB75/(BA75-2))</f>
        <v>22.357604970121464</v>
      </c>
      <c r="BD75">
        <f>AH75</f>
        <v>6</v>
      </c>
      <c r="BF75">
        <f>AZ75</f>
        <v>11.450000000000003</v>
      </c>
      <c r="BG75">
        <f t="shared" si="89"/>
        <v>22.357604970121464</v>
      </c>
      <c r="BH75">
        <f t="shared" si="90"/>
        <v>6</v>
      </c>
      <c r="BI75">
        <f>AT75</f>
        <v>24.67</v>
      </c>
      <c r="BJ75">
        <f>AW75</f>
        <v>10.215148065495674</v>
      </c>
      <c r="BK75">
        <f>AX75</f>
        <v>2</v>
      </c>
    </row>
    <row r="76" spans="1:63" ht="136" x14ac:dyDescent="0.2">
      <c r="A76">
        <v>24</v>
      </c>
      <c r="B76" t="s">
        <v>44</v>
      </c>
      <c r="C76">
        <v>2016</v>
      </c>
      <c r="D76" t="s">
        <v>577</v>
      </c>
      <c r="E76" t="s">
        <v>96</v>
      </c>
      <c r="F76" s="3" t="s">
        <v>108</v>
      </c>
      <c r="I76" t="s">
        <v>95</v>
      </c>
      <c r="J76" s="3" t="s">
        <v>110</v>
      </c>
      <c r="K76" s="3" t="s">
        <v>329</v>
      </c>
      <c r="L76" s="3" t="s">
        <v>328</v>
      </c>
      <c r="M76" s="3"/>
      <c r="N76" s="3" t="s">
        <v>319</v>
      </c>
      <c r="O76" s="3" t="s">
        <v>319</v>
      </c>
      <c r="P76" s="3" t="s">
        <v>319</v>
      </c>
      <c r="Q76" s="3" t="s">
        <v>319</v>
      </c>
      <c r="R76" s="3" t="s">
        <v>319</v>
      </c>
      <c r="S76" s="3" t="s">
        <v>319</v>
      </c>
      <c r="T76" s="3" t="s">
        <v>319</v>
      </c>
      <c r="U76" s="3" t="s">
        <v>319</v>
      </c>
      <c r="V76" s="3" t="s">
        <v>319</v>
      </c>
      <c r="W76" s="3" t="s">
        <v>319</v>
      </c>
      <c r="X76" s="3"/>
      <c r="Y76">
        <v>2.17</v>
      </c>
      <c r="Z76">
        <v>1.93</v>
      </c>
      <c r="AA76" t="s">
        <v>316</v>
      </c>
      <c r="AB76">
        <f t="shared" ref="AB76" si="91">Z76*SQRT(AC76)</f>
        <v>4.7275152035715333</v>
      </c>
      <c r="AC76">
        <v>6</v>
      </c>
      <c r="AD76">
        <v>3.3</v>
      </c>
      <c r="AE76">
        <v>1.52</v>
      </c>
      <c r="AF76" t="s">
        <v>316</v>
      </c>
      <c r="AG76">
        <f t="shared" ref="AG76" si="92">AE76*SQRT(AH76)</f>
        <v>3.7232244090304305</v>
      </c>
      <c r="AH76">
        <v>6</v>
      </c>
      <c r="AI76">
        <v>0.18</v>
      </c>
      <c r="AJ76">
        <v>0.18</v>
      </c>
      <c r="AK76" t="s">
        <v>316</v>
      </c>
      <c r="AL76">
        <f t="shared" ref="AL76" si="93">AJ76*SQRT(AM76)</f>
        <v>0.44090815370097203</v>
      </c>
      <c r="AM76">
        <v>6</v>
      </c>
      <c r="AN76">
        <v>4.25</v>
      </c>
      <c r="AO76">
        <v>1.83</v>
      </c>
      <c r="AP76" t="s">
        <v>316</v>
      </c>
      <c r="AQ76">
        <f t="shared" ref="AQ76" si="94">AO76*SQRT(AR76)</f>
        <v>4.4825662292932158</v>
      </c>
      <c r="AR76">
        <v>6</v>
      </c>
      <c r="AS76" t="s">
        <v>323</v>
      </c>
      <c r="AT76">
        <f t="shared" ref="AT76" si="95">AN76-AI76</f>
        <v>4.07</v>
      </c>
      <c r="AU76">
        <f t="shared" ref="AU76:AU81" si="96">AR76+AM76</f>
        <v>12</v>
      </c>
      <c r="AV76">
        <f t="shared" ref="AV76:AV81" si="97">((AR76-1)*AQ76^2)+((AM76-1)*AL76^2)</f>
        <v>101.43899999999999</v>
      </c>
      <c r="AW76">
        <f t="shared" ref="AW76:AW81" si="98">SQRT(AV76/(AU76-2))</f>
        <v>3.1849489791831829</v>
      </c>
      <c r="AX76">
        <f t="shared" ref="AX76" si="99">AR76</f>
        <v>6</v>
      </c>
      <c r="AY76" t="s">
        <v>324</v>
      </c>
      <c r="AZ76">
        <f t="shared" ref="AZ76" si="100">AD76-Y76</f>
        <v>1.1299999999999999</v>
      </c>
      <c r="BA76">
        <f t="shared" ref="BA76:BA81" si="101">AH76+AC76</f>
        <v>12</v>
      </c>
      <c r="BB76">
        <f t="shared" ref="BB76:BB81" si="102">((AH76-1)*AG76^2)+((AC76-1)*AB76^2)</f>
        <v>181.05899999999997</v>
      </c>
      <c r="BC76">
        <f t="shared" ref="BC76:BC81" si="103">SQRT(BB76/(BA76-2))</f>
        <v>4.2551028189692426</v>
      </c>
      <c r="BD76">
        <f t="shared" ref="BD76:BD81" si="104">AH76</f>
        <v>6</v>
      </c>
      <c r="BF76">
        <f t="shared" ref="BF76:BF81" si="105">AZ76</f>
        <v>1.1299999999999999</v>
      </c>
      <c r="BG76">
        <f t="shared" ref="BG76" si="106">BC76</f>
        <v>4.2551028189692426</v>
      </c>
      <c r="BH76">
        <f t="shared" ref="BH76" si="107">BD76</f>
        <v>6</v>
      </c>
      <c r="BI76">
        <f t="shared" ref="BI76:BI81" si="108">AT76</f>
        <v>4.07</v>
      </c>
      <c r="BJ76">
        <f t="shared" ref="BJ76:BK81" si="109">AW76</f>
        <v>3.1849489791831829</v>
      </c>
      <c r="BK76">
        <f t="shared" si="109"/>
        <v>6</v>
      </c>
    </row>
    <row r="77" spans="1:63" ht="85" x14ac:dyDescent="0.2">
      <c r="A77">
        <v>24</v>
      </c>
      <c r="E77" t="s">
        <v>97</v>
      </c>
      <c r="F77" s="3" t="s">
        <v>109</v>
      </c>
      <c r="K77" s="3" t="s">
        <v>329</v>
      </c>
      <c r="N77" s="3" t="s">
        <v>319</v>
      </c>
      <c r="O77" s="3" t="s">
        <v>319</v>
      </c>
      <c r="P77" s="3" t="s">
        <v>319</v>
      </c>
      <c r="Q77" s="3" t="s">
        <v>319</v>
      </c>
      <c r="R77" s="3" t="s">
        <v>319</v>
      </c>
      <c r="S77" s="3" t="s">
        <v>319</v>
      </c>
      <c r="T77" s="3" t="s">
        <v>319</v>
      </c>
      <c r="U77" s="3" t="s">
        <v>319</v>
      </c>
      <c r="V77" s="3" t="s">
        <v>319</v>
      </c>
      <c r="W77" s="3" t="s">
        <v>319</v>
      </c>
      <c r="Y77">
        <v>2.17</v>
      </c>
      <c r="Z77">
        <v>1.93</v>
      </c>
      <c r="AA77" t="s">
        <v>316</v>
      </c>
      <c r="AB77">
        <f t="shared" ref="AB77" si="110">Z77*SQRT(AC77)</f>
        <v>4.7275152035715333</v>
      </c>
      <c r="AC77">
        <v>6</v>
      </c>
      <c r="AD77">
        <v>3.3</v>
      </c>
      <c r="AE77">
        <v>1.52</v>
      </c>
      <c r="AF77" t="s">
        <v>316</v>
      </c>
      <c r="AG77">
        <f t="shared" ref="AG77" si="111">AE77*SQRT(AH77)</f>
        <v>3.7232244090304305</v>
      </c>
      <c r="AH77">
        <v>6</v>
      </c>
      <c r="AI77">
        <v>5.2</v>
      </c>
      <c r="AJ77">
        <v>1.66</v>
      </c>
      <c r="AK77" t="s">
        <v>316</v>
      </c>
      <c r="AL77">
        <f t="shared" ref="AL77" si="112">AJ77*SQRT(AM77)</f>
        <v>4.0661529730200749</v>
      </c>
      <c r="AM77">
        <v>6</v>
      </c>
      <c r="AN77">
        <v>6.14</v>
      </c>
      <c r="AO77">
        <v>2.06</v>
      </c>
      <c r="AP77" t="s">
        <v>316</v>
      </c>
      <c r="AQ77">
        <f t="shared" ref="AQ77" si="113">AO77*SQRT(AR77)</f>
        <v>5.0459488701333468</v>
      </c>
      <c r="AR77">
        <v>6</v>
      </c>
      <c r="AS77" t="s">
        <v>323</v>
      </c>
      <c r="AT77">
        <f t="shared" ref="AT77" si="114">AN77-AI77</f>
        <v>0.9399999999999995</v>
      </c>
      <c r="AU77">
        <f t="shared" si="96"/>
        <v>12</v>
      </c>
      <c r="AV77">
        <f t="shared" si="97"/>
        <v>209.97599999999997</v>
      </c>
      <c r="AW77">
        <f t="shared" si="98"/>
        <v>4.5823138260053726</v>
      </c>
      <c r="AX77">
        <f t="shared" ref="AX77" si="115">AR77</f>
        <v>6</v>
      </c>
      <c r="AY77" t="s">
        <v>324</v>
      </c>
      <c r="AZ77">
        <f t="shared" ref="AZ77" si="116">AD77-Y77</f>
        <v>1.1299999999999999</v>
      </c>
      <c r="BA77">
        <f t="shared" si="101"/>
        <v>12</v>
      </c>
      <c r="BB77">
        <f t="shared" si="102"/>
        <v>181.05899999999997</v>
      </c>
      <c r="BC77">
        <f t="shared" si="103"/>
        <v>4.2551028189692426</v>
      </c>
      <c r="BD77">
        <f t="shared" si="104"/>
        <v>6</v>
      </c>
      <c r="BF77">
        <f t="shared" si="105"/>
        <v>1.1299999999999999</v>
      </c>
      <c r="BG77">
        <f t="shared" ref="BG77" si="117">BC77</f>
        <v>4.2551028189692426</v>
      </c>
      <c r="BH77">
        <f t="shared" ref="BH77" si="118">BD77</f>
        <v>6</v>
      </c>
      <c r="BI77">
        <f t="shared" si="108"/>
        <v>0.9399999999999995</v>
      </c>
      <c r="BJ77">
        <f t="shared" si="109"/>
        <v>4.5823138260053726</v>
      </c>
      <c r="BK77">
        <f t="shared" si="109"/>
        <v>6</v>
      </c>
    </row>
    <row r="78" spans="1:63" ht="68" x14ac:dyDescent="0.2">
      <c r="A78">
        <v>24</v>
      </c>
      <c r="D78" t="s">
        <v>578</v>
      </c>
      <c r="E78" t="s">
        <v>98</v>
      </c>
      <c r="F78" s="3" t="s">
        <v>99</v>
      </c>
      <c r="I78" t="s">
        <v>102</v>
      </c>
      <c r="J78" s="3" t="s">
        <v>103</v>
      </c>
      <c r="K78" s="3" t="s">
        <v>329</v>
      </c>
      <c r="N78" s="3" t="s">
        <v>319</v>
      </c>
      <c r="O78" s="3" t="s">
        <v>319</v>
      </c>
      <c r="P78" s="3" t="s">
        <v>319</v>
      </c>
      <c r="Q78" s="3" t="s">
        <v>319</v>
      </c>
      <c r="R78" s="3" t="s">
        <v>319</v>
      </c>
      <c r="S78" s="3" t="s">
        <v>319</v>
      </c>
      <c r="T78" s="3" t="s">
        <v>319</v>
      </c>
      <c r="U78" s="3" t="s">
        <v>319</v>
      </c>
      <c r="V78" s="3" t="s">
        <v>319</v>
      </c>
      <c r="W78" s="3" t="s">
        <v>319</v>
      </c>
      <c r="Y78">
        <v>2.97</v>
      </c>
      <c r="Z78">
        <v>1.1399999999999999</v>
      </c>
      <c r="AA78" t="s">
        <v>316</v>
      </c>
      <c r="AB78">
        <f t="shared" ref="AB78:AB79" si="119">Z78*SQRT(AC78)</f>
        <v>2.7924183067728228</v>
      </c>
      <c r="AC78">
        <v>6</v>
      </c>
      <c r="AD78">
        <v>0.34</v>
      </c>
      <c r="AE78">
        <v>0.34</v>
      </c>
      <c r="AF78" t="s">
        <v>316</v>
      </c>
      <c r="AG78">
        <f t="shared" ref="AG78:AG79" si="120">AE78*SQRT(AH78)</f>
        <v>0.83282651254628048</v>
      </c>
      <c r="AH78">
        <v>6</v>
      </c>
      <c r="AI78">
        <v>2.44</v>
      </c>
      <c r="AJ78">
        <v>0.93</v>
      </c>
      <c r="AK78" t="s">
        <v>316</v>
      </c>
      <c r="AL78">
        <f t="shared" ref="AL78:AL79" si="121">AJ78*SQRT(AM78)</f>
        <v>2.2780254607883554</v>
      </c>
      <c r="AM78">
        <v>6</v>
      </c>
      <c r="AN78">
        <v>2.77</v>
      </c>
      <c r="AO78">
        <v>2.5099999999999998</v>
      </c>
      <c r="AP78" t="s">
        <v>316</v>
      </c>
      <c r="AQ78">
        <f t="shared" ref="AQ78:AQ79" si="122">AO78*SQRT(AR78)</f>
        <v>6.1482192543857757</v>
      </c>
      <c r="AR78">
        <v>6</v>
      </c>
      <c r="AS78" t="s">
        <v>323</v>
      </c>
      <c r="AT78">
        <f t="shared" ref="AT78:AT79" si="123">AN78-AI78</f>
        <v>0.33000000000000007</v>
      </c>
      <c r="AU78">
        <f t="shared" si="96"/>
        <v>12</v>
      </c>
      <c r="AV78">
        <f t="shared" si="97"/>
        <v>214.9499999999999</v>
      </c>
      <c r="AW78">
        <f t="shared" si="98"/>
        <v>4.6362700525314517</v>
      </c>
      <c r="AX78">
        <f t="shared" ref="AX78:AX79" si="124">AR78</f>
        <v>6</v>
      </c>
      <c r="AY78" t="s">
        <v>324</v>
      </c>
      <c r="AZ78">
        <f t="shared" ref="AZ78:AZ79" si="125">AD78-Y78</f>
        <v>-2.6300000000000003</v>
      </c>
      <c r="BA78">
        <f t="shared" si="101"/>
        <v>12</v>
      </c>
      <c r="BB78">
        <f t="shared" si="102"/>
        <v>42.455999999999989</v>
      </c>
      <c r="BC78">
        <f t="shared" si="103"/>
        <v>2.060485379710324</v>
      </c>
      <c r="BD78">
        <f t="shared" si="104"/>
        <v>6</v>
      </c>
      <c r="BF78">
        <f t="shared" si="105"/>
        <v>-2.6300000000000003</v>
      </c>
      <c r="BG78">
        <f t="shared" ref="BG78:BG79" si="126">BC78</f>
        <v>2.060485379710324</v>
      </c>
      <c r="BH78">
        <f t="shared" ref="BH78:BH79" si="127">BD78</f>
        <v>6</v>
      </c>
      <c r="BI78">
        <f t="shared" si="108"/>
        <v>0.33000000000000007</v>
      </c>
      <c r="BJ78">
        <f t="shared" si="109"/>
        <v>4.6362700525314517</v>
      </c>
      <c r="BK78">
        <f t="shared" si="109"/>
        <v>6</v>
      </c>
    </row>
    <row r="79" spans="1:63" ht="68" x14ac:dyDescent="0.2">
      <c r="A79">
        <v>24</v>
      </c>
      <c r="E79" t="s">
        <v>100</v>
      </c>
      <c r="F79" s="3" t="s">
        <v>101</v>
      </c>
      <c r="K79" s="3" t="s">
        <v>329</v>
      </c>
      <c r="N79" s="3" t="s">
        <v>319</v>
      </c>
      <c r="O79" s="3" t="s">
        <v>319</v>
      </c>
      <c r="P79" s="3" t="s">
        <v>319</v>
      </c>
      <c r="Q79" s="3" t="s">
        <v>319</v>
      </c>
      <c r="R79" s="3" t="s">
        <v>319</v>
      </c>
      <c r="S79" s="3" t="s">
        <v>319</v>
      </c>
      <c r="T79" s="3" t="s">
        <v>319</v>
      </c>
      <c r="U79" s="3" t="s">
        <v>319</v>
      </c>
      <c r="V79" s="3" t="s">
        <v>319</v>
      </c>
      <c r="W79" s="3" t="s">
        <v>319</v>
      </c>
      <c r="Y79">
        <v>2.97</v>
      </c>
      <c r="Z79">
        <v>1.1399999999999999</v>
      </c>
      <c r="AA79" t="s">
        <v>316</v>
      </c>
      <c r="AB79">
        <f t="shared" si="119"/>
        <v>2.7924183067728228</v>
      </c>
      <c r="AC79">
        <v>6</v>
      </c>
      <c r="AD79">
        <v>0.34</v>
      </c>
      <c r="AE79">
        <v>0.34</v>
      </c>
      <c r="AF79" t="s">
        <v>316</v>
      </c>
      <c r="AG79">
        <f t="shared" si="120"/>
        <v>0.83282651254628048</v>
      </c>
      <c r="AH79">
        <v>6</v>
      </c>
      <c r="AI79">
        <v>3.82</v>
      </c>
      <c r="AJ79">
        <v>2.0699999999999998</v>
      </c>
      <c r="AK79" t="s">
        <v>316</v>
      </c>
      <c r="AL79">
        <f t="shared" si="121"/>
        <v>5.0704437675611782</v>
      </c>
      <c r="AM79">
        <v>6</v>
      </c>
      <c r="AN79">
        <v>1.19</v>
      </c>
      <c r="AO79">
        <v>0.83</v>
      </c>
      <c r="AP79" t="s">
        <v>316</v>
      </c>
      <c r="AQ79">
        <f t="shared" si="122"/>
        <v>2.0330764865100375</v>
      </c>
      <c r="AR79">
        <v>6</v>
      </c>
      <c r="AS79" t="s">
        <v>323</v>
      </c>
      <c r="AT79">
        <f t="shared" si="123"/>
        <v>-2.63</v>
      </c>
      <c r="AU79">
        <f t="shared" si="96"/>
        <v>12</v>
      </c>
      <c r="AV79">
        <f t="shared" si="97"/>
        <v>149.21399999999997</v>
      </c>
      <c r="AW79">
        <f t="shared" si="98"/>
        <v>3.8628228020451569</v>
      </c>
      <c r="AX79">
        <f t="shared" si="124"/>
        <v>6</v>
      </c>
      <c r="AY79" t="s">
        <v>324</v>
      </c>
      <c r="AZ79">
        <f t="shared" si="125"/>
        <v>-2.6300000000000003</v>
      </c>
      <c r="BA79">
        <f t="shared" si="101"/>
        <v>12</v>
      </c>
      <c r="BB79">
        <f t="shared" si="102"/>
        <v>42.455999999999989</v>
      </c>
      <c r="BC79">
        <f t="shared" si="103"/>
        <v>2.060485379710324</v>
      </c>
      <c r="BD79">
        <f t="shared" si="104"/>
        <v>6</v>
      </c>
      <c r="BF79">
        <f t="shared" si="105"/>
        <v>-2.6300000000000003</v>
      </c>
      <c r="BG79">
        <f t="shared" si="126"/>
        <v>2.060485379710324</v>
      </c>
      <c r="BH79">
        <f t="shared" si="127"/>
        <v>6</v>
      </c>
      <c r="BI79">
        <f t="shared" si="108"/>
        <v>-2.63</v>
      </c>
      <c r="BJ79">
        <f t="shared" si="109"/>
        <v>3.8628228020451569</v>
      </c>
      <c r="BK79">
        <f t="shared" si="109"/>
        <v>6</v>
      </c>
    </row>
    <row r="80" spans="1:63" ht="68" x14ac:dyDescent="0.2">
      <c r="A80">
        <v>24</v>
      </c>
      <c r="D80" s="3" t="s">
        <v>579</v>
      </c>
      <c r="E80" t="s">
        <v>105</v>
      </c>
      <c r="F80" s="3" t="s">
        <v>111</v>
      </c>
      <c r="I80" t="s">
        <v>104</v>
      </c>
      <c r="J80" s="3" t="s">
        <v>107</v>
      </c>
      <c r="K80" s="3" t="s">
        <v>329</v>
      </c>
      <c r="N80" s="3" t="s">
        <v>319</v>
      </c>
      <c r="O80" s="3" t="s">
        <v>319</v>
      </c>
      <c r="P80" s="3" t="s">
        <v>319</v>
      </c>
      <c r="Q80" s="3" t="s">
        <v>319</v>
      </c>
      <c r="R80" s="3" t="s">
        <v>319</v>
      </c>
      <c r="S80" s="3" t="s">
        <v>319</v>
      </c>
      <c r="T80" s="3" t="s">
        <v>319</v>
      </c>
      <c r="U80" s="3" t="s">
        <v>319</v>
      </c>
      <c r="V80" s="3" t="s">
        <v>319</v>
      </c>
      <c r="W80" s="3" t="s">
        <v>319</v>
      </c>
      <c r="Y80">
        <v>1.36</v>
      </c>
      <c r="Z80">
        <v>0.42</v>
      </c>
      <c r="AA80" t="s">
        <v>316</v>
      </c>
      <c r="AB80">
        <f t="shared" ref="AB80:AB81" si="128">Z80*SQRT(AC80)</f>
        <v>1.0287856919689347</v>
      </c>
      <c r="AC80">
        <v>6</v>
      </c>
      <c r="AD80">
        <v>1.68</v>
      </c>
      <c r="AE80">
        <v>1.01</v>
      </c>
      <c r="AF80" t="s">
        <v>316</v>
      </c>
      <c r="AG80">
        <f t="shared" ref="AG80:AG81" si="129">AE80*SQRT(AH80)</f>
        <v>2.4739846402110097</v>
      </c>
      <c r="AH80">
        <v>6</v>
      </c>
      <c r="AI80">
        <v>0.99</v>
      </c>
      <c r="AJ80">
        <v>0.49</v>
      </c>
      <c r="AK80" t="s">
        <v>316</v>
      </c>
      <c r="AL80">
        <f t="shared" ref="AL80:AL81" si="130">AJ80*SQRT(AM80)</f>
        <v>1.2002499739637571</v>
      </c>
      <c r="AM80">
        <v>6</v>
      </c>
      <c r="AN80">
        <v>1.88</v>
      </c>
      <c r="AO80">
        <v>1.0900000000000001</v>
      </c>
      <c r="AP80" t="s">
        <v>316</v>
      </c>
      <c r="AQ80">
        <f t="shared" ref="AQ80:AQ81" si="131">AO80*SQRT(AR80)</f>
        <v>2.669943819633664</v>
      </c>
      <c r="AR80">
        <v>6</v>
      </c>
      <c r="AS80" t="s">
        <v>323</v>
      </c>
      <c r="AT80">
        <f t="shared" ref="AT80:AT81" si="132">AN80-AI80</f>
        <v>0.8899999999999999</v>
      </c>
      <c r="AU80">
        <f t="shared" si="96"/>
        <v>12</v>
      </c>
      <c r="AV80">
        <f t="shared" si="97"/>
        <v>42.845999999999997</v>
      </c>
      <c r="AW80">
        <f t="shared" si="98"/>
        <v>2.0699275349634827</v>
      </c>
      <c r="AX80">
        <f t="shared" ref="AX80:AX81" si="133">AR80</f>
        <v>6</v>
      </c>
      <c r="AY80" t="s">
        <v>324</v>
      </c>
      <c r="AZ80">
        <f t="shared" ref="AZ80:AZ81" si="134">AD80-Y80</f>
        <v>0.31999999999999984</v>
      </c>
      <c r="BA80">
        <f t="shared" si="101"/>
        <v>12</v>
      </c>
      <c r="BB80">
        <f t="shared" si="102"/>
        <v>35.894999999999996</v>
      </c>
      <c r="BC80">
        <f t="shared" si="103"/>
        <v>1.8945975826016457</v>
      </c>
      <c r="BD80">
        <f t="shared" si="104"/>
        <v>6</v>
      </c>
      <c r="BF80">
        <f t="shared" si="105"/>
        <v>0.31999999999999984</v>
      </c>
      <c r="BG80">
        <f t="shared" ref="BG80:BG81" si="135">BC80</f>
        <v>1.8945975826016457</v>
      </c>
      <c r="BH80">
        <f t="shared" ref="BH80:BH81" si="136">BD80</f>
        <v>6</v>
      </c>
      <c r="BI80">
        <f t="shared" si="108"/>
        <v>0.8899999999999999</v>
      </c>
      <c r="BJ80">
        <f t="shared" si="109"/>
        <v>2.0699275349634827</v>
      </c>
      <c r="BK80">
        <f t="shared" si="109"/>
        <v>6</v>
      </c>
    </row>
    <row r="81" spans="1:63" ht="68" x14ac:dyDescent="0.2">
      <c r="A81">
        <v>24</v>
      </c>
      <c r="E81" t="s">
        <v>106</v>
      </c>
      <c r="F81" s="3" t="s">
        <v>112</v>
      </c>
      <c r="K81" s="3" t="s">
        <v>329</v>
      </c>
      <c r="N81" s="3" t="s">
        <v>319</v>
      </c>
      <c r="O81" s="3" t="s">
        <v>319</v>
      </c>
      <c r="P81" s="3" t="s">
        <v>319</v>
      </c>
      <c r="Q81" s="3" t="s">
        <v>319</v>
      </c>
      <c r="R81" s="3" t="s">
        <v>319</v>
      </c>
      <c r="S81" s="3" t="s">
        <v>319</v>
      </c>
      <c r="T81" s="3" t="s">
        <v>319</v>
      </c>
      <c r="U81" s="3" t="s">
        <v>319</v>
      </c>
      <c r="V81" s="3" t="s">
        <v>319</v>
      </c>
      <c r="W81" s="3" t="s">
        <v>319</v>
      </c>
      <c r="Y81">
        <v>1.36</v>
      </c>
      <c r="Z81">
        <v>0.42</v>
      </c>
      <c r="AA81" t="s">
        <v>316</v>
      </c>
      <c r="AB81">
        <f t="shared" si="128"/>
        <v>1.0287856919689347</v>
      </c>
      <c r="AC81">
        <v>6</v>
      </c>
      <c r="AD81">
        <v>1.68</v>
      </c>
      <c r="AE81">
        <v>1.01</v>
      </c>
      <c r="AF81" t="s">
        <v>316</v>
      </c>
      <c r="AG81">
        <f t="shared" si="129"/>
        <v>2.4739846402110097</v>
      </c>
      <c r="AH81">
        <v>6</v>
      </c>
      <c r="AI81">
        <v>0.84</v>
      </c>
      <c r="AJ81">
        <v>0.35</v>
      </c>
      <c r="AK81" t="s">
        <v>316</v>
      </c>
      <c r="AL81">
        <f t="shared" si="130"/>
        <v>0.85732140997411221</v>
      </c>
      <c r="AM81">
        <v>6</v>
      </c>
      <c r="AN81">
        <v>3.3</v>
      </c>
      <c r="AO81">
        <v>1.84</v>
      </c>
      <c r="AP81" t="s">
        <v>316</v>
      </c>
      <c r="AQ81">
        <f t="shared" si="131"/>
        <v>4.5070611267210472</v>
      </c>
      <c r="AR81">
        <v>6</v>
      </c>
      <c r="AS81" t="s">
        <v>323</v>
      </c>
      <c r="AT81">
        <f t="shared" si="132"/>
        <v>2.46</v>
      </c>
      <c r="AU81">
        <f t="shared" si="96"/>
        <v>12</v>
      </c>
      <c r="AV81">
        <f t="shared" si="97"/>
        <v>105.24299999999997</v>
      </c>
      <c r="AW81">
        <f t="shared" si="98"/>
        <v>3.2441177537197992</v>
      </c>
      <c r="AX81">
        <f t="shared" si="133"/>
        <v>6</v>
      </c>
      <c r="AY81" t="s">
        <v>324</v>
      </c>
      <c r="AZ81">
        <f t="shared" si="134"/>
        <v>0.31999999999999984</v>
      </c>
      <c r="BA81">
        <f t="shared" si="101"/>
        <v>12</v>
      </c>
      <c r="BB81">
        <f t="shared" si="102"/>
        <v>35.894999999999996</v>
      </c>
      <c r="BC81">
        <f t="shared" si="103"/>
        <v>1.8945975826016457</v>
      </c>
      <c r="BD81">
        <f t="shared" si="104"/>
        <v>6</v>
      </c>
      <c r="BF81">
        <f t="shared" si="105"/>
        <v>0.31999999999999984</v>
      </c>
      <c r="BG81">
        <f t="shared" si="135"/>
        <v>1.8945975826016457</v>
      </c>
      <c r="BH81">
        <f t="shared" si="136"/>
        <v>6</v>
      </c>
      <c r="BI81">
        <f t="shared" si="108"/>
        <v>2.46</v>
      </c>
      <c r="BJ81">
        <f t="shared" si="109"/>
        <v>3.2441177537197992</v>
      </c>
      <c r="BK81">
        <f t="shared" si="109"/>
        <v>6</v>
      </c>
    </row>
    <row r="82" spans="1:63" ht="68" x14ac:dyDescent="0.2">
      <c r="A82" s="3">
        <v>25</v>
      </c>
      <c r="B82" t="s">
        <v>116</v>
      </c>
      <c r="C82">
        <v>2011</v>
      </c>
      <c r="D82" s="3" t="s">
        <v>330</v>
      </c>
      <c r="E82" t="s">
        <v>593</v>
      </c>
      <c r="F82" s="3" t="s">
        <v>655</v>
      </c>
      <c r="H82" s="3"/>
      <c r="I82" t="s">
        <v>597</v>
      </c>
      <c r="J82" s="3" t="s">
        <v>171</v>
      </c>
      <c r="K82" s="3"/>
      <c r="L82" s="3" t="s">
        <v>413</v>
      </c>
      <c r="Y82">
        <f>(115+81+41+118+78+5+6)/7</f>
        <v>63.428571428571431</v>
      </c>
      <c r="Z82">
        <f>SQRT((20^2+0.5^2+4^2+1^2+1^2+0.5^2+1.5^2)/4)</f>
        <v>10.256095748383007</v>
      </c>
      <c r="AA82" t="s">
        <v>322</v>
      </c>
      <c r="AB82">
        <f>Z82</f>
        <v>10.256095748383007</v>
      </c>
      <c r="AC82">
        <v>4</v>
      </c>
      <c r="AD82">
        <f>(115+80+95+60+41+42+95+50+130+104+76+40+12+10+16+4)/12</f>
        <v>80.833333333333329</v>
      </c>
      <c r="AE82">
        <f>SQRT((2^2+3^2+1^2+1^2+1.5^2+1^2+5^2+1^2+1^2+1^2+2^2+1^2+0.4^2+3^2+1^2+0^2)/4)</f>
        <v>3.918226639693013</v>
      </c>
      <c r="AF82" t="s">
        <v>322</v>
      </c>
      <c r="AG82">
        <f>AE82</f>
        <v>3.918226639693013</v>
      </c>
      <c r="AH82">
        <v>4</v>
      </c>
      <c r="AI82">
        <f>(230+75+80+65+70+4.5+3)/7</f>
        <v>75.357142857142861</v>
      </c>
      <c r="AJ82">
        <f>SQRT((60^2+0.5^2+3^2+1^2+2^2+0.5^2+0.5^2)/4)</f>
        <v>30.061395509856158</v>
      </c>
      <c r="AK82" t="s">
        <v>322</v>
      </c>
      <c r="AL82">
        <f>AJ82</f>
        <v>30.061395509856158</v>
      </c>
      <c r="AM82">
        <v>4</v>
      </c>
      <c r="AN82">
        <f>(110+95+120+85+135+95+100+60+114+104+40+35+14+4.5+8+3)/12</f>
        <v>93.541666666666671</v>
      </c>
      <c r="AO82">
        <f>SQRT((2^2+5^2+5^2+3^2+15^2+3^2+1^2+1^2+2^2+1^2+0.5^2+0.5^2+1.7^2+1^2+0.5^2+0^2)/4)</f>
        <v>8.784076502399099</v>
      </c>
      <c r="AP82" t="s">
        <v>322</v>
      </c>
      <c r="AQ82">
        <f>AO82</f>
        <v>8.784076502399099</v>
      </c>
      <c r="AR82">
        <v>4</v>
      </c>
      <c r="AS82" t="s">
        <v>323</v>
      </c>
      <c r="AT82">
        <f t="shared" ref="AT82" si="137">AN82-AI82</f>
        <v>18.18452380952381</v>
      </c>
      <c r="AU82">
        <f>AR82+AM82</f>
        <v>8</v>
      </c>
      <c r="AV82">
        <f>((AR82-1)*AQ82^2)+((AM82-1)*AL82^2)</f>
        <v>2942.5425</v>
      </c>
      <c r="AW82">
        <f>SQRT(AV82/(AU82-2))</f>
        <v>22.145513089562861</v>
      </c>
      <c r="AX82">
        <f t="shared" ref="AX82" si="138">AR82</f>
        <v>4</v>
      </c>
      <c r="AY82" t="s">
        <v>324</v>
      </c>
      <c r="AZ82">
        <f t="shared" ref="AZ82" si="139">AD82-Y82</f>
        <v>17.404761904761898</v>
      </c>
      <c r="BA82">
        <f>AH82+AC82</f>
        <v>8</v>
      </c>
      <c r="BB82">
        <f>((AH82-1)*AG82^2)+((AC82-1)*AB82^2)</f>
        <v>361.62</v>
      </c>
      <c r="BC82">
        <f>SQRT(BB82/(BA82-2))</f>
        <v>7.7633755544865926</v>
      </c>
      <c r="BD82">
        <f>AH82</f>
        <v>4</v>
      </c>
      <c r="BF82">
        <f>AZ82</f>
        <v>17.404761904761898</v>
      </c>
      <c r="BG82">
        <f t="shared" ref="BG82" si="140">BC82</f>
        <v>7.7633755544865926</v>
      </c>
      <c r="BH82">
        <f t="shared" ref="BH82" si="141">BD82</f>
        <v>4</v>
      </c>
      <c r="BI82">
        <f>AT82</f>
        <v>18.18452380952381</v>
      </c>
      <c r="BJ82">
        <f>AW82</f>
        <v>22.145513089562861</v>
      </c>
      <c r="BK82">
        <f>AX82</f>
        <v>4</v>
      </c>
    </row>
    <row r="83" spans="1:63" ht="68" x14ac:dyDescent="0.2">
      <c r="A83" s="3">
        <v>25</v>
      </c>
      <c r="D83" s="3" t="s">
        <v>331</v>
      </c>
      <c r="E83" s="3" t="s">
        <v>594</v>
      </c>
      <c r="F83" s="3" t="s">
        <v>656</v>
      </c>
      <c r="I83" s="3" t="s">
        <v>598</v>
      </c>
      <c r="J83" s="3" t="s">
        <v>172</v>
      </c>
      <c r="K83" s="3"/>
      <c r="L83" s="3" t="s">
        <v>413</v>
      </c>
    </row>
    <row r="84" spans="1:63" ht="68" x14ac:dyDescent="0.2">
      <c r="A84" s="3">
        <v>25</v>
      </c>
      <c r="D84" s="3" t="s">
        <v>332</v>
      </c>
      <c r="E84" s="3" t="s">
        <v>595</v>
      </c>
      <c r="F84" s="3" t="s">
        <v>657</v>
      </c>
      <c r="I84" s="3" t="s">
        <v>599</v>
      </c>
      <c r="J84" s="3" t="s">
        <v>173</v>
      </c>
      <c r="K84" s="3"/>
      <c r="L84" s="3" t="s">
        <v>413</v>
      </c>
    </row>
    <row r="85" spans="1:63" ht="68" x14ac:dyDescent="0.2">
      <c r="A85" s="3">
        <v>25</v>
      </c>
      <c r="D85" s="3" t="s">
        <v>333</v>
      </c>
      <c r="E85" s="3" t="s">
        <v>596</v>
      </c>
      <c r="F85" s="3" t="s">
        <v>658</v>
      </c>
      <c r="I85" s="3" t="s">
        <v>600</v>
      </c>
      <c r="J85" s="3" t="s">
        <v>174</v>
      </c>
      <c r="K85" s="3"/>
      <c r="L85" s="3" t="s">
        <v>413</v>
      </c>
    </row>
    <row r="86" spans="1:63" ht="17" x14ac:dyDescent="0.2">
      <c r="A86" s="3">
        <v>25</v>
      </c>
      <c r="D86" s="3" t="s">
        <v>413</v>
      </c>
      <c r="E86" s="3"/>
      <c r="F86" s="3"/>
      <c r="I86" s="3"/>
      <c r="J86" s="3"/>
      <c r="K86" s="3" t="s">
        <v>582</v>
      </c>
    </row>
    <row r="87" spans="1:63" ht="68" x14ac:dyDescent="0.2">
      <c r="A87" s="3">
        <v>26</v>
      </c>
      <c r="B87" t="s">
        <v>143</v>
      </c>
      <c r="C87">
        <v>2018</v>
      </c>
      <c r="E87" s="3" t="s">
        <v>367</v>
      </c>
      <c r="F87" s="3" t="s">
        <v>368</v>
      </c>
      <c r="I87" s="3" t="s">
        <v>369</v>
      </c>
      <c r="J87" s="3" t="s">
        <v>370</v>
      </c>
      <c r="L87" s="3" t="s">
        <v>654</v>
      </c>
    </row>
    <row r="88" spans="1:63" ht="17" x14ac:dyDescent="0.2">
      <c r="A88" s="3">
        <v>26</v>
      </c>
      <c r="D88" t="s">
        <v>413</v>
      </c>
      <c r="E88" s="3" t="s">
        <v>601</v>
      </c>
      <c r="F88" s="3" t="s">
        <v>610</v>
      </c>
      <c r="I88" t="s">
        <v>611</v>
      </c>
      <c r="J88" t="s">
        <v>612</v>
      </c>
      <c r="K88" t="s">
        <v>334</v>
      </c>
    </row>
    <row r="89" spans="1:63" ht="17" x14ac:dyDescent="0.2">
      <c r="A89">
        <v>27</v>
      </c>
      <c r="B89" t="s">
        <v>175</v>
      </c>
      <c r="C89">
        <v>2007</v>
      </c>
      <c r="E89" s="3" t="s">
        <v>420</v>
      </c>
      <c r="F89" s="3" t="s">
        <v>650</v>
      </c>
      <c r="K89" t="s">
        <v>581</v>
      </c>
      <c r="L89" s="3" t="s">
        <v>203</v>
      </c>
      <c r="N89">
        <v>0</v>
      </c>
      <c r="O89">
        <v>0</v>
      </c>
      <c r="P89" t="s">
        <v>316</v>
      </c>
      <c r="Q89">
        <f>O89*SQRT(R89)</f>
        <v>0</v>
      </c>
      <c r="R89">
        <v>2</v>
      </c>
      <c r="S89">
        <v>18</v>
      </c>
      <c r="T89">
        <v>8</v>
      </c>
      <c r="U89" t="s">
        <v>316</v>
      </c>
      <c r="V89">
        <f>T89*SQRT(W89)</f>
        <v>11.313708498984761</v>
      </c>
      <c r="W89">
        <v>2</v>
      </c>
      <c r="Y89" t="s">
        <v>319</v>
      </c>
      <c r="Z89" t="s">
        <v>319</v>
      </c>
      <c r="AA89" t="s">
        <v>319</v>
      </c>
      <c r="AB89" t="s">
        <v>319</v>
      </c>
      <c r="AC89" t="s">
        <v>319</v>
      </c>
      <c r="AD89" t="s">
        <v>319</v>
      </c>
      <c r="AE89" t="s">
        <v>319</v>
      </c>
      <c r="AF89" t="s">
        <v>319</v>
      </c>
      <c r="AG89" t="s">
        <v>319</v>
      </c>
      <c r="AH89" t="s">
        <v>319</v>
      </c>
      <c r="AI89" t="s">
        <v>319</v>
      </c>
      <c r="AJ89" t="s">
        <v>319</v>
      </c>
      <c r="AK89" t="s">
        <v>319</v>
      </c>
      <c r="AL89" t="s">
        <v>319</v>
      </c>
      <c r="AM89" t="s">
        <v>319</v>
      </c>
      <c r="AN89" t="s">
        <v>319</v>
      </c>
      <c r="AO89" t="s">
        <v>319</v>
      </c>
      <c r="AP89" t="s">
        <v>319</v>
      </c>
      <c r="AQ89" t="s">
        <v>319</v>
      </c>
      <c r="AR89" t="s">
        <v>319</v>
      </c>
      <c r="AS89" t="s">
        <v>319</v>
      </c>
      <c r="AT89" t="s">
        <v>319</v>
      </c>
      <c r="AU89" t="s">
        <v>319</v>
      </c>
      <c r="AV89" t="s">
        <v>319</v>
      </c>
      <c r="AW89" t="s">
        <v>319</v>
      </c>
      <c r="AX89" t="s">
        <v>319</v>
      </c>
      <c r="AY89" t="s">
        <v>319</v>
      </c>
      <c r="AZ89" t="s">
        <v>319</v>
      </c>
      <c r="BA89" t="s">
        <v>319</v>
      </c>
      <c r="BB89" t="s">
        <v>319</v>
      </c>
      <c r="BC89" t="s">
        <v>319</v>
      </c>
      <c r="BD89" t="s">
        <v>319</v>
      </c>
      <c r="BF89">
        <f>N89</f>
        <v>0</v>
      </c>
      <c r="BG89">
        <f t="shared" ref="BG89:BI93" si="142">Q89</f>
        <v>0</v>
      </c>
      <c r="BH89">
        <f t="shared" si="142"/>
        <v>2</v>
      </c>
      <c r="BI89">
        <f t="shared" si="142"/>
        <v>18</v>
      </c>
      <c r="BJ89">
        <f t="shared" ref="BJ89:BK92" si="143">V89</f>
        <v>11.313708498984761</v>
      </c>
      <c r="BK89">
        <f t="shared" si="143"/>
        <v>2</v>
      </c>
    </row>
    <row r="90" spans="1:63" ht="17" x14ac:dyDescent="0.2">
      <c r="A90">
        <v>27</v>
      </c>
      <c r="E90" s="3" t="s">
        <v>647</v>
      </c>
      <c r="F90" s="3" t="s">
        <v>651</v>
      </c>
      <c r="K90" t="s">
        <v>581</v>
      </c>
      <c r="L90" s="3" t="s">
        <v>203</v>
      </c>
      <c r="N90">
        <v>7</v>
      </c>
      <c r="O90">
        <v>0</v>
      </c>
      <c r="P90" t="s">
        <v>316</v>
      </c>
      <c r="Q90">
        <f t="shared" ref="Q90:Q91" si="144">O90*SQRT(R90)</f>
        <v>0</v>
      </c>
      <c r="R90">
        <v>2</v>
      </c>
      <c r="S90">
        <v>59</v>
      </c>
      <c r="T90">
        <v>29</v>
      </c>
      <c r="U90" t="s">
        <v>316</v>
      </c>
      <c r="V90">
        <f t="shared" ref="V90:V91" si="145">T90*SQRT(W90)</f>
        <v>41.012193308819761</v>
      </c>
      <c r="W90">
        <v>2</v>
      </c>
      <c r="Y90" t="s">
        <v>319</v>
      </c>
      <c r="Z90" t="s">
        <v>319</v>
      </c>
      <c r="AA90" t="s">
        <v>319</v>
      </c>
      <c r="AB90" t="s">
        <v>319</v>
      </c>
      <c r="AC90" t="s">
        <v>319</v>
      </c>
      <c r="AD90" t="s">
        <v>319</v>
      </c>
      <c r="AE90" t="s">
        <v>319</v>
      </c>
      <c r="AF90" t="s">
        <v>319</v>
      </c>
      <c r="AG90" t="s">
        <v>319</v>
      </c>
      <c r="AH90" t="s">
        <v>319</v>
      </c>
      <c r="AI90" t="s">
        <v>319</v>
      </c>
      <c r="AJ90" t="s">
        <v>319</v>
      </c>
      <c r="AK90" t="s">
        <v>319</v>
      </c>
      <c r="AL90" t="s">
        <v>319</v>
      </c>
      <c r="AM90" t="s">
        <v>319</v>
      </c>
      <c r="AN90" t="s">
        <v>319</v>
      </c>
      <c r="AO90" t="s">
        <v>319</v>
      </c>
      <c r="AP90" t="s">
        <v>319</v>
      </c>
      <c r="AQ90" t="s">
        <v>319</v>
      </c>
      <c r="AR90" t="s">
        <v>319</v>
      </c>
      <c r="AS90" t="s">
        <v>319</v>
      </c>
      <c r="AT90" t="s">
        <v>319</v>
      </c>
      <c r="AU90" t="s">
        <v>319</v>
      </c>
      <c r="AV90" t="s">
        <v>319</v>
      </c>
      <c r="AW90" t="s">
        <v>319</v>
      </c>
      <c r="AX90" t="s">
        <v>319</v>
      </c>
      <c r="AY90" t="s">
        <v>319</v>
      </c>
      <c r="AZ90" t="s">
        <v>319</v>
      </c>
      <c r="BA90" t="s">
        <v>319</v>
      </c>
      <c r="BB90" t="s">
        <v>319</v>
      </c>
      <c r="BC90" t="s">
        <v>319</v>
      </c>
      <c r="BD90" t="s">
        <v>319</v>
      </c>
      <c r="BF90">
        <f>N90</f>
        <v>7</v>
      </c>
      <c r="BG90">
        <f t="shared" si="142"/>
        <v>0</v>
      </c>
      <c r="BH90">
        <f t="shared" si="142"/>
        <v>2</v>
      </c>
      <c r="BI90">
        <f t="shared" si="142"/>
        <v>59</v>
      </c>
      <c r="BJ90">
        <f t="shared" si="143"/>
        <v>41.012193308819761</v>
      </c>
      <c r="BK90">
        <f t="shared" si="143"/>
        <v>2</v>
      </c>
    </row>
    <row r="91" spans="1:63" ht="17" x14ac:dyDescent="0.2">
      <c r="A91">
        <v>27</v>
      </c>
      <c r="E91" s="3" t="s">
        <v>648</v>
      </c>
      <c r="F91" s="3" t="s">
        <v>652</v>
      </c>
      <c r="K91" t="s">
        <v>581</v>
      </c>
      <c r="L91" s="3" t="s">
        <v>203</v>
      </c>
      <c r="N91">
        <v>8</v>
      </c>
      <c r="O91">
        <v>8</v>
      </c>
      <c r="P91" t="s">
        <v>316</v>
      </c>
      <c r="Q91">
        <f t="shared" si="144"/>
        <v>11.313708498984761</v>
      </c>
      <c r="R91">
        <v>2</v>
      </c>
      <c r="S91">
        <v>22</v>
      </c>
      <c r="T91">
        <v>6</v>
      </c>
      <c r="U91" t="s">
        <v>316</v>
      </c>
      <c r="V91">
        <f t="shared" si="145"/>
        <v>8.4852813742385713</v>
      </c>
      <c r="W91">
        <v>2</v>
      </c>
      <c r="Y91" t="s">
        <v>319</v>
      </c>
      <c r="Z91" t="s">
        <v>319</v>
      </c>
      <c r="AA91" t="s">
        <v>319</v>
      </c>
      <c r="AB91" t="s">
        <v>319</v>
      </c>
      <c r="AC91" t="s">
        <v>319</v>
      </c>
      <c r="AD91" t="s">
        <v>319</v>
      </c>
      <c r="AE91" t="s">
        <v>319</v>
      </c>
      <c r="AF91" t="s">
        <v>319</v>
      </c>
      <c r="AG91" t="s">
        <v>319</v>
      </c>
      <c r="AH91" t="s">
        <v>319</v>
      </c>
      <c r="AI91" t="s">
        <v>319</v>
      </c>
      <c r="AJ91" t="s">
        <v>319</v>
      </c>
      <c r="AK91" t="s">
        <v>319</v>
      </c>
      <c r="AL91" t="s">
        <v>319</v>
      </c>
      <c r="AM91" t="s">
        <v>319</v>
      </c>
      <c r="AN91" t="s">
        <v>319</v>
      </c>
      <c r="AO91" t="s">
        <v>319</v>
      </c>
      <c r="AP91" t="s">
        <v>319</v>
      </c>
      <c r="AQ91" t="s">
        <v>319</v>
      </c>
      <c r="AR91" t="s">
        <v>319</v>
      </c>
      <c r="AS91" t="s">
        <v>319</v>
      </c>
      <c r="AT91" t="s">
        <v>319</v>
      </c>
      <c r="AU91" t="s">
        <v>319</v>
      </c>
      <c r="AV91" t="s">
        <v>319</v>
      </c>
      <c r="AW91" t="s">
        <v>319</v>
      </c>
      <c r="AX91" t="s">
        <v>319</v>
      </c>
      <c r="AY91" t="s">
        <v>319</v>
      </c>
      <c r="AZ91" t="s">
        <v>319</v>
      </c>
      <c r="BA91" t="s">
        <v>319</v>
      </c>
      <c r="BB91" t="s">
        <v>319</v>
      </c>
      <c r="BC91" t="s">
        <v>319</v>
      </c>
      <c r="BD91" t="s">
        <v>319</v>
      </c>
      <c r="BF91">
        <f>N91</f>
        <v>8</v>
      </c>
      <c r="BG91">
        <f t="shared" si="142"/>
        <v>11.313708498984761</v>
      </c>
      <c r="BH91">
        <f t="shared" si="142"/>
        <v>2</v>
      </c>
      <c r="BI91">
        <f t="shared" si="142"/>
        <v>22</v>
      </c>
      <c r="BJ91">
        <f t="shared" si="143"/>
        <v>8.4852813742385713</v>
      </c>
      <c r="BK91">
        <f t="shared" si="143"/>
        <v>2</v>
      </c>
    </row>
    <row r="92" spans="1:63" ht="17" x14ac:dyDescent="0.2">
      <c r="A92">
        <v>27</v>
      </c>
      <c r="E92" s="3" t="s">
        <v>649</v>
      </c>
      <c r="F92" s="3" t="s">
        <v>653</v>
      </c>
      <c r="K92" t="s">
        <v>581</v>
      </c>
      <c r="L92" s="3" t="s">
        <v>203</v>
      </c>
      <c r="N92">
        <v>16</v>
      </c>
      <c r="O92">
        <v>6</v>
      </c>
      <c r="P92" t="s">
        <v>316</v>
      </c>
      <c r="Q92">
        <f>O92*SQRT(R92)</f>
        <v>8.4852813742385713</v>
      </c>
      <c r="R92">
        <v>2</v>
      </c>
      <c r="S92">
        <v>44</v>
      </c>
      <c r="T92">
        <v>22</v>
      </c>
      <c r="U92" t="s">
        <v>316</v>
      </c>
      <c r="V92">
        <f>T92*SQRT(W92)</f>
        <v>31.112698372208094</v>
      </c>
      <c r="W92">
        <v>2</v>
      </c>
      <c r="Y92" t="s">
        <v>319</v>
      </c>
      <c r="Z92" t="s">
        <v>319</v>
      </c>
      <c r="AA92" t="s">
        <v>319</v>
      </c>
      <c r="AB92" t="s">
        <v>319</v>
      </c>
      <c r="AC92" t="s">
        <v>319</v>
      </c>
      <c r="AD92" t="s">
        <v>319</v>
      </c>
      <c r="AE92" t="s">
        <v>319</v>
      </c>
      <c r="AF92" t="s">
        <v>319</v>
      </c>
      <c r="AG92" t="s">
        <v>319</v>
      </c>
      <c r="AH92" t="s">
        <v>319</v>
      </c>
      <c r="AI92" t="s">
        <v>319</v>
      </c>
      <c r="AJ92" t="s">
        <v>319</v>
      </c>
      <c r="AK92" t="s">
        <v>319</v>
      </c>
      <c r="AL92" t="s">
        <v>319</v>
      </c>
      <c r="AM92" t="s">
        <v>319</v>
      </c>
      <c r="AN92" t="s">
        <v>319</v>
      </c>
      <c r="AO92" t="s">
        <v>319</v>
      </c>
      <c r="AP92" t="s">
        <v>319</v>
      </c>
      <c r="AQ92" t="s">
        <v>319</v>
      </c>
      <c r="AR92" t="s">
        <v>319</v>
      </c>
      <c r="AS92" t="s">
        <v>319</v>
      </c>
      <c r="AT92" t="s">
        <v>319</v>
      </c>
      <c r="AU92" t="s">
        <v>319</v>
      </c>
      <c r="AV92" t="s">
        <v>319</v>
      </c>
      <c r="AW92" t="s">
        <v>319</v>
      </c>
      <c r="AX92" t="s">
        <v>319</v>
      </c>
      <c r="AY92" t="s">
        <v>319</v>
      </c>
      <c r="AZ92" t="s">
        <v>319</v>
      </c>
      <c r="BA92" t="s">
        <v>319</v>
      </c>
      <c r="BB92" t="s">
        <v>319</v>
      </c>
      <c r="BC92" t="s">
        <v>319</v>
      </c>
      <c r="BD92" t="s">
        <v>319</v>
      </c>
      <c r="BF92">
        <f>N92</f>
        <v>16</v>
      </c>
      <c r="BG92">
        <f t="shared" si="142"/>
        <v>8.4852813742385713</v>
      </c>
      <c r="BH92">
        <f t="shared" si="142"/>
        <v>2</v>
      </c>
      <c r="BI92">
        <f t="shared" si="142"/>
        <v>44</v>
      </c>
      <c r="BJ92">
        <f t="shared" si="143"/>
        <v>31.112698372208094</v>
      </c>
      <c r="BK92">
        <f t="shared" si="143"/>
        <v>2</v>
      </c>
    </row>
    <row r="93" spans="1:63" ht="17" x14ac:dyDescent="0.2">
      <c r="A93">
        <v>27</v>
      </c>
      <c r="E93" s="3" t="s">
        <v>808</v>
      </c>
      <c r="F93" s="3" t="s">
        <v>809</v>
      </c>
      <c r="K93" t="s">
        <v>582</v>
      </c>
      <c r="L93" s="3" t="s">
        <v>413</v>
      </c>
      <c r="N93">
        <v>0.75</v>
      </c>
      <c r="O93">
        <v>0.5</v>
      </c>
      <c r="P93" t="s">
        <v>322</v>
      </c>
      <c r="Q93">
        <f>O93</f>
        <v>0.5</v>
      </c>
      <c r="R93">
        <v>4</v>
      </c>
      <c r="S93">
        <v>3.5</v>
      </c>
      <c r="T93">
        <v>1</v>
      </c>
      <c r="U93" t="s">
        <v>322</v>
      </c>
      <c r="V93">
        <f>T93</f>
        <v>1</v>
      </c>
      <c r="W93">
        <v>4</v>
      </c>
      <c r="BF93">
        <f>N93</f>
        <v>0.75</v>
      </c>
      <c r="BG93">
        <f t="shared" si="142"/>
        <v>0.5</v>
      </c>
      <c r="BH93">
        <f t="shared" si="142"/>
        <v>4</v>
      </c>
    </row>
    <row r="94" spans="1:63" ht="51" x14ac:dyDescent="0.2">
      <c r="A94">
        <v>28</v>
      </c>
      <c r="B94" t="s">
        <v>48</v>
      </c>
      <c r="C94">
        <v>2017</v>
      </c>
      <c r="D94" s="5" t="s">
        <v>179</v>
      </c>
      <c r="E94" s="3" t="s">
        <v>184</v>
      </c>
      <c r="F94" s="3" t="s">
        <v>638</v>
      </c>
      <c r="L94" t="s">
        <v>169</v>
      </c>
    </row>
    <row r="95" spans="1:63" ht="17" x14ac:dyDescent="0.2">
      <c r="A95">
        <v>28</v>
      </c>
      <c r="D95" s="5" t="s">
        <v>413</v>
      </c>
      <c r="E95" s="3" t="s">
        <v>639</v>
      </c>
      <c r="F95" s="3" t="s">
        <v>640</v>
      </c>
      <c r="K95" t="s">
        <v>636</v>
      </c>
      <c r="N95">
        <v>0.17</v>
      </c>
      <c r="O95">
        <v>0.18</v>
      </c>
      <c r="P95" t="s">
        <v>322</v>
      </c>
      <c r="Q95">
        <f>O95</f>
        <v>0.18</v>
      </c>
      <c r="R95">
        <v>3</v>
      </c>
      <c r="S95">
        <v>31.03</v>
      </c>
      <c r="T95">
        <v>13.8</v>
      </c>
      <c r="U95" t="s">
        <v>322</v>
      </c>
      <c r="V95">
        <f>T95</f>
        <v>13.8</v>
      </c>
      <c r="W95">
        <v>8</v>
      </c>
      <c r="Y95" t="s">
        <v>319</v>
      </c>
      <c r="Z95" t="s">
        <v>319</v>
      </c>
      <c r="AA95" t="s">
        <v>319</v>
      </c>
      <c r="AB95" t="s">
        <v>319</v>
      </c>
      <c r="AC95" t="s">
        <v>319</v>
      </c>
      <c r="AD95" t="s">
        <v>319</v>
      </c>
      <c r="AE95" t="s">
        <v>319</v>
      </c>
      <c r="AF95" t="s">
        <v>319</v>
      </c>
      <c r="AG95" t="s">
        <v>319</v>
      </c>
      <c r="AH95" t="s">
        <v>319</v>
      </c>
      <c r="AI95" t="s">
        <v>319</v>
      </c>
      <c r="AJ95" t="s">
        <v>319</v>
      </c>
      <c r="AK95" t="s">
        <v>319</v>
      </c>
      <c r="AL95" t="s">
        <v>319</v>
      </c>
      <c r="AM95" t="s">
        <v>319</v>
      </c>
      <c r="AN95" t="s">
        <v>319</v>
      </c>
      <c r="AO95" t="s">
        <v>319</v>
      </c>
      <c r="AP95" t="s">
        <v>319</v>
      </c>
      <c r="AQ95" t="s">
        <v>319</v>
      </c>
      <c r="AR95" t="s">
        <v>319</v>
      </c>
      <c r="AS95" t="s">
        <v>319</v>
      </c>
      <c r="AT95" t="s">
        <v>319</v>
      </c>
      <c r="AU95" t="s">
        <v>319</v>
      </c>
      <c r="AV95" t="s">
        <v>319</v>
      </c>
      <c r="AW95" t="s">
        <v>319</v>
      </c>
      <c r="AX95" t="s">
        <v>319</v>
      </c>
      <c r="AY95" t="s">
        <v>319</v>
      </c>
      <c r="AZ95" t="s">
        <v>319</v>
      </c>
      <c r="BA95" t="s">
        <v>319</v>
      </c>
      <c r="BB95" t="s">
        <v>319</v>
      </c>
      <c r="BC95" t="s">
        <v>319</v>
      </c>
      <c r="BD95" t="s">
        <v>319</v>
      </c>
      <c r="BF95">
        <f>N95</f>
        <v>0.17</v>
      </c>
      <c r="BG95">
        <f t="shared" ref="BG95" si="146">Q95</f>
        <v>0.18</v>
      </c>
      <c r="BH95">
        <f t="shared" ref="BH95" si="147">R95</f>
        <v>3</v>
      </c>
      <c r="BI95">
        <f t="shared" ref="BI95" si="148">S95</f>
        <v>31.03</v>
      </c>
      <c r="BJ95">
        <f t="shared" ref="BJ95" si="149">V95</f>
        <v>13.8</v>
      </c>
      <c r="BK95">
        <f t="shared" ref="BK95" si="150">W95</f>
        <v>8</v>
      </c>
    </row>
    <row r="96" spans="1:63" ht="51" x14ac:dyDescent="0.2">
      <c r="A96">
        <v>28</v>
      </c>
      <c r="D96" s="5" t="s">
        <v>180</v>
      </c>
      <c r="E96" s="3" t="s">
        <v>181</v>
      </c>
      <c r="F96" s="3" t="s">
        <v>182</v>
      </c>
      <c r="L96" t="s">
        <v>169</v>
      </c>
    </row>
    <row r="97" spans="1:63" ht="17" x14ac:dyDescent="0.2">
      <c r="A97">
        <v>28</v>
      </c>
      <c r="D97" s="5" t="s">
        <v>413</v>
      </c>
      <c r="E97" s="3" t="s">
        <v>641</v>
      </c>
      <c r="F97" s="3" t="s">
        <v>642</v>
      </c>
      <c r="K97" t="s">
        <v>637</v>
      </c>
      <c r="N97">
        <v>6.31</v>
      </c>
      <c r="O97">
        <v>5.38</v>
      </c>
      <c r="P97" t="s">
        <v>322</v>
      </c>
      <c r="Q97">
        <f>O97</f>
        <v>5.38</v>
      </c>
      <c r="R97">
        <v>9</v>
      </c>
      <c r="S97">
        <v>33.58</v>
      </c>
      <c r="T97">
        <v>14.86</v>
      </c>
      <c r="U97" t="s">
        <v>322</v>
      </c>
      <c r="V97">
        <f>T97</f>
        <v>14.86</v>
      </c>
      <c r="W97">
        <v>7</v>
      </c>
      <c r="Y97" t="s">
        <v>319</v>
      </c>
      <c r="Z97" t="s">
        <v>319</v>
      </c>
      <c r="AA97" t="s">
        <v>319</v>
      </c>
      <c r="AB97" t="s">
        <v>319</v>
      </c>
      <c r="AC97" t="s">
        <v>319</v>
      </c>
      <c r="AD97" t="s">
        <v>319</v>
      </c>
      <c r="AE97" t="s">
        <v>319</v>
      </c>
      <c r="AF97" t="s">
        <v>319</v>
      </c>
      <c r="AG97" t="s">
        <v>319</v>
      </c>
      <c r="AH97" t="s">
        <v>319</v>
      </c>
      <c r="AI97" t="s">
        <v>319</v>
      </c>
      <c r="AJ97" t="s">
        <v>319</v>
      </c>
      <c r="AK97" t="s">
        <v>319</v>
      </c>
      <c r="AL97" t="s">
        <v>319</v>
      </c>
      <c r="AM97" t="s">
        <v>319</v>
      </c>
      <c r="AN97" t="s">
        <v>319</v>
      </c>
      <c r="AO97" t="s">
        <v>319</v>
      </c>
      <c r="AP97" t="s">
        <v>319</v>
      </c>
      <c r="AQ97" t="s">
        <v>319</v>
      </c>
      <c r="AR97" t="s">
        <v>319</v>
      </c>
      <c r="AS97" t="s">
        <v>319</v>
      </c>
      <c r="AT97" t="s">
        <v>319</v>
      </c>
      <c r="AU97" t="s">
        <v>319</v>
      </c>
      <c r="AV97" t="s">
        <v>319</v>
      </c>
      <c r="AW97" t="s">
        <v>319</v>
      </c>
      <c r="AX97" t="s">
        <v>319</v>
      </c>
      <c r="AY97" t="s">
        <v>319</v>
      </c>
      <c r="AZ97" t="s">
        <v>319</v>
      </c>
      <c r="BA97" t="s">
        <v>319</v>
      </c>
      <c r="BB97" t="s">
        <v>319</v>
      </c>
      <c r="BC97" t="s">
        <v>319</v>
      </c>
      <c r="BD97" t="s">
        <v>319</v>
      </c>
      <c r="BF97">
        <f>N97</f>
        <v>6.31</v>
      </c>
      <c r="BG97">
        <f t="shared" ref="BG97" si="151">Q97</f>
        <v>5.38</v>
      </c>
      <c r="BH97">
        <f t="shared" ref="BH97" si="152">R97</f>
        <v>9</v>
      </c>
      <c r="BI97">
        <f t="shared" ref="BI97" si="153">S97</f>
        <v>33.58</v>
      </c>
      <c r="BJ97">
        <f t="shared" ref="BJ97" si="154">V97</f>
        <v>14.86</v>
      </c>
      <c r="BK97">
        <f t="shared" ref="BK97" si="155">W97</f>
        <v>7</v>
      </c>
    </row>
    <row r="98" spans="1:63" ht="51" x14ac:dyDescent="0.2">
      <c r="A98">
        <v>28</v>
      </c>
      <c r="D98" s="5" t="s">
        <v>183</v>
      </c>
      <c r="E98" s="3" t="s">
        <v>185</v>
      </c>
      <c r="F98" s="3" t="s">
        <v>186</v>
      </c>
      <c r="L98" t="s">
        <v>169</v>
      </c>
    </row>
    <row r="99" spans="1:63" ht="17" x14ac:dyDescent="0.2">
      <c r="A99">
        <v>28</v>
      </c>
      <c r="D99" s="5" t="s">
        <v>413</v>
      </c>
      <c r="E99" s="3" t="s">
        <v>643</v>
      </c>
      <c r="F99" s="3" t="s">
        <v>644</v>
      </c>
      <c r="K99" t="s">
        <v>636</v>
      </c>
      <c r="N99">
        <v>0.78</v>
      </c>
      <c r="O99">
        <v>0.41</v>
      </c>
      <c r="P99" t="s">
        <v>322</v>
      </c>
      <c r="Q99">
        <f>O99</f>
        <v>0.41</v>
      </c>
      <c r="R99">
        <v>3</v>
      </c>
      <c r="S99">
        <v>1.51</v>
      </c>
      <c r="T99">
        <v>0.33</v>
      </c>
      <c r="U99" t="s">
        <v>322</v>
      </c>
      <c r="V99">
        <f>T99</f>
        <v>0.33</v>
      </c>
      <c r="W99">
        <v>8</v>
      </c>
      <c r="Y99" t="s">
        <v>319</v>
      </c>
      <c r="Z99" t="s">
        <v>319</v>
      </c>
      <c r="AA99" t="s">
        <v>319</v>
      </c>
      <c r="AB99" t="s">
        <v>319</v>
      </c>
      <c r="AC99" t="s">
        <v>319</v>
      </c>
      <c r="AD99" t="s">
        <v>319</v>
      </c>
      <c r="AE99" t="s">
        <v>319</v>
      </c>
      <c r="AF99" t="s">
        <v>319</v>
      </c>
      <c r="AG99" t="s">
        <v>319</v>
      </c>
      <c r="AH99" t="s">
        <v>319</v>
      </c>
      <c r="AI99" t="s">
        <v>319</v>
      </c>
      <c r="AJ99" t="s">
        <v>319</v>
      </c>
      <c r="AK99" t="s">
        <v>319</v>
      </c>
      <c r="AL99" t="s">
        <v>319</v>
      </c>
      <c r="AM99" t="s">
        <v>319</v>
      </c>
      <c r="AN99" t="s">
        <v>319</v>
      </c>
      <c r="AO99" t="s">
        <v>319</v>
      </c>
      <c r="AP99" t="s">
        <v>319</v>
      </c>
      <c r="AQ99" t="s">
        <v>319</v>
      </c>
      <c r="AR99" t="s">
        <v>319</v>
      </c>
      <c r="AS99" t="s">
        <v>319</v>
      </c>
      <c r="AT99" t="s">
        <v>319</v>
      </c>
      <c r="AU99" t="s">
        <v>319</v>
      </c>
      <c r="AV99" t="s">
        <v>319</v>
      </c>
      <c r="AW99" t="s">
        <v>319</v>
      </c>
      <c r="AX99" t="s">
        <v>319</v>
      </c>
      <c r="AY99" t="s">
        <v>319</v>
      </c>
      <c r="AZ99" t="s">
        <v>319</v>
      </c>
      <c r="BA99" t="s">
        <v>319</v>
      </c>
      <c r="BB99" t="s">
        <v>319</v>
      </c>
      <c r="BC99" t="s">
        <v>319</v>
      </c>
      <c r="BD99" t="s">
        <v>319</v>
      </c>
      <c r="BF99">
        <f>N99</f>
        <v>0.78</v>
      </c>
      <c r="BG99">
        <f t="shared" ref="BG99" si="156">Q99</f>
        <v>0.41</v>
      </c>
      <c r="BH99">
        <f t="shared" ref="BH99" si="157">R99</f>
        <v>3</v>
      </c>
      <c r="BI99">
        <f t="shared" ref="BI99" si="158">S99</f>
        <v>1.51</v>
      </c>
      <c r="BJ99">
        <f t="shared" ref="BJ99" si="159">V99</f>
        <v>0.33</v>
      </c>
      <c r="BK99">
        <f t="shared" ref="BK99" si="160">W99</f>
        <v>8</v>
      </c>
    </row>
    <row r="100" spans="1:63" ht="34" x14ac:dyDescent="0.2">
      <c r="A100">
        <v>28</v>
      </c>
      <c r="D100" s="5" t="s">
        <v>187</v>
      </c>
      <c r="E100" s="3" t="s">
        <v>188</v>
      </c>
      <c r="F100" s="3" t="s">
        <v>189</v>
      </c>
      <c r="L100" t="s">
        <v>169</v>
      </c>
    </row>
    <row r="101" spans="1:63" ht="17" x14ac:dyDescent="0.2">
      <c r="A101">
        <v>28</v>
      </c>
      <c r="D101" s="5" t="s">
        <v>413</v>
      </c>
      <c r="E101" s="3" t="s">
        <v>645</v>
      </c>
      <c r="F101" s="3" t="s">
        <v>646</v>
      </c>
      <c r="K101" t="s">
        <v>637</v>
      </c>
      <c r="N101">
        <v>1.68</v>
      </c>
      <c r="O101">
        <v>0.86</v>
      </c>
      <c r="P101" t="s">
        <v>322</v>
      </c>
      <c r="Q101">
        <f>O101</f>
        <v>0.86</v>
      </c>
      <c r="R101">
        <v>9</v>
      </c>
      <c r="S101">
        <v>2.31</v>
      </c>
      <c r="T101">
        <v>1.1299999999999999</v>
      </c>
      <c r="U101" t="s">
        <v>322</v>
      </c>
      <c r="V101">
        <f>T101</f>
        <v>1.1299999999999999</v>
      </c>
      <c r="W101">
        <v>7</v>
      </c>
      <c r="Y101" t="s">
        <v>319</v>
      </c>
      <c r="Z101" t="s">
        <v>319</v>
      </c>
      <c r="AA101" t="s">
        <v>319</v>
      </c>
      <c r="AB101" t="s">
        <v>319</v>
      </c>
      <c r="AC101" t="s">
        <v>319</v>
      </c>
      <c r="AD101" t="s">
        <v>319</v>
      </c>
      <c r="AE101" t="s">
        <v>319</v>
      </c>
      <c r="AF101" t="s">
        <v>319</v>
      </c>
      <c r="AG101" t="s">
        <v>319</v>
      </c>
      <c r="AH101" t="s">
        <v>319</v>
      </c>
      <c r="AI101" t="s">
        <v>319</v>
      </c>
      <c r="AJ101" t="s">
        <v>319</v>
      </c>
      <c r="AK101" t="s">
        <v>319</v>
      </c>
      <c r="AL101" t="s">
        <v>319</v>
      </c>
      <c r="AM101" t="s">
        <v>319</v>
      </c>
      <c r="AN101" t="s">
        <v>319</v>
      </c>
      <c r="AO101" t="s">
        <v>319</v>
      </c>
      <c r="AP101" t="s">
        <v>319</v>
      </c>
      <c r="AQ101" t="s">
        <v>319</v>
      </c>
      <c r="AR101" t="s">
        <v>319</v>
      </c>
      <c r="AS101" t="s">
        <v>319</v>
      </c>
      <c r="AT101" t="s">
        <v>319</v>
      </c>
      <c r="AU101" t="s">
        <v>319</v>
      </c>
      <c r="AV101" t="s">
        <v>319</v>
      </c>
      <c r="AW101" t="s">
        <v>319</v>
      </c>
      <c r="AX101" t="s">
        <v>319</v>
      </c>
      <c r="AY101" t="s">
        <v>319</v>
      </c>
      <c r="AZ101" t="s">
        <v>319</v>
      </c>
      <c r="BA101" t="s">
        <v>319</v>
      </c>
      <c r="BB101" t="s">
        <v>319</v>
      </c>
      <c r="BC101" t="s">
        <v>319</v>
      </c>
      <c r="BD101" t="s">
        <v>319</v>
      </c>
      <c r="BF101">
        <f>N101</f>
        <v>1.68</v>
      </c>
      <c r="BG101">
        <f t="shared" ref="BG101" si="161">Q101</f>
        <v>0.86</v>
      </c>
      <c r="BH101">
        <f t="shared" ref="BH101" si="162">R101</f>
        <v>9</v>
      </c>
      <c r="BI101">
        <f t="shared" ref="BI101" si="163">S101</f>
        <v>2.31</v>
      </c>
      <c r="BJ101">
        <f t="shared" ref="BJ101" si="164">V101</f>
        <v>1.1299999999999999</v>
      </c>
      <c r="BK101">
        <f t="shared" ref="BK101" si="165">W101</f>
        <v>7</v>
      </c>
    </row>
    <row r="102" spans="1:63" ht="17" x14ac:dyDescent="0.2">
      <c r="A102">
        <v>29</v>
      </c>
      <c r="B102" t="s">
        <v>40</v>
      </c>
      <c r="C102">
        <v>2009</v>
      </c>
      <c r="D102" t="s">
        <v>260</v>
      </c>
      <c r="E102" s="3"/>
      <c r="F102" s="3"/>
      <c r="G102" s="3" t="s">
        <v>627</v>
      </c>
      <c r="H102" s="3" t="s">
        <v>630</v>
      </c>
      <c r="K102" t="s">
        <v>580</v>
      </c>
      <c r="L102" t="s">
        <v>203</v>
      </c>
      <c r="N102">
        <v>19.71</v>
      </c>
      <c r="O102">
        <v>5.96</v>
      </c>
      <c r="P102" t="s">
        <v>316</v>
      </c>
      <c r="Q102">
        <f>O102*SQRT(R102)</f>
        <v>10.323022813110509</v>
      </c>
      <c r="R102">
        <v>3</v>
      </c>
      <c r="S102">
        <v>30.66</v>
      </c>
      <c r="T102">
        <v>6.4</v>
      </c>
      <c r="U102" t="s">
        <v>316</v>
      </c>
      <c r="V102">
        <f>T102*SQRT(W102)</f>
        <v>11.085125168440815</v>
      </c>
      <c r="W102">
        <v>3</v>
      </c>
      <c r="Y102" t="s">
        <v>319</v>
      </c>
      <c r="Z102" t="s">
        <v>319</v>
      </c>
      <c r="AA102" t="s">
        <v>319</v>
      </c>
      <c r="AB102" t="s">
        <v>319</v>
      </c>
      <c r="AC102" t="s">
        <v>319</v>
      </c>
      <c r="AD102" t="s">
        <v>319</v>
      </c>
      <c r="AE102" t="s">
        <v>319</v>
      </c>
      <c r="AF102" t="s">
        <v>319</v>
      </c>
      <c r="AG102" t="s">
        <v>319</v>
      </c>
      <c r="AH102" t="s">
        <v>319</v>
      </c>
      <c r="AI102" t="s">
        <v>319</v>
      </c>
      <c r="AJ102" t="s">
        <v>319</v>
      </c>
      <c r="AK102" t="s">
        <v>319</v>
      </c>
      <c r="AL102" t="s">
        <v>319</v>
      </c>
      <c r="AM102" t="s">
        <v>319</v>
      </c>
      <c r="AN102" t="s">
        <v>319</v>
      </c>
      <c r="AO102" t="s">
        <v>319</v>
      </c>
      <c r="AP102" t="s">
        <v>319</v>
      </c>
      <c r="AQ102" t="s">
        <v>319</v>
      </c>
      <c r="AR102" t="s">
        <v>319</v>
      </c>
      <c r="AS102" t="s">
        <v>319</v>
      </c>
      <c r="AT102" t="s">
        <v>319</v>
      </c>
      <c r="AU102" t="s">
        <v>319</v>
      </c>
      <c r="AV102" t="s">
        <v>319</v>
      </c>
      <c r="AW102" t="s">
        <v>319</v>
      </c>
      <c r="AX102" t="s">
        <v>319</v>
      </c>
      <c r="AY102" t="s">
        <v>319</v>
      </c>
      <c r="AZ102" t="s">
        <v>319</v>
      </c>
      <c r="BA102" t="s">
        <v>319</v>
      </c>
      <c r="BB102" t="s">
        <v>319</v>
      </c>
      <c r="BC102" t="s">
        <v>319</v>
      </c>
      <c r="BD102" t="s">
        <v>319</v>
      </c>
      <c r="BF102">
        <f t="shared" ref="BF102:BF107" si="166">N102</f>
        <v>19.71</v>
      </c>
      <c r="BG102">
        <f t="shared" ref="BG102:BI107" si="167">Q102</f>
        <v>10.323022813110509</v>
      </c>
      <c r="BH102">
        <f t="shared" si="167"/>
        <v>3</v>
      </c>
      <c r="BI102">
        <f t="shared" si="167"/>
        <v>30.66</v>
      </c>
      <c r="BJ102">
        <f t="shared" ref="BJ102:BK107" si="168">V102</f>
        <v>11.085125168440815</v>
      </c>
      <c r="BK102">
        <f t="shared" si="168"/>
        <v>3</v>
      </c>
    </row>
    <row r="103" spans="1:63" ht="17" x14ac:dyDescent="0.2">
      <c r="A103">
        <v>29</v>
      </c>
      <c r="D103" t="s">
        <v>261</v>
      </c>
      <c r="E103" s="3"/>
      <c r="F103" s="3"/>
      <c r="G103" s="3" t="s">
        <v>628</v>
      </c>
      <c r="H103" s="3" t="s">
        <v>257</v>
      </c>
      <c r="K103" t="s">
        <v>580</v>
      </c>
      <c r="L103" t="s">
        <v>203</v>
      </c>
      <c r="N103">
        <v>12.6</v>
      </c>
      <c r="O103">
        <v>7.11</v>
      </c>
      <c r="P103" t="s">
        <v>316</v>
      </c>
      <c r="Q103">
        <f t="shared" ref="Q103:Q104" si="169">O103*SQRT(R103)</f>
        <v>12.314881241814717</v>
      </c>
      <c r="R103">
        <v>3</v>
      </c>
      <c r="S103">
        <v>29.74</v>
      </c>
      <c r="T103">
        <v>5.3</v>
      </c>
      <c r="U103" t="s">
        <v>316</v>
      </c>
      <c r="V103">
        <f t="shared" ref="V103:V104" si="170">T103*SQRT(W103)</f>
        <v>9.1798692801150494</v>
      </c>
      <c r="W103">
        <v>3</v>
      </c>
      <c r="Y103" t="s">
        <v>319</v>
      </c>
      <c r="Z103" t="s">
        <v>319</v>
      </c>
      <c r="AA103" t="s">
        <v>319</v>
      </c>
      <c r="AB103" t="s">
        <v>319</v>
      </c>
      <c r="AC103" t="s">
        <v>319</v>
      </c>
      <c r="AD103" t="s">
        <v>319</v>
      </c>
      <c r="AE103" t="s">
        <v>319</v>
      </c>
      <c r="AF103" t="s">
        <v>319</v>
      </c>
      <c r="AG103" t="s">
        <v>319</v>
      </c>
      <c r="AH103" t="s">
        <v>319</v>
      </c>
      <c r="AI103" t="s">
        <v>319</v>
      </c>
      <c r="AJ103" t="s">
        <v>319</v>
      </c>
      <c r="AK103" t="s">
        <v>319</v>
      </c>
      <c r="AL103" t="s">
        <v>319</v>
      </c>
      <c r="AM103" t="s">
        <v>319</v>
      </c>
      <c r="AN103" t="s">
        <v>319</v>
      </c>
      <c r="AO103" t="s">
        <v>319</v>
      </c>
      <c r="AP103" t="s">
        <v>319</v>
      </c>
      <c r="AQ103" t="s">
        <v>319</v>
      </c>
      <c r="AR103" t="s">
        <v>319</v>
      </c>
      <c r="AS103" t="s">
        <v>319</v>
      </c>
      <c r="AT103" t="s">
        <v>319</v>
      </c>
      <c r="AU103" t="s">
        <v>319</v>
      </c>
      <c r="AV103" t="s">
        <v>319</v>
      </c>
      <c r="AW103" t="s">
        <v>319</v>
      </c>
      <c r="AX103" t="s">
        <v>319</v>
      </c>
      <c r="AY103" t="s">
        <v>319</v>
      </c>
      <c r="AZ103" t="s">
        <v>319</v>
      </c>
      <c r="BA103" t="s">
        <v>319</v>
      </c>
      <c r="BB103" t="s">
        <v>319</v>
      </c>
      <c r="BC103" t="s">
        <v>319</v>
      </c>
      <c r="BD103" t="s">
        <v>319</v>
      </c>
      <c r="BF103">
        <f t="shared" si="166"/>
        <v>12.6</v>
      </c>
      <c r="BG103">
        <f t="shared" si="167"/>
        <v>12.314881241814717</v>
      </c>
      <c r="BH103">
        <f t="shared" si="167"/>
        <v>3</v>
      </c>
      <c r="BI103">
        <f t="shared" si="167"/>
        <v>29.74</v>
      </c>
      <c r="BJ103">
        <f t="shared" si="168"/>
        <v>9.1798692801150494</v>
      </c>
      <c r="BK103">
        <f t="shared" si="168"/>
        <v>3</v>
      </c>
    </row>
    <row r="104" spans="1:63" ht="17" x14ac:dyDescent="0.2">
      <c r="A104">
        <v>29</v>
      </c>
      <c r="D104" t="s">
        <v>262</v>
      </c>
      <c r="E104" s="3"/>
      <c r="F104" s="3"/>
      <c r="G104" s="3" t="s">
        <v>629</v>
      </c>
      <c r="H104" s="3" t="s">
        <v>258</v>
      </c>
      <c r="K104" t="s">
        <v>581</v>
      </c>
      <c r="L104" t="s">
        <v>203</v>
      </c>
      <c r="N104">
        <v>4.0199999999999996</v>
      </c>
      <c r="O104">
        <v>3.58</v>
      </c>
      <c r="P104" t="s">
        <v>316</v>
      </c>
      <c r="Q104">
        <f t="shared" si="169"/>
        <v>5.0628845532956808</v>
      </c>
      <c r="R104">
        <v>2</v>
      </c>
      <c r="S104">
        <v>7.3</v>
      </c>
      <c r="T104">
        <v>8.41</v>
      </c>
      <c r="U104" t="s">
        <v>316</v>
      </c>
      <c r="V104">
        <f t="shared" si="170"/>
        <v>11.89353605955773</v>
      </c>
      <c r="W104">
        <v>2</v>
      </c>
      <c r="Y104" t="s">
        <v>319</v>
      </c>
      <c r="Z104" t="s">
        <v>319</v>
      </c>
      <c r="AA104" t="s">
        <v>319</v>
      </c>
      <c r="AB104" t="s">
        <v>319</v>
      </c>
      <c r="AC104" t="s">
        <v>319</v>
      </c>
      <c r="AD104" t="s">
        <v>319</v>
      </c>
      <c r="AE104" t="s">
        <v>319</v>
      </c>
      <c r="AF104" t="s">
        <v>319</v>
      </c>
      <c r="AG104" t="s">
        <v>319</v>
      </c>
      <c r="AH104" t="s">
        <v>319</v>
      </c>
      <c r="AI104" t="s">
        <v>319</v>
      </c>
      <c r="AJ104" t="s">
        <v>319</v>
      </c>
      <c r="AK104" t="s">
        <v>319</v>
      </c>
      <c r="AL104" t="s">
        <v>319</v>
      </c>
      <c r="AM104" t="s">
        <v>319</v>
      </c>
      <c r="AN104" t="s">
        <v>319</v>
      </c>
      <c r="AO104" t="s">
        <v>319</v>
      </c>
      <c r="AP104" t="s">
        <v>319</v>
      </c>
      <c r="AQ104" t="s">
        <v>319</v>
      </c>
      <c r="AR104" t="s">
        <v>319</v>
      </c>
      <c r="AS104" t="s">
        <v>319</v>
      </c>
      <c r="AT104" t="s">
        <v>319</v>
      </c>
      <c r="AU104" t="s">
        <v>319</v>
      </c>
      <c r="AV104" t="s">
        <v>319</v>
      </c>
      <c r="AW104" t="s">
        <v>319</v>
      </c>
      <c r="AX104" t="s">
        <v>319</v>
      </c>
      <c r="AY104" t="s">
        <v>319</v>
      </c>
      <c r="AZ104" t="s">
        <v>319</v>
      </c>
      <c r="BA104" t="s">
        <v>319</v>
      </c>
      <c r="BB104" t="s">
        <v>319</v>
      </c>
      <c r="BC104" t="s">
        <v>319</v>
      </c>
      <c r="BD104" t="s">
        <v>319</v>
      </c>
      <c r="BF104">
        <f t="shared" si="166"/>
        <v>4.0199999999999996</v>
      </c>
      <c r="BG104">
        <f t="shared" si="167"/>
        <v>5.0628845532956808</v>
      </c>
      <c r="BH104">
        <f t="shared" si="167"/>
        <v>2</v>
      </c>
      <c r="BI104">
        <f t="shared" si="167"/>
        <v>7.3</v>
      </c>
      <c r="BJ104">
        <f t="shared" si="168"/>
        <v>11.89353605955773</v>
      </c>
      <c r="BK104">
        <f t="shared" si="168"/>
        <v>2</v>
      </c>
    </row>
    <row r="105" spans="1:63" ht="17" x14ac:dyDescent="0.2">
      <c r="A105">
        <v>29</v>
      </c>
      <c r="D105" t="s">
        <v>263</v>
      </c>
      <c r="E105" s="3"/>
      <c r="F105" s="3"/>
      <c r="G105" s="3" t="s">
        <v>631</v>
      </c>
      <c r="H105" s="3" t="s">
        <v>633</v>
      </c>
      <c r="K105" t="s">
        <v>580</v>
      </c>
      <c r="L105" t="s">
        <v>203</v>
      </c>
      <c r="N105">
        <v>18.62</v>
      </c>
      <c r="O105">
        <v>3.04</v>
      </c>
      <c r="P105" t="s">
        <v>316</v>
      </c>
      <c r="Q105">
        <f>O105*SQRT(R105)</f>
        <v>5.2654344550093866</v>
      </c>
      <c r="R105">
        <v>3</v>
      </c>
      <c r="S105">
        <v>19.850000000000001</v>
      </c>
      <c r="T105">
        <v>7.1</v>
      </c>
      <c r="U105" t="s">
        <v>316</v>
      </c>
      <c r="V105">
        <f>T105*SQRT(W105)</f>
        <v>12.297560733739028</v>
      </c>
      <c r="W105">
        <v>3</v>
      </c>
      <c r="Y105" t="s">
        <v>319</v>
      </c>
      <c r="Z105" t="s">
        <v>319</v>
      </c>
      <c r="AA105" t="s">
        <v>319</v>
      </c>
      <c r="AB105" t="s">
        <v>319</v>
      </c>
      <c r="AC105" t="s">
        <v>319</v>
      </c>
      <c r="AD105" t="s">
        <v>319</v>
      </c>
      <c r="AE105" t="s">
        <v>319</v>
      </c>
      <c r="AF105" t="s">
        <v>319</v>
      </c>
      <c r="AG105" t="s">
        <v>319</v>
      </c>
      <c r="AH105" t="s">
        <v>319</v>
      </c>
      <c r="AI105" t="s">
        <v>319</v>
      </c>
      <c r="AJ105" t="s">
        <v>319</v>
      </c>
      <c r="AK105" t="s">
        <v>319</v>
      </c>
      <c r="AL105" t="s">
        <v>319</v>
      </c>
      <c r="AM105" t="s">
        <v>319</v>
      </c>
      <c r="AN105" t="s">
        <v>319</v>
      </c>
      <c r="AO105" t="s">
        <v>319</v>
      </c>
      <c r="AP105" t="s">
        <v>319</v>
      </c>
      <c r="AQ105" t="s">
        <v>319</v>
      </c>
      <c r="AR105" t="s">
        <v>319</v>
      </c>
      <c r="AS105" t="s">
        <v>319</v>
      </c>
      <c r="AT105" t="s">
        <v>319</v>
      </c>
      <c r="AU105" t="s">
        <v>319</v>
      </c>
      <c r="AV105" t="s">
        <v>319</v>
      </c>
      <c r="AW105" t="s">
        <v>319</v>
      </c>
      <c r="AX105" t="s">
        <v>319</v>
      </c>
      <c r="AY105" t="s">
        <v>319</v>
      </c>
      <c r="AZ105" t="s">
        <v>319</v>
      </c>
      <c r="BA105" t="s">
        <v>319</v>
      </c>
      <c r="BB105" t="s">
        <v>319</v>
      </c>
      <c r="BC105" t="s">
        <v>319</v>
      </c>
      <c r="BD105" t="s">
        <v>319</v>
      </c>
      <c r="BF105">
        <f t="shared" si="166"/>
        <v>18.62</v>
      </c>
      <c r="BG105">
        <f t="shared" si="167"/>
        <v>5.2654344550093866</v>
      </c>
      <c r="BH105">
        <f t="shared" si="167"/>
        <v>3</v>
      </c>
      <c r="BI105">
        <f t="shared" si="167"/>
        <v>19.850000000000001</v>
      </c>
      <c r="BJ105">
        <f t="shared" si="168"/>
        <v>12.297560733739028</v>
      </c>
      <c r="BK105">
        <f t="shared" si="168"/>
        <v>3</v>
      </c>
    </row>
    <row r="106" spans="1:63" ht="17" x14ac:dyDescent="0.2">
      <c r="A106">
        <v>29</v>
      </c>
      <c r="D106" t="s">
        <v>264</v>
      </c>
      <c r="E106" s="3"/>
      <c r="F106" s="3"/>
      <c r="G106" s="3" t="s">
        <v>420</v>
      </c>
      <c r="H106" s="3" t="s">
        <v>634</v>
      </c>
      <c r="K106" t="s">
        <v>580</v>
      </c>
      <c r="L106" t="s">
        <v>203</v>
      </c>
      <c r="N106">
        <v>0</v>
      </c>
      <c r="O106">
        <v>0</v>
      </c>
      <c r="P106" t="s">
        <v>316</v>
      </c>
      <c r="Q106">
        <f t="shared" ref="Q106:Q107" si="171">O106*SQRT(R106)</f>
        <v>0</v>
      </c>
      <c r="R106">
        <v>3</v>
      </c>
      <c r="S106">
        <v>81.91</v>
      </c>
      <c r="T106">
        <v>65.790000000000006</v>
      </c>
      <c r="U106" t="s">
        <v>316</v>
      </c>
      <c r="V106">
        <f t="shared" ref="V106:V107" si="172">T106*SQRT(W106)</f>
        <v>113.95162262995645</v>
      </c>
      <c r="W106">
        <v>3</v>
      </c>
      <c r="Y106" t="s">
        <v>319</v>
      </c>
      <c r="Z106" t="s">
        <v>319</v>
      </c>
      <c r="AA106" t="s">
        <v>319</v>
      </c>
      <c r="AB106" t="s">
        <v>319</v>
      </c>
      <c r="AC106" t="s">
        <v>319</v>
      </c>
      <c r="AD106" t="s">
        <v>319</v>
      </c>
      <c r="AE106" t="s">
        <v>319</v>
      </c>
      <c r="AF106" t="s">
        <v>319</v>
      </c>
      <c r="AG106" t="s">
        <v>319</v>
      </c>
      <c r="AH106" t="s">
        <v>319</v>
      </c>
      <c r="AI106" t="s">
        <v>319</v>
      </c>
      <c r="AJ106" t="s">
        <v>319</v>
      </c>
      <c r="AK106" t="s">
        <v>319</v>
      </c>
      <c r="AL106" t="s">
        <v>319</v>
      </c>
      <c r="AM106" t="s">
        <v>319</v>
      </c>
      <c r="AN106" t="s">
        <v>319</v>
      </c>
      <c r="AO106" t="s">
        <v>319</v>
      </c>
      <c r="AP106" t="s">
        <v>319</v>
      </c>
      <c r="AQ106" t="s">
        <v>319</v>
      </c>
      <c r="AR106" t="s">
        <v>319</v>
      </c>
      <c r="AS106" t="s">
        <v>319</v>
      </c>
      <c r="AT106" t="s">
        <v>319</v>
      </c>
      <c r="AU106" t="s">
        <v>319</v>
      </c>
      <c r="AV106" t="s">
        <v>319</v>
      </c>
      <c r="AW106" t="s">
        <v>319</v>
      </c>
      <c r="AX106" t="s">
        <v>319</v>
      </c>
      <c r="AY106" t="s">
        <v>319</v>
      </c>
      <c r="AZ106" t="s">
        <v>319</v>
      </c>
      <c r="BA106" t="s">
        <v>319</v>
      </c>
      <c r="BB106" t="s">
        <v>319</v>
      </c>
      <c r="BC106" t="s">
        <v>319</v>
      </c>
      <c r="BD106" t="s">
        <v>319</v>
      </c>
      <c r="BF106">
        <f t="shared" si="166"/>
        <v>0</v>
      </c>
      <c r="BG106">
        <f t="shared" si="167"/>
        <v>0</v>
      </c>
      <c r="BH106">
        <f t="shared" si="167"/>
        <v>3</v>
      </c>
      <c r="BI106">
        <f t="shared" si="167"/>
        <v>81.91</v>
      </c>
      <c r="BJ106">
        <f t="shared" si="168"/>
        <v>113.95162262995645</v>
      </c>
      <c r="BK106">
        <f t="shared" si="168"/>
        <v>3</v>
      </c>
    </row>
    <row r="107" spans="1:63" ht="17" x14ac:dyDescent="0.2">
      <c r="A107">
        <v>29</v>
      </c>
      <c r="D107" t="s">
        <v>265</v>
      </c>
      <c r="E107" s="3"/>
      <c r="F107" s="3"/>
      <c r="G107" s="3" t="s">
        <v>632</v>
      </c>
      <c r="H107" s="3" t="s">
        <v>635</v>
      </c>
      <c r="K107" t="s">
        <v>581</v>
      </c>
      <c r="L107" t="s">
        <v>203</v>
      </c>
      <c r="N107">
        <v>3.1</v>
      </c>
      <c r="O107">
        <v>2.29</v>
      </c>
      <c r="P107" t="s">
        <v>316</v>
      </c>
      <c r="Q107">
        <f t="shared" si="171"/>
        <v>3.2385490578343878</v>
      </c>
      <c r="R107">
        <v>2</v>
      </c>
      <c r="S107">
        <v>12.41</v>
      </c>
      <c r="T107">
        <v>6.09</v>
      </c>
      <c r="U107" t="s">
        <v>316</v>
      </c>
      <c r="V107">
        <f t="shared" si="172"/>
        <v>8.61256059485215</v>
      </c>
      <c r="W107">
        <v>2</v>
      </c>
      <c r="Y107" t="s">
        <v>319</v>
      </c>
      <c r="Z107" t="s">
        <v>319</v>
      </c>
      <c r="AA107" t="s">
        <v>319</v>
      </c>
      <c r="AB107" t="s">
        <v>319</v>
      </c>
      <c r="AC107" t="s">
        <v>319</v>
      </c>
      <c r="AD107" t="s">
        <v>319</v>
      </c>
      <c r="AE107" t="s">
        <v>319</v>
      </c>
      <c r="AF107" t="s">
        <v>319</v>
      </c>
      <c r="AG107" t="s">
        <v>319</v>
      </c>
      <c r="AH107" t="s">
        <v>319</v>
      </c>
      <c r="AI107" t="s">
        <v>319</v>
      </c>
      <c r="AJ107" t="s">
        <v>319</v>
      </c>
      <c r="AK107" t="s">
        <v>319</v>
      </c>
      <c r="AL107" t="s">
        <v>319</v>
      </c>
      <c r="AM107" t="s">
        <v>319</v>
      </c>
      <c r="AN107" t="s">
        <v>319</v>
      </c>
      <c r="AO107" t="s">
        <v>319</v>
      </c>
      <c r="AP107" t="s">
        <v>319</v>
      </c>
      <c r="AQ107" t="s">
        <v>319</v>
      </c>
      <c r="AR107" t="s">
        <v>319</v>
      </c>
      <c r="AS107" t="s">
        <v>319</v>
      </c>
      <c r="AT107" t="s">
        <v>319</v>
      </c>
      <c r="AU107" t="s">
        <v>319</v>
      </c>
      <c r="AV107" t="s">
        <v>319</v>
      </c>
      <c r="AW107" t="s">
        <v>319</v>
      </c>
      <c r="AX107" t="s">
        <v>319</v>
      </c>
      <c r="AY107" t="s">
        <v>319</v>
      </c>
      <c r="AZ107" t="s">
        <v>319</v>
      </c>
      <c r="BA107" t="s">
        <v>319</v>
      </c>
      <c r="BB107" t="s">
        <v>319</v>
      </c>
      <c r="BC107" t="s">
        <v>319</v>
      </c>
      <c r="BD107" t="s">
        <v>319</v>
      </c>
      <c r="BF107">
        <f t="shared" si="166"/>
        <v>3.1</v>
      </c>
      <c r="BG107">
        <f t="shared" si="167"/>
        <v>3.2385490578343878</v>
      </c>
      <c r="BH107">
        <f t="shared" si="167"/>
        <v>2</v>
      </c>
      <c r="BI107">
        <f t="shared" si="167"/>
        <v>12.41</v>
      </c>
      <c r="BJ107">
        <f t="shared" si="168"/>
        <v>8.61256059485215</v>
      </c>
      <c r="BK107">
        <f t="shared" si="168"/>
        <v>2</v>
      </c>
    </row>
    <row r="108" spans="1:63" ht="34" x14ac:dyDescent="0.2">
      <c r="A108">
        <v>30</v>
      </c>
      <c r="B108" t="s">
        <v>218</v>
      </c>
      <c r="C108">
        <v>2008</v>
      </c>
      <c r="D108" s="3" t="s">
        <v>215</v>
      </c>
      <c r="E108" s="3" t="s">
        <v>209</v>
      </c>
      <c r="F108" s="3" t="s">
        <v>211</v>
      </c>
      <c r="I108" t="s">
        <v>210</v>
      </c>
      <c r="J108" t="s">
        <v>212</v>
      </c>
      <c r="L108" s="3" t="s">
        <v>217</v>
      </c>
      <c r="N108" t="s">
        <v>319</v>
      </c>
      <c r="O108" t="s">
        <v>319</v>
      </c>
      <c r="P108" t="s">
        <v>319</v>
      </c>
      <c r="Q108" t="s">
        <v>319</v>
      </c>
      <c r="R108" t="s">
        <v>319</v>
      </c>
      <c r="S108" t="s">
        <v>319</v>
      </c>
      <c r="T108" t="s">
        <v>319</v>
      </c>
      <c r="U108" t="s">
        <v>319</v>
      </c>
      <c r="V108" t="s">
        <v>319</v>
      </c>
      <c r="W108" t="s">
        <v>319</v>
      </c>
      <c r="Y108">
        <f>(0.5+1+10+13+0.5)/5</f>
        <v>5</v>
      </c>
      <c r="Z108">
        <v>0</v>
      </c>
      <c r="AA108" t="s">
        <v>322</v>
      </c>
      <c r="AB108">
        <f>Z108</f>
        <v>0</v>
      </c>
      <c r="AC108">
        <v>3</v>
      </c>
      <c r="AD108">
        <f>(1+0+2+11.5+10.5+20.5+1+0.5)/8</f>
        <v>5.875</v>
      </c>
      <c r="AE108">
        <f>SQRT((0.51^2)/3)</f>
        <v>0.29444863728670911</v>
      </c>
      <c r="AF108" t="s">
        <v>322</v>
      </c>
      <c r="AG108">
        <f>AE108</f>
        <v>0.29444863728670911</v>
      </c>
      <c r="AH108">
        <v>3</v>
      </c>
      <c r="AI108">
        <f>(1+1+11.5+8+0)/5</f>
        <v>4.3</v>
      </c>
      <c r="AJ108">
        <f>SQRT((0^2+0^2+2.55^2+0^2+0^2)/3)</f>
        <v>1.4722431864335457</v>
      </c>
      <c r="AK108" t="s">
        <v>322</v>
      </c>
      <c r="AL108">
        <f>AJ108</f>
        <v>1.4722431864335457</v>
      </c>
      <c r="AM108">
        <v>3</v>
      </c>
      <c r="AN108">
        <f>(10.5+29+9+31+38+44+1+9)/8</f>
        <v>21.4375</v>
      </c>
      <c r="AO108">
        <f>SQRT((0.26^2+0.51^2+0.26^2)/3)</f>
        <v>0.3629967860280125</v>
      </c>
      <c r="AP108" t="s">
        <v>322</v>
      </c>
      <c r="AQ108">
        <f>AO108</f>
        <v>0.3629967860280125</v>
      </c>
      <c r="AR108">
        <v>3</v>
      </c>
      <c r="AS108" t="s">
        <v>323</v>
      </c>
      <c r="AT108">
        <f t="shared" ref="AT108" si="173">AN108-AI108</f>
        <v>17.137499999999999</v>
      </c>
      <c r="AU108">
        <f>AR108+AM108</f>
        <v>6</v>
      </c>
      <c r="AV108">
        <f>((AR108-1)*AQ108^2)+((AM108-1)*AL108^2)</f>
        <v>4.5985333333333331</v>
      </c>
      <c r="AW108">
        <f>SQRT(AV108/(AU108-2))</f>
        <v>1.0722095566321601</v>
      </c>
      <c r="AX108">
        <f t="shared" ref="AX108" si="174">AR108</f>
        <v>3</v>
      </c>
      <c r="AY108" t="s">
        <v>324</v>
      </c>
      <c r="AZ108">
        <f t="shared" ref="AZ108" si="175">AD108-Y108</f>
        <v>0.875</v>
      </c>
      <c r="BA108">
        <f>AH108+AC108</f>
        <v>6</v>
      </c>
      <c r="BB108">
        <f>((AH108-1)*AG108^2)+((AC108-1)*AB108^2)</f>
        <v>0.17339999999999997</v>
      </c>
      <c r="BC108">
        <f>SQRT(BB108/(BA108-2))</f>
        <v>0.20820662813657012</v>
      </c>
      <c r="BD108">
        <f>AH108</f>
        <v>3</v>
      </c>
      <c r="BF108">
        <f>AZ108</f>
        <v>0.875</v>
      </c>
      <c r="BG108">
        <f t="shared" ref="BG108" si="176">BC108</f>
        <v>0.20820662813657012</v>
      </c>
      <c r="BH108">
        <f t="shared" ref="BH108" si="177">BD108</f>
        <v>3</v>
      </c>
      <c r="BI108">
        <f t="shared" ref="BI108" si="178">AT108</f>
        <v>17.137499999999999</v>
      </c>
      <c r="BJ108">
        <f t="shared" ref="BJ108" si="179">AW108</f>
        <v>1.0722095566321601</v>
      </c>
      <c r="BK108">
        <f t="shared" ref="BK108" si="180">AX108</f>
        <v>3</v>
      </c>
    </row>
    <row r="109" spans="1:63" ht="51" x14ac:dyDescent="0.2">
      <c r="A109">
        <v>30</v>
      </c>
      <c r="D109" s="3" t="s">
        <v>216</v>
      </c>
      <c r="E109" s="3" t="s">
        <v>372</v>
      </c>
      <c r="F109" s="3" t="s">
        <v>371</v>
      </c>
      <c r="I109" s="3" t="s">
        <v>374</v>
      </c>
      <c r="J109" s="3" t="s">
        <v>375</v>
      </c>
      <c r="L109" s="3" t="s">
        <v>217</v>
      </c>
    </row>
    <row r="110" spans="1:63" ht="34" x14ac:dyDescent="0.2">
      <c r="A110">
        <v>30</v>
      </c>
      <c r="D110" t="s">
        <v>214</v>
      </c>
      <c r="E110" s="3">
        <v>0</v>
      </c>
      <c r="F110" s="3" t="s">
        <v>373</v>
      </c>
      <c r="I110">
        <v>0.5</v>
      </c>
      <c r="J110" t="s">
        <v>213</v>
      </c>
      <c r="L110" s="3" t="s">
        <v>217</v>
      </c>
    </row>
    <row r="111" spans="1:63" ht="17" x14ac:dyDescent="0.2">
      <c r="A111">
        <v>30</v>
      </c>
      <c r="D111" t="s">
        <v>413</v>
      </c>
      <c r="E111" s="3" t="s">
        <v>625</v>
      </c>
      <c r="F111" s="3" t="s">
        <v>626</v>
      </c>
      <c r="I111" t="s">
        <v>623</v>
      </c>
      <c r="J111" t="s">
        <v>624</v>
      </c>
      <c r="L111" s="3"/>
    </row>
    <row r="112" spans="1:63" ht="34" x14ac:dyDescent="0.2">
      <c r="A112">
        <v>31</v>
      </c>
      <c r="B112" t="s">
        <v>219</v>
      </c>
      <c r="C112">
        <v>2007</v>
      </c>
      <c r="D112" s="3"/>
      <c r="E112" s="3" t="s">
        <v>220</v>
      </c>
      <c r="F112" s="3" t="s">
        <v>221</v>
      </c>
      <c r="I112" t="s">
        <v>222</v>
      </c>
      <c r="J112" t="s">
        <v>223</v>
      </c>
      <c r="K112" t="s">
        <v>225</v>
      </c>
      <c r="L112" s="3"/>
      <c r="N112" t="s">
        <v>319</v>
      </c>
      <c r="O112" t="s">
        <v>319</v>
      </c>
      <c r="P112" t="s">
        <v>319</v>
      </c>
      <c r="Q112" t="s">
        <v>319</v>
      </c>
      <c r="R112" t="s">
        <v>319</v>
      </c>
      <c r="S112" t="s">
        <v>319</v>
      </c>
      <c r="T112" t="s">
        <v>319</v>
      </c>
      <c r="U112" t="s">
        <v>319</v>
      </c>
      <c r="V112" t="s">
        <v>319</v>
      </c>
      <c r="W112" t="s">
        <v>319</v>
      </c>
      <c r="X112" s="3" t="s">
        <v>361</v>
      </c>
      <c r="Y112">
        <v>5.17</v>
      </c>
      <c r="Z112">
        <v>3.14</v>
      </c>
      <c r="AA112" t="s">
        <v>322</v>
      </c>
      <c r="AB112">
        <f>Z112</f>
        <v>3.14</v>
      </c>
      <c r="AC112">
        <v>2</v>
      </c>
      <c r="AD112">
        <v>6.25</v>
      </c>
      <c r="AE112">
        <v>5.92</v>
      </c>
      <c r="AF112" t="s">
        <v>322</v>
      </c>
      <c r="AG112">
        <f>AE112</f>
        <v>5.92</v>
      </c>
      <c r="AH112">
        <v>2</v>
      </c>
      <c r="AI112">
        <v>9.44</v>
      </c>
      <c r="AJ112">
        <v>7.91</v>
      </c>
      <c r="AK112" t="s">
        <v>322</v>
      </c>
      <c r="AL112">
        <f>AJ112</f>
        <v>7.91</v>
      </c>
      <c r="AM112">
        <v>2</v>
      </c>
      <c r="AN112">
        <v>8.58</v>
      </c>
      <c r="AO112">
        <v>4.43</v>
      </c>
      <c r="AP112" t="s">
        <v>322</v>
      </c>
      <c r="AQ112">
        <f>AO112</f>
        <v>4.43</v>
      </c>
      <c r="AR112">
        <v>2</v>
      </c>
      <c r="AS112" t="s">
        <v>323</v>
      </c>
      <c r="AT112">
        <f t="shared" ref="AT112" si="181">AN112-AI112</f>
        <v>-0.85999999999999943</v>
      </c>
      <c r="AU112">
        <f>AR112+AM112</f>
        <v>4</v>
      </c>
      <c r="AV112">
        <f>((AR112-1)*AQ112^2)+((AM112-1)*AL112^2)</f>
        <v>82.192999999999998</v>
      </c>
      <c r="AW112">
        <f>SQRT(AV112/(AU112-2))</f>
        <v>6.4106551927240636</v>
      </c>
      <c r="AX112">
        <f t="shared" ref="AX112" si="182">AR112</f>
        <v>2</v>
      </c>
      <c r="AY112" t="s">
        <v>324</v>
      </c>
      <c r="AZ112">
        <f t="shared" ref="AZ112" si="183">AD112-Y112</f>
        <v>1.08</v>
      </c>
      <c r="BA112">
        <f>AH112+AC112</f>
        <v>4</v>
      </c>
      <c r="BB112">
        <f>((AH112-1)*AG112^2)+((AC112-1)*AB112^2)</f>
        <v>44.905999999999999</v>
      </c>
      <c r="BC112">
        <f>SQRT(BB112/(BA112-2))</f>
        <v>4.738459665334295</v>
      </c>
      <c r="BD112">
        <f>AH112</f>
        <v>2</v>
      </c>
      <c r="BF112">
        <f>AZ112</f>
        <v>1.08</v>
      </c>
      <c r="BG112">
        <f t="shared" ref="BG112" si="184">BC112</f>
        <v>4.738459665334295</v>
      </c>
      <c r="BH112">
        <f t="shared" ref="BH112" si="185">BD112</f>
        <v>2</v>
      </c>
      <c r="BI112">
        <f t="shared" ref="BI112" si="186">AT112</f>
        <v>-0.85999999999999943</v>
      </c>
      <c r="BJ112">
        <f t="shared" ref="BJ112" si="187">AW112</f>
        <v>6.4106551927240636</v>
      </c>
      <c r="BK112">
        <f t="shared" ref="BK112" si="188">AX112</f>
        <v>2</v>
      </c>
    </row>
    <row r="113" spans="1:63" ht="34" x14ac:dyDescent="0.2">
      <c r="A113" s="3">
        <v>31</v>
      </c>
      <c r="E113" s="3" t="s">
        <v>335</v>
      </c>
      <c r="F113" s="3" t="s">
        <v>224</v>
      </c>
      <c r="I113" s="3" t="s">
        <v>619</v>
      </c>
      <c r="J113" s="3" t="s">
        <v>620</v>
      </c>
      <c r="K113" s="3" t="s">
        <v>225</v>
      </c>
      <c r="L113" s="3"/>
      <c r="X113" s="3"/>
    </row>
    <row r="114" spans="1:63" ht="17" x14ac:dyDescent="0.2">
      <c r="A114">
        <v>31</v>
      </c>
      <c r="D114" t="s">
        <v>413</v>
      </c>
      <c r="E114" s="3" t="s">
        <v>617</v>
      </c>
      <c r="F114" s="3" t="s">
        <v>618</v>
      </c>
      <c r="I114" t="s">
        <v>621</v>
      </c>
      <c r="J114" t="s">
        <v>622</v>
      </c>
      <c r="L114" s="3"/>
    </row>
    <row r="115" spans="1:63" ht="17" x14ac:dyDescent="0.2">
      <c r="A115">
        <v>32</v>
      </c>
      <c r="B115" t="s">
        <v>395</v>
      </c>
      <c r="E115" s="3" t="s">
        <v>398</v>
      </c>
      <c r="F115" s="3" t="s">
        <v>399</v>
      </c>
      <c r="I115" t="s">
        <v>400</v>
      </c>
      <c r="J115" t="s">
        <v>401</v>
      </c>
      <c r="K115" t="s">
        <v>402</v>
      </c>
      <c r="L115" s="3" t="s">
        <v>203</v>
      </c>
      <c r="N115" t="s">
        <v>319</v>
      </c>
      <c r="O115" t="s">
        <v>319</v>
      </c>
      <c r="P115" t="s">
        <v>319</v>
      </c>
      <c r="Q115" t="s">
        <v>319</v>
      </c>
      <c r="R115" t="s">
        <v>319</v>
      </c>
      <c r="S115" t="s">
        <v>319</v>
      </c>
      <c r="T115" t="s">
        <v>319</v>
      </c>
      <c r="U115" t="s">
        <v>319</v>
      </c>
      <c r="V115" t="s">
        <v>319</v>
      </c>
      <c r="W115" t="s">
        <v>319</v>
      </c>
      <c r="Y115">
        <v>11.5</v>
      </c>
      <c r="Z115">
        <v>3</v>
      </c>
      <c r="AA115" t="s">
        <v>316</v>
      </c>
      <c r="AB115">
        <f>Z115*SQRT(AC115)</f>
        <v>9.4868329805051381</v>
      </c>
      <c r="AC115">
        <v>10</v>
      </c>
      <c r="AD115">
        <v>20</v>
      </c>
      <c r="AE115">
        <v>2.7</v>
      </c>
      <c r="AF115" t="s">
        <v>316</v>
      </c>
      <c r="AG115">
        <f>AE115*SQRT(AH115)</f>
        <v>8.538149682454625</v>
      </c>
      <c r="AH115">
        <v>10</v>
      </c>
      <c r="AI115">
        <v>13.5</v>
      </c>
      <c r="AJ115">
        <v>4</v>
      </c>
      <c r="AK115" t="s">
        <v>316</v>
      </c>
      <c r="AL115">
        <f>AJ115*SQRT(AM115)</f>
        <v>12.649110640673518</v>
      </c>
      <c r="AM115">
        <v>10</v>
      </c>
      <c r="AN115">
        <v>18</v>
      </c>
      <c r="AO115">
        <v>4.5</v>
      </c>
      <c r="AP115" t="s">
        <v>316</v>
      </c>
      <c r="AQ115">
        <f>AO115*SQRT(AR115)</f>
        <v>14.230249470757707</v>
      </c>
      <c r="AR115">
        <v>10</v>
      </c>
      <c r="AS115" t="s">
        <v>323</v>
      </c>
      <c r="AT115">
        <f t="shared" ref="AT115" si="189">AN115-AI115</f>
        <v>4.5</v>
      </c>
      <c r="AU115">
        <f>AR115+AM115</f>
        <v>20</v>
      </c>
      <c r="AV115">
        <f>((AR115-1)*AQ115^2)+((AM115-1)*AL115^2)</f>
        <v>3262.5</v>
      </c>
      <c r="AW115">
        <f>SQRT(AV115/(AU115-2))</f>
        <v>13.46291201783626</v>
      </c>
      <c r="AX115">
        <f t="shared" ref="AX115" si="190">AR115</f>
        <v>10</v>
      </c>
      <c r="AY115" t="s">
        <v>324</v>
      </c>
      <c r="AZ115">
        <f t="shared" ref="AZ115" si="191">AD115-Y115</f>
        <v>8.5</v>
      </c>
      <c r="BA115">
        <f>AH115+AC115</f>
        <v>20</v>
      </c>
      <c r="BB115">
        <f>((AH115-1)*AG115^2)+((AC115-1)*AB115^2)</f>
        <v>1466.1000000000001</v>
      </c>
      <c r="BC115">
        <f>SQRT(BB115/(BA115-2))</f>
        <v>9.0249653738947941</v>
      </c>
      <c r="BD115">
        <f>AH115</f>
        <v>10</v>
      </c>
      <c r="BF115">
        <f>AZ115</f>
        <v>8.5</v>
      </c>
      <c r="BG115">
        <f t="shared" ref="BG115" si="192">BC115</f>
        <v>9.0249653738947941</v>
      </c>
      <c r="BH115">
        <f t="shared" ref="BH115" si="193">BD115</f>
        <v>10</v>
      </c>
      <c r="BI115">
        <f t="shared" ref="BI115" si="194">AT115</f>
        <v>4.5</v>
      </c>
      <c r="BJ115">
        <f t="shared" ref="BJ115" si="195">AW115</f>
        <v>13.46291201783626</v>
      </c>
      <c r="BK115">
        <f t="shared" ref="BK115" si="196">AX115</f>
        <v>10</v>
      </c>
    </row>
    <row r="116" spans="1:63" ht="68" x14ac:dyDescent="0.2">
      <c r="A116">
        <v>33</v>
      </c>
      <c r="B116" t="s">
        <v>395</v>
      </c>
      <c r="D116" s="3" t="s">
        <v>577</v>
      </c>
      <c r="E116" s="3" t="s">
        <v>688</v>
      </c>
      <c r="F116" s="3" t="s">
        <v>693</v>
      </c>
      <c r="K116" t="s">
        <v>334</v>
      </c>
      <c r="L116" s="3"/>
    </row>
    <row r="117" spans="1:63" ht="68" x14ac:dyDescent="0.2">
      <c r="A117">
        <v>33</v>
      </c>
      <c r="D117" t="s">
        <v>578</v>
      </c>
      <c r="E117" s="3" t="s">
        <v>689</v>
      </c>
      <c r="F117" s="3" t="s">
        <v>692</v>
      </c>
      <c r="K117" t="s">
        <v>334</v>
      </c>
      <c r="L117" s="3"/>
    </row>
    <row r="118" spans="1:63" ht="68" x14ac:dyDescent="0.2">
      <c r="A118">
        <v>33</v>
      </c>
      <c r="D118" t="s">
        <v>687</v>
      </c>
      <c r="E118" s="3" t="s">
        <v>690</v>
      </c>
      <c r="F118" s="3" t="s">
        <v>691</v>
      </c>
      <c r="K118" t="s">
        <v>334</v>
      </c>
      <c r="L118" s="3"/>
    </row>
    <row r="119" spans="1:63" ht="119" x14ac:dyDescent="0.2">
      <c r="A119">
        <v>34</v>
      </c>
      <c r="B119" t="s">
        <v>202</v>
      </c>
      <c r="C119">
        <v>2015</v>
      </c>
      <c r="D119" t="s">
        <v>193</v>
      </c>
      <c r="E119" s="3"/>
      <c r="F119" s="3"/>
      <c r="G119" s="3" t="s">
        <v>394</v>
      </c>
      <c r="H119" s="3" t="s">
        <v>382</v>
      </c>
      <c r="K119" t="s">
        <v>392</v>
      </c>
      <c r="L119" t="s">
        <v>201</v>
      </c>
      <c r="N119">
        <f>AVERAGE(20.42, 2.86, 4.02, 63.83, 106.52, 25.42, 62.6, 0.98, 3.58, 44.28, 12.99)</f>
        <v>31.59090909090909</v>
      </c>
      <c r="O119">
        <f>SQRT((8.66^2+1.46^2+2.05^2+9.36^2+16.8^2+7.04^2+16.72^2+0^2+0^2+9.91^2+0.05^2)/11)</f>
        <v>8.9366960541150977</v>
      </c>
      <c r="P119" t="s">
        <v>322</v>
      </c>
      <c r="Q119">
        <f>O119</f>
        <v>8.9366960541150977</v>
      </c>
      <c r="R119">
        <v>9</v>
      </c>
      <c r="S119">
        <f>AVERAGE(15.31, 12.09, 70.76, 7.44, 38.61, 77.55, 0.18, 0.42, 51.22, 34.11, 22.8)</f>
        <v>30.044545454545457</v>
      </c>
      <c r="T119">
        <f>SQRT((5.41^2+2.16^2+22.76^2+1.55^2+5.58^2+5.76^2+0^2+0^2+31.74^2+16.16^2+2.24^2)/11)</f>
        <v>13.115773293668546</v>
      </c>
      <c r="U119" t="s">
        <v>322</v>
      </c>
      <c r="V119">
        <f>T119</f>
        <v>13.115773293668546</v>
      </c>
      <c r="W119">
        <v>9</v>
      </c>
      <c r="Y119" t="s">
        <v>319</v>
      </c>
      <c r="Z119" t="s">
        <v>319</v>
      </c>
      <c r="AA119" t="s">
        <v>319</v>
      </c>
      <c r="AB119" t="s">
        <v>319</v>
      </c>
      <c r="AC119" t="s">
        <v>319</v>
      </c>
      <c r="AD119" t="s">
        <v>319</v>
      </c>
      <c r="AE119" t="s">
        <v>319</v>
      </c>
      <c r="AF119" t="s">
        <v>319</v>
      </c>
      <c r="AG119" t="s">
        <v>319</v>
      </c>
      <c r="AH119" t="s">
        <v>319</v>
      </c>
      <c r="AI119" t="s">
        <v>319</v>
      </c>
      <c r="AJ119" t="s">
        <v>319</v>
      </c>
      <c r="AK119" t="s">
        <v>319</v>
      </c>
      <c r="AL119" t="s">
        <v>319</v>
      </c>
      <c r="AM119" t="s">
        <v>319</v>
      </c>
      <c r="AN119" t="s">
        <v>319</v>
      </c>
      <c r="AO119" t="s">
        <v>319</v>
      </c>
      <c r="AP119" t="s">
        <v>319</v>
      </c>
      <c r="AQ119" t="s">
        <v>319</v>
      </c>
      <c r="AR119" t="s">
        <v>319</v>
      </c>
      <c r="AS119" t="s">
        <v>319</v>
      </c>
      <c r="AT119" t="s">
        <v>319</v>
      </c>
      <c r="AU119" t="s">
        <v>319</v>
      </c>
      <c r="AV119" t="s">
        <v>319</v>
      </c>
      <c r="AW119" t="s">
        <v>319</v>
      </c>
      <c r="AX119" t="s">
        <v>319</v>
      </c>
      <c r="AY119" t="s">
        <v>319</v>
      </c>
      <c r="AZ119" t="s">
        <v>319</v>
      </c>
      <c r="BA119" t="s">
        <v>319</v>
      </c>
      <c r="BB119" t="s">
        <v>319</v>
      </c>
      <c r="BC119" t="s">
        <v>319</v>
      </c>
      <c r="BD119" t="s">
        <v>319</v>
      </c>
      <c r="BF119">
        <f>N119</f>
        <v>31.59090909090909</v>
      </c>
      <c r="BG119">
        <f>Q119</f>
        <v>8.9366960541150977</v>
      </c>
      <c r="BH119">
        <f>R119</f>
        <v>9</v>
      </c>
      <c r="BI119">
        <f>S119</f>
        <v>30.044545454545457</v>
      </c>
      <c r="BJ119">
        <f>V119</f>
        <v>13.115773293668546</v>
      </c>
      <c r="BK119">
        <f>W119</f>
        <v>9</v>
      </c>
    </row>
    <row r="120" spans="1:63" ht="34" x14ac:dyDescent="0.2">
      <c r="A120">
        <v>34</v>
      </c>
      <c r="D120" t="s">
        <v>194</v>
      </c>
      <c r="E120" s="3"/>
      <c r="F120" s="3"/>
      <c r="G120" s="3" t="s">
        <v>383</v>
      </c>
      <c r="H120" s="3" t="s">
        <v>384</v>
      </c>
      <c r="K120" t="s">
        <v>334</v>
      </c>
      <c r="L120" t="s">
        <v>201</v>
      </c>
    </row>
    <row r="121" spans="1:63" ht="68" x14ac:dyDescent="0.2">
      <c r="A121">
        <v>34</v>
      </c>
      <c r="D121" t="s">
        <v>195</v>
      </c>
      <c r="E121" s="3"/>
      <c r="F121" s="3"/>
      <c r="G121" s="3" t="s">
        <v>385</v>
      </c>
      <c r="H121" s="3" t="s">
        <v>386</v>
      </c>
      <c r="K121" t="s">
        <v>334</v>
      </c>
      <c r="L121" t="s">
        <v>201</v>
      </c>
    </row>
    <row r="122" spans="1:63" ht="34" x14ac:dyDescent="0.2">
      <c r="A122">
        <v>34</v>
      </c>
      <c r="D122" t="s">
        <v>196</v>
      </c>
      <c r="E122" s="3"/>
      <c r="F122" s="3"/>
      <c r="G122" s="3" t="s">
        <v>387</v>
      </c>
      <c r="H122" s="3" t="s">
        <v>388</v>
      </c>
      <c r="K122" t="s">
        <v>334</v>
      </c>
      <c r="L122" t="s">
        <v>201</v>
      </c>
    </row>
    <row r="123" spans="1:63" ht="34" x14ac:dyDescent="0.2">
      <c r="A123">
        <v>34</v>
      </c>
      <c r="D123" t="s">
        <v>197</v>
      </c>
      <c r="E123" s="3"/>
      <c r="F123" s="3"/>
      <c r="G123" s="3" t="s">
        <v>389</v>
      </c>
      <c r="H123" s="3" t="s">
        <v>390</v>
      </c>
      <c r="K123" t="s">
        <v>334</v>
      </c>
      <c r="L123" t="s">
        <v>201</v>
      </c>
    </row>
    <row r="124" spans="1:63" ht="34" x14ac:dyDescent="0.2">
      <c r="A124">
        <v>34</v>
      </c>
      <c r="D124" t="s">
        <v>198</v>
      </c>
      <c r="E124" s="3"/>
      <c r="F124" s="3"/>
      <c r="G124" s="3" t="s">
        <v>805</v>
      </c>
      <c r="H124" s="3" t="s">
        <v>391</v>
      </c>
      <c r="K124" t="s">
        <v>334</v>
      </c>
      <c r="L124" t="s">
        <v>201</v>
      </c>
    </row>
    <row r="125" spans="1:63" ht="85" x14ac:dyDescent="0.2">
      <c r="A125">
        <v>34</v>
      </c>
      <c r="D125" t="s">
        <v>199</v>
      </c>
      <c r="E125" s="3"/>
      <c r="F125" s="3"/>
      <c r="G125" s="3" t="s">
        <v>803</v>
      </c>
      <c r="H125" s="3" t="s">
        <v>804</v>
      </c>
      <c r="K125" t="s">
        <v>393</v>
      </c>
      <c r="L125" t="s">
        <v>201</v>
      </c>
    </row>
    <row r="126" spans="1:63" ht="34" x14ac:dyDescent="0.2">
      <c r="A126">
        <v>34</v>
      </c>
      <c r="D126" t="s">
        <v>192</v>
      </c>
      <c r="E126" s="3"/>
      <c r="F126" s="3"/>
      <c r="G126" s="3" t="s">
        <v>802</v>
      </c>
      <c r="H126" s="3" t="s">
        <v>801</v>
      </c>
      <c r="K126" t="s">
        <v>334</v>
      </c>
      <c r="L126" t="s">
        <v>201</v>
      </c>
    </row>
    <row r="127" spans="1:63" x14ac:dyDescent="0.2">
      <c r="A127">
        <v>34</v>
      </c>
      <c r="D127" t="s">
        <v>806</v>
      </c>
      <c r="E127" s="3"/>
      <c r="F127" s="3"/>
      <c r="G127" s="3">
        <f>AVERAGE(20.42, 2.86, 4.02, 63.83, 106.52, 25.42, 62.6, 0.98, 3.58, 44.28, 12.99)</f>
        <v>31.59090909090909</v>
      </c>
      <c r="H127" s="3">
        <f>AVERAGE(15.31, 12.09, 70.76, 7.44, 38.61, 77.55, 0.18, 0.42, 51.22, 34.11, 22.8)</f>
        <v>30.044545454545457</v>
      </c>
      <c r="K127" t="s">
        <v>807</v>
      </c>
    </row>
    <row r="128" spans="1:63" x14ac:dyDescent="0.2">
      <c r="A128">
        <v>34</v>
      </c>
      <c r="D128" t="s">
        <v>322</v>
      </c>
      <c r="E128" s="3"/>
      <c r="F128" s="3"/>
      <c r="G128" s="3">
        <f>SQRT((8.66^2+1.46^2+2.05^2+9.36^2+16.8^2+7.04^2+16.72^2+0^2+0^2+9.91^2+0.05^2)/11)</f>
        <v>8.9366960541150977</v>
      </c>
      <c r="H128" s="3">
        <f>SQRT((5.41^2+2.16^2+22.76^2+1.55^2+5.58^2+5.76^2+0^2+0^2+31.74^2+16.16^2+2.24^2)/11)</f>
        <v>13.115773293668546</v>
      </c>
    </row>
    <row r="129" spans="1:63" x14ac:dyDescent="0.2">
      <c r="A129">
        <v>35</v>
      </c>
      <c r="B129" t="s">
        <v>48</v>
      </c>
      <c r="C129" t="s">
        <v>881</v>
      </c>
      <c r="D129" s="19" t="s">
        <v>613</v>
      </c>
      <c r="E129" s="19" t="s">
        <v>337</v>
      </c>
      <c r="F129" s="19">
        <v>106.8</v>
      </c>
      <c r="G129" s="19"/>
      <c r="H129" s="19">
        <v>67</v>
      </c>
      <c r="I129" s="19" t="s">
        <v>66</v>
      </c>
      <c r="J129" s="19">
        <v>22.9</v>
      </c>
      <c r="K129" t="s">
        <v>615</v>
      </c>
      <c r="L129" t="s">
        <v>169</v>
      </c>
      <c r="N129" t="s">
        <v>319</v>
      </c>
      <c r="O129" t="s">
        <v>319</v>
      </c>
      <c r="P129" t="s">
        <v>319</v>
      </c>
      <c r="Q129" t="s">
        <v>319</v>
      </c>
      <c r="R129" t="s">
        <v>319</v>
      </c>
      <c r="S129" t="s">
        <v>319</v>
      </c>
      <c r="T129" t="s">
        <v>319</v>
      </c>
      <c r="U129" t="s">
        <v>319</v>
      </c>
      <c r="V129" t="s">
        <v>319</v>
      </c>
      <c r="W129" t="s">
        <v>319</v>
      </c>
      <c r="Y129">
        <v>48.33</v>
      </c>
      <c r="Z129">
        <v>54.59</v>
      </c>
      <c r="AA129" t="s">
        <v>322</v>
      </c>
      <c r="AB129">
        <f>Z129</f>
        <v>54.59</v>
      </c>
      <c r="AC129">
        <v>7</v>
      </c>
      <c r="AD129">
        <f>AVERAGE(J129:J135)</f>
        <v>13.828571428571427</v>
      </c>
      <c r="AE129">
        <f>_xlfn.STDEV.S(J129:J135)</f>
        <v>18.686065600308901</v>
      </c>
      <c r="AF129" t="s">
        <v>322</v>
      </c>
      <c r="AG129">
        <f>AE129</f>
        <v>18.686065600308901</v>
      </c>
      <c r="AH129">
        <v>7</v>
      </c>
      <c r="AI129">
        <v>30.39</v>
      </c>
      <c r="AJ129">
        <v>30.04</v>
      </c>
      <c r="AK129" t="s">
        <v>322</v>
      </c>
      <c r="AL129">
        <f>AJ129</f>
        <v>30.04</v>
      </c>
      <c r="AM129">
        <v>20</v>
      </c>
      <c r="AN129">
        <f>AVERAGE(F129:F148)</f>
        <v>132.05500000000001</v>
      </c>
      <c r="AO129">
        <f>_xlfn.STDEV.S(F129:F148)</f>
        <v>89.105764920712431</v>
      </c>
      <c r="AP129" t="s">
        <v>322</v>
      </c>
      <c r="AQ129">
        <f>AO129</f>
        <v>89.105764920712431</v>
      </c>
      <c r="AR129">
        <v>20</v>
      </c>
      <c r="AS129" t="s">
        <v>323</v>
      </c>
      <c r="AT129">
        <f t="shared" ref="AT129" si="197">AN129-AI129</f>
        <v>101.66500000000001</v>
      </c>
      <c r="AU129">
        <f>AR129+AM129</f>
        <v>40</v>
      </c>
      <c r="AV129">
        <f>((AR129-1)*AQ129^2)+((AM129-1)*AL129^2)</f>
        <v>168002.53990000006</v>
      </c>
      <c r="AW129">
        <f>SQRT(AV129/(AU129-2))</f>
        <v>66.491499239020271</v>
      </c>
      <c r="AX129">
        <f t="shared" ref="AX129" si="198">AR129</f>
        <v>20</v>
      </c>
      <c r="AY129" t="s">
        <v>324</v>
      </c>
      <c r="AZ129">
        <f t="shared" ref="AZ129" si="199">AD129-Y129</f>
        <v>-34.501428571428569</v>
      </c>
      <c r="BA129">
        <f>AH129+AC129</f>
        <v>14</v>
      </c>
      <c r="BB129">
        <f>((AH129-1)*AG129^2)+((AC129-1)*AB129^2)</f>
        <v>19975.422885714288</v>
      </c>
      <c r="BC129">
        <f>SQRT(BB129/(BA129-2))</f>
        <v>40.79973742329139</v>
      </c>
      <c r="BD129">
        <f>AH129</f>
        <v>7</v>
      </c>
      <c r="BF129">
        <f>AZ129</f>
        <v>-34.501428571428569</v>
      </c>
      <c r="BG129">
        <f t="shared" ref="BG129" si="200">BC129</f>
        <v>40.79973742329139</v>
      </c>
      <c r="BH129">
        <f t="shared" ref="BH129" si="201">BD129</f>
        <v>7</v>
      </c>
      <c r="BI129">
        <f t="shared" ref="BI129" si="202">AT129</f>
        <v>101.66500000000001</v>
      </c>
      <c r="BJ129">
        <f t="shared" ref="BJ129" si="203">AW129</f>
        <v>66.491499239020271</v>
      </c>
      <c r="BK129">
        <f t="shared" ref="BK129" si="204">AX129</f>
        <v>20</v>
      </c>
    </row>
    <row r="130" spans="1:63" x14ac:dyDescent="0.2">
      <c r="A130">
        <v>35</v>
      </c>
      <c r="D130" s="19">
        <v>37</v>
      </c>
      <c r="E130" s="19" t="s">
        <v>336</v>
      </c>
      <c r="F130" s="19">
        <v>135.9</v>
      </c>
      <c r="G130" s="19"/>
      <c r="H130" s="19" t="s">
        <v>377</v>
      </c>
      <c r="I130" s="19">
        <v>63.1</v>
      </c>
      <c r="J130" s="19">
        <v>27.5</v>
      </c>
      <c r="L130" t="s">
        <v>169</v>
      </c>
    </row>
    <row r="131" spans="1:63" x14ac:dyDescent="0.2">
      <c r="A131">
        <v>35</v>
      </c>
      <c r="D131">
        <v>38</v>
      </c>
      <c r="E131" s="19" t="s">
        <v>50</v>
      </c>
      <c r="F131" s="19">
        <v>88.4</v>
      </c>
      <c r="G131" s="19"/>
      <c r="H131" s="19">
        <v>68</v>
      </c>
      <c r="I131" s="19" t="s">
        <v>67</v>
      </c>
      <c r="J131" s="19">
        <v>46.4</v>
      </c>
      <c r="L131" t="s">
        <v>169</v>
      </c>
    </row>
    <row r="132" spans="1:63" x14ac:dyDescent="0.2">
      <c r="A132">
        <v>35</v>
      </c>
      <c r="D132">
        <v>39</v>
      </c>
      <c r="E132" s="19" t="s">
        <v>51</v>
      </c>
      <c r="F132" s="19">
        <v>99.9</v>
      </c>
      <c r="G132" s="19"/>
      <c r="H132" s="19">
        <v>69</v>
      </c>
      <c r="I132" s="19" t="s">
        <v>68</v>
      </c>
      <c r="J132" s="19">
        <v>0</v>
      </c>
      <c r="K132" s="3"/>
      <c r="L132" t="s">
        <v>169</v>
      </c>
    </row>
    <row r="133" spans="1:63" x14ac:dyDescent="0.2">
      <c r="A133">
        <v>35</v>
      </c>
      <c r="D133">
        <v>40</v>
      </c>
      <c r="E133" s="19" t="s">
        <v>52</v>
      </c>
      <c r="F133" s="19">
        <v>188.4</v>
      </c>
      <c r="G133" s="19"/>
      <c r="H133" s="19">
        <v>70</v>
      </c>
      <c r="I133" s="19" t="s">
        <v>69</v>
      </c>
      <c r="J133" s="19">
        <v>0</v>
      </c>
      <c r="L133" t="s">
        <v>169</v>
      </c>
    </row>
    <row r="134" spans="1:63" x14ac:dyDescent="0.2">
      <c r="A134">
        <v>35</v>
      </c>
      <c r="D134">
        <v>41</v>
      </c>
      <c r="E134" s="19" t="s">
        <v>53</v>
      </c>
      <c r="F134" s="19">
        <v>231.2</v>
      </c>
      <c r="G134" s="19"/>
      <c r="H134" s="19">
        <v>71</v>
      </c>
      <c r="I134" s="19" t="s">
        <v>70</v>
      </c>
      <c r="J134" s="19">
        <v>0</v>
      </c>
      <c r="L134" t="s">
        <v>169</v>
      </c>
    </row>
    <row r="135" spans="1:63" x14ac:dyDescent="0.2">
      <c r="A135">
        <v>35</v>
      </c>
      <c r="D135">
        <v>42</v>
      </c>
      <c r="E135" s="19" t="s">
        <v>54</v>
      </c>
      <c r="F135" s="19">
        <v>167</v>
      </c>
      <c r="G135" s="19"/>
      <c r="H135" s="19">
        <v>72</v>
      </c>
      <c r="I135" s="19" t="s">
        <v>71</v>
      </c>
      <c r="J135" s="19">
        <v>0</v>
      </c>
      <c r="L135" t="s">
        <v>169</v>
      </c>
    </row>
    <row r="136" spans="1:63" x14ac:dyDescent="0.2">
      <c r="A136">
        <v>35</v>
      </c>
      <c r="D136">
        <v>43</v>
      </c>
      <c r="E136" s="19" t="s">
        <v>55</v>
      </c>
      <c r="F136" s="19">
        <v>158.1</v>
      </c>
      <c r="G136" s="19"/>
      <c r="H136" s="19"/>
      <c r="I136" s="19"/>
      <c r="J136" s="19"/>
      <c r="L136" t="s">
        <v>169</v>
      </c>
    </row>
    <row r="137" spans="1:63" x14ac:dyDescent="0.2">
      <c r="A137">
        <v>35</v>
      </c>
      <c r="D137">
        <v>47</v>
      </c>
      <c r="E137" s="19" t="s">
        <v>56</v>
      </c>
      <c r="F137" s="19">
        <v>188.2</v>
      </c>
      <c r="G137" s="19"/>
      <c r="H137" s="19"/>
      <c r="I137" s="19"/>
      <c r="J137" s="19"/>
      <c r="L137" t="s">
        <v>169</v>
      </c>
    </row>
    <row r="138" spans="1:63" x14ac:dyDescent="0.2">
      <c r="A138">
        <v>35</v>
      </c>
      <c r="D138">
        <v>48</v>
      </c>
      <c r="E138" s="19" t="s">
        <v>57</v>
      </c>
      <c r="F138" s="19">
        <v>131.9</v>
      </c>
      <c r="G138" s="19"/>
      <c r="H138" s="19"/>
      <c r="I138" s="19"/>
      <c r="J138" s="19"/>
      <c r="L138" t="s">
        <v>169</v>
      </c>
    </row>
    <row r="139" spans="1:63" x14ac:dyDescent="0.2">
      <c r="A139">
        <v>35</v>
      </c>
      <c r="D139">
        <v>49</v>
      </c>
      <c r="E139" s="19">
        <v>38.700000000000003</v>
      </c>
      <c r="F139" s="19">
        <v>38.200000000000003</v>
      </c>
      <c r="G139" s="19"/>
      <c r="H139" s="19"/>
      <c r="I139" s="19"/>
      <c r="J139" s="19"/>
      <c r="L139" t="s">
        <v>169</v>
      </c>
    </row>
    <row r="140" spans="1:63" x14ac:dyDescent="0.2">
      <c r="A140">
        <v>35</v>
      </c>
      <c r="D140">
        <v>50</v>
      </c>
      <c r="E140" s="19" t="s">
        <v>58</v>
      </c>
      <c r="F140" s="19">
        <v>50.1</v>
      </c>
      <c r="G140" s="19"/>
      <c r="H140" s="19"/>
      <c r="I140" s="19"/>
      <c r="J140" s="19"/>
      <c r="L140" t="s">
        <v>169</v>
      </c>
    </row>
    <row r="141" spans="1:63" x14ac:dyDescent="0.2">
      <c r="A141">
        <v>35</v>
      </c>
      <c r="D141">
        <v>52</v>
      </c>
      <c r="E141" s="19" t="s">
        <v>59</v>
      </c>
      <c r="F141" s="19">
        <v>68.7</v>
      </c>
      <c r="G141" s="19"/>
      <c r="H141" s="19"/>
      <c r="I141" s="19"/>
      <c r="J141" s="19"/>
      <c r="L141" t="s">
        <v>169</v>
      </c>
    </row>
    <row r="142" spans="1:63" x14ac:dyDescent="0.2">
      <c r="A142">
        <v>35</v>
      </c>
      <c r="D142">
        <v>53</v>
      </c>
      <c r="E142" s="19" t="s">
        <v>60</v>
      </c>
      <c r="F142" s="19">
        <v>38.299999999999997</v>
      </c>
      <c r="G142" s="19"/>
      <c r="H142" s="19"/>
      <c r="I142" s="19"/>
      <c r="J142" s="19"/>
      <c r="L142" t="s">
        <v>169</v>
      </c>
    </row>
    <row r="143" spans="1:63" x14ac:dyDescent="0.2">
      <c r="A143">
        <v>35</v>
      </c>
      <c r="D143">
        <v>54</v>
      </c>
      <c r="E143" s="19" t="s">
        <v>61</v>
      </c>
      <c r="F143" s="19">
        <v>155.30000000000001</v>
      </c>
      <c r="G143" s="19"/>
      <c r="H143" s="19"/>
      <c r="I143" s="19"/>
      <c r="J143" s="19"/>
      <c r="L143" t="s">
        <v>169</v>
      </c>
    </row>
    <row r="144" spans="1:63" x14ac:dyDescent="0.2">
      <c r="A144">
        <v>35</v>
      </c>
      <c r="D144">
        <v>56</v>
      </c>
      <c r="E144" s="19" t="s">
        <v>62</v>
      </c>
      <c r="F144" s="19">
        <v>39.200000000000003</v>
      </c>
      <c r="G144" s="19"/>
      <c r="H144" s="19"/>
      <c r="I144" s="19"/>
      <c r="J144" s="19"/>
      <c r="L144" t="s">
        <v>169</v>
      </c>
    </row>
    <row r="145" spans="1:63" x14ac:dyDescent="0.2">
      <c r="A145">
        <v>35</v>
      </c>
      <c r="D145">
        <v>57</v>
      </c>
      <c r="E145" s="19" t="s">
        <v>63</v>
      </c>
      <c r="F145" s="19">
        <v>174.2</v>
      </c>
      <c r="G145" s="19"/>
      <c r="H145" s="19"/>
      <c r="I145" s="19"/>
      <c r="J145" s="19"/>
      <c r="L145" t="s">
        <v>169</v>
      </c>
    </row>
    <row r="146" spans="1:63" x14ac:dyDescent="0.2">
      <c r="A146">
        <v>35</v>
      </c>
      <c r="D146">
        <v>65</v>
      </c>
      <c r="E146" s="19" t="s">
        <v>64</v>
      </c>
      <c r="F146" s="19">
        <v>185.3</v>
      </c>
      <c r="G146" s="19"/>
      <c r="H146" s="19"/>
      <c r="I146" s="19"/>
      <c r="J146" s="19"/>
      <c r="L146" t="s">
        <v>169</v>
      </c>
    </row>
    <row r="147" spans="1:63" x14ac:dyDescent="0.2">
      <c r="A147">
        <v>35</v>
      </c>
      <c r="D147" s="19" t="s">
        <v>376</v>
      </c>
      <c r="E147" s="19">
        <v>31.4</v>
      </c>
      <c r="F147" s="19">
        <v>396</v>
      </c>
      <c r="G147" s="19"/>
      <c r="H147" s="19"/>
      <c r="I147" s="19"/>
      <c r="J147" s="19"/>
      <c r="L147" t="s">
        <v>169</v>
      </c>
    </row>
    <row r="148" spans="1:63" x14ac:dyDescent="0.2">
      <c r="A148">
        <v>35</v>
      </c>
      <c r="D148">
        <v>66</v>
      </c>
      <c r="E148" s="19" t="s">
        <v>65</v>
      </c>
      <c r="F148" s="19">
        <v>0</v>
      </c>
      <c r="G148" s="19"/>
      <c r="H148" s="19"/>
      <c r="I148" s="19"/>
      <c r="J148" s="19"/>
      <c r="L148" t="s">
        <v>169</v>
      </c>
    </row>
    <row r="149" spans="1:63" x14ac:dyDescent="0.2">
      <c r="A149">
        <v>35</v>
      </c>
      <c r="E149" s="19"/>
      <c r="F149" s="19"/>
      <c r="G149" s="19"/>
      <c r="H149" s="19"/>
      <c r="I149" s="19"/>
      <c r="J149" s="19"/>
    </row>
    <row r="150" spans="1:63" x14ac:dyDescent="0.2">
      <c r="A150">
        <v>35</v>
      </c>
      <c r="D150" s="19" t="s">
        <v>614</v>
      </c>
      <c r="E150" s="19" t="s">
        <v>77</v>
      </c>
      <c r="F150" s="19">
        <v>0</v>
      </c>
      <c r="G150" s="19"/>
      <c r="H150" s="19">
        <v>67</v>
      </c>
      <c r="I150" s="19" t="s">
        <v>72</v>
      </c>
      <c r="J150" s="19">
        <v>1.1000000000000001</v>
      </c>
      <c r="K150" t="s">
        <v>616</v>
      </c>
      <c r="L150" t="s">
        <v>169</v>
      </c>
      <c r="N150" t="s">
        <v>319</v>
      </c>
      <c r="O150" t="s">
        <v>319</v>
      </c>
      <c r="P150" t="s">
        <v>319</v>
      </c>
      <c r="Q150" t="s">
        <v>319</v>
      </c>
      <c r="R150" t="s">
        <v>319</v>
      </c>
      <c r="S150" t="s">
        <v>319</v>
      </c>
      <c r="T150" t="s">
        <v>319</v>
      </c>
      <c r="U150" t="s">
        <v>319</v>
      </c>
      <c r="V150" t="s">
        <v>319</v>
      </c>
      <c r="W150" t="s">
        <v>319</v>
      </c>
      <c r="Y150">
        <f>(64.5+64.3+31.3+13.7+31.8+12.5+0+0+0+25+16.4+4.4+14+13+23.4+5+11.7)/17</f>
        <v>19.470588235294116</v>
      </c>
      <c r="Z150">
        <v>19.64</v>
      </c>
      <c r="AA150" t="s">
        <v>322</v>
      </c>
      <c r="AB150">
        <f>Z150</f>
        <v>19.64</v>
      </c>
      <c r="AC150">
        <v>7</v>
      </c>
      <c r="AD150">
        <f>AVERAGE(J150:J156)</f>
        <v>7.6428571428571441</v>
      </c>
      <c r="AE150">
        <f>_xlfn.STDEV.S(J150:J156)</f>
        <v>19.214565407771364</v>
      </c>
      <c r="AF150" t="s">
        <v>322</v>
      </c>
      <c r="AG150">
        <f>AE150</f>
        <v>19.214565407771364</v>
      </c>
      <c r="AH150">
        <v>7</v>
      </c>
      <c r="AI150">
        <v>11.93</v>
      </c>
      <c r="AJ150">
        <v>13.95</v>
      </c>
      <c r="AK150" t="s">
        <v>322</v>
      </c>
      <c r="AL150">
        <f>AJ150</f>
        <v>13.95</v>
      </c>
      <c r="AM150">
        <v>21</v>
      </c>
      <c r="AN150" s="1">
        <f>AVERAGE(F150:F170)</f>
        <v>10.171428571428571</v>
      </c>
      <c r="AO150" s="1">
        <f>_xlfn.STDEV.S(F150:F170)</f>
        <v>16.012405904708473</v>
      </c>
      <c r="AP150" s="1" t="s">
        <v>322</v>
      </c>
      <c r="AQ150" s="1">
        <v>19.64</v>
      </c>
      <c r="AR150" s="1">
        <v>21</v>
      </c>
      <c r="AS150" t="s">
        <v>323</v>
      </c>
      <c r="AT150">
        <f t="shared" ref="AT150" si="205">AN150-AI150</f>
        <v>-1.7585714285714289</v>
      </c>
      <c r="AU150">
        <f>AR150+AM150</f>
        <v>42</v>
      </c>
      <c r="AV150">
        <f>((AR150-1)*AQ150^2)+((AM150-1)*AL150^2)</f>
        <v>11606.642</v>
      </c>
      <c r="AW150">
        <f>SQRT(AV150/(AU150-2))</f>
        <v>17.034261064102544</v>
      </c>
      <c r="AX150">
        <f t="shared" ref="AX150" si="206">AR150</f>
        <v>21</v>
      </c>
      <c r="AY150" t="s">
        <v>324</v>
      </c>
      <c r="AZ150">
        <f t="shared" ref="AZ150" si="207">AD150-Y150</f>
        <v>-11.827731092436972</v>
      </c>
      <c r="BA150">
        <f>AH150+AC150</f>
        <v>14</v>
      </c>
      <c r="BB150">
        <f>((AH150-1)*AG150^2)+((AC150-1)*AB150^2)</f>
        <v>4529.5747428571431</v>
      </c>
      <c r="BC150">
        <f>SQRT(BB150/(BA150-2))</f>
        <v>19.428447233496605</v>
      </c>
      <c r="BD150">
        <f>AH150</f>
        <v>7</v>
      </c>
      <c r="BF150">
        <f>AZ150</f>
        <v>-11.827731092436972</v>
      </c>
      <c r="BG150">
        <f t="shared" ref="BG150" si="208">BC150</f>
        <v>19.428447233496605</v>
      </c>
      <c r="BH150">
        <f t="shared" ref="BH150" si="209">BD150</f>
        <v>7</v>
      </c>
      <c r="BI150">
        <f t="shared" ref="BI150" si="210">AT150</f>
        <v>-1.7585714285714289</v>
      </c>
      <c r="BJ150">
        <f t="shared" ref="BJ150" si="211">AW150</f>
        <v>17.034261064102544</v>
      </c>
      <c r="BK150">
        <f t="shared" ref="BK150" si="212">AX150</f>
        <v>21</v>
      </c>
    </row>
    <row r="151" spans="1:63" x14ac:dyDescent="0.2">
      <c r="A151">
        <v>35</v>
      </c>
      <c r="D151">
        <v>37</v>
      </c>
      <c r="E151" s="19" t="s">
        <v>78</v>
      </c>
      <c r="F151" s="19">
        <v>15.5</v>
      </c>
      <c r="G151" s="19"/>
      <c r="H151" s="19" t="s">
        <v>377</v>
      </c>
      <c r="I151" s="19">
        <v>13.7</v>
      </c>
      <c r="J151" s="19">
        <v>51.2</v>
      </c>
      <c r="L151" t="s">
        <v>169</v>
      </c>
    </row>
    <row r="152" spans="1:63" x14ac:dyDescent="0.2">
      <c r="A152">
        <v>35</v>
      </c>
      <c r="D152">
        <v>38</v>
      </c>
      <c r="E152" s="19" t="s">
        <v>79</v>
      </c>
      <c r="F152" s="19">
        <v>25.2</v>
      </c>
      <c r="G152" s="19"/>
      <c r="H152" s="19">
        <v>68</v>
      </c>
      <c r="I152" s="19" t="s">
        <v>73</v>
      </c>
      <c r="J152" s="19">
        <v>1.2</v>
      </c>
      <c r="L152" t="s">
        <v>169</v>
      </c>
    </row>
    <row r="153" spans="1:63" x14ac:dyDescent="0.2">
      <c r="A153">
        <v>35</v>
      </c>
      <c r="D153">
        <v>39</v>
      </c>
      <c r="E153" s="19" t="s">
        <v>80</v>
      </c>
      <c r="F153" s="19">
        <v>54.1</v>
      </c>
      <c r="G153" s="19"/>
      <c r="H153" s="19">
        <v>69</v>
      </c>
      <c r="I153" s="19" t="s">
        <v>7</v>
      </c>
      <c r="J153" s="19">
        <v>0</v>
      </c>
      <c r="K153" s="3"/>
      <c r="L153" t="s">
        <v>169</v>
      </c>
    </row>
    <row r="154" spans="1:63" x14ac:dyDescent="0.2">
      <c r="A154">
        <v>35</v>
      </c>
      <c r="D154">
        <v>40</v>
      </c>
      <c r="E154" s="19" t="s">
        <v>81</v>
      </c>
      <c r="F154" s="19">
        <v>5.8</v>
      </c>
      <c r="G154" s="19"/>
      <c r="H154" s="19">
        <v>70</v>
      </c>
      <c r="I154" s="19" t="s">
        <v>74</v>
      </c>
      <c r="J154" s="19">
        <v>0</v>
      </c>
      <c r="L154" t="s">
        <v>169</v>
      </c>
    </row>
    <row r="155" spans="1:63" x14ac:dyDescent="0.2">
      <c r="A155">
        <v>35</v>
      </c>
      <c r="D155">
        <v>41</v>
      </c>
      <c r="E155" s="19" t="s">
        <v>82</v>
      </c>
      <c r="F155" s="19">
        <v>12</v>
      </c>
      <c r="G155" s="19"/>
      <c r="H155" s="19">
        <v>71</v>
      </c>
      <c r="I155" s="19" t="s">
        <v>75</v>
      </c>
      <c r="J155" s="19">
        <v>0</v>
      </c>
      <c r="L155" t="s">
        <v>169</v>
      </c>
    </row>
    <row r="156" spans="1:63" x14ac:dyDescent="0.2">
      <c r="A156">
        <v>35</v>
      </c>
      <c r="D156">
        <v>42</v>
      </c>
      <c r="E156" s="19" t="s">
        <v>83</v>
      </c>
      <c r="F156" s="19">
        <v>48.6</v>
      </c>
      <c r="G156" s="19"/>
      <c r="H156" s="19">
        <v>72</v>
      </c>
      <c r="I156" s="19" t="s">
        <v>76</v>
      </c>
      <c r="J156" s="19">
        <v>0</v>
      </c>
      <c r="L156" t="s">
        <v>169</v>
      </c>
    </row>
    <row r="157" spans="1:63" x14ac:dyDescent="0.2">
      <c r="A157">
        <v>35</v>
      </c>
      <c r="D157">
        <v>43</v>
      </c>
      <c r="E157" s="19" t="s">
        <v>84</v>
      </c>
      <c r="F157" s="19">
        <v>25.2</v>
      </c>
      <c r="G157" s="19"/>
      <c r="H157" s="19"/>
      <c r="I157" s="19"/>
      <c r="J157" s="19"/>
      <c r="L157" t="s">
        <v>169</v>
      </c>
    </row>
    <row r="158" spans="1:63" x14ac:dyDescent="0.2">
      <c r="A158">
        <v>35</v>
      </c>
      <c r="D158">
        <v>47</v>
      </c>
      <c r="E158" s="19" t="s">
        <v>85</v>
      </c>
      <c r="F158" s="19">
        <v>0</v>
      </c>
      <c r="G158" s="19"/>
      <c r="H158" s="19"/>
      <c r="I158" s="19"/>
      <c r="J158" s="19"/>
      <c r="L158" t="s">
        <v>169</v>
      </c>
    </row>
    <row r="159" spans="1:63" x14ac:dyDescent="0.2">
      <c r="A159">
        <v>35</v>
      </c>
      <c r="D159">
        <v>48</v>
      </c>
      <c r="E159" s="19" t="s">
        <v>86</v>
      </c>
      <c r="F159" s="19">
        <v>0</v>
      </c>
      <c r="G159" s="19"/>
      <c r="H159" s="19"/>
      <c r="I159" s="19"/>
      <c r="J159" s="19"/>
      <c r="L159" t="s">
        <v>169</v>
      </c>
    </row>
    <row r="160" spans="1:63" x14ac:dyDescent="0.2">
      <c r="A160">
        <v>35</v>
      </c>
      <c r="D160">
        <v>49</v>
      </c>
      <c r="E160" s="19">
        <v>1.4</v>
      </c>
      <c r="F160" s="19">
        <v>0</v>
      </c>
      <c r="G160" s="19"/>
      <c r="H160" s="19"/>
      <c r="I160" s="19"/>
      <c r="J160" s="19"/>
      <c r="L160" t="s">
        <v>169</v>
      </c>
    </row>
    <row r="161" spans="1:23" x14ac:dyDescent="0.2">
      <c r="A161">
        <v>35</v>
      </c>
      <c r="D161">
        <v>50</v>
      </c>
      <c r="E161" s="19" t="s">
        <v>87</v>
      </c>
      <c r="F161" s="19">
        <v>0</v>
      </c>
      <c r="G161" s="19"/>
      <c r="H161" s="19"/>
      <c r="I161" s="19"/>
      <c r="J161" s="19"/>
      <c r="L161" t="s">
        <v>169</v>
      </c>
    </row>
    <row r="162" spans="1:23" x14ac:dyDescent="0.2">
      <c r="A162">
        <v>35</v>
      </c>
      <c r="D162">
        <v>51</v>
      </c>
      <c r="E162" s="19" t="s">
        <v>88</v>
      </c>
      <c r="F162" s="19">
        <v>0</v>
      </c>
      <c r="G162" s="19"/>
      <c r="H162" s="19"/>
      <c r="I162" s="19"/>
      <c r="J162" s="19"/>
      <c r="L162" t="s">
        <v>169</v>
      </c>
    </row>
    <row r="163" spans="1:23" x14ac:dyDescent="0.2">
      <c r="A163">
        <v>35</v>
      </c>
      <c r="D163">
        <v>52</v>
      </c>
      <c r="E163" s="19" t="s">
        <v>89</v>
      </c>
      <c r="F163" s="19">
        <v>0</v>
      </c>
      <c r="G163" s="19"/>
      <c r="H163" s="19"/>
      <c r="I163" s="19"/>
      <c r="J163" s="19"/>
      <c r="L163" t="s">
        <v>169</v>
      </c>
    </row>
    <row r="164" spans="1:23" x14ac:dyDescent="0.2">
      <c r="A164">
        <v>35</v>
      </c>
      <c r="D164">
        <v>53</v>
      </c>
      <c r="E164" s="19" t="s">
        <v>90</v>
      </c>
      <c r="F164" s="19">
        <v>15.5</v>
      </c>
      <c r="G164" s="19"/>
      <c r="H164" s="19"/>
      <c r="I164" s="19"/>
      <c r="J164" s="19"/>
      <c r="L164" t="s">
        <v>169</v>
      </c>
    </row>
    <row r="165" spans="1:23" x14ac:dyDescent="0.2">
      <c r="A165">
        <v>35</v>
      </c>
      <c r="D165">
        <v>54</v>
      </c>
      <c r="E165" s="19" t="s">
        <v>91</v>
      </c>
      <c r="F165" s="19">
        <v>0</v>
      </c>
      <c r="G165" s="19"/>
      <c r="H165" s="19"/>
      <c r="I165" s="19"/>
      <c r="J165" s="19"/>
      <c r="L165" t="s">
        <v>169</v>
      </c>
    </row>
    <row r="166" spans="1:23" x14ac:dyDescent="0.2">
      <c r="A166">
        <v>35</v>
      </c>
      <c r="D166">
        <v>56</v>
      </c>
      <c r="E166" s="19" t="s">
        <v>92</v>
      </c>
      <c r="F166" s="19">
        <v>0</v>
      </c>
      <c r="G166" s="19"/>
      <c r="H166" s="19"/>
      <c r="I166" s="19"/>
      <c r="J166" s="19"/>
      <c r="L166" t="s">
        <v>169</v>
      </c>
    </row>
    <row r="167" spans="1:23" x14ac:dyDescent="0.2">
      <c r="A167">
        <v>35</v>
      </c>
      <c r="D167">
        <v>57</v>
      </c>
      <c r="E167" s="19" t="s">
        <v>93</v>
      </c>
      <c r="F167" s="19">
        <v>8.6</v>
      </c>
      <c r="G167" s="19"/>
      <c r="H167" s="19"/>
      <c r="I167" s="19"/>
      <c r="J167" s="19"/>
      <c r="L167" t="s">
        <v>169</v>
      </c>
    </row>
    <row r="168" spans="1:23" x14ac:dyDescent="0.2">
      <c r="A168">
        <v>35</v>
      </c>
      <c r="D168">
        <v>65</v>
      </c>
      <c r="E168" s="19" t="s">
        <v>378</v>
      </c>
      <c r="F168" s="19">
        <v>0</v>
      </c>
      <c r="G168" s="19"/>
      <c r="H168" s="19"/>
      <c r="I168" s="19"/>
      <c r="J168" s="19"/>
      <c r="L168" t="s">
        <v>169</v>
      </c>
    </row>
    <row r="169" spans="1:23" x14ac:dyDescent="0.2">
      <c r="A169">
        <v>35</v>
      </c>
      <c r="D169" s="19" t="s">
        <v>376</v>
      </c>
      <c r="E169" s="19">
        <v>0</v>
      </c>
      <c r="F169" s="19">
        <v>3.1</v>
      </c>
      <c r="G169" s="19"/>
      <c r="H169" s="19"/>
      <c r="I169" s="19"/>
      <c r="J169" s="19"/>
      <c r="L169" t="s">
        <v>169</v>
      </c>
    </row>
    <row r="170" spans="1:23" x14ac:dyDescent="0.2">
      <c r="A170">
        <v>35</v>
      </c>
      <c r="D170">
        <v>66</v>
      </c>
      <c r="E170" s="19">
        <v>0</v>
      </c>
      <c r="F170" s="19">
        <v>0</v>
      </c>
      <c r="G170" s="19"/>
      <c r="H170" s="19"/>
      <c r="I170" s="19"/>
      <c r="J170" s="19"/>
      <c r="L170" t="s">
        <v>169</v>
      </c>
    </row>
    <row r="171" spans="1:23" ht="51" x14ac:dyDescent="0.2">
      <c r="A171">
        <v>36</v>
      </c>
      <c r="B171" t="s">
        <v>255</v>
      </c>
      <c r="C171">
        <v>2021</v>
      </c>
      <c r="D171" t="s">
        <v>741</v>
      </c>
      <c r="E171" s="19" t="s">
        <v>763</v>
      </c>
      <c r="F171" s="24" t="s">
        <v>766</v>
      </c>
      <c r="G171" s="19"/>
      <c r="H171" s="19"/>
      <c r="I171" s="19"/>
      <c r="J171" s="19"/>
      <c r="K171" t="s">
        <v>582</v>
      </c>
      <c r="N171">
        <v>10.6</v>
      </c>
      <c r="O171">
        <v>4.5999999999999996</v>
      </c>
      <c r="P171" s="5" t="s">
        <v>322</v>
      </c>
      <c r="Q171" s="5">
        <f>O171</f>
        <v>4.5999999999999996</v>
      </c>
      <c r="R171">
        <v>4</v>
      </c>
      <c r="S171">
        <f>AVERAGE(10.6, 10.6, 11.1, 12.9, 28.5, 32.9, 19.8)</f>
        <v>18.057142857142857</v>
      </c>
      <c r="T171">
        <f>SQRT((5.3^2+5.2^2+4.3^2+26.7^2+37^2+11.8^2)/6)</f>
        <v>19.556541957445681</v>
      </c>
      <c r="U171" s="5" t="s">
        <v>322</v>
      </c>
      <c r="V171" s="5">
        <f>T171</f>
        <v>19.556541957445681</v>
      </c>
      <c r="W171">
        <v>4</v>
      </c>
    </row>
    <row r="172" spans="1:23" ht="51" x14ac:dyDescent="0.2">
      <c r="A172">
        <v>36</v>
      </c>
      <c r="D172" t="s">
        <v>574</v>
      </c>
      <c r="E172" s="19" t="s">
        <v>764</v>
      </c>
      <c r="F172" s="24" t="s">
        <v>765</v>
      </c>
      <c r="G172" s="19"/>
      <c r="H172" s="19"/>
      <c r="I172" s="19"/>
      <c r="J172" s="19"/>
      <c r="K172" t="s">
        <v>582</v>
      </c>
      <c r="N172">
        <v>10.3</v>
      </c>
      <c r="O172">
        <v>2.1</v>
      </c>
      <c r="P172" s="5" t="s">
        <v>322</v>
      </c>
      <c r="Q172" s="5">
        <f t="shared" ref="Q172:Q173" si="213">O172</f>
        <v>2.1</v>
      </c>
      <c r="R172">
        <v>4</v>
      </c>
      <c r="S172">
        <f>AVERAGE(10.6, 8.6, 7.5, 15.3, 20.4, 14.1)</f>
        <v>12.75</v>
      </c>
      <c r="T172">
        <f>SQRT((2.3^2+5^2+3^2+10.9^2+13.8^2+11.3^2)/6)</f>
        <v>8.9090777674609321</v>
      </c>
      <c r="U172" s="5" t="s">
        <v>322</v>
      </c>
      <c r="V172" s="5">
        <f t="shared" ref="V172:V173" si="214">T172</f>
        <v>8.9090777674609321</v>
      </c>
      <c r="W172">
        <v>4</v>
      </c>
    </row>
    <row r="173" spans="1:23" ht="51" x14ac:dyDescent="0.2">
      <c r="A173">
        <v>36</v>
      </c>
      <c r="D173" t="s">
        <v>767</v>
      </c>
      <c r="E173" s="19" t="s">
        <v>768</v>
      </c>
      <c r="F173" s="24" t="s">
        <v>769</v>
      </c>
      <c r="G173" s="19"/>
      <c r="H173" s="19"/>
      <c r="I173" s="19"/>
      <c r="J173" s="19"/>
      <c r="K173" t="s">
        <v>582</v>
      </c>
      <c r="N173">
        <v>20.9</v>
      </c>
      <c r="O173">
        <v>6.3</v>
      </c>
      <c r="P173" s="5" t="s">
        <v>322</v>
      </c>
      <c r="Q173" s="5">
        <f t="shared" si="213"/>
        <v>6.3</v>
      </c>
      <c r="R173">
        <v>4</v>
      </c>
      <c r="S173">
        <f>AVERAGE(21.3, 19.7, 20.3, 43.8, 53.3, 33.8)</f>
        <v>32.033333333333331</v>
      </c>
      <c r="T173">
        <f>SQRT((6.7^2+6.5^2+6.5^2+28.3^2+47.8^2+16.8^2)/6)</f>
        <v>24.143183993279209</v>
      </c>
      <c r="U173" s="5" t="s">
        <v>322</v>
      </c>
      <c r="V173" s="5">
        <f t="shared" si="214"/>
        <v>24.143183993279209</v>
      </c>
      <c r="W173">
        <v>4</v>
      </c>
    </row>
    <row r="174" spans="1:23" s="5" customFormat="1" ht="51" x14ac:dyDescent="0.2">
      <c r="A174" s="5">
        <v>37</v>
      </c>
      <c r="B174" s="5" t="s">
        <v>750</v>
      </c>
      <c r="C174" s="5">
        <v>2008</v>
      </c>
      <c r="D174" s="5" t="s">
        <v>137</v>
      </c>
      <c r="G174" s="23" t="s">
        <v>751</v>
      </c>
      <c r="H174" s="23" t="s">
        <v>752</v>
      </c>
      <c r="K174" s="5" t="s">
        <v>580</v>
      </c>
      <c r="N174" s="5">
        <f>AVERAGE(11,0.2,15)</f>
        <v>8.7333333333333325</v>
      </c>
      <c r="O174" s="5">
        <f>_xlfn.STDEV.S(11, 0.2, 15)</f>
        <v>7.6559345173096514</v>
      </c>
      <c r="P174" s="5" t="s">
        <v>322</v>
      </c>
      <c r="Q174" s="5">
        <f t="shared" ref="Q174:Q180" si="215">O174</f>
        <v>7.6559345173096514</v>
      </c>
      <c r="R174" s="5">
        <v>3</v>
      </c>
      <c r="S174" s="5">
        <f>AVERAGE(4,3.9,2)</f>
        <v>3.3000000000000003</v>
      </c>
      <c r="T174" s="5">
        <f>_xlfn.STDEV.S(4,3.9,2)</f>
        <v>1.1269427669584644</v>
      </c>
      <c r="U174" s="5" t="s">
        <v>322</v>
      </c>
      <c r="V174" s="5">
        <f>T174</f>
        <v>1.1269427669584644</v>
      </c>
      <c r="W174" s="5">
        <v>3</v>
      </c>
    </row>
    <row r="175" spans="1:23" ht="51" x14ac:dyDescent="0.2">
      <c r="A175" s="5">
        <v>37</v>
      </c>
      <c r="D175" t="s">
        <v>686</v>
      </c>
      <c r="E175" s="3"/>
      <c r="F175" s="3"/>
      <c r="G175" s="3" t="s">
        <v>753</v>
      </c>
      <c r="H175" s="3" t="s">
        <v>754</v>
      </c>
      <c r="K175" s="5" t="s">
        <v>580</v>
      </c>
      <c r="N175">
        <f>AVERAGE(1,0.7,6)</f>
        <v>2.5666666666666669</v>
      </c>
      <c r="O175">
        <f>_xlfn.STDEV.S(1,0.7,6)</f>
        <v>2.9771350881902108</v>
      </c>
      <c r="P175" t="s">
        <v>322</v>
      </c>
      <c r="Q175">
        <f t="shared" si="215"/>
        <v>2.9771350881902108</v>
      </c>
      <c r="R175">
        <v>3</v>
      </c>
      <c r="S175">
        <f>AVERAGE(4.4,4.4,11.8)</f>
        <v>6.8666666666666671</v>
      </c>
      <c r="T175">
        <f>_xlfn.STDEV.S(4.4,4.4,11.8)</f>
        <v>4.2723919920032305</v>
      </c>
      <c r="U175" s="5" t="s">
        <v>322</v>
      </c>
      <c r="V175" s="5">
        <f t="shared" ref="V175:V176" si="216">T175</f>
        <v>4.2723919920032305</v>
      </c>
      <c r="W175">
        <v>3</v>
      </c>
    </row>
    <row r="176" spans="1:23" ht="51" x14ac:dyDescent="0.2">
      <c r="A176" s="5">
        <v>37</v>
      </c>
      <c r="D176" t="s">
        <v>685</v>
      </c>
      <c r="E176" s="3"/>
      <c r="F176" s="3"/>
      <c r="G176" s="3" t="s">
        <v>755</v>
      </c>
      <c r="H176" s="3" t="s">
        <v>756</v>
      </c>
      <c r="K176" s="5" t="s">
        <v>580</v>
      </c>
      <c r="N176">
        <f>AVERAGE(1.75,0.4,1.25)</f>
        <v>1.1333333333333333</v>
      </c>
      <c r="O176">
        <f>_xlfn.STDEV.S(1.75,0.4,1.25)</f>
        <v>0.68251984098144247</v>
      </c>
      <c r="P176" t="s">
        <v>322</v>
      </c>
      <c r="Q176">
        <f t="shared" si="215"/>
        <v>0.68251984098144247</v>
      </c>
      <c r="R176">
        <v>3</v>
      </c>
      <c r="S176">
        <f>AVERAGE(1.7,3.6,1.9)</f>
        <v>2.4</v>
      </c>
      <c r="T176">
        <f>_xlfn.STDEV.S(1.7,3.6,1.9)</f>
        <v>1.0440306508910557</v>
      </c>
      <c r="U176" s="5" t="s">
        <v>322</v>
      </c>
      <c r="V176" s="5">
        <f t="shared" si="216"/>
        <v>1.0440306508910557</v>
      </c>
      <c r="W176">
        <v>3</v>
      </c>
    </row>
    <row r="177" spans="1:23" ht="51" x14ac:dyDescent="0.2">
      <c r="A177" s="5">
        <v>37</v>
      </c>
      <c r="D177" t="s">
        <v>757</v>
      </c>
      <c r="E177" s="3"/>
      <c r="F177" s="3"/>
      <c r="G177" s="3" t="s">
        <v>758</v>
      </c>
      <c r="H177" s="3" t="s">
        <v>759</v>
      </c>
      <c r="K177" s="5" t="s">
        <v>580</v>
      </c>
      <c r="N177">
        <f>AVERAGE(14.5, 1.5, 22.5)</f>
        <v>12.833333333333334</v>
      </c>
      <c r="O177">
        <f>_xlfn.STDEV.S(14.5, 1.5, 22.5)</f>
        <v>10.598742063723098</v>
      </c>
      <c r="P177" t="s">
        <v>322</v>
      </c>
      <c r="Q177">
        <f t="shared" si="215"/>
        <v>10.598742063723098</v>
      </c>
      <c r="R177">
        <v>3</v>
      </c>
      <c r="S177">
        <f>AVERAGE(10,11,15.5)</f>
        <v>12.166666666666666</v>
      </c>
      <c r="T177">
        <f>_xlfn.STDEV.S(10,11,15.5)</f>
        <v>2.9297326385411591</v>
      </c>
      <c r="U177" s="5" t="s">
        <v>322</v>
      </c>
      <c r="V177" s="5">
        <f t="shared" ref="V177" si="217">T177</f>
        <v>2.9297326385411591</v>
      </c>
      <c r="W177">
        <v>3</v>
      </c>
    </row>
    <row r="178" spans="1:23" ht="17" x14ac:dyDescent="0.2">
      <c r="A178">
        <v>38</v>
      </c>
      <c r="B178" t="s">
        <v>760</v>
      </c>
      <c r="C178">
        <v>2018</v>
      </c>
      <c r="D178" t="s">
        <v>757</v>
      </c>
      <c r="E178" s="3" t="s">
        <v>761</v>
      </c>
      <c r="F178" s="3" t="s">
        <v>762</v>
      </c>
      <c r="G178" s="3"/>
      <c r="H178" s="3"/>
      <c r="K178" s="5" t="s">
        <v>791</v>
      </c>
      <c r="N178">
        <f>AVERAGE(1.3, 0.5, 0.8, 1.4, 1)</f>
        <v>1</v>
      </c>
      <c r="O178">
        <f>_xlfn.STDEV.S(1.3, 0.5, 0.8, 1.4, 1)</f>
        <v>0.36742346141747673</v>
      </c>
      <c r="P178" t="s">
        <v>322</v>
      </c>
      <c r="Q178">
        <f t="shared" si="215"/>
        <v>0.36742346141747673</v>
      </c>
      <c r="R178">
        <v>3</v>
      </c>
      <c r="S178">
        <f>AVERAGE(4.5, 2.5, 1.5, 2.9)</f>
        <v>2.85</v>
      </c>
      <c r="T178">
        <f>_xlfn.STDEV.S(4.5, 2.5, 1.5, 2.9)</f>
        <v>1.2476644848141927</v>
      </c>
      <c r="U178" s="5" t="s">
        <v>322</v>
      </c>
      <c r="V178" s="5">
        <f t="shared" ref="V178" si="218">T178</f>
        <v>1.2476644848141927</v>
      </c>
      <c r="W178">
        <v>3</v>
      </c>
    </row>
    <row r="179" spans="1:23" x14ac:dyDescent="0.2">
      <c r="A179">
        <v>39</v>
      </c>
      <c r="B179" t="s">
        <v>770</v>
      </c>
      <c r="C179">
        <v>1992</v>
      </c>
      <c r="E179" s="3"/>
      <c r="F179" s="3"/>
      <c r="G179" t="s">
        <v>771</v>
      </c>
      <c r="H179" t="s">
        <v>772</v>
      </c>
      <c r="I179" s="3"/>
      <c r="J179" s="3"/>
      <c r="K179" s="5" t="s">
        <v>778</v>
      </c>
      <c r="N179">
        <f>AVERAGE(1.5, 0, 0.5, 23, 12)</f>
        <v>7.4</v>
      </c>
      <c r="O179">
        <f>_xlfn.STDEV.S(1.5, 0, 0.5, 23, 12)</f>
        <v>10.021227469726451</v>
      </c>
      <c r="P179" t="s">
        <v>322</v>
      </c>
      <c r="Q179">
        <f t="shared" si="215"/>
        <v>10.021227469726451</v>
      </c>
      <c r="R179">
        <v>1</v>
      </c>
      <c r="S179">
        <f>AVERAGE(1.5, 4, 3, 78, 43)</f>
        <v>25.9</v>
      </c>
      <c r="T179">
        <f>_xlfn.STDEV.S(1.5, 4, 3, 78, 43)</f>
        <v>33.934495723378589</v>
      </c>
      <c r="U179" t="s">
        <v>322</v>
      </c>
      <c r="V179">
        <f>T179</f>
        <v>33.934495723378589</v>
      </c>
      <c r="W179">
        <v>1</v>
      </c>
    </row>
    <row r="180" spans="1:23" ht="17" x14ac:dyDescent="0.2">
      <c r="A180">
        <v>40</v>
      </c>
      <c r="B180" t="s">
        <v>773</v>
      </c>
      <c r="C180">
        <v>1992</v>
      </c>
      <c r="D180" s="3" t="s">
        <v>33</v>
      </c>
      <c r="E180" s="3" t="s">
        <v>774</v>
      </c>
      <c r="F180" s="3" t="s">
        <v>775</v>
      </c>
      <c r="G180" s="3"/>
      <c r="H180" s="3"/>
      <c r="K180" s="5" t="s">
        <v>778</v>
      </c>
      <c r="N180">
        <f>AVERAGE(5, 25)</f>
        <v>15</v>
      </c>
      <c r="O180">
        <f>_xlfn.STDEV.S(5, 25)</f>
        <v>14.142135623730951</v>
      </c>
      <c r="P180" t="s">
        <v>322</v>
      </c>
      <c r="Q180">
        <f t="shared" si="215"/>
        <v>14.142135623730951</v>
      </c>
      <c r="R180">
        <v>1</v>
      </c>
      <c r="S180">
        <f>AVERAGE(180, 65, 140, 152)</f>
        <v>134.25</v>
      </c>
      <c r="T180">
        <f>_xlfn.STDEV.S(180, 65, 140, 152)</f>
        <v>49.114661762044129</v>
      </c>
      <c r="U180" t="s">
        <v>322</v>
      </c>
      <c r="V180">
        <f t="shared" ref="V180:V183" si="219">T180</f>
        <v>49.114661762044129</v>
      </c>
      <c r="W180">
        <v>1</v>
      </c>
    </row>
    <row r="181" spans="1:23" ht="51" x14ac:dyDescent="0.2">
      <c r="A181">
        <v>40</v>
      </c>
      <c r="E181" s="3" t="s">
        <v>776</v>
      </c>
      <c r="F181" s="3" t="s">
        <v>780</v>
      </c>
      <c r="G181" s="3"/>
      <c r="H181" s="3"/>
      <c r="N181">
        <f>AVERAGE(90, 165, 270, 225, 25, 215, 350, 95, 52, 60, 105, 20, 62)</f>
        <v>133.38461538461539</v>
      </c>
      <c r="O181">
        <f>_xlfn.STDEV.S(90, 165, 270, 225, 25, 215, 350, 95, 52, 60, 105, 20, 62)</f>
        <v>103.08130970382756</v>
      </c>
      <c r="P181" t="s">
        <v>322</v>
      </c>
      <c r="Q181">
        <f t="shared" ref="Q181:Q182" si="220">O181</f>
        <v>103.08130970382756</v>
      </c>
      <c r="R181">
        <v>1</v>
      </c>
      <c r="S181">
        <f>AVERAGE(240, 340, 230, 350, 305)</f>
        <v>293</v>
      </c>
      <c r="T181">
        <f>_xlfn.STDEV.S( 240, 340, 230, 350, 305)</f>
        <v>55.632724182804495</v>
      </c>
      <c r="U181" t="s">
        <v>322</v>
      </c>
      <c r="V181">
        <f t="shared" si="219"/>
        <v>55.632724182804495</v>
      </c>
      <c r="W181">
        <v>1</v>
      </c>
    </row>
    <row r="182" spans="1:23" ht="34" x14ac:dyDescent="0.2">
      <c r="A182">
        <v>40</v>
      </c>
      <c r="E182" s="3" t="s">
        <v>777</v>
      </c>
      <c r="F182" s="3" t="s">
        <v>779</v>
      </c>
      <c r="G182" s="3"/>
      <c r="H182" s="3"/>
      <c r="N182">
        <f>AVERAGE(40, 98, 45, 10, 65, 10, 15, 10, 0, 0, 0, 0, 0)</f>
        <v>22.53846153846154</v>
      </c>
      <c r="O182">
        <f>_xlfn.STDEV.S(40, 98, 45, 10, 65, 10, 15, 10, 0, 0, 0, 0, 0)</f>
        <v>30.788567641835783</v>
      </c>
      <c r="P182" t="s">
        <v>322</v>
      </c>
      <c r="Q182">
        <f t="shared" si="220"/>
        <v>30.788567641835783</v>
      </c>
      <c r="R182">
        <v>1</v>
      </c>
      <c r="S182">
        <f>AVERAGE( 70, 100, 185)</f>
        <v>118.33333333333333</v>
      </c>
      <c r="T182">
        <f>_xlfn.STDEV.S(70, 100, 185)</f>
        <v>59.651767227244257</v>
      </c>
      <c r="U182" t="s">
        <v>322</v>
      </c>
      <c r="V182">
        <f t="shared" si="219"/>
        <v>59.651767227244257</v>
      </c>
      <c r="W182">
        <v>1</v>
      </c>
    </row>
    <row r="183" spans="1:23" ht="17" x14ac:dyDescent="0.2">
      <c r="A183">
        <v>41</v>
      </c>
      <c r="B183" t="s">
        <v>782</v>
      </c>
      <c r="C183">
        <v>1993</v>
      </c>
      <c r="D183" s="3" t="s">
        <v>137</v>
      </c>
      <c r="E183" s="3" t="s">
        <v>786</v>
      </c>
      <c r="F183" s="3" t="s">
        <v>785</v>
      </c>
      <c r="G183" s="3"/>
      <c r="H183" s="3"/>
      <c r="K183" t="s">
        <v>791</v>
      </c>
      <c r="N183">
        <f>AVERAGE(N180:N182)</f>
        <v>56.974358974358978</v>
      </c>
      <c r="O183">
        <f>SQRT((O180^2+O181^2+O182^2)/3)</f>
        <v>62.646341493850251</v>
      </c>
      <c r="P183" t="s">
        <v>322</v>
      </c>
      <c r="Q183">
        <f t="shared" ref="Q183" si="221">O183</f>
        <v>62.646341493850251</v>
      </c>
      <c r="R183">
        <v>3</v>
      </c>
      <c r="S183">
        <f>AVERAGE(S180:S182)</f>
        <v>181.86111111111111</v>
      </c>
      <c r="T183">
        <f>SQRT((T180^2+T181^2+T182^2)/3)</f>
        <v>54.971457240199761</v>
      </c>
      <c r="U183" t="s">
        <v>322</v>
      </c>
      <c r="V183">
        <f t="shared" si="219"/>
        <v>54.971457240199761</v>
      </c>
      <c r="W183">
        <v>3</v>
      </c>
    </row>
    <row r="184" spans="1:23" ht="17" x14ac:dyDescent="0.2">
      <c r="A184">
        <v>41</v>
      </c>
      <c r="D184" t="s">
        <v>137</v>
      </c>
      <c r="E184" s="3" t="s">
        <v>783</v>
      </c>
      <c r="F184" s="3" t="s">
        <v>784</v>
      </c>
      <c r="K184" t="s">
        <v>792</v>
      </c>
    </row>
    <row r="185" spans="1:23" ht="17" x14ac:dyDescent="0.2">
      <c r="A185">
        <v>41</v>
      </c>
      <c r="D185" t="s">
        <v>138</v>
      </c>
      <c r="E185" s="3" t="s">
        <v>787</v>
      </c>
      <c r="F185" s="3" t="s">
        <v>789</v>
      </c>
      <c r="K185" t="s">
        <v>791</v>
      </c>
    </row>
    <row r="186" spans="1:23" ht="17" x14ac:dyDescent="0.2">
      <c r="A186">
        <v>41</v>
      </c>
      <c r="D186" t="s">
        <v>138</v>
      </c>
      <c r="E186" s="3" t="s">
        <v>788</v>
      </c>
      <c r="F186" s="3" t="s">
        <v>790</v>
      </c>
      <c r="K186" t="s">
        <v>792</v>
      </c>
    </row>
    <row r="187" spans="1:23" x14ac:dyDescent="0.2">
      <c r="F187" s="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B6588-D633-D24E-9E2E-E8D007271D8F}">
  <dimension ref="A1:AT12"/>
  <sheetViews>
    <sheetView workbookViewId="0">
      <selection activeCell="C16" sqref="C16"/>
    </sheetView>
  </sheetViews>
  <sheetFormatPr baseColWidth="10" defaultRowHeight="16" x14ac:dyDescent="0.2"/>
  <cols>
    <col min="1" max="1" width="12.6640625" customWidth="1"/>
    <col min="2" max="2" width="26" customWidth="1"/>
    <col min="3" max="3" width="35.6640625" customWidth="1"/>
  </cols>
  <sheetData>
    <row r="1" spans="1:46" ht="68" x14ac:dyDescent="0.2">
      <c r="A1" s="27" t="s">
        <v>885</v>
      </c>
      <c r="B1" s="27" t="s">
        <v>886</v>
      </c>
      <c r="C1" s="27" t="s">
        <v>887</v>
      </c>
      <c r="D1" s="28" t="s">
        <v>888</v>
      </c>
      <c r="E1" s="29" t="s">
        <v>889</v>
      </c>
      <c r="F1" s="29" t="s">
        <v>890</v>
      </c>
      <c r="G1" s="29" t="s">
        <v>891</v>
      </c>
      <c r="H1" s="29" t="s">
        <v>892</v>
      </c>
      <c r="I1" s="29" t="s">
        <v>893</v>
      </c>
      <c r="J1" s="29" t="s">
        <v>894</v>
      </c>
      <c r="K1" s="29" t="s">
        <v>895</v>
      </c>
      <c r="L1" s="29" t="s">
        <v>896</v>
      </c>
      <c r="M1" s="29" t="s">
        <v>897</v>
      </c>
      <c r="N1" s="29" t="s">
        <v>898</v>
      </c>
      <c r="O1" s="30" t="s">
        <v>899</v>
      </c>
      <c r="P1" s="29" t="s">
        <v>900</v>
      </c>
      <c r="Q1" s="29" t="s">
        <v>901</v>
      </c>
      <c r="R1" s="29" t="s">
        <v>902</v>
      </c>
      <c r="S1" s="29" t="s">
        <v>903</v>
      </c>
      <c r="T1" s="29" t="s">
        <v>904</v>
      </c>
      <c r="U1" s="29" t="s">
        <v>518</v>
      </c>
      <c r="V1" s="29" t="s">
        <v>518</v>
      </c>
      <c r="W1" s="29" t="s">
        <v>518</v>
      </c>
      <c r="X1" s="29" t="s">
        <v>518</v>
      </c>
      <c r="Y1" s="29" t="s">
        <v>518</v>
      </c>
      <c r="Z1" s="29" t="s">
        <v>905</v>
      </c>
      <c r="AA1" s="29" t="s">
        <v>906</v>
      </c>
      <c r="AB1" s="31" t="s">
        <v>907</v>
      </c>
      <c r="AC1" s="29" t="s">
        <v>908</v>
      </c>
      <c r="AD1" s="29" t="s">
        <v>909</v>
      </c>
      <c r="AE1" s="29" t="s">
        <v>910</v>
      </c>
      <c r="AF1" s="29" t="s">
        <v>911</v>
      </c>
      <c r="AG1" s="29" t="s">
        <v>912</v>
      </c>
      <c r="AH1" s="29" t="s">
        <v>913</v>
      </c>
      <c r="AI1" s="29" t="s">
        <v>914</v>
      </c>
      <c r="AJ1" s="29" t="s">
        <v>915</v>
      </c>
      <c r="AK1" s="29" t="s">
        <v>395</v>
      </c>
      <c r="AL1" s="29" t="s">
        <v>916</v>
      </c>
      <c r="AM1" s="29" t="s">
        <v>917</v>
      </c>
      <c r="AN1" s="30" t="s">
        <v>911</v>
      </c>
      <c r="AO1" s="32" t="s">
        <v>918</v>
      </c>
      <c r="AP1" s="33" t="s">
        <v>919</v>
      </c>
      <c r="AQ1" s="33" t="s">
        <v>920</v>
      </c>
      <c r="AR1" s="32" t="s">
        <v>921</v>
      </c>
      <c r="AS1" s="32" t="s">
        <v>922</v>
      </c>
      <c r="AT1" s="32" t="s">
        <v>923</v>
      </c>
    </row>
    <row r="2" spans="1:46" x14ac:dyDescent="0.2">
      <c r="A2" s="34" t="s">
        <v>924</v>
      </c>
      <c r="B2" s="34" t="s">
        <v>925</v>
      </c>
      <c r="C2" s="35" t="s">
        <v>14</v>
      </c>
      <c r="D2" s="36"/>
      <c r="E2" s="37" t="s">
        <v>926</v>
      </c>
      <c r="F2" s="37"/>
      <c r="G2" s="37" t="s">
        <v>926</v>
      </c>
      <c r="H2" s="37"/>
      <c r="I2" s="37" t="s">
        <v>926</v>
      </c>
      <c r="J2" s="37" t="s">
        <v>926</v>
      </c>
      <c r="K2" s="37"/>
      <c r="L2" s="38"/>
      <c r="M2" s="38" t="s">
        <v>926</v>
      </c>
      <c r="N2" s="38" t="s">
        <v>926</v>
      </c>
      <c r="O2" s="39" t="s">
        <v>926</v>
      </c>
      <c r="P2" s="40"/>
      <c r="Q2" s="38" t="s">
        <v>926</v>
      </c>
      <c r="R2" s="38"/>
      <c r="S2" s="38"/>
      <c r="T2" s="38"/>
      <c r="U2" s="38" t="s">
        <v>926</v>
      </c>
      <c r="V2" s="38" t="s">
        <v>926</v>
      </c>
      <c r="W2" s="38" t="s">
        <v>926</v>
      </c>
      <c r="X2" s="38" t="s">
        <v>926</v>
      </c>
      <c r="Y2" s="38" t="s">
        <v>926</v>
      </c>
      <c r="Z2" s="38"/>
      <c r="AA2" s="38" t="s">
        <v>926</v>
      </c>
      <c r="AB2" s="38" t="s">
        <v>926</v>
      </c>
      <c r="AC2" s="38" t="s">
        <v>926</v>
      </c>
      <c r="AD2" s="38" t="s">
        <v>926</v>
      </c>
      <c r="AE2" s="38"/>
      <c r="AF2" s="38"/>
      <c r="AG2" s="38"/>
      <c r="AH2" s="38" t="s">
        <v>926</v>
      </c>
      <c r="AI2" s="38" t="s">
        <v>926</v>
      </c>
      <c r="AJ2" s="38"/>
      <c r="AK2" s="38" t="s">
        <v>926</v>
      </c>
      <c r="AL2" s="38"/>
      <c r="AM2" s="38"/>
      <c r="AN2" s="39" t="s">
        <v>926</v>
      </c>
      <c r="AO2" s="37"/>
      <c r="AP2" s="37"/>
      <c r="AQ2" s="37"/>
      <c r="AR2" s="37"/>
      <c r="AS2" s="37"/>
      <c r="AT2" s="37"/>
    </row>
    <row r="3" spans="1:46" x14ac:dyDescent="0.2">
      <c r="A3" s="41"/>
      <c r="B3" s="42"/>
      <c r="C3" s="35" t="s">
        <v>927</v>
      </c>
      <c r="D3" s="43" t="s">
        <v>926</v>
      </c>
      <c r="E3" s="44"/>
      <c r="F3" s="44" t="s">
        <v>926</v>
      </c>
      <c r="G3" s="44"/>
      <c r="H3" s="44" t="s">
        <v>926</v>
      </c>
      <c r="I3" s="44"/>
      <c r="J3" s="44"/>
      <c r="K3" s="44" t="s">
        <v>926</v>
      </c>
      <c r="L3" s="44" t="s">
        <v>926</v>
      </c>
      <c r="M3" s="44"/>
      <c r="N3" s="44"/>
      <c r="O3" s="45"/>
      <c r="P3" s="46" t="s">
        <v>926</v>
      </c>
      <c r="Q3" s="47"/>
      <c r="R3" s="44" t="s">
        <v>926</v>
      </c>
      <c r="S3" s="44" t="s">
        <v>926</v>
      </c>
      <c r="T3" s="44" t="s">
        <v>926</v>
      </c>
      <c r="U3" s="44"/>
      <c r="V3" s="44"/>
      <c r="W3" s="44"/>
      <c r="X3" s="44"/>
      <c r="Y3" s="44"/>
      <c r="Z3" s="44" t="s">
        <v>926</v>
      </c>
      <c r="AA3" s="44"/>
      <c r="AB3" s="44"/>
      <c r="AC3" s="44"/>
      <c r="AD3" s="44"/>
      <c r="AE3" s="44" t="s">
        <v>926</v>
      </c>
      <c r="AF3" s="44" t="s">
        <v>926</v>
      </c>
      <c r="AG3" s="44" t="s">
        <v>926</v>
      </c>
      <c r="AH3" s="44"/>
      <c r="AI3" s="44"/>
      <c r="AJ3" s="44" t="s">
        <v>926</v>
      </c>
      <c r="AK3" s="44"/>
      <c r="AL3" s="44" t="s">
        <v>926</v>
      </c>
      <c r="AM3" s="44" t="s">
        <v>926</v>
      </c>
      <c r="AN3" s="45"/>
      <c r="AO3" s="44" t="s">
        <v>926</v>
      </c>
      <c r="AP3" s="44" t="s">
        <v>926</v>
      </c>
      <c r="AQ3" s="44" t="s">
        <v>926</v>
      </c>
      <c r="AR3" s="40" t="s">
        <v>926</v>
      </c>
      <c r="AS3" s="38" t="s">
        <v>926</v>
      </c>
      <c r="AT3" s="38" t="s">
        <v>926</v>
      </c>
    </row>
    <row r="4" spans="1:46" x14ac:dyDescent="0.2">
      <c r="A4" s="48" t="s">
        <v>928</v>
      </c>
      <c r="B4" s="34" t="s">
        <v>929</v>
      </c>
      <c r="C4" s="49" t="s">
        <v>930</v>
      </c>
      <c r="D4" s="50" t="s">
        <v>926</v>
      </c>
      <c r="E4" s="38" t="s">
        <v>926</v>
      </c>
      <c r="F4" s="38" t="s">
        <v>926</v>
      </c>
      <c r="G4" s="38" t="s">
        <v>926</v>
      </c>
      <c r="H4" s="38"/>
      <c r="I4" s="38"/>
      <c r="J4" s="38"/>
      <c r="K4" s="38"/>
      <c r="L4" s="38" t="s">
        <v>926</v>
      </c>
      <c r="M4" s="38"/>
      <c r="N4" s="38" t="s">
        <v>926</v>
      </c>
      <c r="O4" s="39"/>
      <c r="P4" s="40"/>
      <c r="Q4" s="35"/>
      <c r="R4" s="38"/>
      <c r="S4" s="38" t="s">
        <v>926</v>
      </c>
      <c r="T4" s="38"/>
      <c r="U4" s="38"/>
      <c r="V4" s="38"/>
      <c r="W4" s="38"/>
      <c r="X4" s="38"/>
      <c r="Y4" s="38"/>
      <c r="Z4" s="38"/>
      <c r="AA4" s="38"/>
      <c r="AB4" s="38" t="s">
        <v>926</v>
      </c>
      <c r="AC4" s="38"/>
      <c r="AD4" s="38"/>
      <c r="AE4" s="38" t="s">
        <v>926</v>
      </c>
      <c r="AF4" s="38" t="s">
        <v>926</v>
      </c>
      <c r="AG4" s="38"/>
      <c r="AH4" s="38"/>
      <c r="AI4" s="38" t="s">
        <v>926</v>
      </c>
      <c r="AJ4" s="38"/>
      <c r="AK4" s="38"/>
      <c r="AL4" s="38" t="s">
        <v>926</v>
      </c>
      <c r="AM4" s="38"/>
      <c r="AN4" s="39" t="s">
        <v>926</v>
      </c>
      <c r="AO4" s="37" t="s">
        <v>926</v>
      </c>
      <c r="AP4" s="38"/>
      <c r="AQ4" s="37" t="s">
        <v>926</v>
      </c>
      <c r="AR4" s="51"/>
      <c r="AS4" s="37" t="s">
        <v>926</v>
      </c>
      <c r="AT4" s="51"/>
    </row>
    <row r="5" spans="1:46" x14ac:dyDescent="0.2">
      <c r="A5" s="52"/>
      <c r="B5" s="42"/>
      <c r="C5" s="35" t="s">
        <v>931</v>
      </c>
      <c r="D5" s="43"/>
      <c r="E5" s="44"/>
      <c r="F5" s="44"/>
      <c r="G5" s="44"/>
      <c r="H5" s="44" t="s">
        <v>926</v>
      </c>
      <c r="I5" s="44" t="s">
        <v>926</v>
      </c>
      <c r="J5" s="44" t="s">
        <v>926</v>
      </c>
      <c r="K5" s="44" t="s">
        <v>926</v>
      </c>
      <c r="L5" s="44"/>
      <c r="M5" s="44" t="s">
        <v>926</v>
      </c>
      <c r="N5" s="44"/>
      <c r="O5" s="45" t="s">
        <v>926</v>
      </c>
      <c r="P5" s="46" t="s">
        <v>926</v>
      </c>
      <c r="Q5" s="44" t="s">
        <v>926</v>
      </c>
      <c r="R5" s="44" t="s">
        <v>926</v>
      </c>
      <c r="S5" s="44"/>
      <c r="T5" s="44" t="s">
        <v>926</v>
      </c>
      <c r="U5" s="44" t="s">
        <v>926</v>
      </c>
      <c r="V5" s="44" t="s">
        <v>926</v>
      </c>
      <c r="W5" s="44" t="s">
        <v>926</v>
      </c>
      <c r="X5" s="44" t="s">
        <v>926</v>
      </c>
      <c r="Y5" s="44" t="s">
        <v>926</v>
      </c>
      <c r="Z5" s="44" t="s">
        <v>926</v>
      </c>
      <c r="AA5" s="44" t="s">
        <v>926</v>
      </c>
      <c r="AB5" s="44"/>
      <c r="AC5" s="44" t="s">
        <v>926</v>
      </c>
      <c r="AD5" s="44" t="s">
        <v>926</v>
      </c>
      <c r="AE5" s="44"/>
      <c r="AF5" s="44"/>
      <c r="AG5" s="44" t="s">
        <v>926</v>
      </c>
      <c r="AH5" s="44" t="s">
        <v>926</v>
      </c>
      <c r="AI5" s="44"/>
      <c r="AJ5" s="44" t="s">
        <v>926</v>
      </c>
      <c r="AK5" s="44" t="s">
        <v>926</v>
      </c>
      <c r="AL5" s="44"/>
      <c r="AM5" s="44" t="s">
        <v>926</v>
      </c>
      <c r="AN5" s="53"/>
      <c r="AO5" s="44"/>
      <c r="AP5" s="38" t="s">
        <v>926</v>
      </c>
      <c r="AQ5" s="44"/>
      <c r="AR5" s="46" t="s">
        <v>926</v>
      </c>
      <c r="AS5" s="44"/>
      <c r="AT5" s="46" t="s">
        <v>926</v>
      </c>
    </row>
    <row r="6" spans="1:46" x14ac:dyDescent="0.2">
      <c r="A6" s="52"/>
      <c r="B6" s="34" t="s">
        <v>932</v>
      </c>
      <c r="C6" s="49" t="s">
        <v>933</v>
      </c>
      <c r="D6" s="50" t="s">
        <v>926</v>
      </c>
      <c r="E6" s="38"/>
      <c r="F6" s="38" t="s">
        <v>926</v>
      </c>
      <c r="G6" s="38"/>
      <c r="H6" s="38" t="s">
        <v>926</v>
      </c>
      <c r="I6" s="38"/>
      <c r="J6" s="38" t="s">
        <v>926</v>
      </c>
      <c r="K6" s="38" t="s">
        <v>926</v>
      </c>
      <c r="L6" s="38" t="s">
        <v>926</v>
      </c>
      <c r="M6" s="38" t="s">
        <v>926</v>
      </c>
      <c r="N6" s="38" t="s">
        <v>926</v>
      </c>
      <c r="O6" s="39"/>
      <c r="P6" s="40" t="s">
        <v>926</v>
      </c>
      <c r="Q6" s="35"/>
      <c r="R6" s="38" t="s">
        <v>926</v>
      </c>
      <c r="S6" s="38"/>
      <c r="T6" s="38"/>
      <c r="U6" s="38" t="s">
        <v>926</v>
      </c>
      <c r="V6" s="38" t="s">
        <v>926</v>
      </c>
      <c r="W6" s="38" t="s">
        <v>926</v>
      </c>
      <c r="X6" s="38" t="s">
        <v>926</v>
      </c>
      <c r="Y6" s="38" t="s">
        <v>926</v>
      </c>
      <c r="Z6" s="38" t="s">
        <v>926</v>
      </c>
      <c r="AA6" s="38"/>
      <c r="AB6" s="38" t="s">
        <v>926</v>
      </c>
      <c r="AC6" s="38" t="s">
        <v>926</v>
      </c>
      <c r="AD6" s="38" t="s">
        <v>926</v>
      </c>
      <c r="AE6" s="38"/>
      <c r="AF6" s="38"/>
      <c r="AG6" s="38" t="s">
        <v>926</v>
      </c>
      <c r="AH6" s="38" t="s">
        <v>926</v>
      </c>
      <c r="AI6" s="38" t="s">
        <v>926</v>
      </c>
      <c r="AJ6" s="38"/>
      <c r="AK6" s="38" t="s">
        <v>926</v>
      </c>
      <c r="AL6" s="38"/>
      <c r="AM6" s="38" t="s">
        <v>926</v>
      </c>
      <c r="AN6" s="54" t="s">
        <v>926</v>
      </c>
      <c r="AO6" s="38"/>
      <c r="AP6" s="37" t="s">
        <v>926</v>
      </c>
      <c r="AQ6" s="38" t="s">
        <v>926</v>
      </c>
      <c r="AR6" s="40"/>
      <c r="AS6" s="38"/>
      <c r="AT6" s="40" t="s">
        <v>926</v>
      </c>
    </row>
    <row r="7" spans="1:46" x14ac:dyDescent="0.2">
      <c r="A7" s="52"/>
      <c r="B7" s="42"/>
      <c r="C7" s="35" t="s">
        <v>934</v>
      </c>
      <c r="D7" s="50"/>
      <c r="E7" s="38" t="s">
        <v>926</v>
      </c>
      <c r="F7" s="38"/>
      <c r="G7" s="38" t="s">
        <v>926</v>
      </c>
      <c r="H7" s="38"/>
      <c r="I7" s="38" t="s">
        <v>926</v>
      </c>
      <c r="J7" s="38"/>
      <c r="K7" s="38"/>
      <c r="L7" s="38"/>
      <c r="M7" s="38"/>
      <c r="N7" s="38"/>
      <c r="O7" s="39" t="s">
        <v>926</v>
      </c>
      <c r="P7" s="40"/>
      <c r="Q7" s="38" t="s">
        <v>926</v>
      </c>
      <c r="R7" s="38"/>
      <c r="S7" s="38" t="s">
        <v>926</v>
      </c>
      <c r="T7" s="38" t="s">
        <v>926</v>
      </c>
      <c r="U7" s="38"/>
      <c r="V7" s="38"/>
      <c r="W7" s="38"/>
      <c r="X7" s="38"/>
      <c r="Y7" s="38"/>
      <c r="Z7" s="38"/>
      <c r="AA7" s="38" t="s">
        <v>926</v>
      </c>
      <c r="AB7" s="38"/>
      <c r="AC7" s="38"/>
      <c r="AD7" s="38"/>
      <c r="AE7" s="38" t="s">
        <v>926</v>
      </c>
      <c r="AF7" s="38" t="s">
        <v>926</v>
      </c>
      <c r="AG7" s="38"/>
      <c r="AH7" s="38"/>
      <c r="AI7" s="38"/>
      <c r="AJ7" s="38" t="s">
        <v>926</v>
      </c>
      <c r="AK7" s="38"/>
      <c r="AL7" s="38" t="s">
        <v>926</v>
      </c>
      <c r="AM7" s="38"/>
      <c r="AN7" s="55"/>
      <c r="AO7" s="38" t="s">
        <v>926</v>
      </c>
      <c r="AP7" s="44"/>
      <c r="AQ7" s="38"/>
      <c r="AR7" s="40" t="s">
        <v>926</v>
      </c>
      <c r="AS7" s="38" t="s">
        <v>926</v>
      </c>
      <c r="AT7" s="40"/>
    </row>
    <row r="8" spans="1:46" ht="51" x14ac:dyDescent="0.2">
      <c r="A8" s="52"/>
      <c r="B8" s="48" t="s">
        <v>935</v>
      </c>
      <c r="C8" s="33" t="s">
        <v>936</v>
      </c>
      <c r="D8" s="36"/>
      <c r="E8" s="37" t="s">
        <v>926</v>
      </c>
      <c r="F8" s="37"/>
      <c r="G8" s="37" t="s">
        <v>926</v>
      </c>
      <c r="H8" s="37" t="s">
        <v>926</v>
      </c>
      <c r="I8" s="37" t="s">
        <v>926</v>
      </c>
      <c r="J8" s="37" t="s">
        <v>926</v>
      </c>
      <c r="K8" s="37" t="s">
        <v>926</v>
      </c>
      <c r="L8" s="37"/>
      <c r="M8" s="37" t="s">
        <v>926</v>
      </c>
      <c r="N8" s="37" t="s">
        <v>926</v>
      </c>
      <c r="O8" s="56" t="s">
        <v>926</v>
      </c>
      <c r="P8" s="37" t="s">
        <v>926</v>
      </c>
      <c r="Q8" s="37" t="s">
        <v>926</v>
      </c>
      <c r="R8" s="37"/>
      <c r="S8" s="37"/>
      <c r="T8" s="37"/>
      <c r="U8" s="37" t="s">
        <v>926</v>
      </c>
      <c r="V8" s="37" t="s">
        <v>926</v>
      </c>
      <c r="W8" s="37" t="s">
        <v>926</v>
      </c>
      <c r="X8" s="37" t="s">
        <v>926</v>
      </c>
      <c r="Y8" s="37" t="s">
        <v>926</v>
      </c>
      <c r="Z8" s="37" t="s">
        <v>926</v>
      </c>
      <c r="AA8" s="37" t="s">
        <v>926</v>
      </c>
      <c r="AB8" s="37" t="s">
        <v>926</v>
      </c>
      <c r="AC8" s="37" t="s">
        <v>926</v>
      </c>
      <c r="AD8" s="37" t="s">
        <v>926</v>
      </c>
      <c r="AE8" s="37"/>
      <c r="AF8" s="37"/>
      <c r="AG8" s="37" t="s">
        <v>926</v>
      </c>
      <c r="AH8" s="37" t="s">
        <v>926</v>
      </c>
      <c r="AI8" s="37" t="s">
        <v>926</v>
      </c>
      <c r="AJ8" s="37"/>
      <c r="AK8" s="37" t="s">
        <v>926</v>
      </c>
      <c r="AL8" s="37"/>
      <c r="AM8" s="37" t="s">
        <v>926</v>
      </c>
      <c r="AN8" s="56" t="s">
        <v>926</v>
      </c>
      <c r="AO8" s="37"/>
      <c r="AP8" s="38" t="s">
        <v>926</v>
      </c>
      <c r="AQ8" s="37"/>
      <c r="AR8" s="51" t="s">
        <v>926</v>
      </c>
      <c r="AS8" s="37"/>
      <c r="AT8" s="51"/>
    </row>
    <row r="9" spans="1:46" ht="51" x14ac:dyDescent="0.2">
      <c r="A9" s="52"/>
      <c r="B9" s="52"/>
      <c r="C9" s="32" t="s">
        <v>937</v>
      </c>
      <c r="D9" s="50"/>
      <c r="E9" s="38"/>
      <c r="F9" s="38"/>
      <c r="G9" s="38"/>
      <c r="H9" s="38"/>
      <c r="I9" s="38"/>
      <c r="J9" s="38"/>
      <c r="K9" s="38"/>
      <c r="L9" s="38"/>
      <c r="M9" s="38"/>
      <c r="N9" s="38"/>
      <c r="O9" s="39"/>
      <c r="P9" s="40"/>
      <c r="Q9" s="35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55"/>
      <c r="AO9" s="38"/>
      <c r="AP9" s="38"/>
      <c r="AQ9" s="38"/>
      <c r="AR9" s="40"/>
      <c r="AS9" s="38"/>
      <c r="AT9" s="40"/>
    </row>
    <row r="10" spans="1:46" x14ac:dyDescent="0.2">
      <c r="A10" s="57"/>
      <c r="B10" s="57"/>
      <c r="C10" s="47" t="s">
        <v>938</v>
      </c>
      <c r="D10" s="44" t="s">
        <v>926</v>
      </c>
      <c r="E10" s="44"/>
      <c r="F10" s="44" t="s">
        <v>926</v>
      </c>
      <c r="G10" s="44"/>
      <c r="H10" s="44"/>
      <c r="I10" s="44"/>
      <c r="J10" s="44"/>
      <c r="K10" s="44"/>
      <c r="L10" s="44" t="s">
        <v>926</v>
      </c>
      <c r="M10" s="44"/>
      <c r="N10" s="44"/>
      <c r="O10" s="45"/>
      <c r="P10" s="46"/>
      <c r="Q10" s="47"/>
      <c r="R10" s="44" t="s">
        <v>926</v>
      </c>
      <c r="S10" s="44" t="s">
        <v>926</v>
      </c>
      <c r="T10" s="44" t="s">
        <v>926</v>
      </c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 t="s">
        <v>926</v>
      </c>
      <c r="AF10" s="44" t="s">
        <v>926</v>
      </c>
      <c r="AG10" s="44"/>
      <c r="AH10" s="44"/>
      <c r="AI10" s="44"/>
      <c r="AJ10" s="44" t="s">
        <v>926</v>
      </c>
      <c r="AK10" s="44"/>
      <c r="AL10" s="44" t="s">
        <v>926</v>
      </c>
      <c r="AM10" s="44"/>
      <c r="AN10" s="53"/>
      <c r="AO10" s="44" t="s">
        <v>926</v>
      </c>
      <c r="AP10" s="44"/>
      <c r="AQ10" s="44" t="s">
        <v>926</v>
      </c>
      <c r="AR10" s="46"/>
      <c r="AS10" s="44" t="s">
        <v>926</v>
      </c>
      <c r="AT10" s="44" t="s">
        <v>926</v>
      </c>
    </row>
    <row r="11" spans="1:46" x14ac:dyDescent="0.2">
      <c r="A11" s="58" t="s">
        <v>939</v>
      </c>
      <c r="B11" s="59"/>
      <c r="C11" s="60"/>
      <c r="D11" s="37">
        <v>2</v>
      </c>
      <c r="E11" s="37">
        <v>3</v>
      </c>
      <c r="F11" s="37">
        <v>2</v>
      </c>
      <c r="G11" s="37">
        <v>3</v>
      </c>
      <c r="H11" s="37">
        <v>2</v>
      </c>
      <c r="I11" s="37">
        <v>2</v>
      </c>
      <c r="J11" s="37">
        <v>3</v>
      </c>
      <c r="K11" s="37">
        <v>2</v>
      </c>
      <c r="L11" s="37">
        <v>2</v>
      </c>
      <c r="M11" s="56">
        <v>3</v>
      </c>
      <c r="N11" s="37">
        <v>4</v>
      </c>
      <c r="O11" s="51">
        <v>2</v>
      </c>
      <c r="P11" s="51">
        <v>2</v>
      </c>
      <c r="Q11" s="61">
        <v>2</v>
      </c>
      <c r="R11" s="37">
        <v>1</v>
      </c>
      <c r="S11" s="37">
        <v>1</v>
      </c>
      <c r="T11" s="37">
        <v>0</v>
      </c>
      <c r="U11" s="61">
        <v>3</v>
      </c>
      <c r="V11" s="61">
        <v>3</v>
      </c>
      <c r="W11" s="61">
        <v>3</v>
      </c>
      <c r="X11" s="61">
        <v>3</v>
      </c>
      <c r="Y11" s="61">
        <v>3</v>
      </c>
      <c r="Z11" s="37">
        <v>2</v>
      </c>
      <c r="AA11" s="37">
        <v>2</v>
      </c>
      <c r="AB11" s="61">
        <v>4</v>
      </c>
      <c r="AC11" s="37">
        <v>3</v>
      </c>
      <c r="AD11" s="61">
        <v>3</v>
      </c>
      <c r="AE11" s="37">
        <v>1</v>
      </c>
      <c r="AF11" s="61">
        <v>1</v>
      </c>
      <c r="AG11" s="37">
        <v>2</v>
      </c>
      <c r="AH11" s="61">
        <v>3</v>
      </c>
      <c r="AI11" s="37">
        <v>4</v>
      </c>
      <c r="AJ11" s="37">
        <v>0</v>
      </c>
      <c r="AK11" s="61">
        <v>3</v>
      </c>
      <c r="AL11" s="37">
        <v>1</v>
      </c>
      <c r="AM11" s="61">
        <v>2</v>
      </c>
      <c r="AN11" s="37">
        <v>4</v>
      </c>
      <c r="AO11" s="37">
        <v>1</v>
      </c>
      <c r="AP11" s="38">
        <v>2</v>
      </c>
      <c r="AQ11" s="38">
        <v>2</v>
      </c>
      <c r="AR11" s="38">
        <v>1</v>
      </c>
      <c r="AS11" s="37">
        <v>1</v>
      </c>
      <c r="AT11" s="37">
        <v>1</v>
      </c>
    </row>
    <row r="12" spans="1:46" x14ac:dyDescent="0.2">
      <c r="A12" s="62" t="s">
        <v>940</v>
      </c>
      <c r="B12" s="63"/>
      <c r="C12" s="64"/>
      <c r="D12" s="65" t="s">
        <v>813</v>
      </c>
      <c r="E12" s="65" t="s">
        <v>813</v>
      </c>
      <c r="F12" s="65" t="s">
        <v>813</v>
      </c>
      <c r="G12" s="65" t="s">
        <v>813</v>
      </c>
      <c r="H12" s="65" t="s">
        <v>813</v>
      </c>
      <c r="I12" s="65" t="s">
        <v>813</v>
      </c>
      <c r="J12" s="65" t="s">
        <v>813</v>
      </c>
      <c r="K12" s="65" t="s">
        <v>813</v>
      </c>
      <c r="L12" s="65" t="s">
        <v>813</v>
      </c>
      <c r="M12" s="65" t="s">
        <v>813</v>
      </c>
      <c r="N12" s="66" t="s">
        <v>814</v>
      </c>
      <c r="O12" s="65" t="s">
        <v>813</v>
      </c>
      <c r="P12" s="65" t="s">
        <v>813</v>
      </c>
      <c r="Q12" s="67" t="s">
        <v>813</v>
      </c>
      <c r="R12" s="67" t="s">
        <v>813</v>
      </c>
      <c r="S12" s="67" t="s">
        <v>813</v>
      </c>
      <c r="T12" s="68" t="s">
        <v>941</v>
      </c>
      <c r="U12" s="65" t="s">
        <v>813</v>
      </c>
      <c r="V12" s="65" t="s">
        <v>813</v>
      </c>
      <c r="W12" s="65" t="s">
        <v>813</v>
      </c>
      <c r="X12" s="65" t="s">
        <v>813</v>
      </c>
      <c r="Y12" s="65" t="s">
        <v>813</v>
      </c>
      <c r="Z12" s="65" t="s">
        <v>813</v>
      </c>
      <c r="AA12" s="65" t="s">
        <v>813</v>
      </c>
      <c r="AB12" s="69" t="s">
        <v>814</v>
      </c>
      <c r="AC12" s="65" t="s">
        <v>813</v>
      </c>
      <c r="AD12" s="65" t="s">
        <v>813</v>
      </c>
      <c r="AE12" s="65" t="s">
        <v>813</v>
      </c>
      <c r="AF12" s="65" t="s">
        <v>813</v>
      </c>
      <c r="AG12" s="65" t="s">
        <v>813</v>
      </c>
      <c r="AH12" s="65" t="s">
        <v>813</v>
      </c>
      <c r="AI12" s="66" t="s">
        <v>814</v>
      </c>
      <c r="AJ12" s="68" t="s">
        <v>941</v>
      </c>
      <c r="AK12" s="65" t="s">
        <v>813</v>
      </c>
      <c r="AL12" s="65" t="s">
        <v>813</v>
      </c>
      <c r="AM12" s="67" t="s">
        <v>813</v>
      </c>
      <c r="AN12" s="66" t="s">
        <v>814</v>
      </c>
      <c r="AO12" s="65" t="s">
        <v>813</v>
      </c>
      <c r="AP12" s="65" t="s">
        <v>813</v>
      </c>
      <c r="AQ12" s="65" t="s">
        <v>813</v>
      </c>
      <c r="AR12" s="65" t="s">
        <v>813</v>
      </c>
      <c r="AS12" s="65" t="s">
        <v>813</v>
      </c>
      <c r="AT12" s="65" t="s">
        <v>813</v>
      </c>
    </row>
  </sheetData>
  <mergeCells count="8">
    <mergeCell ref="A11:C11"/>
    <mergeCell ref="A12:C12"/>
    <mergeCell ref="A2:A3"/>
    <mergeCell ref="B2:B3"/>
    <mergeCell ref="A4:A10"/>
    <mergeCell ref="B4:B5"/>
    <mergeCell ref="B6:B7"/>
    <mergeCell ref="B8:B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1852-1FB5-074E-BFCA-5550F807FD42}">
  <dimension ref="A1:Y104"/>
  <sheetViews>
    <sheetView tabSelected="1" topLeftCell="M1" workbookViewId="0">
      <pane ySplit="1" topLeftCell="A2" activePane="bottomLeft" state="frozen"/>
      <selection pane="bottomLeft" activeCell="AC12" sqref="AC12"/>
    </sheetView>
  </sheetViews>
  <sheetFormatPr baseColWidth="10" defaultRowHeight="16" x14ac:dyDescent="0.2"/>
  <cols>
    <col min="2" max="2" width="22.33203125" customWidth="1"/>
    <col min="3" max="3" width="12.1640625" customWidth="1"/>
    <col min="4" max="4" width="15.5" customWidth="1"/>
    <col min="5" max="5" width="14.5" customWidth="1"/>
    <col min="7" max="7" width="10.33203125" customWidth="1"/>
    <col min="10" max="10" width="12.83203125" customWidth="1"/>
    <col min="12" max="12" width="17.83203125" customWidth="1"/>
    <col min="15" max="15" width="16.83203125" customWidth="1"/>
    <col min="16" max="16" width="11.33203125" customWidth="1"/>
    <col min="17" max="20" width="12.5" customWidth="1"/>
    <col min="21" max="22" width="12.1640625" customWidth="1"/>
    <col min="25" max="25" width="14.33203125" customWidth="1"/>
    <col min="26" max="26" width="10.1640625" customWidth="1"/>
  </cols>
  <sheetData>
    <row r="1" spans="1:25" x14ac:dyDescent="0.2">
      <c r="A1" s="2" t="s">
        <v>698</v>
      </c>
      <c r="B1" s="2" t="s">
        <v>699</v>
      </c>
      <c r="C1" s="2" t="s">
        <v>817</v>
      </c>
      <c r="D1" s="2" t="s">
        <v>700</v>
      </c>
      <c r="E1" s="2" t="s">
        <v>701</v>
      </c>
      <c r="F1" s="2" t="s">
        <v>702</v>
      </c>
      <c r="G1" s="2" t="s">
        <v>703</v>
      </c>
      <c r="H1" s="2" t="s">
        <v>704</v>
      </c>
      <c r="I1" s="2" t="s">
        <v>705</v>
      </c>
      <c r="J1" s="2" t="s">
        <v>706</v>
      </c>
      <c r="K1" s="2" t="s">
        <v>707</v>
      </c>
      <c r="L1" s="2" t="s">
        <v>708</v>
      </c>
      <c r="M1" s="2" t="s">
        <v>709</v>
      </c>
      <c r="N1" s="2" t="s">
        <v>710</v>
      </c>
      <c r="O1" s="2" t="s">
        <v>711</v>
      </c>
      <c r="P1" s="2" t="s">
        <v>712</v>
      </c>
      <c r="Q1" s="2" t="s">
        <v>713</v>
      </c>
      <c r="R1" s="2" t="s">
        <v>714</v>
      </c>
      <c r="S1" s="2" t="s">
        <v>994</v>
      </c>
      <c r="T1" s="2" t="s">
        <v>715</v>
      </c>
      <c r="U1" s="2" t="s">
        <v>716</v>
      </c>
      <c r="V1" s="2" t="s">
        <v>717</v>
      </c>
      <c r="W1" s="2" t="s">
        <v>718</v>
      </c>
      <c r="X1" s="2" t="s">
        <v>719</v>
      </c>
      <c r="Y1" s="2" t="s">
        <v>946</v>
      </c>
    </row>
    <row r="2" spans="1:25" x14ac:dyDescent="0.2">
      <c r="A2">
        <v>25</v>
      </c>
      <c r="B2" t="s">
        <v>972</v>
      </c>
      <c r="C2" t="s">
        <v>116</v>
      </c>
      <c r="D2">
        <v>2011</v>
      </c>
      <c r="E2" t="s">
        <v>683</v>
      </c>
      <c r="F2" t="s">
        <v>720</v>
      </c>
      <c r="G2" t="s">
        <v>113</v>
      </c>
      <c r="H2" t="s">
        <v>46</v>
      </c>
      <c r="I2" t="s">
        <v>721</v>
      </c>
      <c r="J2">
        <v>17.399999999999999</v>
      </c>
      <c r="K2">
        <v>7.76</v>
      </c>
      <c r="L2">
        <v>4</v>
      </c>
      <c r="M2">
        <v>18.18</v>
      </c>
      <c r="N2">
        <v>22.15</v>
      </c>
      <c r="O2">
        <v>4</v>
      </c>
      <c r="P2">
        <v>43.284669999999998</v>
      </c>
      <c r="Q2">
        <v>13.5</v>
      </c>
      <c r="S2" t="s">
        <v>722</v>
      </c>
      <c r="T2" t="s">
        <v>676</v>
      </c>
      <c r="U2" t="s">
        <v>14</v>
      </c>
      <c r="V2">
        <v>2</v>
      </c>
      <c r="W2" t="s">
        <v>728</v>
      </c>
      <c r="X2" t="s">
        <v>115</v>
      </c>
      <c r="Y2" t="s">
        <v>726</v>
      </c>
    </row>
    <row r="3" spans="1:25" x14ac:dyDescent="0.2">
      <c r="A3">
        <v>30</v>
      </c>
      <c r="B3" t="s">
        <v>913</v>
      </c>
      <c r="C3" t="s">
        <v>218</v>
      </c>
      <c r="D3">
        <v>2008</v>
      </c>
      <c r="E3" t="s">
        <v>683</v>
      </c>
      <c r="F3" t="s">
        <v>727</v>
      </c>
      <c r="G3" t="s">
        <v>24</v>
      </c>
      <c r="H3" t="s">
        <v>46</v>
      </c>
      <c r="J3">
        <v>0.88</v>
      </c>
      <c r="K3">
        <v>0.21</v>
      </c>
      <c r="L3">
        <v>3</v>
      </c>
      <c r="M3">
        <v>17.14</v>
      </c>
      <c r="N3">
        <v>1.07</v>
      </c>
      <c r="O3">
        <v>3</v>
      </c>
      <c r="P3">
        <v>42.248212000000002</v>
      </c>
      <c r="Q3">
        <v>21</v>
      </c>
      <c r="R3">
        <v>5.23</v>
      </c>
      <c r="S3" t="s">
        <v>734</v>
      </c>
      <c r="T3" t="s">
        <v>676</v>
      </c>
      <c r="U3" t="s">
        <v>14</v>
      </c>
      <c r="V3">
        <v>4</v>
      </c>
      <c r="W3" t="s">
        <v>735</v>
      </c>
      <c r="X3" t="s">
        <v>735</v>
      </c>
      <c r="Y3" t="s">
        <v>726</v>
      </c>
    </row>
    <row r="4" spans="1:25" x14ac:dyDescent="0.2">
      <c r="A4">
        <v>28</v>
      </c>
      <c r="B4" t="s">
        <v>911</v>
      </c>
      <c r="C4" t="s">
        <v>849</v>
      </c>
      <c r="D4">
        <v>2017</v>
      </c>
      <c r="E4" t="s">
        <v>683</v>
      </c>
      <c r="F4" t="s">
        <v>720</v>
      </c>
      <c r="G4" t="s">
        <v>41</v>
      </c>
      <c r="H4" t="s">
        <v>46</v>
      </c>
      <c r="I4" t="s">
        <v>741</v>
      </c>
      <c r="J4">
        <v>0.17</v>
      </c>
      <c r="K4">
        <v>0.18</v>
      </c>
      <c r="L4">
        <v>3</v>
      </c>
      <c r="M4">
        <v>31.03</v>
      </c>
      <c r="N4">
        <v>13.83</v>
      </c>
      <c r="O4">
        <v>8</v>
      </c>
      <c r="P4">
        <v>56.017783999999999</v>
      </c>
      <c r="Q4">
        <v>30</v>
      </c>
      <c r="R4">
        <v>20</v>
      </c>
      <c r="S4" t="s">
        <v>734</v>
      </c>
      <c r="T4" t="s">
        <v>676</v>
      </c>
      <c r="U4" t="s">
        <v>2</v>
      </c>
      <c r="V4">
        <v>8</v>
      </c>
      <c r="W4" s="1" t="s">
        <v>724</v>
      </c>
      <c r="X4" t="s">
        <v>739</v>
      </c>
      <c r="Y4" t="s">
        <v>726</v>
      </c>
    </row>
    <row r="5" spans="1:25" x14ac:dyDescent="0.2">
      <c r="A5">
        <v>28</v>
      </c>
      <c r="B5" t="s">
        <v>911</v>
      </c>
      <c r="C5" t="s">
        <v>850</v>
      </c>
      <c r="D5">
        <v>2017</v>
      </c>
      <c r="E5" t="s">
        <v>683</v>
      </c>
      <c r="F5" t="s">
        <v>720</v>
      </c>
      <c r="G5" t="s">
        <v>41</v>
      </c>
      <c r="H5" t="s">
        <v>46</v>
      </c>
      <c r="I5" t="s">
        <v>574</v>
      </c>
      <c r="J5">
        <v>0.78</v>
      </c>
      <c r="K5">
        <v>0.41</v>
      </c>
      <c r="L5">
        <v>3</v>
      </c>
      <c r="M5">
        <v>1.51</v>
      </c>
      <c r="N5">
        <v>0.33</v>
      </c>
      <c r="O5">
        <v>8</v>
      </c>
      <c r="P5">
        <v>56.017783999999999</v>
      </c>
      <c r="Q5">
        <v>30</v>
      </c>
      <c r="R5">
        <v>20</v>
      </c>
      <c r="S5" t="s">
        <v>734</v>
      </c>
      <c r="T5" t="s">
        <v>676</v>
      </c>
      <c r="U5" t="s">
        <v>2</v>
      </c>
      <c r="V5">
        <v>8</v>
      </c>
      <c r="W5" s="1" t="s">
        <v>724</v>
      </c>
      <c r="X5" t="s">
        <v>739</v>
      </c>
      <c r="Y5" t="s">
        <v>726</v>
      </c>
    </row>
    <row r="6" spans="1:25" x14ac:dyDescent="0.2">
      <c r="A6">
        <v>28</v>
      </c>
      <c r="B6" t="s">
        <v>911</v>
      </c>
      <c r="C6" t="s">
        <v>868</v>
      </c>
      <c r="D6">
        <v>2017</v>
      </c>
      <c r="E6" t="s">
        <v>683</v>
      </c>
      <c r="F6" t="s">
        <v>720</v>
      </c>
      <c r="G6" t="s">
        <v>41</v>
      </c>
      <c r="H6" t="s">
        <v>46</v>
      </c>
      <c r="I6" t="s">
        <v>741</v>
      </c>
      <c r="J6">
        <v>6.31</v>
      </c>
      <c r="K6">
        <v>5.38</v>
      </c>
      <c r="L6">
        <v>9</v>
      </c>
      <c r="M6">
        <v>33.58</v>
      </c>
      <c r="N6">
        <v>14.86</v>
      </c>
      <c r="O6">
        <v>7</v>
      </c>
      <c r="P6">
        <v>56.017783999999999</v>
      </c>
      <c r="Q6">
        <v>30</v>
      </c>
      <c r="R6">
        <v>20</v>
      </c>
      <c r="S6" t="s">
        <v>734</v>
      </c>
      <c r="T6" t="s">
        <v>676</v>
      </c>
      <c r="U6" t="s">
        <v>2</v>
      </c>
      <c r="V6">
        <v>8</v>
      </c>
      <c r="W6" s="1" t="s">
        <v>724</v>
      </c>
      <c r="X6" t="s">
        <v>739</v>
      </c>
      <c r="Y6" t="s">
        <v>726</v>
      </c>
    </row>
    <row r="7" spans="1:25" x14ac:dyDescent="0.2">
      <c r="A7">
        <v>28</v>
      </c>
      <c r="B7" t="s">
        <v>911</v>
      </c>
      <c r="C7" t="s">
        <v>869</v>
      </c>
      <c r="D7">
        <v>2017</v>
      </c>
      <c r="E7" t="s">
        <v>683</v>
      </c>
      <c r="F7" t="s">
        <v>720</v>
      </c>
      <c r="G7" t="s">
        <v>41</v>
      </c>
      <c r="H7" t="s">
        <v>46</v>
      </c>
      <c r="I7" t="s">
        <v>574</v>
      </c>
      <c r="J7">
        <v>1.68</v>
      </c>
      <c r="K7">
        <v>0.86</v>
      </c>
      <c r="L7">
        <v>9</v>
      </c>
      <c r="M7">
        <v>2.31</v>
      </c>
      <c r="N7">
        <v>1.1299999999999999</v>
      </c>
      <c r="O7">
        <v>7</v>
      </c>
      <c r="P7">
        <v>56.017783999999999</v>
      </c>
      <c r="Q7">
        <v>30</v>
      </c>
      <c r="R7">
        <v>20</v>
      </c>
      <c r="S7" t="s">
        <v>734</v>
      </c>
      <c r="T7" t="s">
        <v>676</v>
      </c>
      <c r="U7" t="s">
        <v>2</v>
      </c>
      <c r="V7">
        <v>8</v>
      </c>
      <c r="W7" s="1" t="s">
        <v>724</v>
      </c>
      <c r="X7" t="s">
        <v>739</v>
      </c>
      <c r="Y7" t="s">
        <v>726</v>
      </c>
    </row>
    <row r="8" spans="1:25" x14ac:dyDescent="0.2">
      <c r="A8">
        <v>15</v>
      </c>
      <c r="B8" t="s">
        <v>969</v>
      </c>
      <c r="C8" t="s">
        <v>849</v>
      </c>
      <c r="D8" t="s">
        <v>880</v>
      </c>
      <c r="E8" t="s">
        <v>684</v>
      </c>
      <c r="F8" t="s">
        <v>720</v>
      </c>
      <c r="G8" t="s">
        <v>41</v>
      </c>
      <c r="H8" t="s">
        <v>43</v>
      </c>
      <c r="I8" t="s">
        <v>137</v>
      </c>
      <c r="J8">
        <v>0</v>
      </c>
      <c r="K8">
        <v>0</v>
      </c>
      <c r="L8">
        <v>1</v>
      </c>
      <c r="M8">
        <v>108</v>
      </c>
      <c r="N8">
        <v>0.51</v>
      </c>
      <c r="O8">
        <v>1</v>
      </c>
      <c r="P8">
        <v>56.360453</v>
      </c>
      <c r="Q8" t="s">
        <v>730</v>
      </c>
      <c r="R8" t="s">
        <v>730</v>
      </c>
      <c r="S8" t="s">
        <v>734</v>
      </c>
      <c r="T8" t="s">
        <v>676</v>
      </c>
      <c r="U8" t="s">
        <v>2</v>
      </c>
      <c r="V8" t="s">
        <v>730</v>
      </c>
      <c r="W8" t="s">
        <v>724</v>
      </c>
      <c r="X8" t="s">
        <v>739</v>
      </c>
      <c r="Y8" t="s">
        <v>726</v>
      </c>
    </row>
    <row r="9" spans="1:25" x14ac:dyDescent="0.2">
      <c r="A9">
        <v>15</v>
      </c>
      <c r="B9" t="s">
        <v>969</v>
      </c>
      <c r="C9" t="s">
        <v>850</v>
      </c>
      <c r="D9" t="s">
        <v>880</v>
      </c>
      <c r="E9" t="s">
        <v>684</v>
      </c>
      <c r="F9" t="s">
        <v>720</v>
      </c>
      <c r="G9" t="s">
        <v>41</v>
      </c>
      <c r="H9" t="s">
        <v>43</v>
      </c>
      <c r="I9" t="s">
        <v>574</v>
      </c>
      <c r="J9">
        <v>3</v>
      </c>
      <c r="K9">
        <v>0.21</v>
      </c>
      <c r="L9">
        <v>1</v>
      </c>
      <c r="M9">
        <v>21</v>
      </c>
      <c r="N9">
        <v>0.26</v>
      </c>
      <c r="O9">
        <v>1</v>
      </c>
      <c r="P9">
        <v>56.360453</v>
      </c>
      <c r="Q9" t="s">
        <v>730</v>
      </c>
      <c r="R9" t="s">
        <v>730</v>
      </c>
      <c r="S9" t="s">
        <v>734</v>
      </c>
      <c r="T9" t="s">
        <v>676</v>
      </c>
      <c r="U9" t="s">
        <v>2</v>
      </c>
      <c r="V9" t="s">
        <v>730</v>
      </c>
      <c r="W9" t="s">
        <v>724</v>
      </c>
      <c r="X9" t="s">
        <v>739</v>
      </c>
      <c r="Y9" t="s">
        <v>726</v>
      </c>
    </row>
    <row r="10" spans="1:25" x14ac:dyDescent="0.2">
      <c r="A10">
        <v>15</v>
      </c>
      <c r="B10" t="s">
        <v>969</v>
      </c>
      <c r="C10" t="s">
        <v>849</v>
      </c>
      <c r="D10" t="s">
        <v>880</v>
      </c>
      <c r="E10" t="s">
        <v>684</v>
      </c>
      <c r="F10" t="s">
        <v>720</v>
      </c>
      <c r="G10" t="s">
        <v>41</v>
      </c>
      <c r="H10" t="s">
        <v>46</v>
      </c>
      <c r="I10" t="s">
        <v>137</v>
      </c>
      <c r="J10">
        <v>16.399999999999999</v>
      </c>
      <c r="K10">
        <v>2.78</v>
      </c>
      <c r="L10">
        <v>5</v>
      </c>
      <c r="M10">
        <v>67.48</v>
      </c>
      <c r="N10">
        <v>3.62</v>
      </c>
      <c r="O10">
        <v>5</v>
      </c>
      <c r="P10">
        <v>55.684987999999997</v>
      </c>
      <c r="Q10" t="s">
        <v>730</v>
      </c>
      <c r="R10" t="s">
        <v>730</v>
      </c>
      <c r="S10" t="s">
        <v>734</v>
      </c>
      <c r="T10" t="s">
        <v>676</v>
      </c>
      <c r="U10" t="s">
        <v>2</v>
      </c>
      <c r="V10" t="s">
        <v>730</v>
      </c>
      <c r="W10" t="s">
        <v>724</v>
      </c>
      <c r="X10" t="s">
        <v>739</v>
      </c>
      <c r="Y10" t="s">
        <v>726</v>
      </c>
    </row>
    <row r="11" spans="1:25" x14ac:dyDescent="0.2">
      <c r="A11">
        <v>15</v>
      </c>
      <c r="B11" t="s">
        <v>969</v>
      </c>
      <c r="C11" t="s">
        <v>850</v>
      </c>
      <c r="D11" t="s">
        <v>880</v>
      </c>
      <c r="E11" t="s">
        <v>684</v>
      </c>
      <c r="F11" t="s">
        <v>720</v>
      </c>
      <c r="G11" t="s">
        <v>41</v>
      </c>
      <c r="H11" t="s">
        <v>46</v>
      </c>
      <c r="I11" t="s">
        <v>574</v>
      </c>
      <c r="J11">
        <v>15.66</v>
      </c>
      <c r="K11">
        <v>1.55</v>
      </c>
      <c r="L11">
        <v>5</v>
      </c>
      <c r="M11">
        <v>18.899999999999999</v>
      </c>
      <c r="N11">
        <v>16.579999999999998</v>
      </c>
      <c r="O11">
        <v>5</v>
      </c>
      <c r="P11">
        <v>55.684987999999997</v>
      </c>
      <c r="Q11" t="s">
        <v>730</v>
      </c>
      <c r="R11" t="s">
        <v>730</v>
      </c>
      <c r="S11" t="s">
        <v>734</v>
      </c>
      <c r="T11" t="s">
        <v>676</v>
      </c>
      <c r="U11" t="s">
        <v>2</v>
      </c>
      <c r="V11" t="s">
        <v>730</v>
      </c>
      <c r="W11" t="s">
        <v>724</v>
      </c>
      <c r="X11" t="s">
        <v>739</v>
      </c>
      <c r="Y11" t="s">
        <v>726</v>
      </c>
    </row>
    <row r="12" spans="1:25" x14ac:dyDescent="0.2">
      <c r="A12">
        <v>35</v>
      </c>
      <c r="B12" t="s">
        <v>981</v>
      </c>
      <c r="C12" t="s">
        <v>849</v>
      </c>
      <c r="D12" t="s">
        <v>881</v>
      </c>
      <c r="E12" t="s">
        <v>683</v>
      </c>
      <c r="F12" t="s">
        <v>720</v>
      </c>
      <c r="G12" t="s">
        <v>41</v>
      </c>
      <c r="H12" t="s">
        <v>46</v>
      </c>
      <c r="I12" t="s">
        <v>741</v>
      </c>
      <c r="J12">
        <v>-34.5</v>
      </c>
      <c r="K12">
        <v>40.799999999999997</v>
      </c>
      <c r="L12">
        <v>7</v>
      </c>
      <c r="M12">
        <v>101.67</v>
      </c>
      <c r="N12">
        <v>66.489999999999995</v>
      </c>
      <c r="O12">
        <v>20</v>
      </c>
      <c r="P12">
        <v>55.537112999999998</v>
      </c>
      <c r="S12" t="s">
        <v>722</v>
      </c>
      <c r="T12" t="s">
        <v>723</v>
      </c>
      <c r="U12" t="s">
        <v>14</v>
      </c>
      <c r="V12">
        <v>9</v>
      </c>
      <c r="W12" s="1" t="s">
        <v>724</v>
      </c>
      <c r="X12" t="s">
        <v>739</v>
      </c>
      <c r="Y12" t="s">
        <v>726</v>
      </c>
    </row>
    <row r="13" spans="1:25" x14ac:dyDescent="0.2">
      <c r="A13">
        <v>35</v>
      </c>
      <c r="B13" t="s">
        <v>981</v>
      </c>
      <c r="C13" t="s">
        <v>850</v>
      </c>
      <c r="D13" t="s">
        <v>881</v>
      </c>
      <c r="E13" t="s">
        <v>683</v>
      </c>
      <c r="F13" t="s">
        <v>720</v>
      </c>
      <c r="G13" t="s">
        <v>41</v>
      </c>
      <c r="H13" t="s">
        <v>46</v>
      </c>
      <c r="I13" t="s">
        <v>574</v>
      </c>
      <c r="J13">
        <v>-11.83</v>
      </c>
      <c r="K13">
        <v>19.43</v>
      </c>
      <c r="L13">
        <v>7</v>
      </c>
      <c r="M13">
        <v>-1.76</v>
      </c>
      <c r="N13">
        <v>17.03</v>
      </c>
      <c r="O13">
        <v>21</v>
      </c>
      <c r="P13">
        <v>55.537112999999998</v>
      </c>
      <c r="S13" t="s">
        <v>722</v>
      </c>
      <c r="T13" t="s">
        <v>723</v>
      </c>
      <c r="U13" t="s">
        <v>14</v>
      </c>
      <c r="V13">
        <v>9</v>
      </c>
      <c r="W13" s="1" t="s">
        <v>724</v>
      </c>
      <c r="X13" t="s">
        <v>739</v>
      </c>
      <c r="Y13" t="s">
        <v>726</v>
      </c>
    </row>
    <row r="14" spans="1:25" x14ac:dyDescent="0.2">
      <c r="A14">
        <v>26</v>
      </c>
      <c r="B14" t="s">
        <v>973</v>
      </c>
      <c r="C14" t="s">
        <v>143</v>
      </c>
      <c r="D14">
        <v>2018</v>
      </c>
      <c r="E14" t="s">
        <v>683</v>
      </c>
      <c r="F14" t="s">
        <v>720</v>
      </c>
      <c r="G14" t="s">
        <v>144</v>
      </c>
      <c r="H14" t="s">
        <v>46</v>
      </c>
      <c r="J14">
        <v>-5.05</v>
      </c>
      <c r="K14">
        <v>0.48</v>
      </c>
      <c r="L14">
        <v>1</v>
      </c>
      <c r="M14">
        <v>-0.36</v>
      </c>
      <c r="N14">
        <v>0.16</v>
      </c>
      <c r="O14">
        <v>1</v>
      </c>
      <c r="P14">
        <v>52.882151999999998</v>
      </c>
      <c r="Q14">
        <v>34</v>
      </c>
      <c r="S14" t="s">
        <v>722</v>
      </c>
      <c r="T14" t="s">
        <v>723</v>
      </c>
      <c r="U14" t="s">
        <v>14</v>
      </c>
      <c r="V14">
        <v>4</v>
      </c>
      <c r="W14" t="s">
        <v>735</v>
      </c>
      <c r="X14" t="s">
        <v>736</v>
      </c>
      <c r="Y14" t="s">
        <v>726</v>
      </c>
    </row>
    <row r="15" spans="1:25" x14ac:dyDescent="0.2">
      <c r="A15">
        <v>40</v>
      </c>
      <c r="B15" t="s">
        <v>983</v>
      </c>
      <c r="D15">
        <v>1992</v>
      </c>
      <c r="E15" t="s">
        <v>683</v>
      </c>
      <c r="F15" t="s">
        <v>720</v>
      </c>
      <c r="G15" t="s">
        <v>135</v>
      </c>
      <c r="H15" t="s">
        <v>43</v>
      </c>
      <c r="I15" t="s">
        <v>574</v>
      </c>
      <c r="J15">
        <v>56.97</v>
      </c>
      <c r="K15">
        <v>62.65</v>
      </c>
      <c r="L15">
        <v>3</v>
      </c>
      <c r="M15">
        <v>181.86</v>
      </c>
      <c r="N15">
        <v>54.97</v>
      </c>
      <c r="O15">
        <v>3</v>
      </c>
      <c r="P15">
        <v>57.033203999999998</v>
      </c>
      <c r="Q15">
        <v>28</v>
      </c>
      <c r="R15">
        <v>5.0999999999999996</v>
      </c>
      <c r="S15" t="s">
        <v>734</v>
      </c>
      <c r="T15" t="s">
        <v>676</v>
      </c>
      <c r="U15" t="s">
        <v>2</v>
      </c>
      <c r="V15">
        <v>11</v>
      </c>
      <c r="W15" t="s">
        <v>27</v>
      </c>
      <c r="X15" t="s">
        <v>27</v>
      </c>
      <c r="Y15" t="s">
        <v>732</v>
      </c>
    </row>
    <row r="16" spans="1:25" x14ac:dyDescent="0.2">
      <c r="A16">
        <v>1</v>
      </c>
      <c r="B16" t="s">
        <v>949</v>
      </c>
      <c r="C16" t="s">
        <v>360</v>
      </c>
      <c r="D16">
        <v>2017</v>
      </c>
      <c r="E16" t="s">
        <v>683</v>
      </c>
      <c r="F16" t="s">
        <v>720</v>
      </c>
      <c r="G16" t="s">
        <v>16</v>
      </c>
      <c r="H16" t="s">
        <v>43</v>
      </c>
      <c r="I16" t="s">
        <v>243</v>
      </c>
      <c r="J16">
        <v>1.51</v>
      </c>
      <c r="K16">
        <v>2.44</v>
      </c>
      <c r="L16">
        <v>3</v>
      </c>
      <c r="M16">
        <v>4.18</v>
      </c>
      <c r="N16">
        <v>2.1800000000000002</v>
      </c>
      <c r="O16">
        <v>3</v>
      </c>
      <c r="P16">
        <v>70.036709999999999</v>
      </c>
      <c r="Q16">
        <v>50</v>
      </c>
      <c r="R16">
        <v>2</v>
      </c>
      <c r="S16" t="s">
        <v>722</v>
      </c>
      <c r="T16" t="s">
        <v>723</v>
      </c>
      <c r="U16" t="s">
        <v>2</v>
      </c>
      <c r="V16">
        <v>7.5</v>
      </c>
      <c r="W16" t="s">
        <v>724</v>
      </c>
      <c r="X16" t="s">
        <v>725</v>
      </c>
      <c r="Y16" t="s">
        <v>726</v>
      </c>
    </row>
    <row r="17" spans="1:25" x14ac:dyDescent="0.2">
      <c r="A17">
        <v>1</v>
      </c>
      <c r="B17" t="s">
        <v>949</v>
      </c>
      <c r="C17" t="s">
        <v>360</v>
      </c>
      <c r="D17">
        <v>2017</v>
      </c>
      <c r="E17" t="s">
        <v>683</v>
      </c>
      <c r="F17" t="s">
        <v>720</v>
      </c>
      <c r="G17" t="s">
        <v>16</v>
      </c>
      <c r="H17" t="s">
        <v>43</v>
      </c>
      <c r="I17" t="s">
        <v>243</v>
      </c>
      <c r="J17">
        <v>0</v>
      </c>
      <c r="K17">
        <v>0</v>
      </c>
      <c r="L17">
        <v>2</v>
      </c>
      <c r="M17">
        <v>73.88</v>
      </c>
      <c r="N17">
        <v>80.430000000000007</v>
      </c>
      <c r="O17">
        <v>2</v>
      </c>
      <c r="P17">
        <v>69.925970000000007</v>
      </c>
      <c r="Q17">
        <v>50</v>
      </c>
      <c r="R17">
        <v>2</v>
      </c>
      <c r="S17" t="s">
        <v>722</v>
      </c>
      <c r="T17" t="s">
        <v>723</v>
      </c>
      <c r="U17" t="s">
        <v>2</v>
      </c>
      <c r="V17">
        <v>10</v>
      </c>
      <c r="W17" t="s">
        <v>724</v>
      </c>
      <c r="X17" t="s">
        <v>725</v>
      </c>
      <c r="Y17" t="s">
        <v>726</v>
      </c>
    </row>
    <row r="18" spans="1:25" x14ac:dyDescent="0.2">
      <c r="A18">
        <v>1</v>
      </c>
      <c r="B18" t="s">
        <v>949</v>
      </c>
      <c r="C18" t="s">
        <v>360</v>
      </c>
      <c r="D18">
        <v>2017</v>
      </c>
      <c r="E18" t="s">
        <v>683</v>
      </c>
      <c r="F18" t="s">
        <v>720</v>
      </c>
      <c r="G18" t="s">
        <v>16</v>
      </c>
      <c r="H18" t="s">
        <v>43</v>
      </c>
      <c r="I18" t="s">
        <v>243</v>
      </c>
      <c r="J18">
        <v>0.25</v>
      </c>
      <c r="K18">
        <v>0.35</v>
      </c>
      <c r="L18">
        <v>2</v>
      </c>
      <c r="M18">
        <v>7.38</v>
      </c>
      <c r="N18">
        <v>8.31</v>
      </c>
      <c r="O18">
        <v>2</v>
      </c>
      <c r="P18">
        <v>69.97251</v>
      </c>
      <c r="Q18">
        <v>50</v>
      </c>
      <c r="R18">
        <v>2</v>
      </c>
      <c r="S18" t="s">
        <v>722</v>
      </c>
      <c r="T18" t="s">
        <v>723</v>
      </c>
      <c r="U18" t="s">
        <v>2</v>
      </c>
      <c r="V18">
        <v>9</v>
      </c>
      <c r="W18" t="s">
        <v>724</v>
      </c>
      <c r="X18" t="s">
        <v>725</v>
      </c>
      <c r="Y18" t="s">
        <v>726</v>
      </c>
    </row>
    <row r="19" spans="1:25" x14ac:dyDescent="0.2">
      <c r="A19">
        <v>4</v>
      </c>
      <c r="B19" t="s">
        <v>955</v>
      </c>
      <c r="C19" t="s">
        <v>158</v>
      </c>
      <c r="D19">
        <v>2012</v>
      </c>
      <c r="E19" t="s">
        <v>683</v>
      </c>
      <c r="F19" t="s">
        <v>720</v>
      </c>
      <c r="G19" t="s">
        <v>16</v>
      </c>
      <c r="H19" t="s">
        <v>43</v>
      </c>
      <c r="I19" t="s">
        <v>243</v>
      </c>
      <c r="J19">
        <v>0.57999999999999996</v>
      </c>
      <c r="K19">
        <v>3.69</v>
      </c>
      <c r="L19">
        <v>2</v>
      </c>
      <c r="M19">
        <v>26.25</v>
      </c>
      <c r="N19">
        <v>1.27</v>
      </c>
      <c r="O19">
        <v>2</v>
      </c>
      <c r="P19">
        <v>58.408068999999998</v>
      </c>
      <c r="Q19">
        <v>40</v>
      </c>
      <c r="R19">
        <v>16</v>
      </c>
      <c r="S19" t="s">
        <v>722</v>
      </c>
      <c r="T19" t="s">
        <v>676</v>
      </c>
      <c r="U19" t="s">
        <v>14</v>
      </c>
      <c r="V19">
        <v>5</v>
      </c>
      <c r="W19" t="s">
        <v>724</v>
      </c>
      <c r="X19" t="s">
        <v>160</v>
      </c>
      <c r="Y19" t="s">
        <v>726</v>
      </c>
    </row>
    <row r="20" spans="1:25" x14ac:dyDescent="0.2">
      <c r="A20">
        <v>6</v>
      </c>
      <c r="B20" t="s">
        <v>958</v>
      </c>
      <c r="C20" t="s">
        <v>827</v>
      </c>
      <c r="D20">
        <v>2009</v>
      </c>
      <c r="E20" t="s">
        <v>683</v>
      </c>
      <c r="F20" t="s">
        <v>727</v>
      </c>
      <c r="G20" t="s">
        <v>12</v>
      </c>
      <c r="H20" t="s">
        <v>43</v>
      </c>
      <c r="I20" t="s">
        <v>137</v>
      </c>
      <c r="J20">
        <v>45</v>
      </c>
      <c r="K20">
        <v>33.54</v>
      </c>
      <c r="L20">
        <v>1</v>
      </c>
      <c r="M20">
        <v>150</v>
      </c>
      <c r="N20">
        <v>55.9</v>
      </c>
      <c r="O20">
        <v>1</v>
      </c>
      <c r="P20">
        <v>45.612499999999997</v>
      </c>
      <c r="Q20">
        <v>16</v>
      </c>
      <c r="R20">
        <v>7</v>
      </c>
      <c r="S20" t="s">
        <v>734</v>
      </c>
      <c r="T20" t="s">
        <v>723</v>
      </c>
      <c r="U20" t="s">
        <v>14</v>
      </c>
      <c r="V20">
        <v>1</v>
      </c>
      <c r="W20" t="s">
        <v>728</v>
      </c>
      <c r="X20" t="s">
        <v>115</v>
      </c>
      <c r="Y20" t="s">
        <v>726</v>
      </c>
    </row>
    <row r="21" spans="1:25" x14ac:dyDescent="0.2">
      <c r="A21">
        <v>6</v>
      </c>
      <c r="B21" t="s">
        <v>958</v>
      </c>
      <c r="C21" t="s">
        <v>828</v>
      </c>
      <c r="D21">
        <v>2009</v>
      </c>
      <c r="E21" t="s">
        <v>683</v>
      </c>
      <c r="F21" t="s">
        <v>727</v>
      </c>
      <c r="G21" t="s">
        <v>12</v>
      </c>
      <c r="H21" t="s">
        <v>43</v>
      </c>
      <c r="I21" t="s">
        <v>686</v>
      </c>
      <c r="J21">
        <v>0</v>
      </c>
      <c r="K21">
        <v>4.53</v>
      </c>
      <c r="L21">
        <v>1</v>
      </c>
      <c r="M21">
        <v>13</v>
      </c>
      <c r="N21">
        <v>6.96</v>
      </c>
      <c r="O21">
        <v>1</v>
      </c>
      <c r="P21">
        <v>45.612499999999997</v>
      </c>
      <c r="Q21">
        <v>16</v>
      </c>
      <c r="R21">
        <v>7</v>
      </c>
      <c r="S21" t="s">
        <v>734</v>
      </c>
      <c r="T21" t="s">
        <v>723</v>
      </c>
      <c r="U21" t="s">
        <v>14</v>
      </c>
      <c r="V21">
        <v>1</v>
      </c>
      <c r="W21" t="s">
        <v>728</v>
      </c>
      <c r="X21" t="s">
        <v>115</v>
      </c>
      <c r="Y21" t="s">
        <v>726</v>
      </c>
    </row>
    <row r="22" spans="1:25" x14ac:dyDescent="0.2">
      <c r="A22">
        <v>32</v>
      </c>
      <c r="B22" t="s">
        <v>977</v>
      </c>
      <c r="C22" t="s">
        <v>995</v>
      </c>
      <c r="E22" t="s">
        <v>684</v>
      </c>
      <c r="F22" t="s">
        <v>720</v>
      </c>
      <c r="G22" t="s">
        <v>144</v>
      </c>
      <c r="H22" t="s">
        <v>46</v>
      </c>
      <c r="I22" t="s">
        <v>137</v>
      </c>
      <c r="J22">
        <v>8.5</v>
      </c>
      <c r="K22">
        <v>9.02</v>
      </c>
      <c r="L22">
        <v>10</v>
      </c>
      <c r="M22">
        <v>4.5</v>
      </c>
      <c r="N22">
        <v>13.46</v>
      </c>
      <c r="O22">
        <v>10</v>
      </c>
      <c r="P22">
        <v>51.950223999999999</v>
      </c>
      <c r="S22" t="s">
        <v>734</v>
      </c>
      <c r="T22" t="s">
        <v>676</v>
      </c>
      <c r="U22" t="s">
        <v>14</v>
      </c>
      <c r="V22">
        <v>2</v>
      </c>
      <c r="W22" t="s">
        <v>677</v>
      </c>
      <c r="X22" t="s">
        <v>407</v>
      </c>
      <c r="Y22" t="s">
        <v>678</v>
      </c>
    </row>
    <row r="23" spans="1:25" x14ac:dyDescent="0.2">
      <c r="A23">
        <v>33</v>
      </c>
      <c r="B23" t="s">
        <v>979</v>
      </c>
      <c r="C23" t="s">
        <v>996</v>
      </c>
      <c r="D23">
        <v>2021</v>
      </c>
      <c r="E23" t="s">
        <v>684</v>
      </c>
      <c r="F23" t="s">
        <v>720</v>
      </c>
      <c r="G23" t="s">
        <v>144</v>
      </c>
      <c r="H23" t="s">
        <v>46</v>
      </c>
      <c r="I23" t="s">
        <v>94</v>
      </c>
      <c r="J23">
        <v>8.59</v>
      </c>
      <c r="K23">
        <v>6.87</v>
      </c>
      <c r="L23">
        <v>1</v>
      </c>
      <c r="M23">
        <v>33.51</v>
      </c>
      <c r="N23">
        <v>16.690000000000001</v>
      </c>
      <c r="O23">
        <v>1</v>
      </c>
      <c r="P23">
        <v>50.682594000000002</v>
      </c>
      <c r="Q23">
        <v>40</v>
      </c>
      <c r="R23">
        <v>4.5</v>
      </c>
      <c r="S23" t="s">
        <v>722</v>
      </c>
      <c r="T23" t="s">
        <v>731</v>
      </c>
      <c r="U23" t="s">
        <v>2</v>
      </c>
      <c r="V23">
        <v>4</v>
      </c>
      <c r="W23" t="s">
        <v>677</v>
      </c>
      <c r="X23" t="s">
        <v>407</v>
      </c>
      <c r="Y23" t="s">
        <v>678</v>
      </c>
    </row>
    <row r="24" spans="1:25" x14ac:dyDescent="0.2">
      <c r="A24">
        <v>33</v>
      </c>
      <c r="B24" t="s">
        <v>979</v>
      </c>
      <c r="C24" t="s">
        <v>996</v>
      </c>
      <c r="D24">
        <v>2021</v>
      </c>
      <c r="E24" t="s">
        <v>684</v>
      </c>
      <c r="F24" t="s">
        <v>720</v>
      </c>
      <c r="G24" t="s">
        <v>144</v>
      </c>
      <c r="H24" t="s">
        <v>46</v>
      </c>
      <c r="I24" t="s">
        <v>408</v>
      </c>
      <c r="J24">
        <v>7.16</v>
      </c>
      <c r="K24">
        <v>1.81</v>
      </c>
      <c r="L24">
        <v>1</v>
      </c>
      <c r="M24">
        <v>9.15</v>
      </c>
      <c r="N24">
        <v>3.42</v>
      </c>
      <c r="O24">
        <v>1</v>
      </c>
      <c r="P24">
        <v>50.682594000000002</v>
      </c>
      <c r="Q24">
        <v>40</v>
      </c>
      <c r="R24">
        <v>4.5</v>
      </c>
      <c r="S24" t="s">
        <v>722</v>
      </c>
      <c r="T24" t="s">
        <v>731</v>
      </c>
      <c r="U24" t="s">
        <v>2</v>
      </c>
      <c r="V24">
        <v>4</v>
      </c>
      <c r="W24" t="s">
        <v>677</v>
      </c>
      <c r="X24" t="s">
        <v>407</v>
      </c>
      <c r="Y24" t="s">
        <v>678</v>
      </c>
    </row>
    <row r="25" spans="1:25" x14ac:dyDescent="0.2">
      <c r="A25">
        <v>33</v>
      </c>
      <c r="B25" t="s">
        <v>979</v>
      </c>
      <c r="C25" t="s">
        <v>996</v>
      </c>
      <c r="D25">
        <v>2021</v>
      </c>
      <c r="E25" t="s">
        <v>684</v>
      </c>
      <c r="F25" t="s">
        <v>720</v>
      </c>
      <c r="G25" t="s">
        <v>144</v>
      </c>
      <c r="H25" t="s">
        <v>46</v>
      </c>
      <c r="I25" t="s">
        <v>742</v>
      </c>
      <c r="J25">
        <v>1.28</v>
      </c>
      <c r="K25">
        <v>6.87</v>
      </c>
      <c r="L25">
        <v>1</v>
      </c>
      <c r="M25">
        <v>1</v>
      </c>
      <c r="N25">
        <v>0</v>
      </c>
      <c r="O25">
        <v>1</v>
      </c>
      <c r="P25">
        <v>50.682594000000002</v>
      </c>
      <c r="Q25">
        <v>40</v>
      </c>
      <c r="R25">
        <v>4.5</v>
      </c>
      <c r="S25" t="s">
        <v>722</v>
      </c>
      <c r="T25" t="s">
        <v>731</v>
      </c>
      <c r="U25" t="s">
        <v>2</v>
      </c>
      <c r="V25">
        <v>4</v>
      </c>
      <c r="W25" t="s">
        <v>677</v>
      </c>
      <c r="X25" t="s">
        <v>407</v>
      </c>
      <c r="Y25" t="s">
        <v>678</v>
      </c>
    </row>
    <row r="26" spans="1:25" x14ac:dyDescent="0.2">
      <c r="A26">
        <v>3</v>
      </c>
      <c r="B26" t="s">
        <v>954</v>
      </c>
      <c r="C26" t="s">
        <v>821</v>
      </c>
      <c r="D26">
        <v>2011</v>
      </c>
      <c r="E26" t="s">
        <v>683</v>
      </c>
      <c r="F26" t="s">
        <v>720</v>
      </c>
      <c r="G26" t="s">
        <v>16</v>
      </c>
      <c r="H26" t="s">
        <v>43</v>
      </c>
      <c r="I26" t="s">
        <v>137</v>
      </c>
      <c r="J26">
        <v>0.2</v>
      </c>
      <c r="K26">
        <v>0.49</v>
      </c>
      <c r="L26">
        <v>6</v>
      </c>
      <c r="M26">
        <v>54.8</v>
      </c>
      <c r="N26">
        <v>12.47</v>
      </c>
      <c r="O26">
        <v>3</v>
      </c>
      <c r="P26">
        <v>60</v>
      </c>
      <c r="Q26" t="s">
        <v>730</v>
      </c>
      <c r="R26" t="s">
        <v>730</v>
      </c>
      <c r="S26" t="s">
        <v>730</v>
      </c>
      <c r="T26" t="s">
        <v>731</v>
      </c>
      <c r="U26" t="s">
        <v>2</v>
      </c>
      <c r="V26">
        <v>12</v>
      </c>
      <c r="W26" t="s">
        <v>27</v>
      </c>
      <c r="X26" t="s">
        <v>27</v>
      </c>
      <c r="Y26" t="s">
        <v>732</v>
      </c>
    </row>
    <row r="27" spans="1:25" x14ac:dyDescent="0.2">
      <c r="A27">
        <v>3</v>
      </c>
      <c r="B27" t="s">
        <v>954</v>
      </c>
      <c r="C27" t="s">
        <v>822</v>
      </c>
      <c r="D27">
        <v>2011</v>
      </c>
      <c r="E27" t="s">
        <v>683</v>
      </c>
      <c r="F27" t="s">
        <v>720</v>
      </c>
      <c r="G27" t="s">
        <v>16</v>
      </c>
      <c r="H27" t="s">
        <v>43</v>
      </c>
      <c r="I27" t="s">
        <v>137</v>
      </c>
      <c r="J27">
        <v>16.8</v>
      </c>
      <c r="K27">
        <v>12.17</v>
      </c>
      <c r="L27">
        <v>7</v>
      </c>
      <c r="M27">
        <v>55.2</v>
      </c>
      <c r="N27">
        <v>2.69</v>
      </c>
      <c r="O27">
        <v>2</v>
      </c>
      <c r="P27">
        <v>60</v>
      </c>
      <c r="Q27" t="s">
        <v>730</v>
      </c>
      <c r="R27" t="s">
        <v>730</v>
      </c>
      <c r="S27" t="s">
        <v>730</v>
      </c>
      <c r="T27" t="s">
        <v>731</v>
      </c>
      <c r="U27" t="s">
        <v>2</v>
      </c>
      <c r="V27">
        <v>12</v>
      </c>
      <c r="W27" t="s">
        <v>27</v>
      </c>
      <c r="X27" t="s">
        <v>27</v>
      </c>
      <c r="Y27" t="s">
        <v>732</v>
      </c>
    </row>
    <row r="28" spans="1:25" x14ac:dyDescent="0.2">
      <c r="A28">
        <v>3</v>
      </c>
      <c r="B28" t="s">
        <v>954</v>
      </c>
      <c r="C28" t="s">
        <v>823</v>
      </c>
      <c r="D28">
        <v>2011</v>
      </c>
      <c r="E28" t="s">
        <v>683</v>
      </c>
      <c r="F28" t="s">
        <v>720</v>
      </c>
      <c r="G28" t="s">
        <v>16</v>
      </c>
      <c r="H28" t="s">
        <v>43</v>
      </c>
      <c r="I28" t="s">
        <v>686</v>
      </c>
      <c r="J28">
        <v>0</v>
      </c>
      <c r="K28">
        <v>0</v>
      </c>
      <c r="L28">
        <v>6</v>
      </c>
      <c r="M28">
        <v>13.3</v>
      </c>
      <c r="N28">
        <v>9.5299999999999994</v>
      </c>
      <c r="O28">
        <v>3</v>
      </c>
      <c r="P28">
        <v>60</v>
      </c>
      <c r="Q28" t="s">
        <v>730</v>
      </c>
      <c r="R28" t="s">
        <v>730</v>
      </c>
      <c r="S28" t="s">
        <v>730</v>
      </c>
      <c r="T28" t="s">
        <v>731</v>
      </c>
      <c r="U28" t="s">
        <v>2</v>
      </c>
      <c r="V28">
        <v>12</v>
      </c>
      <c r="W28" t="s">
        <v>27</v>
      </c>
      <c r="X28" t="s">
        <v>27</v>
      </c>
      <c r="Y28" t="s">
        <v>732</v>
      </c>
    </row>
    <row r="29" spans="1:25" x14ac:dyDescent="0.2">
      <c r="A29">
        <v>3</v>
      </c>
      <c r="B29" t="s">
        <v>954</v>
      </c>
      <c r="C29" t="s">
        <v>824</v>
      </c>
      <c r="D29">
        <v>2011</v>
      </c>
      <c r="E29" t="s">
        <v>683</v>
      </c>
      <c r="F29" t="s">
        <v>720</v>
      </c>
      <c r="G29" t="s">
        <v>16</v>
      </c>
      <c r="H29" t="s">
        <v>43</v>
      </c>
      <c r="I29" t="s">
        <v>686</v>
      </c>
      <c r="J29">
        <v>7.3</v>
      </c>
      <c r="K29">
        <v>5.29</v>
      </c>
      <c r="L29">
        <v>7</v>
      </c>
      <c r="M29">
        <v>22.4</v>
      </c>
      <c r="N29">
        <v>1.98</v>
      </c>
      <c r="O29">
        <v>2</v>
      </c>
      <c r="P29">
        <v>60</v>
      </c>
      <c r="Q29" t="s">
        <v>730</v>
      </c>
      <c r="R29" t="s">
        <v>730</v>
      </c>
      <c r="S29" t="s">
        <v>730</v>
      </c>
      <c r="T29" t="s">
        <v>731</v>
      </c>
      <c r="U29" t="s">
        <v>2</v>
      </c>
      <c r="V29">
        <v>12</v>
      </c>
      <c r="W29" t="s">
        <v>27</v>
      </c>
      <c r="X29" t="s">
        <v>27</v>
      </c>
      <c r="Y29" t="s">
        <v>732</v>
      </c>
    </row>
    <row r="30" spans="1:25" x14ac:dyDescent="0.2">
      <c r="A30">
        <v>14</v>
      </c>
      <c r="B30" t="s">
        <v>968</v>
      </c>
      <c r="C30" t="s">
        <v>847</v>
      </c>
      <c r="D30">
        <v>1992</v>
      </c>
      <c r="E30" t="s">
        <v>683</v>
      </c>
      <c r="F30" t="s">
        <v>720</v>
      </c>
      <c r="G30" t="s">
        <v>16</v>
      </c>
      <c r="H30" t="s">
        <v>43</v>
      </c>
      <c r="I30" t="s">
        <v>574</v>
      </c>
      <c r="J30">
        <v>22.25</v>
      </c>
      <c r="K30">
        <v>13.2</v>
      </c>
      <c r="L30">
        <v>2</v>
      </c>
      <c r="M30">
        <v>46.75</v>
      </c>
      <c r="N30">
        <v>22.44</v>
      </c>
      <c r="O30">
        <v>2</v>
      </c>
      <c r="P30">
        <v>62.902096</v>
      </c>
      <c r="Q30" t="s">
        <v>730</v>
      </c>
      <c r="R30">
        <v>20</v>
      </c>
      <c r="S30" t="s">
        <v>722</v>
      </c>
      <c r="T30" t="s">
        <v>676</v>
      </c>
      <c r="U30" t="s">
        <v>14</v>
      </c>
      <c r="V30">
        <v>4</v>
      </c>
      <c r="W30" t="s">
        <v>738</v>
      </c>
      <c r="X30" t="s">
        <v>738</v>
      </c>
      <c r="Y30" t="s">
        <v>726</v>
      </c>
    </row>
    <row r="31" spans="1:25" x14ac:dyDescent="0.2">
      <c r="A31">
        <v>14</v>
      </c>
      <c r="B31" t="s">
        <v>997</v>
      </c>
      <c r="C31" t="s">
        <v>848</v>
      </c>
      <c r="D31">
        <v>1992</v>
      </c>
      <c r="E31" t="s">
        <v>683</v>
      </c>
      <c r="F31" t="s">
        <v>720</v>
      </c>
      <c r="G31" t="s">
        <v>16</v>
      </c>
      <c r="H31" t="s">
        <v>46</v>
      </c>
      <c r="I31" t="s">
        <v>574</v>
      </c>
      <c r="J31">
        <v>57.13</v>
      </c>
      <c r="K31">
        <v>19.559999999999999</v>
      </c>
      <c r="L31">
        <v>2</v>
      </c>
      <c r="M31">
        <v>53.75</v>
      </c>
      <c r="N31">
        <v>19.62</v>
      </c>
      <c r="O31">
        <v>2</v>
      </c>
      <c r="P31">
        <v>62.902096</v>
      </c>
      <c r="Q31" t="s">
        <v>730</v>
      </c>
      <c r="R31">
        <v>20</v>
      </c>
      <c r="S31" t="s">
        <v>722</v>
      </c>
      <c r="T31" t="s">
        <v>676</v>
      </c>
      <c r="U31" t="s">
        <v>14</v>
      </c>
      <c r="V31">
        <v>4</v>
      </c>
      <c r="W31" t="s">
        <v>738</v>
      </c>
      <c r="X31" t="s">
        <v>738</v>
      </c>
      <c r="Y31" t="s">
        <v>726</v>
      </c>
    </row>
    <row r="32" spans="1:25" x14ac:dyDescent="0.2">
      <c r="A32">
        <v>12</v>
      </c>
      <c r="B32" t="s">
        <v>966</v>
      </c>
      <c r="C32" t="s">
        <v>841</v>
      </c>
      <c r="D32">
        <v>2001</v>
      </c>
      <c r="E32" t="s">
        <v>683</v>
      </c>
      <c r="F32" t="s">
        <v>720</v>
      </c>
      <c r="G32" t="s">
        <v>122</v>
      </c>
      <c r="H32" t="s">
        <v>43</v>
      </c>
      <c r="I32" t="s">
        <v>721</v>
      </c>
      <c r="J32">
        <v>-2.71</v>
      </c>
      <c r="K32">
        <v>5.98</v>
      </c>
      <c r="L32">
        <v>3</v>
      </c>
      <c r="M32">
        <v>-2.4500000000000002</v>
      </c>
      <c r="N32">
        <v>6.88</v>
      </c>
      <c r="O32">
        <v>6</v>
      </c>
      <c r="P32">
        <v>53.374045000000002</v>
      </c>
      <c r="Q32">
        <v>28</v>
      </c>
      <c r="R32">
        <v>8.84</v>
      </c>
      <c r="S32" t="s">
        <v>734</v>
      </c>
      <c r="T32" t="s">
        <v>676</v>
      </c>
      <c r="U32" t="s">
        <v>14</v>
      </c>
      <c r="V32">
        <v>1</v>
      </c>
      <c r="W32" t="s">
        <v>728</v>
      </c>
      <c r="X32" t="s">
        <v>240</v>
      </c>
      <c r="Y32" t="s">
        <v>726</v>
      </c>
    </row>
    <row r="33" spans="1:25" x14ac:dyDescent="0.2">
      <c r="A33">
        <v>12</v>
      </c>
      <c r="B33" t="s">
        <v>966</v>
      </c>
      <c r="C33" t="s">
        <v>842</v>
      </c>
      <c r="D33">
        <v>2001</v>
      </c>
      <c r="E33" t="s">
        <v>683</v>
      </c>
      <c r="F33" t="s">
        <v>720</v>
      </c>
      <c r="G33" t="s">
        <v>122</v>
      </c>
      <c r="H33" t="s">
        <v>46</v>
      </c>
      <c r="I33" t="s">
        <v>721</v>
      </c>
      <c r="J33">
        <v>1.47</v>
      </c>
      <c r="K33">
        <v>4.6900000000000004</v>
      </c>
      <c r="L33">
        <v>3</v>
      </c>
      <c r="M33">
        <v>5.08</v>
      </c>
      <c r="N33">
        <v>2.93</v>
      </c>
      <c r="O33">
        <v>6</v>
      </c>
      <c r="P33">
        <v>53.374045000000002</v>
      </c>
      <c r="Q33">
        <v>28</v>
      </c>
      <c r="R33">
        <v>8.84</v>
      </c>
      <c r="S33" t="s">
        <v>734</v>
      </c>
      <c r="T33" t="s">
        <v>676</v>
      </c>
      <c r="U33" t="s">
        <v>14</v>
      </c>
      <c r="V33">
        <v>1</v>
      </c>
      <c r="W33" t="s">
        <v>728</v>
      </c>
      <c r="X33" t="s">
        <v>240</v>
      </c>
      <c r="Y33" t="s">
        <v>726</v>
      </c>
    </row>
    <row r="34" spans="1:25" x14ac:dyDescent="0.2">
      <c r="A34">
        <v>11</v>
      </c>
      <c r="B34" t="s">
        <v>965</v>
      </c>
      <c r="C34" t="s">
        <v>831</v>
      </c>
      <c r="D34">
        <v>2014</v>
      </c>
      <c r="E34" t="s">
        <v>683</v>
      </c>
      <c r="F34" t="s">
        <v>720</v>
      </c>
      <c r="G34" t="s">
        <v>122</v>
      </c>
      <c r="H34" t="s">
        <v>43</v>
      </c>
      <c r="I34" t="s">
        <v>137</v>
      </c>
      <c r="J34">
        <v>5.5</v>
      </c>
      <c r="K34">
        <v>21.84</v>
      </c>
      <c r="L34">
        <v>8</v>
      </c>
      <c r="M34">
        <v>8</v>
      </c>
      <c r="N34">
        <v>26.26</v>
      </c>
      <c r="O34">
        <v>7</v>
      </c>
      <c r="P34">
        <v>54.850270000000002</v>
      </c>
      <c r="Q34">
        <v>24</v>
      </c>
      <c r="R34">
        <v>7</v>
      </c>
      <c r="S34" t="s">
        <v>734</v>
      </c>
      <c r="T34" t="s">
        <v>723</v>
      </c>
      <c r="U34" t="s">
        <v>14</v>
      </c>
      <c r="V34">
        <v>4</v>
      </c>
      <c r="W34" t="s">
        <v>728</v>
      </c>
      <c r="X34" t="s">
        <v>240</v>
      </c>
      <c r="Y34" t="s">
        <v>726</v>
      </c>
    </row>
    <row r="35" spans="1:25" x14ac:dyDescent="0.2">
      <c r="A35">
        <v>11</v>
      </c>
      <c r="B35" t="s">
        <v>965</v>
      </c>
      <c r="C35" t="s">
        <v>832</v>
      </c>
      <c r="D35">
        <v>2014</v>
      </c>
      <c r="E35" t="s">
        <v>683</v>
      </c>
      <c r="F35" t="s">
        <v>720</v>
      </c>
      <c r="G35" t="s">
        <v>122</v>
      </c>
      <c r="H35" t="s">
        <v>43</v>
      </c>
      <c r="I35" t="s">
        <v>137</v>
      </c>
      <c r="J35">
        <v>5.5</v>
      </c>
      <c r="K35">
        <v>21.84</v>
      </c>
      <c r="L35">
        <v>8</v>
      </c>
      <c r="M35">
        <v>6</v>
      </c>
      <c r="N35">
        <v>51.87</v>
      </c>
      <c r="O35">
        <v>5</v>
      </c>
      <c r="P35">
        <v>54.850270000000002</v>
      </c>
      <c r="Q35">
        <v>24</v>
      </c>
      <c r="R35">
        <v>7</v>
      </c>
      <c r="S35" t="s">
        <v>734</v>
      </c>
      <c r="T35" t="s">
        <v>723</v>
      </c>
      <c r="U35" t="s">
        <v>14</v>
      </c>
      <c r="V35">
        <v>4</v>
      </c>
      <c r="W35" t="s">
        <v>728</v>
      </c>
      <c r="X35" t="s">
        <v>737</v>
      </c>
      <c r="Y35" t="s">
        <v>726</v>
      </c>
    </row>
    <row r="36" spans="1:25" x14ac:dyDescent="0.2">
      <c r="A36">
        <v>11</v>
      </c>
      <c r="B36" t="s">
        <v>965</v>
      </c>
      <c r="C36" t="s">
        <v>833</v>
      </c>
      <c r="D36">
        <v>2014</v>
      </c>
      <c r="E36" t="s">
        <v>683</v>
      </c>
      <c r="F36" t="s">
        <v>720</v>
      </c>
      <c r="G36" t="s">
        <v>122</v>
      </c>
      <c r="H36" t="s">
        <v>43</v>
      </c>
      <c r="I36" t="s">
        <v>686</v>
      </c>
      <c r="J36">
        <v>1</v>
      </c>
      <c r="K36">
        <v>5.83</v>
      </c>
      <c r="L36">
        <v>8</v>
      </c>
      <c r="M36">
        <v>17.5</v>
      </c>
      <c r="N36">
        <v>20</v>
      </c>
      <c r="O36">
        <v>7</v>
      </c>
      <c r="P36">
        <v>54.850270000000002</v>
      </c>
      <c r="Q36">
        <v>24</v>
      </c>
      <c r="R36">
        <v>7</v>
      </c>
      <c r="S36" t="s">
        <v>734</v>
      </c>
      <c r="T36" t="s">
        <v>723</v>
      </c>
      <c r="U36" t="s">
        <v>14</v>
      </c>
      <c r="V36">
        <v>4</v>
      </c>
      <c r="W36" t="s">
        <v>728</v>
      </c>
      <c r="X36" t="s">
        <v>240</v>
      </c>
      <c r="Y36" t="s">
        <v>726</v>
      </c>
    </row>
    <row r="37" spans="1:25" x14ac:dyDescent="0.2">
      <c r="A37">
        <v>11</v>
      </c>
      <c r="B37" t="s">
        <v>965</v>
      </c>
      <c r="C37" t="s">
        <v>834</v>
      </c>
      <c r="D37">
        <v>2014</v>
      </c>
      <c r="E37" t="s">
        <v>683</v>
      </c>
      <c r="F37" t="s">
        <v>720</v>
      </c>
      <c r="G37" t="s">
        <v>122</v>
      </c>
      <c r="H37" t="s">
        <v>43</v>
      </c>
      <c r="I37" t="s">
        <v>686</v>
      </c>
      <c r="J37">
        <v>1</v>
      </c>
      <c r="K37">
        <v>5.83</v>
      </c>
      <c r="L37">
        <v>8</v>
      </c>
      <c r="M37">
        <v>16.5</v>
      </c>
      <c r="N37">
        <v>19.53</v>
      </c>
      <c r="O37">
        <v>5</v>
      </c>
      <c r="P37">
        <v>54.850270000000002</v>
      </c>
      <c r="Q37">
        <v>24</v>
      </c>
      <c r="R37">
        <v>7</v>
      </c>
      <c r="S37" t="s">
        <v>734</v>
      </c>
      <c r="T37" t="s">
        <v>723</v>
      </c>
      <c r="U37" t="s">
        <v>14</v>
      </c>
      <c r="V37">
        <v>4</v>
      </c>
      <c r="W37" t="s">
        <v>728</v>
      </c>
      <c r="X37" t="s">
        <v>737</v>
      </c>
      <c r="Y37" t="s">
        <v>726</v>
      </c>
    </row>
    <row r="38" spans="1:25" x14ac:dyDescent="0.2">
      <c r="A38">
        <v>11</v>
      </c>
      <c r="B38" t="s">
        <v>965</v>
      </c>
      <c r="C38" t="s">
        <v>835</v>
      </c>
      <c r="D38">
        <v>2014</v>
      </c>
      <c r="E38" t="s">
        <v>683</v>
      </c>
      <c r="F38" t="s">
        <v>720</v>
      </c>
      <c r="G38" t="s">
        <v>122</v>
      </c>
      <c r="H38" t="s">
        <v>46</v>
      </c>
      <c r="I38" t="s">
        <v>137</v>
      </c>
      <c r="J38">
        <v>11.5</v>
      </c>
      <c r="K38">
        <v>24.08</v>
      </c>
      <c r="L38">
        <v>8</v>
      </c>
      <c r="M38">
        <v>19</v>
      </c>
      <c r="N38">
        <v>24.61</v>
      </c>
      <c r="O38">
        <v>7</v>
      </c>
      <c r="P38">
        <v>54.850270000000002</v>
      </c>
      <c r="Q38">
        <v>24</v>
      </c>
      <c r="R38">
        <v>7</v>
      </c>
      <c r="S38" t="s">
        <v>734</v>
      </c>
      <c r="T38" t="s">
        <v>723</v>
      </c>
      <c r="U38" t="s">
        <v>14</v>
      </c>
      <c r="V38">
        <v>4</v>
      </c>
      <c r="W38" t="s">
        <v>728</v>
      </c>
      <c r="X38" t="s">
        <v>240</v>
      </c>
      <c r="Y38" t="s">
        <v>726</v>
      </c>
    </row>
    <row r="39" spans="1:25" x14ac:dyDescent="0.2">
      <c r="A39">
        <v>11</v>
      </c>
      <c r="B39" t="s">
        <v>965</v>
      </c>
      <c r="C39" t="s">
        <v>836</v>
      </c>
      <c r="D39">
        <v>2014</v>
      </c>
      <c r="E39" t="s">
        <v>683</v>
      </c>
      <c r="F39" t="s">
        <v>720</v>
      </c>
      <c r="G39" t="s">
        <v>122</v>
      </c>
      <c r="H39" t="s">
        <v>46</v>
      </c>
      <c r="I39" t="s">
        <v>137</v>
      </c>
      <c r="J39">
        <v>11.5</v>
      </c>
      <c r="K39">
        <v>24.08</v>
      </c>
      <c r="L39">
        <v>8</v>
      </c>
      <c r="M39">
        <v>27.5</v>
      </c>
      <c r="N39">
        <v>38.67</v>
      </c>
      <c r="O39">
        <v>5</v>
      </c>
      <c r="P39">
        <v>54.850270000000002</v>
      </c>
      <c r="Q39">
        <v>24</v>
      </c>
      <c r="R39">
        <v>7</v>
      </c>
      <c r="S39" t="s">
        <v>734</v>
      </c>
      <c r="T39" t="s">
        <v>723</v>
      </c>
      <c r="U39" t="s">
        <v>14</v>
      </c>
      <c r="V39">
        <v>4</v>
      </c>
      <c r="W39" t="s">
        <v>728</v>
      </c>
      <c r="X39" t="s">
        <v>737</v>
      </c>
      <c r="Y39" t="s">
        <v>726</v>
      </c>
    </row>
    <row r="40" spans="1:25" x14ac:dyDescent="0.2">
      <c r="A40">
        <v>11</v>
      </c>
      <c r="B40" t="s">
        <v>965</v>
      </c>
      <c r="C40" t="s">
        <v>837</v>
      </c>
      <c r="D40">
        <v>2014</v>
      </c>
      <c r="E40" t="s">
        <v>683</v>
      </c>
      <c r="F40" t="s">
        <v>720</v>
      </c>
      <c r="G40" t="s">
        <v>122</v>
      </c>
      <c r="H40" t="s">
        <v>46</v>
      </c>
      <c r="I40" t="s">
        <v>686</v>
      </c>
      <c r="J40">
        <v>-1.5</v>
      </c>
      <c r="K40">
        <v>25.61</v>
      </c>
      <c r="L40">
        <v>8</v>
      </c>
      <c r="M40">
        <v>1</v>
      </c>
      <c r="N40">
        <v>27</v>
      </c>
      <c r="O40">
        <v>7</v>
      </c>
      <c r="P40">
        <v>54.850270000000002</v>
      </c>
      <c r="Q40">
        <v>24</v>
      </c>
      <c r="R40">
        <v>7</v>
      </c>
      <c r="S40" t="s">
        <v>734</v>
      </c>
      <c r="T40" t="s">
        <v>723</v>
      </c>
      <c r="U40" t="s">
        <v>14</v>
      </c>
      <c r="V40">
        <v>4</v>
      </c>
      <c r="W40" t="s">
        <v>728</v>
      </c>
      <c r="X40" t="s">
        <v>240</v>
      </c>
      <c r="Y40" t="s">
        <v>726</v>
      </c>
    </row>
    <row r="41" spans="1:25" x14ac:dyDescent="0.2">
      <c r="A41">
        <v>11</v>
      </c>
      <c r="B41" t="s">
        <v>965</v>
      </c>
      <c r="C41" t="s">
        <v>838</v>
      </c>
      <c r="D41">
        <v>2014</v>
      </c>
      <c r="E41" t="s">
        <v>683</v>
      </c>
      <c r="F41" t="s">
        <v>720</v>
      </c>
      <c r="G41" t="s">
        <v>122</v>
      </c>
      <c r="H41" t="s">
        <v>46</v>
      </c>
      <c r="I41" t="s">
        <v>686</v>
      </c>
      <c r="J41">
        <v>-1.5</v>
      </c>
      <c r="K41">
        <v>25.61</v>
      </c>
      <c r="L41">
        <v>8</v>
      </c>
      <c r="M41">
        <v>2.5</v>
      </c>
      <c r="N41">
        <v>35.26</v>
      </c>
      <c r="O41">
        <v>5</v>
      </c>
      <c r="P41">
        <v>54.850270000000002</v>
      </c>
      <c r="Q41">
        <v>24</v>
      </c>
      <c r="R41">
        <v>7</v>
      </c>
      <c r="S41" t="s">
        <v>734</v>
      </c>
      <c r="T41" t="s">
        <v>723</v>
      </c>
      <c r="U41" t="s">
        <v>14</v>
      </c>
      <c r="V41">
        <v>4</v>
      </c>
      <c r="W41" t="s">
        <v>728</v>
      </c>
      <c r="X41" t="s">
        <v>737</v>
      </c>
      <c r="Y41" t="s">
        <v>726</v>
      </c>
    </row>
    <row r="42" spans="1:25" x14ac:dyDescent="0.2">
      <c r="A42">
        <v>11</v>
      </c>
      <c r="B42" t="s">
        <v>965</v>
      </c>
      <c r="C42" t="s">
        <v>839</v>
      </c>
      <c r="D42">
        <v>2014</v>
      </c>
      <c r="E42" t="s">
        <v>683</v>
      </c>
      <c r="F42" t="s">
        <v>720</v>
      </c>
      <c r="G42" t="s">
        <v>122</v>
      </c>
      <c r="H42" t="s">
        <v>46</v>
      </c>
      <c r="I42" t="s">
        <v>138</v>
      </c>
      <c r="J42">
        <v>0</v>
      </c>
      <c r="K42">
        <v>2.4</v>
      </c>
      <c r="L42">
        <v>8</v>
      </c>
      <c r="M42">
        <v>2.9</v>
      </c>
      <c r="N42">
        <v>3.44</v>
      </c>
      <c r="O42">
        <v>7</v>
      </c>
      <c r="P42">
        <v>54.850270000000002</v>
      </c>
      <c r="Q42">
        <v>24</v>
      </c>
      <c r="R42">
        <v>7</v>
      </c>
      <c r="S42" t="s">
        <v>734</v>
      </c>
      <c r="T42" t="s">
        <v>723</v>
      </c>
      <c r="U42" t="s">
        <v>14</v>
      </c>
      <c r="V42">
        <v>4</v>
      </c>
      <c r="W42" t="s">
        <v>728</v>
      </c>
      <c r="X42" t="s">
        <v>240</v>
      </c>
      <c r="Y42" t="s">
        <v>726</v>
      </c>
    </row>
    <row r="43" spans="1:25" x14ac:dyDescent="0.2">
      <c r="A43">
        <v>11</v>
      </c>
      <c r="B43" t="s">
        <v>965</v>
      </c>
      <c r="C43" t="s">
        <v>840</v>
      </c>
      <c r="D43">
        <v>2014</v>
      </c>
      <c r="E43" t="s">
        <v>683</v>
      </c>
      <c r="F43" t="s">
        <v>720</v>
      </c>
      <c r="G43" t="s">
        <v>122</v>
      </c>
      <c r="H43" t="s">
        <v>46</v>
      </c>
      <c r="I43" t="s">
        <v>138</v>
      </c>
      <c r="J43">
        <v>0</v>
      </c>
      <c r="K43">
        <v>2.4</v>
      </c>
      <c r="L43">
        <v>8</v>
      </c>
      <c r="M43">
        <v>3</v>
      </c>
      <c r="N43">
        <v>5.87</v>
      </c>
      <c r="O43">
        <v>5</v>
      </c>
      <c r="P43">
        <v>54.850270000000002</v>
      </c>
      <c r="Q43">
        <v>24</v>
      </c>
      <c r="R43">
        <v>7</v>
      </c>
      <c r="S43" t="s">
        <v>734</v>
      </c>
      <c r="T43" t="s">
        <v>723</v>
      </c>
      <c r="U43" t="s">
        <v>14</v>
      </c>
      <c r="V43">
        <v>4</v>
      </c>
      <c r="W43" t="s">
        <v>728</v>
      </c>
      <c r="X43" t="s">
        <v>737</v>
      </c>
      <c r="Y43" t="s">
        <v>726</v>
      </c>
    </row>
    <row r="44" spans="1:25" x14ac:dyDescent="0.2">
      <c r="A44">
        <v>7</v>
      </c>
      <c r="B44" t="s">
        <v>960</v>
      </c>
      <c r="C44" t="s">
        <v>149</v>
      </c>
      <c r="D44">
        <v>2013</v>
      </c>
      <c r="E44" t="s">
        <v>683</v>
      </c>
      <c r="F44" t="s">
        <v>720</v>
      </c>
      <c r="G44" t="s">
        <v>0</v>
      </c>
      <c r="H44" t="s">
        <v>43</v>
      </c>
      <c r="I44" t="s">
        <v>137</v>
      </c>
      <c r="J44">
        <v>0.66</v>
      </c>
      <c r="K44">
        <v>7.52</v>
      </c>
      <c r="L44">
        <v>3</v>
      </c>
      <c r="M44">
        <v>-2.67</v>
      </c>
      <c r="N44">
        <v>10.56</v>
      </c>
      <c r="O44">
        <v>3</v>
      </c>
      <c r="P44">
        <v>65.133927</v>
      </c>
      <c r="Q44">
        <v>75</v>
      </c>
      <c r="R44">
        <v>20</v>
      </c>
      <c r="S44" t="s">
        <v>722</v>
      </c>
      <c r="T44" t="s">
        <v>731</v>
      </c>
      <c r="U44" t="s">
        <v>14</v>
      </c>
      <c r="V44">
        <v>3</v>
      </c>
      <c r="W44" t="s">
        <v>728</v>
      </c>
      <c r="X44" t="s">
        <v>115</v>
      </c>
      <c r="Y44" t="s">
        <v>726</v>
      </c>
    </row>
    <row r="45" spans="1:25" x14ac:dyDescent="0.2">
      <c r="A45">
        <v>39</v>
      </c>
      <c r="B45" t="s">
        <v>921</v>
      </c>
      <c r="D45">
        <v>1992</v>
      </c>
      <c r="E45" t="s">
        <v>683</v>
      </c>
      <c r="F45" t="s">
        <v>727</v>
      </c>
      <c r="G45" t="s">
        <v>12</v>
      </c>
      <c r="H45" t="s">
        <v>43</v>
      </c>
      <c r="I45" t="s">
        <v>243</v>
      </c>
      <c r="J45">
        <v>7.4</v>
      </c>
      <c r="K45">
        <v>10.02</v>
      </c>
      <c r="L45">
        <v>1</v>
      </c>
      <c r="M45">
        <v>25.9</v>
      </c>
      <c r="N45">
        <v>33.93</v>
      </c>
      <c r="O45">
        <v>1</v>
      </c>
      <c r="P45">
        <v>44.250160000000001</v>
      </c>
      <c r="Q45">
        <v>13.2</v>
      </c>
      <c r="R45">
        <v>4.8499999999999996</v>
      </c>
      <c r="S45" t="s">
        <v>722</v>
      </c>
      <c r="T45" t="s">
        <v>676</v>
      </c>
      <c r="U45" t="s">
        <v>34</v>
      </c>
      <c r="V45">
        <v>2</v>
      </c>
      <c r="W45" t="s">
        <v>27</v>
      </c>
      <c r="X45" t="s">
        <v>27</v>
      </c>
      <c r="Y45" t="s">
        <v>732</v>
      </c>
    </row>
    <row r="46" spans="1:25" x14ac:dyDescent="0.2">
      <c r="A46">
        <v>13</v>
      </c>
      <c r="B46" t="s">
        <v>967</v>
      </c>
      <c r="C46" t="s">
        <v>843</v>
      </c>
      <c r="D46">
        <v>2001</v>
      </c>
      <c r="E46" t="s">
        <v>684</v>
      </c>
      <c r="F46" t="s">
        <v>720</v>
      </c>
      <c r="G46" t="s">
        <v>144</v>
      </c>
      <c r="H46" t="s">
        <v>46</v>
      </c>
      <c r="I46" t="s">
        <v>137</v>
      </c>
      <c r="J46">
        <v>10.5</v>
      </c>
      <c r="K46">
        <v>11.5</v>
      </c>
      <c r="L46">
        <v>11</v>
      </c>
      <c r="M46">
        <v>27</v>
      </c>
      <c r="N46">
        <v>19</v>
      </c>
      <c r="O46">
        <v>11</v>
      </c>
      <c r="P46">
        <v>50.746389999999998</v>
      </c>
      <c r="Q46">
        <v>60</v>
      </c>
      <c r="R46">
        <v>5</v>
      </c>
      <c r="S46" t="s">
        <v>734</v>
      </c>
      <c r="T46" t="s">
        <v>676</v>
      </c>
      <c r="U46" t="s">
        <v>34</v>
      </c>
      <c r="V46" t="s">
        <v>730</v>
      </c>
      <c r="W46" t="s">
        <v>738</v>
      </c>
      <c r="X46" t="s">
        <v>738</v>
      </c>
      <c r="Y46" t="s">
        <v>726</v>
      </c>
    </row>
    <row r="47" spans="1:25" x14ac:dyDescent="0.2">
      <c r="A47">
        <v>13</v>
      </c>
      <c r="B47" t="s">
        <v>967</v>
      </c>
      <c r="C47" t="s">
        <v>844</v>
      </c>
      <c r="D47">
        <v>2001</v>
      </c>
      <c r="E47" t="s">
        <v>684</v>
      </c>
      <c r="F47" t="s">
        <v>720</v>
      </c>
      <c r="G47" t="s">
        <v>144</v>
      </c>
      <c r="H47" t="s">
        <v>46</v>
      </c>
      <c r="I47" t="s">
        <v>686</v>
      </c>
      <c r="J47">
        <v>2.5</v>
      </c>
      <c r="K47">
        <v>1.5</v>
      </c>
      <c r="L47">
        <v>11</v>
      </c>
      <c r="M47">
        <v>28</v>
      </c>
      <c r="N47">
        <v>17</v>
      </c>
      <c r="O47">
        <v>11</v>
      </c>
      <c r="P47">
        <v>50.746389999999998</v>
      </c>
      <c r="Q47">
        <v>60</v>
      </c>
      <c r="R47">
        <v>5</v>
      </c>
      <c r="S47" t="s">
        <v>734</v>
      </c>
      <c r="T47" t="s">
        <v>676</v>
      </c>
      <c r="U47" t="s">
        <v>34</v>
      </c>
      <c r="V47" t="s">
        <v>730</v>
      </c>
      <c r="W47" t="s">
        <v>738</v>
      </c>
      <c r="X47" t="s">
        <v>738</v>
      </c>
      <c r="Y47" t="s">
        <v>726</v>
      </c>
    </row>
    <row r="48" spans="1:25" x14ac:dyDescent="0.2">
      <c r="A48">
        <v>13</v>
      </c>
      <c r="B48" t="s">
        <v>967</v>
      </c>
      <c r="C48" t="s">
        <v>845</v>
      </c>
      <c r="D48">
        <v>2001</v>
      </c>
      <c r="E48" t="s">
        <v>684</v>
      </c>
      <c r="F48" t="s">
        <v>720</v>
      </c>
      <c r="G48" t="s">
        <v>144</v>
      </c>
      <c r="H48" t="s">
        <v>43</v>
      </c>
      <c r="I48" t="s">
        <v>319</v>
      </c>
      <c r="J48">
        <v>3.8</v>
      </c>
      <c r="K48">
        <v>2.2000000000000002</v>
      </c>
      <c r="L48">
        <v>4</v>
      </c>
      <c r="M48">
        <v>10.1</v>
      </c>
      <c r="N48">
        <v>2.2999999999999998</v>
      </c>
      <c r="O48">
        <v>4</v>
      </c>
      <c r="P48">
        <v>50.746389999999998</v>
      </c>
      <c r="Q48">
        <v>50</v>
      </c>
      <c r="R48">
        <v>8.1</v>
      </c>
      <c r="S48" t="s">
        <v>734</v>
      </c>
      <c r="T48" t="s">
        <v>676</v>
      </c>
      <c r="U48" t="s">
        <v>34</v>
      </c>
      <c r="V48" t="s">
        <v>730</v>
      </c>
      <c r="W48" t="s">
        <v>738</v>
      </c>
      <c r="X48" t="s">
        <v>738</v>
      </c>
      <c r="Y48" t="s">
        <v>726</v>
      </c>
    </row>
    <row r="49" spans="1:25" x14ac:dyDescent="0.2">
      <c r="A49">
        <v>13</v>
      </c>
      <c r="B49" t="s">
        <v>967</v>
      </c>
      <c r="C49" t="s">
        <v>846</v>
      </c>
      <c r="D49">
        <v>2001</v>
      </c>
      <c r="E49" t="s">
        <v>684</v>
      </c>
      <c r="F49" t="s">
        <v>720</v>
      </c>
      <c r="G49" t="s">
        <v>144</v>
      </c>
      <c r="H49" t="s">
        <v>46</v>
      </c>
      <c r="I49" t="s">
        <v>319</v>
      </c>
      <c r="J49">
        <v>0.03</v>
      </c>
      <c r="K49">
        <v>0.02</v>
      </c>
      <c r="L49">
        <v>4</v>
      </c>
      <c r="M49">
        <v>0.23</v>
      </c>
      <c r="N49">
        <v>0.22</v>
      </c>
      <c r="O49">
        <v>4</v>
      </c>
      <c r="P49">
        <v>50.746389999999998</v>
      </c>
      <c r="Q49">
        <v>50</v>
      </c>
      <c r="R49">
        <v>8.1</v>
      </c>
      <c r="S49" t="s">
        <v>734</v>
      </c>
      <c r="T49" t="s">
        <v>676</v>
      </c>
      <c r="U49" t="s">
        <v>34</v>
      </c>
      <c r="V49" t="s">
        <v>730</v>
      </c>
      <c r="W49" t="s">
        <v>738</v>
      </c>
      <c r="X49" t="s">
        <v>738</v>
      </c>
      <c r="Y49" t="s">
        <v>726</v>
      </c>
    </row>
    <row r="50" spans="1:25" x14ac:dyDescent="0.2">
      <c r="A50">
        <v>16</v>
      </c>
      <c r="B50" t="s">
        <v>903</v>
      </c>
      <c r="C50" t="s">
        <v>455</v>
      </c>
      <c r="D50">
        <v>1995</v>
      </c>
      <c r="E50" t="s">
        <v>683</v>
      </c>
      <c r="F50" t="s">
        <v>720</v>
      </c>
      <c r="G50" t="s">
        <v>16</v>
      </c>
      <c r="H50" t="s">
        <v>43</v>
      </c>
      <c r="I50" t="s">
        <v>137</v>
      </c>
      <c r="J50">
        <v>21.08</v>
      </c>
      <c r="K50">
        <v>8.1199999999999992</v>
      </c>
      <c r="L50">
        <v>15</v>
      </c>
      <c r="M50">
        <v>24.31</v>
      </c>
      <c r="N50">
        <v>4.05</v>
      </c>
      <c r="O50">
        <v>15</v>
      </c>
      <c r="P50">
        <v>59.535589999999999</v>
      </c>
      <c r="R50">
        <v>25</v>
      </c>
      <c r="S50" t="s">
        <v>734</v>
      </c>
      <c r="T50" t="s">
        <v>731</v>
      </c>
      <c r="U50" t="s">
        <v>2</v>
      </c>
      <c r="V50">
        <v>8</v>
      </c>
      <c r="W50" t="s">
        <v>27</v>
      </c>
      <c r="X50" t="s">
        <v>27</v>
      </c>
      <c r="Y50" t="s">
        <v>732</v>
      </c>
    </row>
    <row r="51" spans="1:25" x14ac:dyDescent="0.2">
      <c r="A51">
        <v>16</v>
      </c>
      <c r="B51" t="s">
        <v>903</v>
      </c>
      <c r="C51" t="s">
        <v>455</v>
      </c>
      <c r="D51">
        <v>1995</v>
      </c>
      <c r="E51" t="s">
        <v>683</v>
      </c>
      <c r="F51" t="s">
        <v>720</v>
      </c>
      <c r="G51" t="s">
        <v>16</v>
      </c>
      <c r="H51" t="s">
        <v>43</v>
      </c>
      <c r="I51" t="s">
        <v>686</v>
      </c>
      <c r="J51">
        <v>10</v>
      </c>
      <c r="K51">
        <v>5.73</v>
      </c>
      <c r="L51">
        <v>15</v>
      </c>
      <c r="M51">
        <v>10.11</v>
      </c>
      <c r="N51">
        <v>0.56999999999999995</v>
      </c>
      <c r="O51">
        <v>15</v>
      </c>
      <c r="P51">
        <v>59.535589999999999</v>
      </c>
      <c r="R51">
        <v>25</v>
      </c>
      <c r="S51" t="s">
        <v>734</v>
      </c>
      <c r="T51" t="s">
        <v>731</v>
      </c>
      <c r="U51" t="s">
        <v>2</v>
      </c>
      <c r="V51">
        <v>8</v>
      </c>
      <c r="W51" t="s">
        <v>27</v>
      </c>
      <c r="X51" t="s">
        <v>27</v>
      </c>
      <c r="Y51" t="s">
        <v>732</v>
      </c>
    </row>
    <row r="52" spans="1:25" x14ac:dyDescent="0.2">
      <c r="A52">
        <v>16</v>
      </c>
      <c r="B52" t="s">
        <v>903</v>
      </c>
      <c r="C52" t="s">
        <v>455</v>
      </c>
      <c r="D52">
        <v>1995</v>
      </c>
      <c r="E52" t="s">
        <v>683</v>
      </c>
      <c r="F52" t="s">
        <v>720</v>
      </c>
      <c r="G52" t="s">
        <v>16</v>
      </c>
      <c r="H52" t="s">
        <v>46</v>
      </c>
      <c r="I52" t="s">
        <v>137</v>
      </c>
      <c r="J52">
        <v>15.07</v>
      </c>
      <c r="K52">
        <v>4.3600000000000003</v>
      </c>
      <c r="L52">
        <v>15</v>
      </c>
      <c r="M52">
        <v>13.23</v>
      </c>
      <c r="N52">
        <v>12.03</v>
      </c>
      <c r="O52">
        <v>15</v>
      </c>
      <c r="P52">
        <v>59.535589999999999</v>
      </c>
      <c r="R52">
        <v>25</v>
      </c>
      <c r="S52" t="s">
        <v>734</v>
      </c>
      <c r="T52" t="s">
        <v>731</v>
      </c>
      <c r="U52" t="s">
        <v>2</v>
      </c>
      <c r="V52">
        <v>8</v>
      </c>
      <c r="W52" t="s">
        <v>27</v>
      </c>
      <c r="X52" t="s">
        <v>27</v>
      </c>
      <c r="Y52" t="s">
        <v>732</v>
      </c>
    </row>
    <row r="53" spans="1:25" x14ac:dyDescent="0.2">
      <c r="A53">
        <v>16</v>
      </c>
      <c r="B53" t="s">
        <v>903</v>
      </c>
      <c r="C53" t="s">
        <v>455</v>
      </c>
      <c r="D53">
        <v>1995</v>
      </c>
      <c r="E53" t="s">
        <v>683</v>
      </c>
      <c r="F53" t="s">
        <v>720</v>
      </c>
      <c r="G53" t="s">
        <v>16</v>
      </c>
      <c r="H53" t="s">
        <v>46</v>
      </c>
      <c r="I53" t="s">
        <v>686</v>
      </c>
      <c r="J53">
        <v>4.08</v>
      </c>
      <c r="K53">
        <v>5.15</v>
      </c>
      <c r="L53">
        <v>15</v>
      </c>
      <c r="M53">
        <v>3.15</v>
      </c>
      <c r="N53">
        <v>0.4</v>
      </c>
      <c r="O53">
        <v>15</v>
      </c>
      <c r="P53">
        <v>59.535589999999999</v>
      </c>
      <c r="R53">
        <v>25</v>
      </c>
      <c r="S53" t="s">
        <v>734</v>
      </c>
      <c r="T53" t="s">
        <v>731</v>
      </c>
      <c r="U53" t="s">
        <v>2</v>
      </c>
      <c r="V53">
        <v>8</v>
      </c>
      <c r="W53" t="s">
        <v>27</v>
      </c>
      <c r="X53" t="s">
        <v>27</v>
      </c>
      <c r="Y53" t="s">
        <v>732</v>
      </c>
    </row>
    <row r="54" spans="1:25" x14ac:dyDescent="0.2">
      <c r="A54">
        <v>23</v>
      </c>
      <c r="B54" t="s">
        <v>971</v>
      </c>
      <c r="C54" t="s">
        <v>858</v>
      </c>
      <c r="D54">
        <v>2002</v>
      </c>
      <c r="E54" t="s">
        <v>683</v>
      </c>
      <c r="F54" t="s">
        <v>720</v>
      </c>
      <c r="G54" t="s">
        <v>122</v>
      </c>
      <c r="H54" t="s">
        <v>46</v>
      </c>
      <c r="J54">
        <v>0.5</v>
      </c>
      <c r="K54">
        <v>22.15</v>
      </c>
      <c r="L54">
        <v>6</v>
      </c>
      <c r="M54">
        <v>34.5</v>
      </c>
      <c r="N54">
        <v>14.24</v>
      </c>
      <c r="O54">
        <v>2</v>
      </c>
      <c r="P54">
        <v>52.2</v>
      </c>
      <c r="Q54">
        <v>20</v>
      </c>
      <c r="R54">
        <v>4.7</v>
      </c>
      <c r="S54" t="s">
        <v>722</v>
      </c>
      <c r="T54" t="s">
        <v>676</v>
      </c>
      <c r="U54" t="s">
        <v>14</v>
      </c>
      <c r="V54">
        <v>2</v>
      </c>
      <c r="W54" t="s">
        <v>728</v>
      </c>
      <c r="X54" t="s">
        <v>115</v>
      </c>
      <c r="Y54" t="s">
        <v>726</v>
      </c>
    </row>
    <row r="55" spans="1:25" x14ac:dyDescent="0.2">
      <c r="A55">
        <v>23</v>
      </c>
      <c r="B55" t="s">
        <v>971</v>
      </c>
      <c r="C55" t="s">
        <v>859</v>
      </c>
      <c r="D55">
        <v>2002</v>
      </c>
      <c r="E55" t="s">
        <v>683</v>
      </c>
      <c r="F55" t="s">
        <v>720</v>
      </c>
      <c r="G55" t="s">
        <v>122</v>
      </c>
      <c r="H55" t="s">
        <v>46</v>
      </c>
      <c r="J55">
        <v>11.45</v>
      </c>
      <c r="K55">
        <v>22.36</v>
      </c>
      <c r="L55">
        <v>6</v>
      </c>
      <c r="M55">
        <v>24.67</v>
      </c>
      <c r="N55">
        <v>10.220000000000001</v>
      </c>
      <c r="O55">
        <v>2</v>
      </c>
      <c r="P55">
        <v>52.2</v>
      </c>
      <c r="Q55">
        <v>20</v>
      </c>
      <c r="R55">
        <v>4.7</v>
      </c>
      <c r="S55" t="s">
        <v>722</v>
      </c>
      <c r="T55" t="s">
        <v>676</v>
      </c>
      <c r="U55" t="s">
        <v>14</v>
      </c>
      <c r="V55">
        <v>2</v>
      </c>
      <c r="W55" t="s">
        <v>728</v>
      </c>
      <c r="X55" t="s">
        <v>115</v>
      </c>
      <c r="Y55" t="s">
        <v>726</v>
      </c>
    </row>
    <row r="56" spans="1:25" x14ac:dyDescent="0.2">
      <c r="A56">
        <v>38</v>
      </c>
      <c r="B56" t="s">
        <v>920</v>
      </c>
      <c r="D56">
        <v>2018</v>
      </c>
      <c r="E56" t="s">
        <v>684</v>
      </c>
      <c r="F56" t="s">
        <v>720</v>
      </c>
      <c r="G56" t="s">
        <v>16</v>
      </c>
      <c r="H56" t="s">
        <v>46</v>
      </c>
      <c r="I56" t="s">
        <v>721</v>
      </c>
      <c r="J56">
        <v>1</v>
      </c>
      <c r="K56">
        <v>0.37</v>
      </c>
      <c r="L56">
        <v>3</v>
      </c>
      <c r="M56">
        <v>2.85</v>
      </c>
      <c r="N56">
        <v>1.25</v>
      </c>
      <c r="O56">
        <v>3</v>
      </c>
      <c r="P56">
        <v>68.643010000000004</v>
      </c>
      <c r="S56" t="s">
        <v>722</v>
      </c>
      <c r="T56" t="s">
        <v>676</v>
      </c>
      <c r="U56" t="s">
        <v>2</v>
      </c>
      <c r="V56">
        <v>11</v>
      </c>
      <c r="W56" t="s">
        <v>735</v>
      </c>
      <c r="X56" t="s">
        <v>735</v>
      </c>
      <c r="Y56" t="s">
        <v>726</v>
      </c>
    </row>
    <row r="57" spans="1:25" x14ac:dyDescent="0.2">
      <c r="A57">
        <v>24</v>
      </c>
      <c r="B57" t="s">
        <v>907</v>
      </c>
      <c r="C57" t="s">
        <v>860</v>
      </c>
      <c r="D57">
        <v>2016</v>
      </c>
      <c r="E57" t="s">
        <v>683</v>
      </c>
      <c r="F57" t="s">
        <v>720</v>
      </c>
      <c r="G57" t="s">
        <v>0</v>
      </c>
      <c r="H57" t="s">
        <v>46</v>
      </c>
      <c r="I57" t="s">
        <v>137</v>
      </c>
      <c r="J57">
        <v>1.1299999999999999</v>
      </c>
      <c r="K57">
        <v>4.26</v>
      </c>
      <c r="L57">
        <v>6</v>
      </c>
      <c r="M57">
        <v>4.07</v>
      </c>
      <c r="N57">
        <v>3.18</v>
      </c>
      <c r="O57">
        <v>6</v>
      </c>
      <c r="P57">
        <v>64</v>
      </c>
      <c r="Q57">
        <v>21</v>
      </c>
      <c r="R57">
        <v>4.25</v>
      </c>
      <c r="S57" t="s">
        <v>722</v>
      </c>
      <c r="T57" t="s">
        <v>731</v>
      </c>
      <c r="U57" t="s">
        <v>14</v>
      </c>
      <c r="V57">
        <v>12</v>
      </c>
      <c r="W57" t="s">
        <v>728</v>
      </c>
      <c r="X57" t="s">
        <v>240</v>
      </c>
      <c r="Y57" t="s">
        <v>726</v>
      </c>
    </row>
    <row r="58" spans="1:25" x14ac:dyDescent="0.2">
      <c r="A58">
        <v>24</v>
      </c>
      <c r="B58" t="s">
        <v>907</v>
      </c>
      <c r="C58" t="s">
        <v>861</v>
      </c>
      <c r="D58">
        <v>2016</v>
      </c>
      <c r="E58" t="s">
        <v>683</v>
      </c>
      <c r="F58" t="s">
        <v>720</v>
      </c>
      <c r="G58" t="s">
        <v>0</v>
      </c>
      <c r="H58" t="s">
        <v>46</v>
      </c>
      <c r="I58" t="s">
        <v>137</v>
      </c>
      <c r="J58">
        <v>1.1299999999999999</v>
      </c>
      <c r="K58">
        <v>4.26</v>
      </c>
      <c r="L58">
        <v>6</v>
      </c>
      <c r="M58">
        <v>0.94</v>
      </c>
      <c r="N58">
        <v>4.58</v>
      </c>
      <c r="O58">
        <v>6</v>
      </c>
      <c r="P58">
        <v>64</v>
      </c>
      <c r="Q58">
        <v>21</v>
      </c>
      <c r="R58">
        <v>4.25</v>
      </c>
      <c r="S58" t="s">
        <v>722</v>
      </c>
      <c r="T58" t="s">
        <v>731</v>
      </c>
      <c r="U58" t="s">
        <v>14</v>
      </c>
      <c r="V58">
        <v>12</v>
      </c>
      <c r="W58" t="s">
        <v>728</v>
      </c>
      <c r="X58" t="s">
        <v>115</v>
      </c>
      <c r="Y58" t="s">
        <v>726</v>
      </c>
    </row>
    <row r="59" spans="1:25" x14ac:dyDescent="0.2">
      <c r="A59">
        <v>24</v>
      </c>
      <c r="B59" t="s">
        <v>907</v>
      </c>
      <c r="C59" t="s">
        <v>862</v>
      </c>
      <c r="D59">
        <v>2016</v>
      </c>
      <c r="E59" t="s">
        <v>683</v>
      </c>
      <c r="F59" t="s">
        <v>720</v>
      </c>
      <c r="G59" t="s">
        <v>0</v>
      </c>
      <c r="H59" t="s">
        <v>46</v>
      </c>
      <c r="I59" t="s">
        <v>686</v>
      </c>
      <c r="J59">
        <v>-2.63</v>
      </c>
      <c r="K59">
        <v>2.06</v>
      </c>
      <c r="L59">
        <v>6</v>
      </c>
      <c r="M59">
        <v>0.33</v>
      </c>
      <c r="N59">
        <v>4.6399999999999997</v>
      </c>
      <c r="O59">
        <v>6</v>
      </c>
      <c r="P59">
        <v>64</v>
      </c>
      <c r="Q59">
        <v>21</v>
      </c>
      <c r="R59">
        <v>4.25</v>
      </c>
      <c r="S59" t="s">
        <v>722</v>
      </c>
      <c r="T59" t="s">
        <v>731</v>
      </c>
      <c r="U59" t="s">
        <v>14</v>
      </c>
      <c r="V59">
        <v>12</v>
      </c>
      <c r="W59" t="s">
        <v>728</v>
      </c>
      <c r="X59" t="s">
        <v>240</v>
      </c>
      <c r="Y59" t="s">
        <v>726</v>
      </c>
    </row>
    <row r="60" spans="1:25" x14ac:dyDescent="0.2">
      <c r="A60">
        <v>24</v>
      </c>
      <c r="B60" t="s">
        <v>907</v>
      </c>
      <c r="C60" t="s">
        <v>863</v>
      </c>
      <c r="D60">
        <v>2016</v>
      </c>
      <c r="E60" t="s">
        <v>683</v>
      </c>
      <c r="F60" t="s">
        <v>720</v>
      </c>
      <c r="G60" t="s">
        <v>0</v>
      </c>
      <c r="H60" t="s">
        <v>46</v>
      </c>
      <c r="I60" t="s">
        <v>686</v>
      </c>
      <c r="J60">
        <v>-2.63</v>
      </c>
      <c r="K60">
        <v>2.06</v>
      </c>
      <c r="L60">
        <v>6</v>
      </c>
      <c r="M60">
        <v>-2.63</v>
      </c>
      <c r="N60">
        <v>3.86</v>
      </c>
      <c r="O60">
        <v>6</v>
      </c>
      <c r="P60">
        <v>64</v>
      </c>
      <c r="Q60">
        <v>21</v>
      </c>
      <c r="R60">
        <v>4.25</v>
      </c>
      <c r="S60" t="s">
        <v>722</v>
      </c>
      <c r="T60" t="s">
        <v>731</v>
      </c>
      <c r="U60" t="s">
        <v>14</v>
      </c>
      <c r="V60">
        <v>12</v>
      </c>
      <c r="W60" t="s">
        <v>728</v>
      </c>
      <c r="X60" t="s">
        <v>115</v>
      </c>
      <c r="Y60" t="s">
        <v>726</v>
      </c>
    </row>
    <row r="61" spans="1:25" x14ac:dyDescent="0.2">
      <c r="A61">
        <v>24</v>
      </c>
      <c r="B61" t="s">
        <v>907</v>
      </c>
      <c r="C61" t="s">
        <v>864</v>
      </c>
      <c r="D61">
        <v>2016</v>
      </c>
      <c r="E61" t="s">
        <v>683</v>
      </c>
      <c r="F61" t="s">
        <v>720</v>
      </c>
      <c r="G61" t="s">
        <v>0</v>
      </c>
      <c r="H61" t="s">
        <v>46</v>
      </c>
      <c r="I61" t="s">
        <v>138</v>
      </c>
      <c r="J61">
        <v>0.32</v>
      </c>
      <c r="K61">
        <v>1.89</v>
      </c>
      <c r="L61">
        <v>6</v>
      </c>
      <c r="M61">
        <v>0.89</v>
      </c>
      <c r="N61">
        <v>2.93</v>
      </c>
      <c r="O61">
        <v>6</v>
      </c>
      <c r="P61">
        <v>64</v>
      </c>
      <c r="Q61">
        <v>21</v>
      </c>
      <c r="R61">
        <v>4.25</v>
      </c>
      <c r="S61" t="s">
        <v>722</v>
      </c>
      <c r="T61" t="s">
        <v>731</v>
      </c>
      <c r="U61" t="s">
        <v>14</v>
      </c>
      <c r="V61">
        <v>12</v>
      </c>
      <c r="W61" t="s">
        <v>728</v>
      </c>
      <c r="X61" t="s">
        <v>240</v>
      </c>
      <c r="Y61" t="s">
        <v>726</v>
      </c>
    </row>
    <row r="62" spans="1:25" x14ac:dyDescent="0.2">
      <c r="A62">
        <v>24</v>
      </c>
      <c r="B62" t="s">
        <v>907</v>
      </c>
      <c r="C62" t="s">
        <v>865</v>
      </c>
      <c r="D62">
        <v>2016</v>
      </c>
      <c r="E62" t="s">
        <v>683</v>
      </c>
      <c r="F62" t="s">
        <v>720</v>
      </c>
      <c r="G62" t="s">
        <v>0</v>
      </c>
      <c r="H62" t="s">
        <v>46</v>
      </c>
      <c r="I62" t="s">
        <v>138</v>
      </c>
      <c r="J62">
        <v>0.32</v>
      </c>
      <c r="K62">
        <v>1.89</v>
      </c>
      <c r="L62">
        <v>6</v>
      </c>
      <c r="M62">
        <v>2.46</v>
      </c>
      <c r="N62">
        <v>3.24</v>
      </c>
      <c r="O62">
        <v>6</v>
      </c>
      <c r="P62">
        <v>64</v>
      </c>
      <c r="Q62">
        <v>21</v>
      </c>
      <c r="R62">
        <v>4.25</v>
      </c>
      <c r="S62" t="s">
        <v>722</v>
      </c>
      <c r="T62" t="s">
        <v>731</v>
      </c>
      <c r="U62" t="s">
        <v>14</v>
      </c>
      <c r="V62">
        <v>12</v>
      </c>
      <c r="W62" t="s">
        <v>728</v>
      </c>
      <c r="X62" t="s">
        <v>115</v>
      </c>
      <c r="Y62" t="s">
        <v>726</v>
      </c>
    </row>
    <row r="63" spans="1:25" x14ac:dyDescent="0.2">
      <c r="A63">
        <v>22</v>
      </c>
      <c r="B63" t="s">
        <v>905</v>
      </c>
      <c r="C63" t="s">
        <v>856</v>
      </c>
      <c r="D63">
        <v>2012</v>
      </c>
      <c r="E63" t="s">
        <v>683</v>
      </c>
      <c r="F63" t="s">
        <v>720</v>
      </c>
      <c r="G63" t="s">
        <v>0</v>
      </c>
      <c r="H63" t="s">
        <v>46</v>
      </c>
      <c r="I63" t="s">
        <v>741</v>
      </c>
      <c r="J63">
        <v>0.15</v>
      </c>
      <c r="K63">
        <v>0.19</v>
      </c>
      <c r="L63">
        <v>4</v>
      </c>
      <c r="M63">
        <v>2.48</v>
      </c>
      <c r="N63">
        <v>1.85</v>
      </c>
      <c r="O63">
        <v>10</v>
      </c>
      <c r="P63">
        <v>65</v>
      </c>
      <c r="Q63" t="s">
        <v>730</v>
      </c>
      <c r="R63" t="s">
        <v>730</v>
      </c>
      <c r="S63" t="s">
        <v>722</v>
      </c>
      <c r="T63" t="s">
        <v>731</v>
      </c>
      <c r="U63" t="s">
        <v>2</v>
      </c>
      <c r="V63">
        <v>5</v>
      </c>
      <c r="W63" t="s">
        <v>728</v>
      </c>
      <c r="X63" t="s">
        <v>115</v>
      </c>
      <c r="Y63" t="s">
        <v>726</v>
      </c>
    </row>
    <row r="64" spans="1:25" x14ac:dyDescent="0.2">
      <c r="A64">
        <v>22</v>
      </c>
      <c r="B64" t="s">
        <v>905</v>
      </c>
      <c r="C64" t="s">
        <v>857</v>
      </c>
      <c r="D64">
        <v>2012</v>
      </c>
      <c r="E64" t="s">
        <v>683</v>
      </c>
      <c r="F64" t="s">
        <v>720</v>
      </c>
      <c r="G64" t="s">
        <v>0</v>
      </c>
      <c r="H64" t="s">
        <v>46</v>
      </c>
      <c r="I64" t="s">
        <v>574</v>
      </c>
      <c r="J64">
        <v>0.5</v>
      </c>
      <c r="K64">
        <v>0.54</v>
      </c>
      <c r="L64">
        <v>4</v>
      </c>
      <c r="M64">
        <v>1.73</v>
      </c>
      <c r="N64">
        <v>1.79</v>
      </c>
      <c r="O64">
        <v>10</v>
      </c>
      <c r="P64">
        <v>65</v>
      </c>
      <c r="Q64" t="s">
        <v>730</v>
      </c>
      <c r="R64" t="s">
        <v>730</v>
      </c>
      <c r="S64" t="s">
        <v>722</v>
      </c>
      <c r="T64" t="s">
        <v>731</v>
      </c>
      <c r="U64" t="s">
        <v>2</v>
      </c>
      <c r="V64">
        <v>5</v>
      </c>
      <c r="W64" t="s">
        <v>728</v>
      </c>
      <c r="X64" t="s">
        <v>115</v>
      </c>
      <c r="Y64" t="s">
        <v>726</v>
      </c>
    </row>
    <row r="65" spans="1:25" x14ac:dyDescent="0.2">
      <c r="A65">
        <v>9</v>
      </c>
      <c r="B65" t="s">
        <v>963</v>
      </c>
      <c r="C65" t="s">
        <v>998</v>
      </c>
      <c r="D65">
        <v>2019</v>
      </c>
      <c r="E65" t="s">
        <v>683</v>
      </c>
      <c r="F65" t="s">
        <v>720</v>
      </c>
      <c r="G65" t="s">
        <v>0</v>
      </c>
      <c r="H65" t="s">
        <v>43</v>
      </c>
      <c r="I65" t="s">
        <v>137</v>
      </c>
      <c r="J65">
        <v>0</v>
      </c>
      <c r="K65">
        <v>0</v>
      </c>
      <c r="L65">
        <v>37</v>
      </c>
      <c r="M65">
        <v>5.0599999999999996</v>
      </c>
      <c r="N65">
        <v>22.75</v>
      </c>
      <c r="O65">
        <v>37</v>
      </c>
      <c r="P65">
        <v>64.383333329999999</v>
      </c>
      <c r="Q65" t="s">
        <v>730</v>
      </c>
      <c r="R65" t="s">
        <v>730</v>
      </c>
      <c r="S65" t="s">
        <v>730</v>
      </c>
      <c r="T65" t="s">
        <v>676</v>
      </c>
      <c r="U65" t="s">
        <v>2</v>
      </c>
      <c r="V65" t="s">
        <v>730</v>
      </c>
      <c r="W65" t="s">
        <v>728</v>
      </c>
      <c r="X65" t="s">
        <v>115</v>
      </c>
      <c r="Y65" t="s">
        <v>726</v>
      </c>
    </row>
    <row r="66" spans="1:25" x14ac:dyDescent="0.2">
      <c r="A66">
        <v>9</v>
      </c>
      <c r="B66" t="s">
        <v>963</v>
      </c>
      <c r="C66" t="s">
        <v>998</v>
      </c>
      <c r="D66">
        <v>2019</v>
      </c>
      <c r="E66" t="s">
        <v>683</v>
      </c>
      <c r="F66" t="s">
        <v>720</v>
      </c>
      <c r="G66" t="s">
        <v>0</v>
      </c>
      <c r="H66" t="s">
        <v>46</v>
      </c>
      <c r="I66" t="s">
        <v>137</v>
      </c>
      <c r="J66">
        <v>0</v>
      </c>
      <c r="K66">
        <v>0</v>
      </c>
      <c r="L66">
        <v>71</v>
      </c>
      <c r="M66">
        <v>4.32</v>
      </c>
      <c r="N66">
        <v>13.67</v>
      </c>
      <c r="O66">
        <v>71</v>
      </c>
      <c r="P66">
        <v>64.383333329999999</v>
      </c>
      <c r="Q66" t="s">
        <v>730</v>
      </c>
      <c r="R66" t="s">
        <v>730</v>
      </c>
      <c r="S66" t="s">
        <v>730</v>
      </c>
      <c r="T66" t="s">
        <v>676</v>
      </c>
      <c r="U66" t="s">
        <v>2</v>
      </c>
      <c r="V66" t="s">
        <v>730</v>
      </c>
      <c r="W66" t="s">
        <v>728</v>
      </c>
      <c r="X66" t="s">
        <v>115</v>
      </c>
      <c r="Y66" t="s">
        <v>726</v>
      </c>
    </row>
    <row r="67" spans="1:25" x14ac:dyDescent="0.2">
      <c r="A67">
        <v>8</v>
      </c>
      <c r="B67" t="s">
        <v>961</v>
      </c>
      <c r="C67" t="s">
        <v>476</v>
      </c>
      <c r="D67">
        <v>2019</v>
      </c>
      <c r="E67" t="s">
        <v>684</v>
      </c>
      <c r="F67" t="s">
        <v>720</v>
      </c>
      <c r="G67" t="s">
        <v>30</v>
      </c>
      <c r="H67" t="s">
        <v>43</v>
      </c>
      <c r="I67" t="s">
        <v>137</v>
      </c>
      <c r="J67">
        <v>49.93</v>
      </c>
      <c r="K67">
        <v>41.95</v>
      </c>
      <c r="L67">
        <v>3</v>
      </c>
      <c r="M67">
        <v>23.56</v>
      </c>
      <c r="N67">
        <v>16.61</v>
      </c>
      <c r="O67">
        <v>9</v>
      </c>
      <c r="P67">
        <v>55.694046</v>
      </c>
      <c r="R67">
        <v>4.75</v>
      </c>
      <c r="S67" t="s">
        <v>734</v>
      </c>
      <c r="T67" t="s">
        <v>723</v>
      </c>
      <c r="U67" t="s">
        <v>34</v>
      </c>
      <c r="V67">
        <v>5</v>
      </c>
      <c r="W67" t="s">
        <v>735</v>
      </c>
      <c r="X67" t="s">
        <v>736</v>
      </c>
      <c r="Y67" t="s">
        <v>726</v>
      </c>
    </row>
    <row r="68" spans="1:25" x14ac:dyDescent="0.2">
      <c r="A68">
        <v>8</v>
      </c>
      <c r="B68" t="s">
        <v>961</v>
      </c>
      <c r="C68" t="s">
        <v>476</v>
      </c>
      <c r="D68">
        <v>2019</v>
      </c>
      <c r="E68" t="s">
        <v>684</v>
      </c>
      <c r="F68" t="s">
        <v>720</v>
      </c>
      <c r="G68" t="s">
        <v>30</v>
      </c>
      <c r="H68" t="s">
        <v>43</v>
      </c>
      <c r="I68" t="s">
        <v>574</v>
      </c>
      <c r="J68">
        <v>3.58</v>
      </c>
      <c r="K68">
        <v>3.49</v>
      </c>
      <c r="L68">
        <v>3</v>
      </c>
      <c r="M68">
        <v>1.23</v>
      </c>
      <c r="N68">
        <v>1.49</v>
      </c>
      <c r="O68">
        <v>9</v>
      </c>
      <c r="P68">
        <v>55.694046</v>
      </c>
      <c r="R68">
        <v>4.75</v>
      </c>
      <c r="S68" t="s">
        <v>734</v>
      </c>
      <c r="T68" t="s">
        <v>723</v>
      </c>
      <c r="U68" t="s">
        <v>34</v>
      </c>
      <c r="V68">
        <v>5</v>
      </c>
      <c r="W68" t="s">
        <v>735</v>
      </c>
      <c r="X68" t="s">
        <v>736</v>
      </c>
      <c r="Y68" t="s">
        <v>726</v>
      </c>
    </row>
    <row r="69" spans="1:25" x14ac:dyDescent="0.2">
      <c r="A69">
        <v>8</v>
      </c>
      <c r="B69" t="s">
        <v>961</v>
      </c>
      <c r="C69" t="s">
        <v>476</v>
      </c>
      <c r="D69">
        <v>2019</v>
      </c>
      <c r="E69" t="s">
        <v>684</v>
      </c>
      <c r="F69" t="s">
        <v>720</v>
      </c>
      <c r="G69" t="s">
        <v>30</v>
      </c>
      <c r="H69" t="s">
        <v>46</v>
      </c>
      <c r="I69" t="s">
        <v>137</v>
      </c>
      <c r="J69">
        <v>107.61</v>
      </c>
      <c r="K69">
        <v>101.05</v>
      </c>
      <c r="L69">
        <v>3</v>
      </c>
      <c r="M69">
        <v>84.64</v>
      </c>
      <c r="N69">
        <v>38.229999999999997</v>
      </c>
      <c r="O69">
        <v>9</v>
      </c>
      <c r="P69">
        <v>55.694046</v>
      </c>
      <c r="R69">
        <v>4.75</v>
      </c>
      <c r="S69" t="s">
        <v>734</v>
      </c>
      <c r="T69" t="s">
        <v>723</v>
      </c>
      <c r="U69" t="s">
        <v>34</v>
      </c>
      <c r="V69">
        <v>5</v>
      </c>
      <c r="W69" t="s">
        <v>735</v>
      </c>
      <c r="X69" t="s">
        <v>736</v>
      </c>
      <c r="Y69" t="s">
        <v>726</v>
      </c>
    </row>
    <row r="70" spans="1:25" x14ac:dyDescent="0.2">
      <c r="A70">
        <v>8</v>
      </c>
      <c r="B70" t="s">
        <v>961</v>
      </c>
      <c r="C70" t="s">
        <v>476</v>
      </c>
      <c r="D70">
        <v>2019</v>
      </c>
      <c r="E70" t="s">
        <v>684</v>
      </c>
      <c r="F70" t="s">
        <v>720</v>
      </c>
      <c r="G70" t="s">
        <v>30</v>
      </c>
      <c r="H70" t="s">
        <v>46</v>
      </c>
      <c r="I70" t="s">
        <v>574</v>
      </c>
      <c r="J70">
        <v>6.55</v>
      </c>
      <c r="K70">
        <v>10.66</v>
      </c>
      <c r="L70">
        <v>3</v>
      </c>
      <c r="M70">
        <v>5.89</v>
      </c>
      <c r="N70">
        <v>5.55</v>
      </c>
      <c r="O70">
        <v>9</v>
      </c>
      <c r="P70">
        <v>55.694046</v>
      </c>
      <c r="R70">
        <v>4.75</v>
      </c>
      <c r="S70" t="s">
        <v>734</v>
      </c>
      <c r="T70" t="s">
        <v>723</v>
      </c>
      <c r="U70" t="s">
        <v>34</v>
      </c>
      <c r="V70">
        <v>5</v>
      </c>
      <c r="W70" t="s">
        <v>735</v>
      </c>
      <c r="X70" t="s">
        <v>736</v>
      </c>
      <c r="Y70" t="s">
        <v>726</v>
      </c>
    </row>
    <row r="71" spans="1:25" x14ac:dyDescent="0.2">
      <c r="A71">
        <v>5</v>
      </c>
      <c r="B71" t="s">
        <v>956</v>
      </c>
      <c r="C71" t="s">
        <v>825</v>
      </c>
      <c r="D71">
        <v>2019</v>
      </c>
      <c r="E71" t="s">
        <v>683</v>
      </c>
      <c r="F71" t="s">
        <v>720</v>
      </c>
      <c r="G71" t="s">
        <v>30</v>
      </c>
      <c r="H71" t="s">
        <v>43</v>
      </c>
      <c r="I71" t="s">
        <v>137</v>
      </c>
      <c r="J71">
        <v>70</v>
      </c>
      <c r="K71">
        <v>12</v>
      </c>
      <c r="L71">
        <v>5</v>
      </c>
      <c r="M71">
        <v>68</v>
      </c>
      <c r="N71">
        <v>12</v>
      </c>
      <c r="O71">
        <v>5</v>
      </c>
      <c r="P71">
        <v>57.597999999999999</v>
      </c>
      <c r="Q71">
        <v>50</v>
      </c>
      <c r="R71">
        <v>4</v>
      </c>
      <c r="S71" t="s">
        <v>722</v>
      </c>
      <c r="T71" t="s">
        <v>731</v>
      </c>
      <c r="U71" t="s">
        <v>34</v>
      </c>
      <c r="V71">
        <v>1</v>
      </c>
      <c r="W71" t="s">
        <v>733</v>
      </c>
      <c r="X71" t="s">
        <v>733</v>
      </c>
      <c r="Y71" t="s">
        <v>732</v>
      </c>
    </row>
    <row r="72" spans="1:25" x14ac:dyDescent="0.2">
      <c r="A72">
        <v>5</v>
      </c>
      <c r="B72" t="s">
        <v>956</v>
      </c>
      <c r="C72" t="s">
        <v>826</v>
      </c>
      <c r="D72">
        <v>2019</v>
      </c>
      <c r="E72" t="s">
        <v>683</v>
      </c>
      <c r="F72" t="s">
        <v>720</v>
      </c>
      <c r="G72" t="s">
        <v>30</v>
      </c>
      <c r="H72" t="s">
        <v>43</v>
      </c>
      <c r="I72" t="s">
        <v>686</v>
      </c>
      <c r="J72">
        <v>15</v>
      </c>
      <c r="K72">
        <v>2</v>
      </c>
      <c r="L72">
        <v>5</v>
      </c>
      <c r="M72">
        <v>14</v>
      </c>
      <c r="N72">
        <v>2</v>
      </c>
      <c r="O72">
        <v>5</v>
      </c>
      <c r="P72">
        <v>57.597999999999999</v>
      </c>
      <c r="Q72">
        <v>50</v>
      </c>
      <c r="R72">
        <v>4</v>
      </c>
      <c r="S72" t="s">
        <v>722</v>
      </c>
      <c r="T72" t="s">
        <v>731</v>
      </c>
      <c r="U72" t="s">
        <v>34</v>
      </c>
      <c r="V72">
        <v>2</v>
      </c>
      <c r="W72" t="s">
        <v>733</v>
      </c>
      <c r="X72" t="s">
        <v>733</v>
      </c>
      <c r="Y72" t="s">
        <v>732</v>
      </c>
    </row>
    <row r="73" spans="1:25" x14ac:dyDescent="0.2">
      <c r="A73">
        <v>31</v>
      </c>
      <c r="B73" t="s">
        <v>976</v>
      </c>
      <c r="C73" t="s">
        <v>219</v>
      </c>
      <c r="D73">
        <v>2007</v>
      </c>
      <c r="E73" t="s">
        <v>683</v>
      </c>
      <c r="F73" t="s">
        <v>720</v>
      </c>
      <c r="G73" t="s">
        <v>0</v>
      </c>
      <c r="H73" t="s">
        <v>46</v>
      </c>
      <c r="I73" t="s">
        <v>137</v>
      </c>
      <c r="J73">
        <v>1.08</v>
      </c>
      <c r="K73">
        <v>4.74</v>
      </c>
      <c r="L73">
        <v>2</v>
      </c>
      <c r="M73">
        <v>-0.86</v>
      </c>
      <c r="N73">
        <v>6.41</v>
      </c>
      <c r="O73">
        <v>2</v>
      </c>
      <c r="P73">
        <v>62</v>
      </c>
      <c r="Q73">
        <v>40</v>
      </c>
      <c r="R73">
        <v>12</v>
      </c>
      <c r="S73" t="s">
        <v>722</v>
      </c>
      <c r="T73" t="s">
        <v>676</v>
      </c>
      <c r="U73" t="s">
        <v>14</v>
      </c>
      <c r="V73">
        <v>5</v>
      </c>
      <c r="W73" t="s">
        <v>728</v>
      </c>
      <c r="X73" t="s">
        <v>240</v>
      </c>
      <c r="Y73" t="s">
        <v>726</v>
      </c>
    </row>
    <row r="74" spans="1:25" ht="17" x14ac:dyDescent="0.2">
      <c r="A74">
        <v>41</v>
      </c>
      <c r="B74" t="s">
        <v>984</v>
      </c>
      <c r="D74">
        <v>1993</v>
      </c>
      <c r="E74" t="s">
        <v>683</v>
      </c>
      <c r="F74" t="s">
        <v>720</v>
      </c>
      <c r="G74" t="s">
        <v>135</v>
      </c>
      <c r="H74" t="s">
        <v>43</v>
      </c>
      <c r="I74" s="3" t="s">
        <v>137</v>
      </c>
      <c r="J74" s="3">
        <v>14</v>
      </c>
      <c r="K74" s="3">
        <v>20</v>
      </c>
      <c r="L74">
        <v>3</v>
      </c>
      <c r="M74">
        <v>72</v>
      </c>
      <c r="N74">
        <v>40</v>
      </c>
      <c r="O74">
        <v>3</v>
      </c>
      <c r="P74">
        <v>56.242859000000003</v>
      </c>
      <c r="S74" t="s">
        <v>722</v>
      </c>
      <c r="T74" t="s">
        <v>676</v>
      </c>
      <c r="U74" t="s">
        <v>2</v>
      </c>
      <c r="V74">
        <v>3</v>
      </c>
      <c r="W74" t="s">
        <v>27</v>
      </c>
      <c r="X74" t="s">
        <v>27</v>
      </c>
      <c r="Y74" t="s">
        <v>732</v>
      </c>
    </row>
    <row r="75" spans="1:25" x14ac:dyDescent="0.2">
      <c r="A75">
        <v>41</v>
      </c>
      <c r="B75" t="s">
        <v>984</v>
      </c>
      <c r="D75">
        <v>1993</v>
      </c>
      <c r="E75" t="s">
        <v>683</v>
      </c>
      <c r="F75" t="s">
        <v>720</v>
      </c>
      <c r="G75" t="s">
        <v>135</v>
      </c>
      <c r="H75" t="s">
        <v>43</v>
      </c>
      <c r="I75" t="s">
        <v>137</v>
      </c>
      <c r="J75" s="3">
        <v>88</v>
      </c>
      <c r="K75" s="3">
        <v>32</v>
      </c>
      <c r="L75">
        <v>2</v>
      </c>
      <c r="M75">
        <v>191</v>
      </c>
      <c r="N75">
        <v>55</v>
      </c>
      <c r="O75">
        <v>2</v>
      </c>
      <c r="P75">
        <v>56.242859000000003</v>
      </c>
      <c r="S75" t="s">
        <v>722</v>
      </c>
      <c r="T75" t="s">
        <v>676</v>
      </c>
      <c r="U75" t="s">
        <v>2</v>
      </c>
      <c r="V75">
        <v>3</v>
      </c>
      <c r="W75" t="s">
        <v>27</v>
      </c>
      <c r="X75" t="s">
        <v>27</v>
      </c>
      <c r="Y75" t="s">
        <v>732</v>
      </c>
    </row>
    <row r="76" spans="1:25" x14ac:dyDescent="0.2">
      <c r="A76">
        <v>41</v>
      </c>
      <c r="B76" t="s">
        <v>984</v>
      </c>
      <c r="D76">
        <v>1993</v>
      </c>
      <c r="E76" t="s">
        <v>683</v>
      </c>
      <c r="F76" t="s">
        <v>720</v>
      </c>
      <c r="G76" t="s">
        <v>135</v>
      </c>
      <c r="H76" t="s">
        <v>43</v>
      </c>
      <c r="I76" t="s">
        <v>138</v>
      </c>
      <c r="J76" s="3">
        <v>7</v>
      </c>
      <c r="K76" s="3">
        <v>6</v>
      </c>
      <c r="L76">
        <v>3</v>
      </c>
      <c r="M76">
        <v>36</v>
      </c>
      <c r="N76">
        <v>14</v>
      </c>
      <c r="O76">
        <v>3</v>
      </c>
      <c r="P76">
        <v>56.242859000000003</v>
      </c>
      <c r="S76" t="s">
        <v>722</v>
      </c>
      <c r="T76" t="s">
        <v>676</v>
      </c>
      <c r="U76" t="s">
        <v>2</v>
      </c>
      <c r="V76">
        <v>3</v>
      </c>
      <c r="W76" t="s">
        <v>27</v>
      </c>
      <c r="X76" t="s">
        <v>27</v>
      </c>
      <c r="Y76" t="s">
        <v>732</v>
      </c>
    </row>
    <row r="77" spans="1:25" x14ac:dyDescent="0.2">
      <c r="A77">
        <v>41</v>
      </c>
      <c r="B77" t="s">
        <v>984</v>
      </c>
      <c r="D77">
        <v>1993</v>
      </c>
      <c r="E77" t="s">
        <v>683</v>
      </c>
      <c r="F77" t="s">
        <v>720</v>
      </c>
      <c r="G77" t="s">
        <v>135</v>
      </c>
      <c r="H77" t="s">
        <v>43</v>
      </c>
      <c r="I77" t="s">
        <v>138</v>
      </c>
      <c r="J77" s="3">
        <v>9</v>
      </c>
      <c r="K77" s="3">
        <v>3</v>
      </c>
      <c r="L77">
        <v>2</v>
      </c>
      <c r="M77">
        <v>36</v>
      </c>
      <c r="N77">
        <v>15</v>
      </c>
      <c r="O77">
        <v>2</v>
      </c>
      <c r="P77">
        <v>56.242859000000003</v>
      </c>
      <c r="S77" t="s">
        <v>722</v>
      </c>
      <c r="T77" t="s">
        <v>676</v>
      </c>
      <c r="U77" t="s">
        <v>2</v>
      </c>
      <c r="V77">
        <v>3</v>
      </c>
      <c r="W77" t="s">
        <v>27</v>
      </c>
      <c r="X77" t="s">
        <v>27</v>
      </c>
      <c r="Y77" t="s">
        <v>732</v>
      </c>
    </row>
    <row r="78" spans="1:25" x14ac:dyDescent="0.2">
      <c r="A78">
        <v>34</v>
      </c>
      <c r="B78" t="s">
        <v>980</v>
      </c>
      <c r="C78" t="s">
        <v>202</v>
      </c>
      <c r="D78">
        <v>2015</v>
      </c>
      <c r="E78" t="s">
        <v>684</v>
      </c>
      <c r="F78" t="s">
        <v>720</v>
      </c>
      <c r="G78" t="s">
        <v>190</v>
      </c>
      <c r="H78" t="s">
        <v>46</v>
      </c>
      <c r="I78" t="s">
        <v>137</v>
      </c>
      <c r="J78">
        <v>31.59</v>
      </c>
      <c r="K78">
        <v>8.94</v>
      </c>
      <c r="L78">
        <v>9</v>
      </c>
      <c r="M78">
        <v>30.04</v>
      </c>
      <c r="N78">
        <v>13.12</v>
      </c>
      <c r="O78">
        <v>9</v>
      </c>
      <c r="P78">
        <v>58.224444439999999</v>
      </c>
      <c r="Q78" t="s">
        <v>730</v>
      </c>
      <c r="R78" t="s">
        <v>730</v>
      </c>
      <c r="S78" t="s">
        <v>730</v>
      </c>
      <c r="T78" t="s">
        <v>676</v>
      </c>
      <c r="U78" t="s">
        <v>34</v>
      </c>
      <c r="V78">
        <v>1</v>
      </c>
      <c r="W78" t="s">
        <v>738</v>
      </c>
      <c r="X78" t="s">
        <v>738</v>
      </c>
      <c r="Y78" t="s">
        <v>726</v>
      </c>
    </row>
    <row r="79" spans="1:25" x14ac:dyDescent="0.2">
      <c r="A79">
        <v>27</v>
      </c>
      <c r="B79" t="s">
        <v>974</v>
      </c>
      <c r="C79" t="s">
        <v>866</v>
      </c>
      <c r="D79">
        <v>2007</v>
      </c>
      <c r="E79" t="s">
        <v>683</v>
      </c>
      <c r="F79" t="s">
        <v>720</v>
      </c>
      <c r="G79" t="s">
        <v>135</v>
      </c>
      <c r="H79" t="s">
        <v>46</v>
      </c>
      <c r="I79" t="s">
        <v>137</v>
      </c>
      <c r="J79">
        <v>0</v>
      </c>
      <c r="K79">
        <v>0</v>
      </c>
      <c r="L79">
        <v>2</v>
      </c>
      <c r="M79">
        <v>18</v>
      </c>
      <c r="N79">
        <v>11.31</v>
      </c>
      <c r="O79">
        <v>2</v>
      </c>
      <c r="P79">
        <v>67</v>
      </c>
      <c r="Q79">
        <v>50</v>
      </c>
      <c r="R79">
        <v>6</v>
      </c>
      <c r="S79" t="s">
        <v>722</v>
      </c>
      <c r="T79" t="s">
        <v>723</v>
      </c>
      <c r="U79" t="s">
        <v>2</v>
      </c>
      <c r="V79">
        <v>11</v>
      </c>
      <c r="W79" t="s">
        <v>738</v>
      </c>
      <c r="X79" t="s">
        <v>738</v>
      </c>
      <c r="Y79" t="s">
        <v>726</v>
      </c>
    </row>
    <row r="80" spans="1:25" x14ac:dyDescent="0.2">
      <c r="A80">
        <v>27</v>
      </c>
      <c r="B80" t="s">
        <v>974</v>
      </c>
      <c r="C80" t="s">
        <v>866</v>
      </c>
      <c r="D80">
        <v>2007</v>
      </c>
      <c r="E80" t="s">
        <v>683</v>
      </c>
      <c r="F80" t="s">
        <v>720</v>
      </c>
      <c r="G80" t="s">
        <v>135</v>
      </c>
      <c r="H80" t="s">
        <v>46</v>
      </c>
      <c r="I80" t="s">
        <v>137</v>
      </c>
      <c r="J80">
        <v>7</v>
      </c>
      <c r="K80">
        <v>0</v>
      </c>
      <c r="L80">
        <v>2</v>
      </c>
      <c r="M80">
        <v>59</v>
      </c>
      <c r="N80">
        <v>41.01</v>
      </c>
      <c r="O80">
        <v>2</v>
      </c>
      <c r="P80">
        <v>67</v>
      </c>
      <c r="Q80">
        <v>50</v>
      </c>
      <c r="R80">
        <v>6</v>
      </c>
      <c r="S80" t="s">
        <v>722</v>
      </c>
      <c r="T80" t="s">
        <v>723</v>
      </c>
      <c r="U80" t="s">
        <v>2</v>
      </c>
      <c r="V80">
        <v>11</v>
      </c>
      <c r="W80" t="s">
        <v>738</v>
      </c>
      <c r="X80" t="s">
        <v>738</v>
      </c>
      <c r="Y80" t="s">
        <v>726</v>
      </c>
    </row>
    <row r="81" spans="1:25" x14ac:dyDescent="0.2">
      <c r="A81">
        <v>27</v>
      </c>
      <c r="B81" t="s">
        <v>974</v>
      </c>
      <c r="C81" t="s">
        <v>866</v>
      </c>
      <c r="D81">
        <v>2007</v>
      </c>
      <c r="E81" t="s">
        <v>683</v>
      </c>
      <c r="F81" t="s">
        <v>720</v>
      </c>
      <c r="G81" t="s">
        <v>135</v>
      </c>
      <c r="H81" t="s">
        <v>46</v>
      </c>
      <c r="I81" t="s">
        <v>137</v>
      </c>
      <c r="J81">
        <v>8</v>
      </c>
      <c r="K81">
        <v>11.31</v>
      </c>
      <c r="L81">
        <v>2</v>
      </c>
      <c r="M81">
        <v>22</v>
      </c>
      <c r="N81">
        <v>8.49</v>
      </c>
      <c r="O81">
        <v>2</v>
      </c>
      <c r="P81">
        <v>67</v>
      </c>
      <c r="Q81">
        <v>50</v>
      </c>
      <c r="R81">
        <v>6</v>
      </c>
      <c r="S81" t="s">
        <v>722</v>
      </c>
      <c r="T81" t="s">
        <v>723</v>
      </c>
      <c r="U81" t="s">
        <v>2</v>
      </c>
      <c r="V81">
        <v>11</v>
      </c>
      <c r="W81" t="s">
        <v>738</v>
      </c>
      <c r="X81" t="s">
        <v>738</v>
      </c>
      <c r="Y81" t="s">
        <v>726</v>
      </c>
    </row>
    <row r="82" spans="1:25" x14ac:dyDescent="0.2">
      <c r="A82">
        <v>27</v>
      </c>
      <c r="B82" t="s">
        <v>974</v>
      </c>
      <c r="C82" t="s">
        <v>866</v>
      </c>
      <c r="D82">
        <v>2007</v>
      </c>
      <c r="E82" t="s">
        <v>683</v>
      </c>
      <c r="F82" t="s">
        <v>720</v>
      </c>
      <c r="G82" t="s">
        <v>135</v>
      </c>
      <c r="H82" t="s">
        <v>46</v>
      </c>
      <c r="I82" t="s">
        <v>137</v>
      </c>
      <c r="J82">
        <v>16</v>
      </c>
      <c r="K82">
        <v>8.49</v>
      </c>
      <c r="L82">
        <v>2</v>
      </c>
      <c r="M82">
        <v>44</v>
      </c>
      <c r="N82">
        <v>36.770000000000003</v>
      </c>
      <c r="O82">
        <v>2</v>
      </c>
      <c r="P82">
        <v>67</v>
      </c>
      <c r="Q82">
        <v>50</v>
      </c>
      <c r="R82">
        <v>6</v>
      </c>
      <c r="S82" t="s">
        <v>722</v>
      </c>
      <c r="T82" t="s">
        <v>723</v>
      </c>
      <c r="U82" t="s">
        <v>2</v>
      </c>
      <c r="V82">
        <v>11</v>
      </c>
      <c r="W82" t="s">
        <v>738</v>
      </c>
      <c r="X82" t="s">
        <v>738</v>
      </c>
      <c r="Y82" t="s">
        <v>726</v>
      </c>
    </row>
    <row r="83" spans="1:25" x14ac:dyDescent="0.2">
      <c r="A83">
        <v>27</v>
      </c>
      <c r="B83" t="s">
        <v>974</v>
      </c>
      <c r="C83" t="s">
        <v>867</v>
      </c>
      <c r="D83">
        <v>2007</v>
      </c>
      <c r="E83" t="s">
        <v>683</v>
      </c>
      <c r="F83" t="s">
        <v>720</v>
      </c>
      <c r="G83" t="s">
        <v>135</v>
      </c>
      <c r="H83" t="s">
        <v>46</v>
      </c>
      <c r="I83" t="s">
        <v>137</v>
      </c>
      <c r="J83">
        <v>0.75</v>
      </c>
      <c r="K83">
        <v>0.5</v>
      </c>
      <c r="L83">
        <v>4</v>
      </c>
      <c r="M83">
        <v>3.5</v>
      </c>
      <c r="N83">
        <v>1</v>
      </c>
      <c r="O83">
        <v>4</v>
      </c>
      <c r="P83">
        <v>67</v>
      </c>
      <c r="Q83">
        <v>50</v>
      </c>
      <c r="R83">
        <v>6</v>
      </c>
      <c r="S83" t="s">
        <v>722</v>
      </c>
      <c r="T83" t="s">
        <v>723</v>
      </c>
      <c r="U83" t="s">
        <v>2</v>
      </c>
      <c r="V83">
        <v>11</v>
      </c>
      <c r="W83" t="s">
        <v>728</v>
      </c>
      <c r="X83" t="s">
        <v>240</v>
      </c>
      <c r="Y83" t="s">
        <v>726</v>
      </c>
    </row>
    <row r="84" spans="1:25" x14ac:dyDescent="0.2">
      <c r="A84">
        <v>29</v>
      </c>
      <c r="B84" t="s">
        <v>975</v>
      </c>
      <c r="C84" t="s">
        <v>870</v>
      </c>
      <c r="D84">
        <v>2009</v>
      </c>
      <c r="E84" t="s">
        <v>683</v>
      </c>
      <c r="F84" t="s">
        <v>720</v>
      </c>
      <c r="G84" t="s">
        <v>41</v>
      </c>
      <c r="H84" t="s">
        <v>46</v>
      </c>
      <c r="I84" t="s">
        <v>741</v>
      </c>
      <c r="J84">
        <v>19.71</v>
      </c>
      <c r="K84">
        <v>10.32</v>
      </c>
      <c r="L84">
        <v>3</v>
      </c>
      <c r="M84">
        <v>30.66</v>
      </c>
      <c r="N84">
        <v>11.09</v>
      </c>
      <c r="O84">
        <v>3</v>
      </c>
      <c r="P84">
        <v>55.201450000000001</v>
      </c>
      <c r="Q84">
        <v>58</v>
      </c>
      <c r="R84">
        <v>6</v>
      </c>
      <c r="S84" t="s">
        <v>734</v>
      </c>
      <c r="T84" t="s">
        <v>723</v>
      </c>
      <c r="U84" t="s">
        <v>34</v>
      </c>
      <c r="V84">
        <v>10</v>
      </c>
      <c r="W84" t="s">
        <v>738</v>
      </c>
      <c r="X84" t="s">
        <v>738</v>
      </c>
      <c r="Y84" t="s">
        <v>726</v>
      </c>
    </row>
    <row r="85" spans="1:25" x14ac:dyDescent="0.2">
      <c r="A85">
        <v>29</v>
      </c>
      <c r="B85" t="s">
        <v>975</v>
      </c>
      <c r="C85" t="s">
        <v>871</v>
      </c>
      <c r="D85">
        <v>2009</v>
      </c>
      <c r="E85" t="s">
        <v>683</v>
      </c>
      <c r="F85" t="s">
        <v>720</v>
      </c>
      <c r="G85" t="s">
        <v>41</v>
      </c>
      <c r="H85" t="s">
        <v>46</v>
      </c>
      <c r="I85" t="s">
        <v>137</v>
      </c>
      <c r="J85">
        <v>18.62</v>
      </c>
      <c r="K85">
        <v>5.26</v>
      </c>
      <c r="L85">
        <v>3</v>
      </c>
      <c r="M85">
        <v>19.850000000000001</v>
      </c>
      <c r="N85">
        <v>12.29</v>
      </c>
      <c r="O85">
        <v>3</v>
      </c>
      <c r="P85">
        <v>55.201450000000001</v>
      </c>
      <c r="Q85">
        <v>58</v>
      </c>
      <c r="R85">
        <v>6</v>
      </c>
      <c r="S85" t="s">
        <v>734</v>
      </c>
      <c r="T85" t="s">
        <v>723</v>
      </c>
      <c r="U85" t="s">
        <v>34</v>
      </c>
      <c r="V85">
        <v>10</v>
      </c>
      <c r="W85" t="s">
        <v>738</v>
      </c>
      <c r="X85" t="s">
        <v>738</v>
      </c>
      <c r="Y85" t="s">
        <v>726</v>
      </c>
    </row>
    <row r="86" spans="1:25" x14ac:dyDescent="0.2">
      <c r="A86">
        <v>29</v>
      </c>
      <c r="B86" t="s">
        <v>975</v>
      </c>
      <c r="C86" t="s">
        <v>872</v>
      </c>
      <c r="D86">
        <v>2009</v>
      </c>
      <c r="E86" t="s">
        <v>683</v>
      </c>
      <c r="F86" t="s">
        <v>720</v>
      </c>
      <c r="G86" t="s">
        <v>41</v>
      </c>
      <c r="H86" t="s">
        <v>46</v>
      </c>
      <c r="I86" t="s">
        <v>741</v>
      </c>
      <c r="J86">
        <v>12.6</v>
      </c>
      <c r="K86">
        <v>12.31</v>
      </c>
      <c r="L86">
        <v>3</v>
      </c>
      <c r="M86">
        <v>29.74</v>
      </c>
      <c r="N86">
        <v>9.18</v>
      </c>
      <c r="O86">
        <v>3</v>
      </c>
      <c r="P86">
        <v>55.261032999999998</v>
      </c>
      <c r="Q86">
        <v>23</v>
      </c>
      <c r="R86">
        <v>1.5</v>
      </c>
      <c r="S86" t="s">
        <v>734</v>
      </c>
      <c r="T86" t="s">
        <v>723</v>
      </c>
      <c r="U86" t="s">
        <v>34</v>
      </c>
      <c r="V86">
        <v>12</v>
      </c>
      <c r="W86" t="s">
        <v>738</v>
      </c>
      <c r="X86" t="s">
        <v>738</v>
      </c>
      <c r="Y86" t="s">
        <v>726</v>
      </c>
    </row>
    <row r="87" spans="1:25" x14ac:dyDescent="0.2">
      <c r="A87">
        <v>29</v>
      </c>
      <c r="B87" t="s">
        <v>975</v>
      </c>
      <c r="C87" t="s">
        <v>873</v>
      </c>
      <c r="D87">
        <v>2009</v>
      </c>
      <c r="E87" t="s">
        <v>683</v>
      </c>
      <c r="F87" t="s">
        <v>720</v>
      </c>
      <c r="G87" t="s">
        <v>41</v>
      </c>
      <c r="H87" t="s">
        <v>46</v>
      </c>
      <c r="I87" t="s">
        <v>137</v>
      </c>
      <c r="J87">
        <v>0</v>
      </c>
      <c r="K87">
        <v>0</v>
      </c>
      <c r="L87">
        <v>3</v>
      </c>
      <c r="M87">
        <v>81.91</v>
      </c>
      <c r="N87">
        <v>113.95</v>
      </c>
      <c r="O87">
        <v>3</v>
      </c>
      <c r="P87">
        <v>55.261032999999998</v>
      </c>
      <c r="Q87">
        <v>23</v>
      </c>
      <c r="R87">
        <v>1.5</v>
      </c>
      <c r="S87" t="s">
        <v>734</v>
      </c>
      <c r="T87" t="s">
        <v>723</v>
      </c>
      <c r="U87" t="s">
        <v>34</v>
      </c>
      <c r="V87">
        <v>12</v>
      </c>
      <c r="W87" t="s">
        <v>738</v>
      </c>
      <c r="X87" t="s">
        <v>738</v>
      </c>
      <c r="Y87" t="s">
        <v>726</v>
      </c>
    </row>
    <row r="88" spans="1:25" x14ac:dyDescent="0.2">
      <c r="A88">
        <v>29</v>
      </c>
      <c r="B88" t="s">
        <v>975</v>
      </c>
      <c r="C88" t="s">
        <v>874</v>
      </c>
      <c r="D88">
        <v>2009</v>
      </c>
      <c r="E88" t="s">
        <v>683</v>
      </c>
      <c r="F88" t="s">
        <v>720</v>
      </c>
      <c r="G88" t="s">
        <v>41</v>
      </c>
      <c r="H88" t="s">
        <v>46</v>
      </c>
      <c r="I88" t="s">
        <v>741</v>
      </c>
      <c r="J88">
        <v>4.0199999999999996</v>
      </c>
      <c r="K88">
        <v>5.0599999999999996</v>
      </c>
      <c r="L88">
        <v>2</v>
      </c>
      <c r="M88">
        <v>7.3</v>
      </c>
      <c r="N88">
        <v>11.89</v>
      </c>
      <c r="O88">
        <v>2</v>
      </c>
      <c r="P88">
        <v>55.416640000000001</v>
      </c>
      <c r="Q88">
        <v>36</v>
      </c>
      <c r="R88">
        <v>3.4</v>
      </c>
      <c r="S88" t="s">
        <v>734</v>
      </c>
      <c r="T88" t="s">
        <v>723</v>
      </c>
      <c r="U88" t="s">
        <v>34</v>
      </c>
      <c r="V88">
        <v>11</v>
      </c>
      <c r="W88" t="s">
        <v>738</v>
      </c>
      <c r="X88" t="s">
        <v>738</v>
      </c>
      <c r="Y88" t="s">
        <v>726</v>
      </c>
    </row>
    <row r="89" spans="1:25" x14ac:dyDescent="0.2">
      <c r="A89">
        <v>29</v>
      </c>
      <c r="B89" t="s">
        <v>975</v>
      </c>
      <c r="C89" t="s">
        <v>875</v>
      </c>
      <c r="D89">
        <v>2009</v>
      </c>
      <c r="E89" t="s">
        <v>683</v>
      </c>
      <c r="F89" t="s">
        <v>720</v>
      </c>
      <c r="G89" t="s">
        <v>41</v>
      </c>
      <c r="H89" t="s">
        <v>46</v>
      </c>
      <c r="I89" t="s">
        <v>137</v>
      </c>
      <c r="J89">
        <v>3.1</v>
      </c>
      <c r="K89">
        <v>3.24</v>
      </c>
      <c r="L89">
        <v>2</v>
      </c>
      <c r="M89">
        <v>12.41</v>
      </c>
      <c r="N89">
        <v>8.61</v>
      </c>
      <c r="O89">
        <v>2</v>
      </c>
      <c r="P89">
        <v>55.416640000000001</v>
      </c>
      <c r="Q89">
        <v>36</v>
      </c>
      <c r="R89">
        <v>3.4</v>
      </c>
      <c r="S89" t="s">
        <v>734</v>
      </c>
      <c r="T89" t="s">
        <v>723</v>
      </c>
      <c r="U89" t="s">
        <v>34</v>
      </c>
      <c r="V89">
        <v>11</v>
      </c>
      <c r="W89" t="s">
        <v>738</v>
      </c>
      <c r="X89" t="s">
        <v>738</v>
      </c>
      <c r="Y89" t="s">
        <v>726</v>
      </c>
    </row>
    <row r="90" spans="1:25" x14ac:dyDescent="0.2">
      <c r="A90">
        <v>37</v>
      </c>
      <c r="B90" t="s">
        <v>919</v>
      </c>
      <c r="D90">
        <v>2008</v>
      </c>
      <c r="E90" t="s">
        <v>684</v>
      </c>
      <c r="F90" t="s">
        <v>720</v>
      </c>
      <c r="G90" t="s">
        <v>135</v>
      </c>
      <c r="H90" t="s">
        <v>46</v>
      </c>
      <c r="I90" t="s">
        <v>137</v>
      </c>
      <c r="J90">
        <v>8.73</v>
      </c>
      <c r="K90">
        <v>7.66</v>
      </c>
      <c r="L90">
        <v>3</v>
      </c>
      <c r="M90">
        <v>3.3</v>
      </c>
      <c r="N90">
        <v>1.1299999999999999</v>
      </c>
      <c r="O90">
        <v>3</v>
      </c>
      <c r="P90">
        <v>65.518212000000005</v>
      </c>
      <c r="S90" t="s">
        <v>722</v>
      </c>
      <c r="T90" t="s">
        <v>676</v>
      </c>
      <c r="U90" t="s">
        <v>34</v>
      </c>
      <c r="V90" t="s">
        <v>730</v>
      </c>
      <c r="W90" t="s">
        <v>728</v>
      </c>
      <c r="X90" t="s">
        <v>115</v>
      </c>
      <c r="Y90" t="s">
        <v>726</v>
      </c>
    </row>
    <row r="91" spans="1:25" x14ac:dyDescent="0.2">
      <c r="A91">
        <v>37</v>
      </c>
      <c r="B91" t="s">
        <v>919</v>
      </c>
      <c r="D91">
        <v>2008</v>
      </c>
      <c r="E91" t="s">
        <v>684</v>
      </c>
      <c r="F91" t="s">
        <v>720</v>
      </c>
      <c r="G91" t="s">
        <v>135</v>
      </c>
      <c r="H91" t="s">
        <v>46</v>
      </c>
      <c r="I91" t="s">
        <v>686</v>
      </c>
      <c r="J91">
        <v>2.57</v>
      </c>
      <c r="K91">
        <v>2.98</v>
      </c>
      <c r="L91">
        <v>3</v>
      </c>
      <c r="M91">
        <v>6.87</v>
      </c>
      <c r="N91">
        <v>4.2699999999999996</v>
      </c>
      <c r="O91">
        <v>3</v>
      </c>
      <c r="P91">
        <v>65.518212000000005</v>
      </c>
      <c r="S91" t="s">
        <v>722</v>
      </c>
      <c r="T91" t="s">
        <v>676</v>
      </c>
      <c r="U91" t="s">
        <v>34</v>
      </c>
      <c r="V91" t="s">
        <v>730</v>
      </c>
      <c r="W91" t="s">
        <v>728</v>
      </c>
      <c r="X91" t="s">
        <v>115</v>
      </c>
      <c r="Y91" t="s">
        <v>726</v>
      </c>
    </row>
    <row r="92" spans="1:25" x14ac:dyDescent="0.2">
      <c r="A92">
        <v>37</v>
      </c>
      <c r="B92" t="s">
        <v>919</v>
      </c>
      <c r="D92">
        <v>2008</v>
      </c>
      <c r="E92" t="s">
        <v>684</v>
      </c>
      <c r="F92" t="s">
        <v>720</v>
      </c>
      <c r="G92" t="s">
        <v>135</v>
      </c>
      <c r="H92" t="s">
        <v>46</v>
      </c>
      <c r="I92" t="s">
        <v>685</v>
      </c>
      <c r="J92">
        <v>1.1299999999999999</v>
      </c>
      <c r="K92">
        <v>0.68</v>
      </c>
      <c r="L92">
        <v>3</v>
      </c>
      <c r="M92">
        <v>2.4</v>
      </c>
      <c r="N92">
        <v>1.04</v>
      </c>
      <c r="O92">
        <v>3</v>
      </c>
      <c r="P92">
        <v>65.518212000000005</v>
      </c>
      <c r="S92" t="s">
        <v>722</v>
      </c>
      <c r="T92" t="s">
        <v>676</v>
      </c>
      <c r="U92" t="s">
        <v>34</v>
      </c>
      <c r="V92" t="s">
        <v>730</v>
      </c>
      <c r="W92" t="s">
        <v>728</v>
      </c>
      <c r="X92" t="s">
        <v>115</v>
      </c>
      <c r="Y92" t="s">
        <v>726</v>
      </c>
    </row>
    <row r="93" spans="1:25" x14ac:dyDescent="0.2">
      <c r="A93">
        <v>36</v>
      </c>
      <c r="B93" t="s">
        <v>982</v>
      </c>
      <c r="C93" t="s">
        <v>255</v>
      </c>
      <c r="D93">
        <v>2021</v>
      </c>
      <c r="E93" t="s">
        <v>684</v>
      </c>
      <c r="F93" t="s">
        <v>720</v>
      </c>
      <c r="G93" t="s">
        <v>144</v>
      </c>
      <c r="H93" t="s">
        <v>46</v>
      </c>
      <c r="I93" t="s">
        <v>741</v>
      </c>
      <c r="J93">
        <v>10.6</v>
      </c>
      <c r="K93">
        <v>4.5999999999999996</v>
      </c>
      <c r="L93">
        <v>4</v>
      </c>
      <c r="M93">
        <v>18.059999999999999</v>
      </c>
      <c r="N93">
        <v>19.559999999999999</v>
      </c>
      <c r="O93">
        <v>4</v>
      </c>
      <c r="P93">
        <v>54.777580999999998</v>
      </c>
      <c r="S93" t="s">
        <v>722</v>
      </c>
      <c r="T93" t="s">
        <v>723</v>
      </c>
      <c r="U93" t="s">
        <v>2</v>
      </c>
      <c r="V93">
        <v>6</v>
      </c>
      <c r="W93" t="s">
        <v>724</v>
      </c>
      <c r="X93" t="s">
        <v>725</v>
      </c>
      <c r="Y93" t="s">
        <v>726</v>
      </c>
    </row>
    <row r="94" spans="1:25" x14ac:dyDescent="0.2">
      <c r="A94">
        <v>36</v>
      </c>
      <c r="B94" t="s">
        <v>982</v>
      </c>
      <c r="C94" t="s">
        <v>255</v>
      </c>
      <c r="D94">
        <v>2021</v>
      </c>
      <c r="E94" t="s">
        <v>684</v>
      </c>
      <c r="F94" t="s">
        <v>720</v>
      </c>
      <c r="G94" t="s">
        <v>144</v>
      </c>
      <c r="H94" t="s">
        <v>46</v>
      </c>
      <c r="I94" t="s">
        <v>574</v>
      </c>
      <c r="J94">
        <v>10.3</v>
      </c>
      <c r="K94">
        <v>2.1</v>
      </c>
      <c r="L94">
        <v>4</v>
      </c>
      <c r="M94">
        <v>12.75</v>
      </c>
      <c r="N94">
        <v>8.91</v>
      </c>
      <c r="O94">
        <v>4</v>
      </c>
      <c r="P94">
        <v>54.777580999999998</v>
      </c>
      <c r="S94" t="s">
        <v>722</v>
      </c>
      <c r="T94" t="s">
        <v>723</v>
      </c>
      <c r="U94" t="s">
        <v>2</v>
      </c>
      <c r="V94">
        <v>6</v>
      </c>
      <c r="W94" t="s">
        <v>724</v>
      </c>
      <c r="X94" t="s">
        <v>725</v>
      </c>
      <c r="Y94" t="s">
        <v>726</v>
      </c>
    </row>
    <row r="95" spans="1:25" x14ac:dyDescent="0.2">
      <c r="A95">
        <v>10</v>
      </c>
      <c r="B95" t="s">
        <v>964</v>
      </c>
      <c r="C95" t="s">
        <v>829</v>
      </c>
      <c r="D95">
        <v>2017</v>
      </c>
      <c r="E95" t="s">
        <v>683</v>
      </c>
      <c r="F95" t="s">
        <v>720</v>
      </c>
      <c r="G95" t="s">
        <v>144</v>
      </c>
      <c r="H95" t="s">
        <v>43</v>
      </c>
      <c r="I95" t="s">
        <v>721</v>
      </c>
      <c r="J95">
        <v>0.04</v>
      </c>
      <c r="K95">
        <v>0.06</v>
      </c>
      <c r="L95">
        <v>5</v>
      </c>
      <c r="M95">
        <v>0.18</v>
      </c>
      <c r="N95">
        <v>0.23</v>
      </c>
      <c r="O95">
        <v>5</v>
      </c>
      <c r="P95">
        <v>52.823599999999999</v>
      </c>
      <c r="R95">
        <v>9</v>
      </c>
      <c r="S95" t="s">
        <v>734</v>
      </c>
      <c r="T95" t="s">
        <v>676</v>
      </c>
      <c r="U95" t="s">
        <v>14</v>
      </c>
      <c r="V95">
        <v>1</v>
      </c>
      <c r="W95" t="s">
        <v>728</v>
      </c>
      <c r="X95" t="s">
        <v>115</v>
      </c>
      <c r="Y95" t="s">
        <v>726</v>
      </c>
    </row>
    <row r="96" spans="1:25" x14ac:dyDescent="0.2">
      <c r="A96">
        <v>10</v>
      </c>
      <c r="B96" t="s">
        <v>964</v>
      </c>
      <c r="C96" t="s">
        <v>830</v>
      </c>
      <c r="D96">
        <v>2017</v>
      </c>
      <c r="E96" t="s">
        <v>683</v>
      </c>
      <c r="F96" t="s">
        <v>720</v>
      </c>
      <c r="G96" t="s">
        <v>144</v>
      </c>
      <c r="H96" t="s">
        <v>46</v>
      </c>
      <c r="I96" t="s">
        <v>721</v>
      </c>
      <c r="J96">
        <v>1.1399999999999999</v>
      </c>
      <c r="K96">
        <v>2.73</v>
      </c>
      <c r="L96">
        <v>5</v>
      </c>
      <c r="M96">
        <v>4.8600000000000003</v>
      </c>
      <c r="N96">
        <v>8.8000000000000007</v>
      </c>
      <c r="O96">
        <v>5</v>
      </c>
      <c r="P96">
        <v>52.823599999999999</v>
      </c>
      <c r="R96">
        <v>10</v>
      </c>
      <c r="S96" t="s">
        <v>734</v>
      </c>
      <c r="T96" t="s">
        <v>676</v>
      </c>
      <c r="U96" t="s">
        <v>14</v>
      </c>
      <c r="V96">
        <v>1</v>
      </c>
      <c r="W96" t="s">
        <v>728</v>
      </c>
      <c r="X96" t="s">
        <v>115</v>
      </c>
      <c r="Y96" t="s">
        <v>726</v>
      </c>
    </row>
    <row r="97" spans="1:25" x14ac:dyDescent="0.2">
      <c r="A97">
        <v>2</v>
      </c>
      <c r="B97" t="s">
        <v>951</v>
      </c>
      <c r="C97" t="s">
        <v>818</v>
      </c>
      <c r="D97">
        <v>2016</v>
      </c>
      <c r="E97" t="s">
        <v>683</v>
      </c>
      <c r="F97" t="s">
        <v>727</v>
      </c>
      <c r="G97" t="s">
        <v>12</v>
      </c>
      <c r="H97" t="s">
        <v>43</v>
      </c>
      <c r="I97" t="s">
        <v>721</v>
      </c>
      <c r="J97">
        <v>-2</v>
      </c>
      <c r="K97">
        <v>6</v>
      </c>
      <c r="L97">
        <v>4</v>
      </c>
      <c r="M97">
        <v>60</v>
      </c>
      <c r="N97">
        <v>26</v>
      </c>
      <c r="O97">
        <v>4</v>
      </c>
      <c r="P97">
        <v>48.501440000000002</v>
      </c>
      <c r="R97">
        <v>9.6999999999999993</v>
      </c>
      <c r="S97" t="s">
        <v>722</v>
      </c>
      <c r="T97" t="s">
        <v>723</v>
      </c>
      <c r="U97" t="s">
        <v>14</v>
      </c>
      <c r="V97">
        <v>21</v>
      </c>
      <c r="W97" t="s">
        <v>728</v>
      </c>
      <c r="X97" t="s">
        <v>240</v>
      </c>
      <c r="Y97" t="s">
        <v>726</v>
      </c>
    </row>
    <row r="98" spans="1:25" x14ac:dyDescent="0.2">
      <c r="A98">
        <v>2</v>
      </c>
      <c r="B98" t="s">
        <v>951</v>
      </c>
      <c r="C98" t="s">
        <v>819</v>
      </c>
      <c r="D98">
        <v>2016</v>
      </c>
      <c r="E98" t="s">
        <v>683</v>
      </c>
      <c r="F98" t="s">
        <v>727</v>
      </c>
      <c r="G98" t="s">
        <v>12</v>
      </c>
      <c r="H98" t="s">
        <v>43</v>
      </c>
      <c r="I98" t="s">
        <v>721</v>
      </c>
      <c r="J98">
        <v>13</v>
      </c>
      <c r="K98">
        <v>12</v>
      </c>
      <c r="L98">
        <v>4</v>
      </c>
      <c r="M98">
        <v>57</v>
      </c>
      <c r="N98">
        <v>30</v>
      </c>
      <c r="O98">
        <v>4</v>
      </c>
      <c r="P98">
        <v>48.501440000000002</v>
      </c>
      <c r="R98">
        <v>9.6999999999999993</v>
      </c>
      <c r="S98" t="s">
        <v>722</v>
      </c>
      <c r="T98" t="s">
        <v>723</v>
      </c>
      <c r="U98" t="s">
        <v>14</v>
      </c>
      <c r="V98">
        <v>21</v>
      </c>
      <c r="W98" t="s">
        <v>728</v>
      </c>
      <c r="X98" t="s">
        <v>729</v>
      </c>
      <c r="Y98" t="s">
        <v>726</v>
      </c>
    </row>
    <row r="99" spans="1:25" x14ac:dyDescent="0.2">
      <c r="A99">
        <v>2</v>
      </c>
      <c r="B99" t="s">
        <v>951</v>
      </c>
      <c r="C99" t="s">
        <v>820</v>
      </c>
      <c r="D99">
        <v>2016</v>
      </c>
      <c r="E99" t="s">
        <v>683</v>
      </c>
      <c r="F99" t="s">
        <v>727</v>
      </c>
      <c r="G99" t="s">
        <v>12</v>
      </c>
      <c r="H99" t="s">
        <v>43</v>
      </c>
      <c r="I99" t="s">
        <v>721</v>
      </c>
      <c r="J99">
        <v>-12</v>
      </c>
      <c r="K99">
        <v>0.71</v>
      </c>
      <c r="L99">
        <v>2</v>
      </c>
      <c r="M99">
        <v>39</v>
      </c>
      <c r="N99">
        <v>21.21</v>
      </c>
      <c r="O99">
        <v>2</v>
      </c>
      <c r="P99">
        <v>48.501440000000002</v>
      </c>
      <c r="R99">
        <v>9.6999999999999993</v>
      </c>
      <c r="S99" t="s">
        <v>722</v>
      </c>
      <c r="T99" t="s">
        <v>723</v>
      </c>
      <c r="U99" t="s">
        <v>14</v>
      </c>
      <c r="V99">
        <v>21</v>
      </c>
      <c r="W99" t="s">
        <v>728</v>
      </c>
      <c r="X99" t="s">
        <v>115</v>
      </c>
      <c r="Y99" t="s">
        <v>726</v>
      </c>
    </row>
    <row r="100" spans="1:25" x14ac:dyDescent="0.2">
      <c r="A100">
        <v>17</v>
      </c>
      <c r="B100" t="s">
        <v>999</v>
      </c>
      <c r="C100" t="s">
        <v>851</v>
      </c>
      <c r="D100">
        <v>2021</v>
      </c>
      <c r="E100" t="s">
        <v>684</v>
      </c>
      <c r="F100" t="s">
        <v>720</v>
      </c>
      <c r="G100" t="s">
        <v>144</v>
      </c>
      <c r="H100" t="s">
        <v>46</v>
      </c>
      <c r="I100" t="s">
        <v>721</v>
      </c>
      <c r="J100">
        <v>0</v>
      </c>
      <c r="K100">
        <v>2.0499999999999998</v>
      </c>
      <c r="L100">
        <v>3</v>
      </c>
      <c r="M100">
        <v>13.8</v>
      </c>
      <c r="N100">
        <v>5.67</v>
      </c>
      <c r="O100">
        <v>3</v>
      </c>
      <c r="P100">
        <v>53.975583999999998</v>
      </c>
      <c r="Q100">
        <v>30</v>
      </c>
      <c r="R100">
        <v>2</v>
      </c>
      <c r="S100" t="s">
        <v>734</v>
      </c>
      <c r="T100" t="s">
        <v>723</v>
      </c>
      <c r="U100" t="s">
        <v>14</v>
      </c>
      <c r="V100" t="s">
        <v>730</v>
      </c>
      <c r="W100" t="s">
        <v>724</v>
      </c>
      <c r="X100" t="s">
        <v>160</v>
      </c>
      <c r="Y100" t="s">
        <v>726</v>
      </c>
    </row>
    <row r="101" spans="1:25" x14ac:dyDescent="0.2">
      <c r="A101">
        <v>18</v>
      </c>
      <c r="B101" t="s">
        <v>999</v>
      </c>
      <c r="C101" t="s">
        <v>852</v>
      </c>
      <c r="D101">
        <v>2021</v>
      </c>
      <c r="E101" t="s">
        <v>684</v>
      </c>
      <c r="F101" t="s">
        <v>720</v>
      </c>
      <c r="G101" t="s">
        <v>144</v>
      </c>
      <c r="H101" t="s">
        <v>46</v>
      </c>
      <c r="I101" t="s">
        <v>721</v>
      </c>
      <c r="J101">
        <v>0</v>
      </c>
      <c r="K101">
        <v>2.0499999999999998</v>
      </c>
      <c r="L101">
        <v>3</v>
      </c>
      <c r="M101">
        <v>6</v>
      </c>
      <c r="N101">
        <v>2.0699999999999998</v>
      </c>
      <c r="O101">
        <v>6</v>
      </c>
      <c r="P101">
        <v>54.014659999999999</v>
      </c>
      <c r="Q101">
        <v>40</v>
      </c>
      <c r="R101">
        <v>6.5</v>
      </c>
      <c r="S101" t="s">
        <v>722</v>
      </c>
      <c r="T101" t="s">
        <v>723</v>
      </c>
      <c r="U101" t="s">
        <v>14</v>
      </c>
      <c r="V101" t="s">
        <v>730</v>
      </c>
      <c r="W101" t="s">
        <v>728</v>
      </c>
      <c r="X101" t="s">
        <v>115</v>
      </c>
      <c r="Y101" t="s">
        <v>726</v>
      </c>
    </row>
    <row r="102" spans="1:25" x14ac:dyDescent="0.2">
      <c r="A102">
        <v>19</v>
      </c>
      <c r="B102" t="s">
        <v>999</v>
      </c>
      <c r="C102" t="s">
        <v>853</v>
      </c>
      <c r="D102">
        <v>2021</v>
      </c>
      <c r="E102" t="s">
        <v>684</v>
      </c>
      <c r="F102" t="s">
        <v>720</v>
      </c>
      <c r="G102" t="s">
        <v>144</v>
      </c>
      <c r="H102" t="s">
        <v>46</v>
      </c>
      <c r="I102" t="s">
        <v>721</v>
      </c>
      <c r="J102">
        <v>0</v>
      </c>
      <c r="K102">
        <v>2.0499999999999998</v>
      </c>
      <c r="L102">
        <v>3</v>
      </c>
      <c r="M102">
        <v>18</v>
      </c>
      <c r="N102">
        <v>6.82</v>
      </c>
      <c r="O102">
        <v>2</v>
      </c>
      <c r="P102">
        <v>53.989657999999999</v>
      </c>
      <c r="Q102">
        <v>60</v>
      </c>
      <c r="R102">
        <v>7</v>
      </c>
      <c r="S102" t="s">
        <v>734</v>
      </c>
      <c r="T102" t="s">
        <v>723</v>
      </c>
      <c r="U102" t="s">
        <v>14</v>
      </c>
      <c r="V102" t="s">
        <v>730</v>
      </c>
      <c r="W102" t="s">
        <v>724</v>
      </c>
      <c r="X102" t="s">
        <v>160</v>
      </c>
      <c r="Y102" t="s">
        <v>726</v>
      </c>
    </row>
    <row r="103" spans="1:25" x14ac:dyDescent="0.2">
      <c r="A103">
        <v>20</v>
      </c>
      <c r="B103" t="s">
        <v>999</v>
      </c>
      <c r="C103" t="s">
        <v>854</v>
      </c>
      <c r="D103">
        <v>2021</v>
      </c>
      <c r="E103" t="s">
        <v>684</v>
      </c>
      <c r="F103" t="s">
        <v>720</v>
      </c>
      <c r="G103" t="s">
        <v>144</v>
      </c>
      <c r="H103" t="s">
        <v>46</v>
      </c>
      <c r="I103" t="s">
        <v>721</v>
      </c>
      <c r="J103">
        <v>0</v>
      </c>
      <c r="K103">
        <v>2.0499999999999998</v>
      </c>
      <c r="L103">
        <v>3</v>
      </c>
      <c r="M103">
        <v>15</v>
      </c>
      <c r="N103">
        <v>1.08</v>
      </c>
      <c r="O103">
        <v>5</v>
      </c>
      <c r="P103">
        <v>53.897266000000002</v>
      </c>
      <c r="Q103">
        <v>50</v>
      </c>
      <c r="R103">
        <v>8</v>
      </c>
      <c r="S103" t="s">
        <v>722</v>
      </c>
      <c r="T103" t="s">
        <v>723</v>
      </c>
      <c r="U103" t="s">
        <v>14</v>
      </c>
      <c r="V103" t="s">
        <v>730</v>
      </c>
      <c r="W103" t="s">
        <v>724</v>
      </c>
      <c r="X103" t="s">
        <v>740</v>
      </c>
      <c r="Y103" t="s">
        <v>726</v>
      </c>
    </row>
    <row r="104" spans="1:25" x14ac:dyDescent="0.2">
      <c r="A104">
        <v>21</v>
      </c>
      <c r="B104" t="s">
        <v>999</v>
      </c>
      <c r="C104" t="s">
        <v>855</v>
      </c>
      <c r="D104">
        <v>2021</v>
      </c>
      <c r="E104" t="s">
        <v>684</v>
      </c>
      <c r="F104" t="s">
        <v>720</v>
      </c>
      <c r="G104" t="s">
        <v>144</v>
      </c>
      <c r="H104" t="s">
        <v>46</v>
      </c>
      <c r="I104" t="s">
        <v>721</v>
      </c>
      <c r="J104">
        <v>0</v>
      </c>
      <c r="K104">
        <v>2.0499999999999998</v>
      </c>
      <c r="L104">
        <v>3</v>
      </c>
      <c r="M104">
        <v>1.81</v>
      </c>
      <c r="N104">
        <v>1.78</v>
      </c>
      <c r="O104">
        <v>4</v>
      </c>
      <c r="P104">
        <v>54.101872999999998</v>
      </c>
      <c r="Q104">
        <v>25</v>
      </c>
      <c r="R104">
        <v>4.5</v>
      </c>
      <c r="S104" t="s">
        <v>734</v>
      </c>
      <c r="T104" t="s">
        <v>723</v>
      </c>
      <c r="U104" t="s">
        <v>14</v>
      </c>
      <c r="V104" t="s">
        <v>730</v>
      </c>
      <c r="W104" t="s">
        <v>728</v>
      </c>
      <c r="X104" t="s">
        <v>115</v>
      </c>
      <c r="Y104" t="s">
        <v>726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A57E-15C9-564D-B2BD-AB5CF5F22DBF}">
  <dimension ref="A1:S31"/>
  <sheetViews>
    <sheetView workbookViewId="0">
      <pane ySplit="1" topLeftCell="A2" activePane="bottomLeft" state="frozen"/>
      <selection pane="bottomLeft" activeCell="I4" sqref="I4"/>
    </sheetView>
  </sheetViews>
  <sheetFormatPr baseColWidth="10" defaultRowHeight="16" x14ac:dyDescent="0.2"/>
  <cols>
    <col min="1" max="1" width="17.5" customWidth="1"/>
    <col min="2" max="2" width="15.1640625" customWidth="1"/>
    <col min="3" max="3" width="14.1640625" customWidth="1"/>
    <col min="5" max="5" width="12.5" customWidth="1"/>
    <col min="6" max="6" width="13.33203125" customWidth="1"/>
    <col min="7" max="7" width="18.6640625" customWidth="1"/>
  </cols>
  <sheetData>
    <row r="1" spans="1:18" x14ac:dyDescent="0.2">
      <c r="A1" s="2" t="s">
        <v>299</v>
      </c>
      <c r="B1" s="2" t="s">
        <v>302</v>
      </c>
      <c r="C1" s="2" t="s">
        <v>298</v>
      </c>
      <c r="D1" s="2" t="s">
        <v>300</v>
      </c>
      <c r="E1" s="2" t="s">
        <v>301</v>
      </c>
      <c r="F1" s="2" t="s">
        <v>307</v>
      </c>
      <c r="G1" s="2" t="s">
        <v>339</v>
      </c>
    </row>
    <row r="2" spans="1:18" ht="68" x14ac:dyDescent="0.2">
      <c r="A2" s="5" t="s">
        <v>884</v>
      </c>
      <c r="B2" s="5">
        <v>2003</v>
      </c>
      <c r="C2" s="5" t="s">
        <v>338</v>
      </c>
      <c r="D2" s="5" t="s">
        <v>144</v>
      </c>
      <c r="E2" s="5"/>
      <c r="F2" s="18" t="s">
        <v>509</v>
      </c>
      <c r="G2" s="3" t="s">
        <v>467</v>
      </c>
    </row>
    <row r="3" spans="1:18" ht="68" x14ac:dyDescent="0.2">
      <c r="A3" t="s">
        <v>346</v>
      </c>
      <c r="B3">
        <v>2013</v>
      </c>
      <c r="C3" t="s">
        <v>338</v>
      </c>
      <c r="D3" t="s">
        <v>347</v>
      </c>
      <c r="E3" t="s">
        <v>17</v>
      </c>
      <c r="F3" s="18" t="s">
        <v>509</v>
      </c>
      <c r="G3" s="3" t="s">
        <v>348</v>
      </c>
    </row>
    <row r="4" spans="1:18" ht="102" x14ac:dyDescent="0.2">
      <c r="A4" t="s">
        <v>349</v>
      </c>
      <c r="B4">
        <v>2002</v>
      </c>
      <c r="C4" t="s">
        <v>338</v>
      </c>
      <c r="D4" t="s">
        <v>24</v>
      </c>
      <c r="E4" s="3" t="s">
        <v>350</v>
      </c>
      <c r="F4" t="s">
        <v>519</v>
      </c>
      <c r="G4" s="3" t="s">
        <v>348</v>
      </c>
    </row>
    <row r="5" spans="1:18" ht="68" x14ac:dyDescent="0.2">
      <c r="A5" t="s">
        <v>351</v>
      </c>
      <c r="B5">
        <v>2010</v>
      </c>
      <c r="C5" t="s">
        <v>338</v>
      </c>
      <c r="D5" t="s">
        <v>24</v>
      </c>
      <c r="E5" t="s">
        <v>352</v>
      </c>
      <c r="F5" s="17" t="s">
        <v>519</v>
      </c>
      <c r="G5" s="3" t="s">
        <v>348</v>
      </c>
    </row>
    <row r="6" spans="1:18" ht="51" x14ac:dyDescent="0.2">
      <c r="A6" t="s">
        <v>353</v>
      </c>
      <c r="B6">
        <v>2020</v>
      </c>
      <c r="C6" t="s">
        <v>338</v>
      </c>
      <c r="D6" t="s">
        <v>24</v>
      </c>
      <c r="E6" s="3" t="s">
        <v>354</v>
      </c>
      <c r="F6" s="17" t="s">
        <v>519</v>
      </c>
      <c r="G6" s="3" t="s">
        <v>355</v>
      </c>
    </row>
    <row r="7" spans="1:18" ht="68" x14ac:dyDescent="0.2">
      <c r="A7" t="s">
        <v>356</v>
      </c>
      <c r="B7">
        <v>2002</v>
      </c>
      <c r="C7" t="s">
        <v>338</v>
      </c>
      <c r="D7" t="s">
        <v>357</v>
      </c>
      <c r="E7" s="3" t="s">
        <v>358</v>
      </c>
      <c r="F7" s="17" t="s">
        <v>519</v>
      </c>
      <c r="G7" s="3" t="s">
        <v>348</v>
      </c>
    </row>
    <row r="8" spans="1:18" ht="68" x14ac:dyDescent="0.2">
      <c r="A8" t="s">
        <v>40</v>
      </c>
      <c r="B8">
        <v>2007</v>
      </c>
      <c r="C8" t="s">
        <v>338</v>
      </c>
      <c r="D8" t="s">
        <v>41</v>
      </c>
      <c r="E8" t="s">
        <v>42</v>
      </c>
      <c r="F8" s="17" t="s">
        <v>482</v>
      </c>
      <c r="G8" s="3" t="s">
        <v>359</v>
      </c>
    </row>
    <row r="9" spans="1:18" ht="68" x14ac:dyDescent="0.2">
      <c r="A9" t="s">
        <v>22</v>
      </c>
      <c r="B9">
        <v>2020</v>
      </c>
      <c r="C9" t="s">
        <v>338</v>
      </c>
      <c r="D9" t="s">
        <v>24</v>
      </c>
      <c r="E9" t="s">
        <v>23</v>
      </c>
      <c r="F9" s="17" t="s">
        <v>482</v>
      </c>
      <c r="G9" s="3" t="s">
        <v>359</v>
      </c>
    </row>
    <row r="10" spans="1:18" ht="68" x14ac:dyDescent="0.2">
      <c r="A10" t="s">
        <v>379</v>
      </c>
      <c r="B10">
        <v>2015</v>
      </c>
      <c r="C10" t="s">
        <v>338</v>
      </c>
      <c r="D10" t="s">
        <v>24</v>
      </c>
      <c r="E10" s="3" t="s">
        <v>380</v>
      </c>
      <c r="F10" s="17" t="s">
        <v>519</v>
      </c>
      <c r="G10" s="3" t="s">
        <v>381</v>
      </c>
    </row>
    <row r="11" spans="1:18" ht="68" x14ac:dyDescent="0.2">
      <c r="A11" t="s">
        <v>403</v>
      </c>
      <c r="B11">
        <v>2008</v>
      </c>
      <c r="C11" t="s">
        <v>338</v>
      </c>
      <c r="D11" t="s">
        <v>239</v>
      </c>
      <c r="E11" s="3" t="s">
        <v>404</v>
      </c>
      <c r="F11" s="17" t="s">
        <v>519</v>
      </c>
      <c r="G11" s="3" t="s">
        <v>381</v>
      </c>
    </row>
    <row r="12" spans="1:18" ht="68" x14ac:dyDescent="0.2">
      <c r="A12" t="s">
        <v>132</v>
      </c>
      <c r="B12">
        <v>1997</v>
      </c>
      <c r="C12" t="s">
        <v>338</v>
      </c>
      <c r="D12" t="s">
        <v>16</v>
      </c>
      <c r="E12" t="s">
        <v>133</v>
      </c>
      <c r="F12" s="17" t="s">
        <v>519</v>
      </c>
      <c r="G12" s="3" t="s">
        <v>381</v>
      </c>
      <c r="H12" s="3"/>
      <c r="I12" s="3"/>
      <c r="J12" s="3"/>
      <c r="M12" s="3"/>
      <c r="N12" s="3"/>
      <c r="Q12" s="3"/>
      <c r="R12" s="3"/>
    </row>
    <row r="13" spans="1:18" ht="68" x14ac:dyDescent="0.2">
      <c r="A13" t="s">
        <v>139</v>
      </c>
      <c r="B13">
        <v>2000</v>
      </c>
      <c r="C13" t="s">
        <v>338</v>
      </c>
      <c r="D13" t="s">
        <v>24</v>
      </c>
      <c r="E13" s="3" t="s">
        <v>140</v>
      </c>
      <c r="F13" s="17" t="s">
        <v>519</v>
      </c>
      <c r="G13" s="3" t="s">
        <v>381</v>
      </c>
    </row>
    <row r="14" spans="1:18" ht="34" x14ac:dyDescent="0.2">
      <c r="A14" s="20" t="s">
        <v>35</v>
      </c>
      <c r="B14" s="20">
        <v>2009</v>
      </c>
      <c r="C14" s="20" t="s">
        <v>338</v>
      </c>
      <c r="D14" s="20" t="s">
        <v>12</v>
      </c>
      <c r="E14" s="20" t="s">
        <v>36</v>
      </c>
      <c r="F14" s="20"/>
      <c r="G14" s="21" t="s">
        <v>415</v>
      </c>
    </row>
    <row r="15" spans="1:18" ht="34" x14ac:dyDescent="0.2">
      <c r="A15" s="20" t="s">
        <v>143</v>
      </c>
      <c r="B15" s="20">
        <v>2018</v>
      </c>
      <c r="C15" s="20" t="s">
        <v>338</v>
      </c>
      <c r="D15" s="20" t="s">
        <v>144</v>
      </c>
      <c r="E15" s="20" t="s">
        <v>145</v>
      </c>
      <c r="F15" s="22" t="s">
        <v>519</v>
      </c>
      <c r="G15" s="21" t="s">
        <v>415</v>
      </c>
    </row>
    <row r="16" spans="1:18" ht="68" x14ac:dyDescent="0.2">
      <c r="A16" t="s">
        <v>432</v>
      </c>
      <c r="B16">
        <v>2011</v>
      </c>
      <c r="C16" t="s">
        <v>338</v>
      </c>
      <c r="D16" t="s">
        <v>24</v>
      </c>
      <c r="E16" t="s">
        <v>433</v>
      </c>
      <c r="F16" s="17" t="s">
        <v>519</v>
      </c>
      <c r="G16" s="3" t="s">
        <v>381</v>
      </c>
    </row>
    <row r="17" spans="1:19" ht="68" x14ac:dyDescent="0.2">
      <c r="A17" t="s">
        <v>434</v>
      </c>
      <c r="B17">
        <v>1996</v>
      </c>
      <c r="C17" t="s">
        <v>338</v>
      </c>
      <c r="D17" t="s">
        <v>24</v>
      </c>
      <c r="E17" t="s">
        <v>433</v>
      </c>
      <c r="F17" s="17" t="s">
        <v>519</v>
      </c>
      <c r="G17" s="3" t="s">
        <v>381</v>
      </c>
    </row>
    <row r="18" spans="1:19" ht="68" x14ac:dyDescent="0.2">
      <c r="A18" t="s">
        <v>379</v>
      </c>
      <c r="B18">
        <v>2013</v>
      </c>
      <c r="C18" t="s">
        <v>338</v>
      </c>
      <c r="D18" t="s">
        <v>24</v>
      </c>
      <c r="E18" t="s">
        <v>435</v>
      </c>
      <c r="F18" s="17" t="s">
        <v>519</v>
      </c>
      <c r="G18" s="3" t="s">
        <v>381</v>
      </c>
    </row>
    <row r="19" spans="1:19" ht="68" x14ac:dyDescent="0.2">
      <c r="A19" t="s">
        <v>450</v>
      </c>
      <c r="B19">
        <v>1985</v>
      </c>
      <c r="C19" t="s">
        <v>338</v>
      </c>
      <c r="D19" t="s">
        <v>24</v>
      </c>
      <c r="E19" t="s">
        <v>452</v>
      </c>
      <c r="F19" s="17" t="s">
        <v>519</v>
      </c>
      <c r="G19" s="3" t="s">
        <v>451</v>
      </c>
    </row>
    <row r="20" spans="1:19" ht="68" x14ac:dyDescent="0.2">
      <c r="A20" t="s">
        <v>465</v>
      </c>
      <c r="B20">
        <v>2005</v>
      </c>
      <c r="C20" t="s">
        <v>338</v>
      </c>
      <c r="D20" t="s">
        <v>135</v>
      </c>
      <c r="E20" t="s">
        <v>466</v>
      </c>
      <c r="F20" s="17" t="s">
        <v>519</v>
      </c>
      <c r="G20" s="3" t="s">
        <v>467</v>
      </c>
    </row>
    <row r="21" spans="1:19" ht="68" x14ac:dyDescent="0.2">
      <c r="A21" t="s">
        <v>468</v>
      </c>
      <c r="B21">
        <v>2003</v>
      </c>
      <c r="C21" t="s">
        <v>338</v>
      </c>
      <c r="D21" t="s">
        <v>24</v>
      </c>
      <c r="E21" t="s">
        <v>469</v>
      </c>
      <c r="F21" s="17" t="s">
        <v>519</v>
      </c>
      <c r="G21" s="3" t="s">
        <v>451</v>
      </c>
    </row>
    <row r="22" spans="1:19" ht="153" x14ac:dyDescent="0.2">
      <c r="A22" t="s">
        <v>470</v>
      </c>
      <c r="B22">
        <v>2001</v>
      </c>
      <c r="C22" t="s">
        <v>396</v>
      </c>
      <c r="D22" t="s">
        <v>24</v>
      </c>
      <c r="E22" t="s">
        <v>471</v>
      </c>
      <c r="F22" s="17" t="s">
        <v>519</v>
      </c>
      <c r="G22" s="3" t="s">
        <v>472</v>
      </c>
    </row>
    <row r="23" spans="1:19" ht="51" x14ac:dyDescent="0.2">
      <c r="A23" t="s">
        <v>473</v>
      </c>
      <c r="B23">
        <v>2015</v>
      </c>
      <c r="C23" t="s">
        <v>338</v>
      </c>
      <c r="D23" t="s">
        <v>24</v>
      </c>
      <c r="E23" t="s">
        <v>474</v>
      </c>
      <c r="F23" s="17" t="s">
        <v>482</v>
      </c>
      <c r="G23" s="3" t="s">
        <v>475</v>
      </c>
    </row>
    <row r="24" spans="1:19" ht="51" x14ac:dyDescent="0.2">
      <c r="A24" t="s">
        <v>453</v>
      </c>
      <c r="B24">
        <v>2019</v>
      </c>
      <c r="C24" t="s">
        <v>396</v>
      </c>
      <c r="D24" t="s">
        <v>30</v>
      </c>
      <c r="E24" s="3" t="s">
        <v>454</v>
      </c>
      <c r="F24" s="17" t="s">
        <v>482</v>
      </c>
      <c r="G24" s="3" t="s">
        <v>475</v>
      </c>
      <c r="I24" s="3"/>
      <c r="J24" s="3"/>
      <c r="L24" s="3"/>
      <c r="M24" s="3"/>
      <c r="N24" s="3"/>
      <c r="O24" s="3"/>
      <c r="R24" s="3"/>
      <c r="S24" s="3"/>
    </row>
    <row r="25" spans="1:19" ht="34" x14ac:dyDescent="0.2">
      <c r="A25" t="s">
        <v>694</v>
      </c>
      <c r="B25">
        <v>2011</v>
      </c>
      <c r="C25" t="s">
        <v>338</v>
      </c>
      <c r="D25" t="s">
        <v>347</v>
      </c>
      <c r="E25" s="3" t="s">
        <v>695</v>
      </c>
      <c r="F25" s="17" t="s">
        <v>519</v>
      </c>
      <c r="G25" s="3" t="s">
        <v>696</v>
      </c>
      <c r="I25" s="3"/>
      <c r="J25" s="3"/>
      <c r="L25" s="3"/>
      <c r="M25" s="3"/>
      <c r="N25" s="3"/>
      <c r="O25" s="3"/>
      <c r="R25" s="3"/>
      <c r="S25" s="3"/>
    </row>
    <row r="26" spans="1:19" ht="17" x14ac:dyDescent="0.2">
      <c r="A26" t="s">
        <v>134</v>
      </c>
      <c r="B26">
        <v>2017</v>
      </c>
      <c r="C26" s="1" t="s">
        <v>683</v>
      </c>
      <c r="D26" t="s">
        <v>135</v>
      </c>
      <c r="E26" t="s">
        <v>136</v>
      </c>
      <c r="F26" s="17" t="s">
        <v>519</v>
      </c>
      <c r="G26" s="3" t="s">
        <v>697</v>
      </c>
      <c r="I26" s="3"/>
      <c r="J26" s="3"/>
      <c r="K26" s="3"/>
      <c r="M26" s="3"/>
      <c r="O26" s="3"/>
    </row>
    <row r="27" spans="1:19" ht="17" x14ac:dyDescent="0.2">
      <c r="A27" t="s">
        <v>15</v>
      </c>
      <c r="B27">
        <v>2017</v>
      </c>
      <c r="C27" t="s">
        <v>683</v>
      </c>
      <c r="D27" t="s">
        <v>16</v>
      </c>
      <c r="E27" t="s">
        <v>17</v>
      </c>
      <c r="F27" s="17" t="s">
        <v>519</v>
      </c>
      <c r="G27" s="3" t="s">
        <v>697</v>
      </c>
      <c r="I27" s="3"/>
      <c r="J27" s="3"/>
      <c r="K27" s="3"/>
      <c r="N27" s="3"/>
      <c r="O27" s="3"/>
    </row>
    <row r="28" spans="1:19" ht="34" x14ac:dyDescent="0.2">
      <c r="A28" t="s">
        <v>810</v>
      </c>
      <c r="B28">
        <v>2015</v>
      </c>
      <c r="C28" t="s">
        <v>683</v>
      </c>
      <c r="D28" t="s">
        <v>811</v>
      </c>
      <c r="E28" t="s">
        <v>17</v>
      </c>
      <c r="F28" s="18" t="s">
        <v>509</v>
      </c>
      <c r="G28" s="3" t="s">
        <v>697</v>
      </c>
      <c r="I28" s="3"/>
      <c r="J28" s="3"/>
      <c r="K28" s="3"/>
      <c r="N28" s="3"/>
      <c r="O28" s="3"/>
    </row>
    <row r="29" spans="1:19" ht="51" x14ac:dyDescent="0.2">
      <c r="A29" t="s">
        <v>794</v>
      </c>
      <c r="B29">
        <v>2001</v>
      </c>
      <c r="C29" t="s">
        <v>683</v>
      </c>
      <c r="D29" t="s">
        <v>16</v>
      </c>
      <c r="E29" t="s">
        <v>795</v>
      </c>
      <c r="F29" s="17" t="s">
        <v>482</v>
      </c>
      <c r="G29" s="3" t="s">
        <v>475</v>
      </c>
      <c r="I29" s="3"/>
      <c r="J29" s="3"/>
      <c r="K29" s="3"/>
      <c r="N29" s="3"/>
      <c r="O29" s="3"/>
    </row>
    <row r="30" spans="1:19" ht="17" x14ac:dyDescent="0.2">
      <c r="A30" t="s">
        <v>255</v>
      </c>
      <c r="B30">
        <v>2021</v>
      </c>
      <c r="C30" t="s">
        <v>683</v>
      </c>
      <c r="D30" t="s">
        <v>144</v>
      </c>
      <c r="E30" t="s">
        <v>256</v>
      </c>
      <c r="F30" s="17" t="s">
        <v>519</v>
      </c>
      <c r="G30" s="3" t="s">
        <v>800</v>
      </c>
    </row>
    <row r="31" spans="1:19" ht="17" x14ac:dyDescent="0.2">
      <c r="A31" t="s">
        <v>118</v>
      </c>
      <c r="B31">
        <v>2003</v>
      </c>
      <c r="C31" t="s">
        <v>683</v>
      </c>
      <c r="D31" t="s">
        <v>16</v>
      </c>
      <c r="E31" t="s">
        <v>119</v>
      </c>
      <c r="F31" s="17" t="s">
        <v>519</v>
      </c>
      <c r="G31" s="3" t="s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 me</vt:lpstr>
      <vt:lpstr>MA Study Data</vt:lpstr>
      <vt:lpstr>Study coordinates</vt:lpstr>
      <vt:lpstr>Project Study</vt:lpstr>
      <vt:lpstr>MA density data extraction</vt:lpstr>
      <vt:lpstr>Study quality assessment</vt:lpstr>
      <vt:lpstr>MA data</vt:lpstr>
      <vt:lpstr>Excluded from 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2021-05-27T14:35:44Z</dcterms:created>
  <dcterms:modified xsi:type="dcterms:W3CDTF">2021-08-21T19:31:42Z</dcterms:modified>
</cp:coreProperties>
</file>