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harts/chart2.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3.xml" ContentType="application/vnd.openxmlformats-officedocument.drawingml.chart+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C:\Users\Ed\Desktop\"/>
    </mc:Choice>
  </mc:AlternateContent>
  <xr:revisionPtr revIDLastSave="0" documentId="8_{28E6CAF2-2EC8-4734-9B5B-7A1F5326E4B7}" xr6:coauthVersionLast="45" xr6:coauthVersionMax="45" xr10:uidLastSave="{00000000-0000-0000-0000-000000000000}"/>
  <bookViews>
    <workbookView xWindow="-120" yWindow="-120" windowWidth="20730" windowHeight="11310" tabRatio="765" firstSheet="1" activeTab="11"/>
  </bookViews>
  <sheets>
    <sheet name="Home" sheetId="20" r:id="rId1"/>
    <sheet name="Attenuators" sheetId="1" r:id="rId2"/>
    <sheet name="BPF" sheetId="2" r:id="rId3"/>
    <sheet name="Cascade" sheetId="30" r:id="rId4"/>
    <sheet name="Coils" sheetId="29" r:id="rId5"/>
    <sheet name="Coupler" sheetId="32" r:id="rId6"/>
    <sheet name="HPF" sheetId="22" r:id="rId7"/>
    <sheet name="LPF" sheetId="21" r:id="rId8"/>
    <sheet name="Mixer" sheetId="31" r:id="rId9"/>
    <sheet name="NF-NT" sheetId="13" r:id="rId10"/>
    <sheet name="Path Loss 1-Way" sheetId="17" r:id="rId11"/>
    <sheet name="Path Loss 2-Way" sheetId="25" r:id="rId12"/>
    <sheet name="Prop Time" sheetId="33" r:id="rId13"/>
    <sheet name="Radar Blind Speed" sheetId="26" r:id="rId14"/>
    <sheet name="Rectangular Cavity" sheetId="28" r:id="rId15"/>
    <sheet name="VSWR-RL" sheetId="15" r:id="rId16"/>
    <sheet name="Voltage Divider" sheetId="14" r:id="rId17"/>
    <sheet name="Revisions" sheetId="27" r:id="rId18"/>
  </sheets>
  <definedNames>
    <definedName name="_a65550">#REF!</definedName>
    <definedName name="_a65560" localSheetId="11">'Path Loss 2-Way'!$J$23</definedName>
    <definedName name="_a65560" localSheetId="12">'Prop Time'!$H$18</definedName>
    <definedName name="_a65560" localSheetId="13">'Radar Blind Speed'!$K$18</definedName>
    <definedName name="_a65560">'Path Loss 1-Way'!$J$23</definedName>
    <definedName name="_a66500">Coils!$G$7</definedName>
    <definedName name="_a66560">Coils!$G$7</definedName>
    <definedName name="FreqUnits">'Rectangular Cavity'!$D$27:$D$30</definedName>
    <definedName name="SizeMult">'Rectangular Cavity'!$J$27:$J$32</definedName>
    <definedName name="_vi1">Attenuators!#REF!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 i="29" l="1"/>
  <c r="I28" i="29"/>
  <c r="I14" i="29" s="1"/>
  <c r="D19" i="33"/>
  <c r="D23" i="33" s="1"/>
  <c r="D27" i="33"/>
  <c r="D28" i="33"/>
  <c r="D36" i="33" s="1"/>
  <c r="D32" i="33"/>
  <c r="D31" i="33"/>
  <c r="D29" i="33" s="1"/>
  <c r="D38" i="33"/>
  <c r="H19" i="33"/>
  <c r="H20" i="33"/>
  <c r="F7" i="33" s="1"/>
  <c r="D45" i="33"/>
  <c r="D18" i="33"/>
  <c r="H17" i="14"/>
  <c r="I11" i="14" s="1"/>
  <c r="I12" i="14" s="1"/>
  <c r="D9" i="15"/>
  <c r="D10" i="15"/>
  <c r="G10" i="15"/>
  <c r="I11" i="15" s="1"/>
  <c r="J10" i="15"/>
  <c r="D12" i="15"/>
  <c r="I12" i="15"/>
  <c r="I13" i="15"/>
  <c r="D14" i="15"/>
  <c r="I14" i="15"/>
  <c r="D17" i="15"/>
  <c r="D16" i="15" s="1"/>
  <c r="J20" i="15"/>
  <c r="H20" i="15" s="1"/>
  <c r="G22" i="15"/>
  <c r="G10" i="28"/>
  <c r="K10" i="28"/>
  <c r="G11" i="28"/>
  <c r="K11" i="28"/>
  <c r="G12" i="28"/>
  <c r="G13" i="28"/>
  <c r="F14" i="28"/>
  <c r="G14" i="28"/>
  <c r="G15" i="28"/>
  <c r="G16" i="28"/>
  <c r="G17" i="28"/>
  <c r="G18" i="28"/>
  <c r="G19" i="28"/>
  <c r="K27" i="28"/>
  <c r="K28" i="28"/>
  <c r="J34" i="28" s="1"/>
  <c r="K29" i="28"/>
  <c r="J30" i="28"/>
  <c r="E32" i="28"/>
  <c r="F10" i="28" s="1"/>
  <c r="H9" i="26"/>
  <c r="H10" i="26"/>
  <c r="H11" i="26"/>
  <c r="H12" i="26"/>
  <c r="C25" i="26"/>
  <c r="D28" i="26" s="1"/>
  <c r="C27" i="26"/>
  <c r="G27" i="26"/>
  <c r="D33" i="33"/>
  <c r="D34" i="33"/>
  <c r="D37" i="33"/>
  <c r="D40" i="33"/>
  <c r="D12" i="25"/>
  <c r="M15" i="25"/>
  <c r="I33" i="25"/>
  <c r="L33" i="25"/>
  <c r="C34" i="25"/>
  <c r="D34" i="25" s="1"/>
  <c r="D37" i="25" s="1"/>
  <c r="F34" i="25"/>
  <c r="C36" i="25"/>
  <c r="C42" i="25"/>
  <c r="E45" i="25" s="1"/>
  <c r="I13" i="25" s="1"/>
  <c r="C44" i="25"/>
  <c r="D12" i="17"/>
  <c r="J15" i="17"/>
  <c r="I33" i="17"/>
  <c r="C34" i="17"/>
  <c r="D34" i="17"/>
  <c r="D37" i="17" s="1"/>
  <c r="F34" i="17"/>
  <c r="F10" i="17" s="1"/>
  <c r="C36" i="17"/>
  <c r="I39" i="17"/>
  <c r="C42" i="17"/>
  <c r="E45" i="17" s="1"/>
  <c r="C44" i="17"/>
  <c r="C45" i="17"/>
  <c r="C16" i="17" s="1"/>
  <c r="I6" i="13"/>
  <c r="I8" i="13"/>
  <c r="C10" i="13"/>
  <c r="K7" i="31"/>
  <c r="K8" i="31"/>
  <c r="C9" i="31"/>
  <c r="K9" i="31"/>
  <c r="K10" i="31"/>
  <c r="F13" i="31"/>
  <c r="F14" i="31"/>
  <c r="F15" i="31"/>
  <c r="E9" i="21"/>
  <c r="E10" i="21"/>
  <c r="D11" i="21"/>
  <c r="E11" i="21"/>
  <c r="C13" i="21"/>
  <c r="C14" i="21"/>
  <c r="C15" i="21" s="1"/>
  <c r="D14" i="21"/>
  <c r="E14" i="21"/>
  <c r="E120" i="21"/>
  <c r="E9" i="22"/>
  <c r="E10" i="22"/>
  <c r="D11" i="22"/>
  <c r="E11" i="22"/>
  <c r="C13" i="22"/>
  <c r="C14" i="22"/>
  <c r="C15" i="22" s="1"/>
  <c r="D14" i="22"/>
  <c r="E14" i="22"/>
  <c r="E120" i="22"/>
  <c r="I7" i="32"/>
  <c r="L7" i="32"/>
  <c r="L12" i="32"/>
  <c r="C15" i="32"/>
  <c r="I15" i="32" s="1"/>
  <c r="J12" i="29"/>
  <c r="E13" i="29"/>
  <c r="J14" i="29"/>
  <c r="D18" i="29"/>
  <c r="D20" i="29" s="1"/>
  <c r="D19" i="29"/>
  <c r="E19" i="29"/>
  <c r="D32" i="29"/>
  <c r="C28" i="29"/>
  <c r="D28" i="29"/>
  <c r="D15" i="29" s="1"/>
  <c r="C32" i="29"/>
  <c r="H9" i="30"/>
  <c r="I9" i="30"/>
  <c r="J9" i="30"/>
  <c r="K9" i="30"/>
  <c r="K10" i="30" s="1"/>
  <c r="K11" i="30" s="1"/>
  <c r="K12" i="30" s="1"/>
  <c r="L9" i="30"/>
  <c r="H10" i="30"/>
  <c r="H11" i="30" s="1"/>
  <c r="I10" i="30"/>
  <c r="I11" i="30" s="1"/>
  <c r="I12" i="30" s="1"/>
  <c r="I13" i="30" s="1"/>
  <c r="I14" i="30" s="1"/>
  <c r="I15" i="30" s="1"/>
  <c r="I16" i="30" s="1"/>
  <c r="I17" i="30" s="1"/>
  <c r="J10" i="30"/>
  <c r="L10" i="30"/>
  <c r="L11" i="30"/>
  <c r="L12" i="30" s="1"/>
  <c r="L13" i="30" s="1"/>
  <c r="L14" i="30" s="1"/>
  <c r="L15" i="30" s="1"/>
  <c r="L16" i="30" s="1"/>
  <c r="L17" i="30" s="1"/>
  <c r="L18" i="30" s="1"/>
  <c r="L19" i="30" s="1"/>
  <c r="L20" i="30" s="1"/>
  <c r="L21" i="30" s="1"/>
  <c r="L22" i="30" s="1"/>
  <c r="L23" i="30" s="1"/>
  <c r="H12" i="30"/>
  <c r="H13" i="30" s="1"/>
  <c r="H14" i="30" s="1"/>
  <c r="K13" i="30"/>
  <c r="K14" i="30" s="1"/>
  <c r="K15" i="30" s="1"/>
  <c r="K16" i="30" s="1"/>
  <c r="K17" i="30" s="1"/>
  <c r="K18" i="30" s="1"/>
  <c r="K19" i="30" s="1"/>
  <c r="K20" i="30" s="1"/>
  <c r="K21" i="30" s="1"/>
  <c r="K22" i="30" s="1"/>
  <c r="K23" i="30" s="1"/>
  <c r="H15" i="30"/>
  <c r="H16" i="30" s="1"/>
  <c r="H17" i="30" s="1"/>
  <c r="H18" i="30" s="1"/>
  <c r="H19" i="30" s="1"/>
  <c r="H20" i="30" s="1"/>
  <c r="H21" i="30" s="1"/>
  <c r="H22" i="30" s="1"/>
  <c r="H23" i="30" s="1"/>
  <c r="I18" i="30"/>
  <c r="I19" i="30" s="1"/>
  <c r="I20" i="30" s="1"/>
  <c r="I21" i="30" s="1"/>
  <c r="I22" i="30" s="1"/>
  <c r="I23" i="30" s="1"/>
  <c r="E7" i="2"/>
  <c r="E10" i="2" s="1"/>
  <c r="E11" i="2"/>
  <c r="D12" i="2"/>
  <c r="E12" i="2"/>
  <c r="C14" i="2"/>
  <c r="C15" i="2"/>
  <c r="D122" i="2"/>
  <c r="E122" i="2"/>
  <c r="D123" i="2"/>
  <c r="E123" i="2"/>
  <c r="E15" i="2" s="1"/>
  <c r="J6" i="1"/>
  <c r="G12" i="1" s="1"/>
  <c r="D9" i="20"/>
  <c r="D41" i="33" l="1"/>
  <c r="D39" i="33"/>
  <c r="D30" i="33"/>
  <c r="H34" i="33" s="1"/>
  <c r="H35" i="33" s="1"/>
  <c r="D22" i="33"/>
  <c r="D20" i="33" s="1"/>
  <c r="D46" i="33" s="1"/>
  <c r="D60" i="33" s="1"/>
  <c r="D21" i="33"/>
  <c r="D24" i="33"/>
  <c r="C18" i="17"/>
  <c r="C19" i="14"/>
  <c r="C24" i="15"/>
  <c r="C13" i="33"/>
  <c r="C14" i="26"/>
  <c r="G114" i="22"/>
  <c r="C22" i="29"/>
  <c r="C21" i="28"/>
  <c r="C18" i="25"/>
  <c r="G114" i="21"/>
  <c r="D15" i="2"/>
  <c r="C16" i="2"/>
  <c r="C25" i="1"/>
  <c r="C16" i="22"/>
  <c r="D15" i="22"/>
  <c r="E15" i="22"/>
  <c r="F22" i="1"/>
  <c r="G115" i="2"/>
  <c r="J11" i="30"/>
  <c r="J12" i="30" s="1"/>
  <c r="J13" i="30" s="1"/>
  <c r="J14" i="30" s="1"/>
  <c r="J15" i="30" s="1"/>
  <c r="J16" i="30" s="1"/>
  <c r="J17" i="30" s="1"/>
  <c r="J18" i="30" s="1"/>
  <c r="J19" i="30" s="1"/>
  <c r="J20" i="30" s="1"/>
  <c r="J21" i="30" s="1"/>
  <c r="J22" i="30" s="1"/>
  <c r="J23" i="30" s="1"/>
  <c r="C39" i="25"/>
  <c r="C37" i="25" s="1"/>
  <c r="C12" i="25" s="1"/>
  <c r="C28" i="26"/>
  <c r="C10" i="26" s="1"/>
  <c r="G25" i="26"/>
  <c r="G28" i="26" s="1"/>
  <c r="G8" i="26" s="1"/>
  <c r="H10" i="1"/>
  <c r="G20" i="1"/>
  <c r="H22" i="1"/>
  <c r="F10" i="1"/>
  <c r="F18" i="28"/>
  <c r="D15" i="21"/>
  <c r="E15" i="21"/>
  <c r="C16" i="21"/>
  <c r="K30" i="28"/>
  <c r="J31" i="28"/>
  <c r="F12" i="28"/>
  <c r="J34" i="17"/>
  <c r="C39" i="17"/>
  <c r="C37" i="17" s="1"/>
  <c r="C12" i="17" s="1"/>
  <c r="D14" i="14"/>
  <c r="H15" i="14"/>
  <c r="D10" i="14"/>
  <c r="F15" i="28"/>
  <c r="F16" i="28"/>
  <c r="C45" i="25"/>
  <c r="C16" i="25" s="1"/>
  <c r="F19" i="28"/>
  <c r="F11" i="28"/>
  <c r="F17" i="28"/>
  <c r="F13" i="28"/>
  <c r="F9" i="28"/>
  <c r="L39" i="25"/>
  <c r="F11" i="25"/>
  <c r="J34" i="25" s="1"/>
  <c r="D35" i="33"/>
  <c r="I13" i="29"/>
  <c r="D53" i="33" l="1"/>
  <c r="D55" i="33"/>
  <c r="D56" i="33"/>
  <c r="D51" i="33"/>
  <c r="D59" i="33"/>
  <c r="D57" i="33"/>
  <c r="D61" i="33"/>
  <c r="I11" i="33"/>
  <c r="D52" i="33"/>
  <c r="D47" i="33" s="1"/>
  <c r="D48" i="33" s="1"/>
  <c r="I9" i="33" s="1"/>
  <c r="D58" i="33"/>
  <c r="D54" i="33"/>
  <c r="M34" i="25"/>
  <c r="I34" i="25"/>
  <c r="I8" i="25" s="1"/>
  <c r="I36" i="25"/>
  <c r="I36" i="17"/>
  <c r="I34" i="17"/>
  <c r="I8" i="17" s="1"/>
  <c r="J40" i="17"/>
  <c r="E16" i="22"/>
  <c r="C17" i="22"/>
  <c r="D16" i="22"/>
  <c r="E16" i="21"/>
  <c r="C17" i="21"/>
  <c r="D16" i="21"/>
  <c r="H37" i="33"/>
  <c r="F9" i="33" s="1"/>
  <c r="H36" i="33"/>
  <c r="E16" i="2"/>
  <c r="C17" i="2"/>
  <c r="D16" i="2"/>
  <c r="K31" i="28"/>
  <c r="J32" i="28"/>
  <c r="K32" i="28" s="1"/>
  <c r="G9" i="26"/>
  <c r="G12" i="26"/>
  <c r="G10" i="26"/>
  <c r="G11" i="26"/>
  <c r="C18" i="2" l="1"/>
  <c r="D17" i="2"/>
  <c r="E17" i="2"/>
  <c r="I42" i="17"/>
  <c r="I40" i="17"/>
  <c r="I15" i="17" s="1"/>
  <c r="C18" i="22"/>
  <c r="D17" i="22"/>
  <c r="E17" i="22"/>
  <c r="M40" i="25"/>
  <c r="L34" i="25"/>
  <c r="L8" i="25" s="1"/>
  <c r="L36" i="25"/>
  <c r="C18" i="21"/>
  <c r="D17" i="21"/>
  <c r="E17" i="21"/>
  <c r="L42" i="25" l="1"/>
  <c r="L40" i="25"/>
  <c r="L15" i="25" s="1"/>
  <c r="E18" i="22"/>
  <c r="D18" i="22"/>
  <c r="C19" i="22"/>
  <c r="D18" i="2"/>
  <c r="C19" i="2"/>
  <c r="E18" i="2"/>
  <c r="D18" i="21"/>
  <c r="E18" i="21"/>
  <c r="C19" i="21"/>
  <c r="E19" i="2" l="1"/>
  <c r="C20" i="2"/>
  <c r="D19" i="2"/>
  <c r="E19" i="22"/>
  <c r="C20" i="22"/>
  <c r="D19" i="22"/>
  <c r="E19" i="21"/>
  <c r="C20" i="21"/>
  <c r="D19" i="21"/>
  <c r="E20" i="21" l="1"/>
  <c r="D20" i="21"/>
  <c r="C21" i="21"/>
  <c r="C21" i="22"/>
  <c r="D20" i="22"/>
  <c r="E20" i="22"/>
  <c r="D20" i="2"/>
  <c r="E20" i="2"/>
  <c r="C21" i="2"/>
  <c r="D21" i="22" l="1"/>
  <c r="E21" i="22"/>
  <c r="C22" i="22"/>
  <c r="D21" i="2"/>
  <c r="E21" i="2"/>
  <c r="C22" i="2"/>
  <c r="D21" i="21"/>
  <c r="E21" i="21"/>
  <c r="C22" i="21"/>
  <c r="E22" i="21" l="1"/>
  <c r="C23" i="21"/>
  <c r="D22" i="21"/>
  <c r="D22" i="2"/>
  <c r="E22" i="2"/>
  <c r="C23" i="2"/>
  <c r="E22" i="22"/>
  <c r="C23" i="22"/>
  <c r="D22" i="22"/>
  <c r="C24" i="22" l="1"/>
  <c r="D23" i="22"/>
  <c r="E23" i="22"/>
  <c r="D23" i="21"/>
  <c r="E23" i="21"/>
  <c r="C24" i="21"/>
  <c r="D23" i="2"/>
  <c r="E23" i="2"/>
  <c r="C24" i="2"/>
  <c r="D24" i="21" l="1"/>
  <c r="E24" i="21"/>
  <c r="C25" i="21"/>
  <c r="C25" i="2"/>
  <c r="E24" i="2"/>
  <c r="D24" i="2"/>
  <c r="D24" i="22"/>
  <c r="E24" i="22"/>
  <c r="C25" i="22"/>
  <c r="C26" i="21" l="1"/>
  <c r="E25" i="21"/>
  <c r="D25" i="21"/>
  <c r="E25" i="2"/>
  <c r="D25" i="2"/>
  <c r="C26" i="2"/>
  <c r="E25" i="22"/>
  <c r="C26" i="22"/>
  <c r="D25" i="22"/>
  <c r="E26" i="22" l="1"/>
  <c r="D26" i="22"/>
  <c r="C27" i="22"/>
  <c r="D26" i="2"/>
  <c r="E26" i="2"/>
  <c r="C27" i="2"/>
  <c r="D26" i="21"/>
  <c r="E26" i="21"/>
  <c r="C27" i="21"/>
  <c r="E27" i="2" l="1"/>
  <c r="C28" i="2"/>
  <c r="D27" i="2"/>
  <c r="D27" i="21"/>
  <c r="E27" i="21"/>
  <c r="C28" i="21"/>
  <c r="D27" i="22"/>
  <c r="E27" i="22"/>
  <c r="C28" i="22"/>
  <c r="E28" i="22" l="1"/>
  <c r="C29" i="22"/>
  <c r="D28" i="22"/>
  <c r="E28" i="21"/>
  <c r="C29" i="21"/>
  <c r="D28" i="21"/>
  <c r="D28" i="2"/>
  <c r="C29" i="2"/>
  <c r="E28" i="2"/>
  <c r="E29" i="2" l="1"/>
  <c r="C30" i="2"/>
  <c r="D29" i="2"/>
  <c r="D29" i="22"/>
  <c r="C30" i="22"/>
  <c r="E29" i="22"/>
  <c r="D29" i="21"/>
  <c r="E29" i="21"/>
  <c r="C30" i="21"/>
  <c r="D30" i="22" l="1"/>
  <c r="E30" i="22"/>
  <c r="C31" i="22"/>
  <c r="D30" i="21"/>
  <c r="E30" i="21"/>
  <c r="C31" i="21"/>
  <c r="D30" i="2"/>
  <c r="C31" i="2"/>
  <c r="E30" i="2"/>
  <c r="D31" i="21" l="1"/>
  <c r="C32" i="21"/>
  <c r="E31" i="21"/>
  <c r="E31" i="2"/>
  <c r="D31" i="2"/>
  <c r="C32" i="2"/>
  <c r="C32" i="22"/>
  <c r="E31" i="22"/>
  <c r="D31" i="22"/>
  <c r="C33" i="2" l="1"/>
  <c r="E32" i="2"/>
  <c r="D32" i="2"/>
  <c r="D32" i="22"/>
  <c r="E32" i="22"/>
  <c r="C33" i="22"/>
  <c r="D32" i="21"/>
  <c r="C33" i="21"/>
  <c r="E32" i="21"/>
  <c r="D33" i="22" l="1"/>
  <c r="E33" i="22"/>
  <c r="C34" i="22"/>
  <c r="E33" i="2"/>
  <c r="C34" i="2"/>
  <c r="D33" i="2"/>
  <c r="C34" i="21"/>
  <c r="D33" i="21"/>
  <c r="E33" i="21"/>
  <c r="D34" i="21" l="1"/>
  <c r="C35" i="21"/>
  <c r="E34" i="21"/>
  <c r="D34" i="2"/>
  <c r="E34" i="2"/>
  <c r="C35" i="2"/>
  <c r="E34" i="22"/>
  <c r="C35" i="22"/>
  <c r="D34" i="22"/>
  <c r="E35" i="2" l="1"/>
  <c r="D35" i="2"/>
  <c r="C36" i="2"/>
  <c r="D35" i="22"/>
  <c r="E35" i="22"/>
  <c r="C36" i="22"/>
  <c r="D35" i="21"/>
  <c r="E35" i="21"/>
  <c r="C36" i="21"/>
  <c r="D36" i="2" l="1"/>
  <c r="C37" i="2"/>
  <c r="E36" i="2"/>
  <c r="E36" i="21"/>
  <c r="D36" i="21"/>
  <c r="C37" i="21"/>
  <c r="D36" i="22"/>
  <c r="E36" i="22"/>
  <c r="C37" i="22"/>
  <c r="D37" i="21" l="1"/>
  <c r="C38" i="21"/>
  <c r="E37" i="21"/>
  <c r="D37" i="22"/>
  <c r="C38" i="22"/>
  <c r="E37" i="22"/>
  <c r="C38" i="2"/>
  <c r="D37" i="2"/>
  <c r="E37" i="2"/>
  <c r="D38" i="2" l="1"/>
  <c r="C39" i="2"/>
  <c r="E38" i="2"/>
  <c r="D38" i="22"/>
  <c r="E38" i="22"/>
  <c r="C39" i="22"/>
  <c r="D38" i="21"/>
  <c r="E38" i="21"/>
  <c r="C39" i="21"/>
  <c r="C40" i="22" l="1"/>
  <c r="D39" i="22"/>
  <c r="E39" i="22"/>
  <c r="E39" i="2"/>
  <c r="D39" i="2"/>
  <c r="C40" i="2"/>
  <c r="D39" i="21"/>
  <c r="E39" i="21"/>
  <c r="C40" i="21"/>
  <c r="C41" i="2" l="1"/>
  <c r="D40" i="2"/>
  <c r="E40" i="2"/>
  <c r="D40" i="21"/>
  <c r="C41" i="21"/>
  <c r="E40" i="21"/>
  <c r="D40" i="22"/>
  <c r="C41" i="22"/>
  <c r="E40" i="22"/>
  <c r="C42" i="21" l="1"/>
  <c r="D41" i="21"/>
  <c r="E41" i="21"/>
  <c r="D41" i="22"/>
  <c r="E41" i="22"/>
  <c r="C42" i="22"/>
  <c r="E41" i="2"/>
  <c r="C42" i="2"/>
  <c r="D41" i="2"/>
  <c r="D42" i="2" l="1"/>
  <c r="E42" i="2"/>
  <c r="C43" i="2"/>
  <c r="E42" i="22"/>
  <c r="D42" i="22"/>
  <c r="C43" i="22"/>
  <c r="E42" i="21"/>
  <c r="C43" i="21"/>
  <c r="D42" i="21"/>
  <c r="D43" i="21" l="1"/>
  <c r="C44" i="21"/>
  <c r="E43" i="21"/>
  <c r="E43" i="2"/>
  <c r="D43" i="2"/>
  <c r="C44" i="2"/>
  <c r="D43" i="22"/>
  <c r="C44" i="22"/>
  <c r="E43" i="22"/>
  <c r="D44" i="22" l="1"/>
  <c r="E44" i="22"/>
  <c r="C45" i="22"/>
  <c r="D44" i="2"/>
  <c r="C45" i="2"/>
  <c r="E44" i="2"/>
  <c r="E44" i="21"/>
  <c r="D44" i="21"/>
  <c r="C45" i="21"/>
  <c r="E45" i="2" l="1"/>
  <c r="C46" i="2"/>
  <c r="D45" i="2"/>
  <c r="D45" i="22"/>
  <c r="E45" i="22"/>
  <c r="C46" i="22"/>
  <c r="E45" i="21"/>
  <c r="C46" i="21"/>
  <c r="D45" i="21"/>
  <c r="D46" i="21" l="1"/>
  <c r="C47" i="21"/>
  <c r="E46" i="21"/>
  <c r="D46" i="22"/>
  <c r="C47" i="22"/>
  <c r="E46" i="22"/>
  <c r="D46" i="2"/>
  <c r="C47" i="2"/>
  <c r="E46" i="2"/>
  <c r="C48" i="22" l="1"/>
  <c r="D47" i="22"/>
  <c r="E47" i="22"/>
  <c r="D47" i="21"/>
  <c r="E47" i="21"/>
  <c r="C48" i="21"/>
  <c r="E47" i="2"/>
  <c r="D47" i="2"/>
  <c r="C48" i="2"/>
  <c r="E48" i="21" l="1"/>
  <c r="C49" i="21"/>
  <c r="D48" i="21"/>
  <c r="C49" i="2"/>
  <c r="D48" i="2"/>
  <c r="E48" i="2"/>
  <c r="E48" i="22"/>
  <c r="C49" i="22"/>
  <c r="D48" i="22"/>
  <c r="E49" i="2" l="1"/>
  <c r="C50" i="2"/>
  <c r="D49" i="2"/>
  <c r="C50" i="21"/>
  <c r="D49" i="21"/>
  <c r="E49" i="21"/>
  <c r="D49" i="22"/>
  <c r="C50" i="22"/>
  <c r="E49" i="22"/>
  <c r="D50" i="21" l="1"/>
  <c r="E50" i="21"/>
  <c r="C51" i="21"/>
  <c r="E50" i="22"/>
  <c r="D50" i="22"/>
  <c r="C51" i="22"/>
  <c r="D50" i="2"/>
  <c r="C51" i="2"/>
  <c r="E50" i="2"/>
  <c r="E51" i="21" l="1"/>
  <c r="C52" i="21"/>
  <c r="D51" i="21"/>
  <c r="E51" i="2"/>
  <c r="D51" i="2"/>
  <c r="C52" i="2"/>
  <c r="E51" i="22"/>
  <c r="C52" i="22"/>
  <c r="D51" i="22"/>
  <c r="D52" i="2" l="1"/>
  <c r="C53" i="2"/>
  <c r="E52" i="2"/>
  <c r="D52" i="22"/>
  <c r="C53" i="22"/>
  <c r="E52" i="22"/>
  <c r="E52" i="21"/>
  <c r="D52" i="21"/>
  <c r="C53" i="21"/>
  <c r="D53" i="22" l="1"/>
  <c r="E53" i="22"/>
  <c r="C54" i="22"/>
  <c r="C54" i="2"/>
  <c r="E53" i="2"/>
  <c r="D53" i="2"/>
  <c r="D53" i="21"/>
  <c r="E53" i="21"/>
  <c r="C54" i="21"/>
  <c r="D54" i="2" l="1"/>
  <c r="C55" i="2"/>
  <c r="E54" i="2"/>
  <c r="E54" i="22"/>
  <c r="C55" i="22"/>
  <c r="D54" i="22"/>
  <c r="E54" i="21"/>
  <c r="C55" i="21"/>
  <c r="D54" i="21"/>
  <c r="D55" i="21" l="1"/>
  <c r="E55" i="21"/>
  <c r="C56" i="21"/>
  <c r="C56" i="22"/>
  <c r="D55" i="22"/>
  <c r="E55" i="22"/>
  <c r="E55" i="2"/>
  <c r="D55" i="2"/>
  <c r="C56" i="2"/>
  <c r="D56" i="22" l="1"/>
  <c r="E56" i="22"/>
  <c r="C57" i="22"/>
  <c r="D56" i="21"/>
  <c r="E56" i="21"/>
  <c r="C57" i="21"/>
  <c r="C57" i="2"/>
  <c r="D56" i="2"/>
  <c r="E56" i="2"/>
  <c r="E57" i="2" l="1"/>
  <c r="D57" i="2"/>
  <c r="C58" i="2"/>
  <c r="C58" i="21"/>
  <c r="E57" i="21"/>
  <c r="D57" i="21"/>
  <c r="E57" i="22"/>
  <c r="C58" i="22"/>
  <c r="D57" i="22"/>
  <c r="E58" i="22" l="1"/>
  <c r="D58" i="22"/>
  <c r="C59" i="22"/>
  <c r="D58" i="21"/>
  <c r="E58" i="21"/>
  <c r="C59" i="21"/>
  <c r="D58" i="2"/>
  <c r="C59" i="2"/>
  <c r="E58" i="2"/>
  <c r="D59" i="21" l="1"/>
  <c r="E59" i="21"/>
  <c r="C60" i="21"/>
  <c r="D59" i="22"/>
  <c r="E59" i="22"/>
  <c r="C60" i="22"/>
  <c r="E59" i="2"/>
  <c r="D59" i="2"/>
  <c r="C60" i="2"/>
  <c r="E60" i="22" l="1"/>
  <c r="C61" i="22"/>
  <c r="D60" i="22"/>
  <c r="E60" i="21"/>
  <c r="C61" i="21"/>
  <c r="D60" i="21"/>
  <c r="D60" i="2"/>
  <c r="C61" i="2"/>
  <c r="E60" i="2"/>
  <c r="C62" i="2" l="1"/>
  <c r="D61" i="2"/>
  <c r="E61" i="2"/>
  <c r="D61" i="21"/>
  <c r="E61" i="21"/>
  <c r="C62" i="21"/>
  <c r="D61" i="22"/>
  <c r="E61" i="22"/>
  <c r="C62" i="22"/>
  <c r="D62" i="21" l="1"/>
  <c r="E62" i="21"/>
  <c r="C63" i="21"/>
  <c r="D62" i="22"/>
  <c r="E62" i="22"/>
  <c r="C63" i="22"/>
  <c r="D62" i="2"/>
  <c r="C63" i="2"/>
  <c r="E62" i="2"/>
  <c r="E63" i="2" l="1"/>
  <c r="C64" i="2"/>
  <c r="D63" i="2"/>
  <c r="D63" i="21"/>
  <c r="C64" i="21"/>
  <c r="E63" i="21"/>
  <c r="C64" i="22"/>
  <c r="E63" i="22"/>
  <c r="D63" i="22"/>
  <c r="D64" i="21" l="1"/>
  <c r="E64" i="21"/>
  <c r="C65" i="21"/>
  <c r="D64" i="22"/>
  <c r="E64" i="22"/>
  <c r="C65" i="22"/>
  <c r="C65" i="2"/>
  <c r="D64" i="2"/>
  <c r="E64" i="2"/>
  <c r="D65" i="22" l="1"/>
  <c r="E65" i="22"/>
  <c r="C66" i="22"/>
  <c r="E65" i="2"/>
  <c r="C66" i="2"/>
  <c r="D65" i="2"/>
  <c r="C66" i="21"/>
  <c r="D65" i="21"/>
  <c r="E65" i="21"/>
  <c r="C67" i="21" l="1"/>
  <c r="D66" i="21"/>
  <c r="E66" i="21"/>
  <c r="D66" i="2"/>
  <c r="C67" i="2"/>
  <c r="E66" i="2"/>
  <c r="E66" i="22"/>
  <c r="C67" i="22"/>
  <c r="D66" i="22"/>
  <c r="D67" i="22" l="1"/>
  <c r="E67" i="22"/>
  <c r="C68" i="22"/>
  <c r="E67" i="2"/>
  <c r="C68" i="2"/>
  <c r="D67" i="2"/>
  <c r="D67" i="21"/>
  <c r="E67" i="21"/>
  <c r="C68" i="21"/>
  <c r="E68" i="21" l="1"/>
  <c r="D68" i="21"/>
  <c r="C69" i="21"/>
  <c r="D68" i="2"/>
  <c r="C69" i="2"/>
  <c r="E68" i="2"/>
  <c r="D68" i="22"/>
  <c r="E68" i="22"/>
  <c r="C69" i="22"/>
  <c r="D69" i="2" l="1"/>
  <c r="E69" i="2"/>
  <c r="C70" i="2"/>
  <c r="C70" i="21"/>
  <c r="D69" i="21"/>
  <c r="E69" i="21"/>
  <c r="D69" i="22"/>
  <c r="C70" i="22"/>
  <c r="E69" i="22"/>
  <c r="D70" i="22" l="1"/>
  <c r="E70" i="22"/>
  <c r="C71" i="22"/>
  <c r="D70" i="2"/>
  <c r="C71" i="2"/>
  <c r="E70" i="2"/>
  <c r="D70" i="21"/>
  <c r="E70" i="21"/>
  <c r="C71" i="21"/>
  <c r="E71" i="2" l="1"/>
  <c r="D71" i="2"/>
  <c r="C72" i="2"/>
  <c r="C72" i="22"/>
  <c r="D71" i="22"/>
  <c r="E71" i="22"/>
  <c r="D71" i="21"/>
  <c r="E71" i="21"/>
  <c r="C72" i="21"/>
  <c r="C73" i="21" l="1"/>
  <c r="E72" i="21"/>
  <c r="D72" i="21"/>
  <c r="C73" i="2"/>
  <c r="D72" i="2"/>
  <c r="E72" i="2"/>
  <c r="C73" i="22"/>
  <c r="D72" i="22"/>
  <c r="E72" i="22"/>
  <c r="D73" i="22" l="1"/>
  <c r="E73" i="22"/>
  <c r="C74" i="22"/>
  <c r="E73" i="2"/>
  <c r="D73" i="2"/>
  <c r="C74" i="2"/>
  <c r="C74" i="21"/>
  <c r="D73" i="21"/>
  <c r="E73" i="21"/>
  <c r="E74" i="22" l="1"/>
  <c r="D74" i="22"/>
  <c r="C75" i="22"/>
  <c r="E74" i="21"/>
  <c r="C75" i="21"/>
  <c r="D74" i="21"/>
  <c r="D74" i="2"/>
  <c r="C75" i="2"/>
  <c r="E74" i="2"/>
  <c r="E75" i="2" l="1"/>
  <c r="C76" i="2"/>
  <c r="D75" i="2"/>
  <c r="C76" i="22"/>
  <c r="D75" i="22"/>
  <c r="E75" i="22"/>
  <c r="C76" i="21"/>
  <c r="D75" i="21"/>
  <c r="E75" i="21"/>
  <c r="D76" i="22" l="1"/>
  <c r="E76" i="22"/>
  <c r="C77" i="22"/>
  <c r="E76" i="21"/>
  <c r="D76" i="21"/>
  <c r="C77" i="21"/>
  <c r="D76" i="2"/>
  <c r="C77" i="2"/>
  <c r="E76" i="2"/>
  <c r="D77" i="2" l="1"/>
  <c r="E77" i="2"/>
  <c r="C78" i="2"/>
  <c r="D77" i="22"/>
  <c r="E77" i="22"/>
  <c r="C78" i="22"/>
  <c r="E77" i="21"/>
  <c r="C78" i="21"/>
  <c r="D77" i="21"/>
  <c r="D78" i="2" l="1"/>
  <c r="C79" i="2"/>
  <c r="E78" i="2"/>
  <c r="C79" i="21"/>
  <c r="D78" i="21"/>
  <c r="E78" i="21"/>
  <c r="C79" i="22"/>
  <c r="E78" i="22"/>
  <c r="D78" i="22"/>
  <c r="C80" i="22" l="1"/>
  <c r="D79" i="22"/>
  <c r="E79" i="22"/>
  <c r="E79" i="2"/>
  <c r="C80" i="2"/>
  <c r="D79" i="2"/>
  <c r="D79" i="21"/>
  <c r="E79" i="21"/>
  <c r="C80" i="21"/>
  <c r="C81" i="2" l="1"/>
  <c r="E80" i="2"/>
  <c r="D80" i="2"/>
  <c r="E80" i="21"/>
  <c r="C81" i="21"/>
  <c r="D80" i="21"/>
  <c r="E80" i="22"/>
  <c r="C81" i="22"/>
  <c r="D80" i="22"/>
  <c r="C82" i="22" l="1"/>
  <c r="D81" i="22"/>
  <c r="E81" i="22"/>
  <c r="C82" i="21"/>
  <c r="E81" i="21"/>
  <c r="D81" i="21"/>
  <c r="E81" i="2"/>
  <c r="D81" i="2"/>
  <c r="C82" i="2"/>
  <c r="D82" i="21" l="1"/>
  <c r="E82" i="21"/>
  <c r="C83" i="21"/>
  <c r="D82" i="2"/>
  <c r="E82" i="2"/>
  <c r="C83" i="2"/>
  <c r="E82" i="22"/>
  <c r="D82" i="22"/>
  <c r="C83" i="22"/>
  <c r="E83" i="2" l="1"/>
  <c r="C84" i="2"/>
  <c r="D83" i="2"/>
  <c r="E83" i="21"/>
  <c r="C84" i="21"/>
  <c r="D83" i="21"/>
  <c r="E83" i="22"/>
  <c r="C84" i="22"/>
  <c r="D83" i="22"/>
  <c r="C85" i="22" l="1"/>
  <c r="D84" i="22"/>
  <c r="E84" i="22"/>
  <c r="E84" i="21"/>
  <c r="D84" i="21"/>
  <c r="C85" i="21"/>
  <c r="D84" i="2"/>
  <c r="C85" i="2"/>
  <c r="E84" i="2"/>
  <c r="D85" i="2" l="1"/>
  <c r="E85" i="2"/>
  <c r="C86" i="2"/>
  <c r="D85" i="21"/>
  <c r="E85" i="21"/>
  <c r="C86" i="21"/>
  <c r="D85" i="22"/>
  <c r="E85" i="22"/>
  <c r="C86" i="22"/>
  <c r="D86" i="2" l="1"/>
  <c r="C87" i="2"/>
  <c r="E86" i="2"/>
  <c r="E86" i="21"/>
  <c r="C87" i="21"/>
  <c r="D86" i="21"/>
  <c r="E86" i="22"/>
  <c r="C87" i="22"/>
  <c r="D86" i="22"/>
  <c r="C88" i="22" l="1"/>
  <c r="D87" i="22"/>
  <c r="E87" i="22"/>
  <c r="D87" i="21"/>
  <c r="E87" i="21"/>
  <c r="C88" i="21"/>
  <c r="E87" i="2"/>
  <c r="D87" i="2"/>
  <c r="C88" i="2"/>
  <c r="D88" i="21" l="1"/>
  <c r="E88" i="21"/>
  <c r="C89" i="21"/>
  <c r="C89" i="2"/>
  <c r="D88" i="2"/>
  <c r="E88" i="2"/>
  <c r="D88" i="22"/>
  <c r="E88" i="22"/>
  <c r="C89" i="22"/>
  <c r="E89" i="2" l="1"/>
  <c r="D89" i="2"/>
  <c r="C90" i="2"/>
  <c r="C90" i="21"/>
  <c r="E89" i="21"/>
  <c r="D89" i="21"/>
  <c r="E89" i="22"/>
  <c r="C90" i="22"/>
  <c r="D89" i="22"/>
  <c r="E90" i="22" l="1"/>
  <c r="D90" i="22"/>
  <c r="C91" i="22"/>
  <c r="D90" i="21"/>
  <c r="E90" i="21"/>
  <c r="C91" i="21"/>
  <c r="D90" i="2"/>
  <c r="E90" i="2"/>
  <c r="C91" i="2"/>
  <c r="D91" i="22" l="1"/>
  <c r="E91" i="22"/>
  <c r="C92" i="22"/>
  <c r="D91" i="21"/>
  <c r="E91" i="21"/>
  <c r="C92" i="21"/>
  <c r="E91" i="2"/>
  <c r="D91" i="2"/>
  <c r="C92" i="2"/>
  <c r="E92" i="22" l="1"/>
  <c r="C93" i="22"/>
  <c r="D92" i="22"/>
  <c r="E92" i="21"/>
  <c r="C93" i="21"/>
  <c r="D92" i="21"/>
  <c r="D92" i="2"/>
  <c r="C93" i="2"/>
  <c r="E92" i="2"/>
  <c r="E93" i="2" l="1"/>
  <c r="C94" i="2"/>
  <c r="D93" i="2"/>
  <c r="D93" i="21"/>
  <c r="E93" i="21"/>
  <c r="C94" i="21"/>
  <c r="D93" i="22"/>
  <c r="E93" i="22"/>
  <c r="C94" i="22"/>
  <c r="D94" i="21" l="1"/>
  <c r="E94" i="21"/>
  <c r="C95" i="21"/>
  <c r="D94" i="2"/>
  <c r="C95" i="2"/>
  <c r="E94" i="2"/>
  <c r="D94" i="22"/>
  <c r="E94" i="22"/>
  <c r="C95" i="22"/>
  <c r="E95" i="2" l="1"/>
  <c r="C96" i="2"/>
  <c r="D95" i="2"/>
  <c r="D95" i="21"/>
  <c r="C96" i="21"/>
  <c r="E95" i="21"/>
  <c r="C96" i="22"/>
  <c r="E95" i="22"/>
  <c r="D95" i="22"/>
  <c r="D96" i="21" l="1"/>
  <c r="E96" i="21"/>
  <c r="C97" i="21"/>
  <c r="D96" i="22"/>
  <c r="E96" i="22"/>
  <c r="C97" i="22"/>
  <c r="C97" i="2"/>
  <c r="E96" i="2"/>
  <c r="D96" i="2"/>
  <c r="C98" i="21" l="1"/>
  <c r="D97" i="21"/>
  <c r="E97" i="21"/>
  <c r="E97" i="2"/>
  <c r="C98" i="2"/>
  <c r="D97" i="2"/>
  <c r="D97" i="22"/>
  <c r="E97" i="22"/>
  <c r="C98" i="22"/>
  <c r="D98" i="2" l="1"/>
  <c r="E98" i="2"/>
  <c r="C99" i="2"/>
  <c r="E98" i="22"/>
  <c r="C99" i="22"/>
  <c r="D98" i="22"/>
  <c r="D98" i="21"/>
  <c r="C99" i="21"/>
  <c r="E98" i="21"/>
  <c r="D99" i="21" l="1"/>
  <c r="E99" i="21"/>
  <c r="C100" i="21"/>
  <c r="D99" i="22"/>
  <c r="E99" i="22"/>
  <c r="C100" i="22"/>
  <c r="E99" i="2"/>
  <c r="D99" i="2"/>
  <c r="C100" i="2"/>
  <c r="E100" i="21" l="1"/>
  <c r="D100" i="21"/>
  <c r="C101" i="21"/>
  <c r="D100" i="22"/>
  <c r="E100" i="22"/>
  <c r="C101" i="22"/>
  <c r="D100" i="2"/>
  <c r="C101" i="2"/>
  <c r="E100" i="2"/>
  <c r="C102" i="2" l="1"/>
  <c r="E101" i="2"/>
  <c r="D101" i="2"/>
  <c r="E101" i="22"/>
  <c r="C102" i="22"/>
  <c r="D101" i="22"/>
  <c r="D101" i="21"/>
  <c r="C102" i="21"/>
  <c r="E101" i="21"/>
  <c r="D102" i="21" l="1"/>
  <c r="E102" i="21"/>
  <c r="C103" i="21"/>
  <c r="C103" i="22"/>
  <c r="E102" i="22"/>
  <c r="D102" i="22"/>
  <c r="D102" i="2"/>
  <c r="C103" i="2"/>
  <c r="E102" i="2"/>
  <c r="D103" i="22" l="1"/>
  <c r="E103" i="22"/>
  <c r="C104" i="22"/>
  <c r="D103" i="21"/>
  <c r="E103" i="21"/>
  <c r="C104" i="21"/>
  <c r="E103" i="2"/>
  <c r="D103" i="2"/>
  <c r="C104" i="2"/>
  <c r="D104" i="22" l="1"/>
  <c r="E104" i="22"/>
  <c r="C105" i="22"/>
  <c r="D104" i="21"/>
  <c r="C105" i="21"/>
  <c r="E104" i="21"/>
  <c r="C105" i="2"/>
  <c r="D104" i="2"/>
  <c r="E104" i="2"/>
  <c r="E105" i="2" l="1"/>
  <c r="D105" i="2"/>
  <c r="C106" i="2"/>
  <c r="C106" i="21"/>
  <c r="D105" i="21"/>
  <c r="E105" i="21"/>
  <c r="E105" i="22"/>
  <c r="C106" i="22"/>
  <c r="D105" i="22"/>
  <c r="D106" i="22" l="1"/>
  <c r="C107" i="22"/>
  <c r="E106" i="22"/>
  <c r="E106" i="21"/>
  <c r="C107" i="21"/>
  <c r="D106" i="21"/>
  <c r="D106" i="2"/>
  <c r="E106" i="2"/>
  <c r="C107" i="2"/>
  <c r="D107" i="21" l="1"/>
  <c r="C108" i="21"/>
  <c r="E107" i="21"/>
  <c r="D107" i="22"/>
  <c r="C108" i="22"/>
  <c r="E107" i="22"/>
  <c r="E107" i="2"/>
  <c r="D107" i="2"/>
  <c r="C108" i="2"/>
  <c r="D108" i="22" l="1"/>
  <c r="E108" i="22"/>
  <c r="C109" i="22"/>
  <c r="E108" i="21"/>
  <c r="D108" i="21"/>
  <c r="C109" i="21"/>
  <c r="D108" i="2"/>
  <c r="C109" i="2"/>
  <c r="E108" i="2"/>
  <c r="E109" i="21" l="1"/>
  <c r="C110" i="21"/>
  <c r="D109" i="21"/>
  <c r="E109" i="22"/>
  <c r="C110" i="22"/>
  <c r="D109" i="22"/>
  <c r="C110" i="2"/>
  <c r="E109" i="2"/>
  <c r="D109" i="2"/>
  <c r="C111" i="22" l="1"/>
  <c r="D110" i="22"/>
  <c r="E110" i="22"/>
  <c r="D110" i="2"/>
  <c r="C111" i="2"/>
  <c r="E110" i="2"/>
  <c r="D110" i="21"/>
  <c r="C111" i="21"/>
  <c r="E110" i="21"/>
  <c r="D111" i="21" l="1"/>
  <c r="E111" i="21"/>
  <c r="C112" i="21"/>
  <c r="E111" i="2"/>
  <c r="D111" i="2"/>
  <c r="C112" i="2"/>
  <c r="D111" i="22"/>
  <c r="E111" i="22"/>
  <c r="C112" i="22"/>
  <c r="C113" i="2" l="1"/>
  <c r="D112" i="2"/>
  <c r="E112" i="2"/>
  <c r="E112" i="21"/>
  <c r="C113" i="21"/>
  <c r="D112" i="21"/>
  <c r="D112" i="22"/>
  <c r="E112" i="22"/>
  <c r="C113" i="22"/>
  <c r="C114" i="21" l="1"/>
  <c r="D113" i="21"/>
  <c r="E113" i="21"/>
  <c r="E113" i="22"/>
  <c r="C114" i="22"/>
  <c r="D113" i="22"/>
  <c r="E113" i="2"/>
  <c r="C114" i="2"/>
  <c r="D113" i="2"/>
  <c r="D114" i="22" l="1"/>
  <c r="E114" i="22"/>
  <c r="D114" i="2"/>
  <c r="C115" i="2"/>
  <c r="E114" i="2"/>
  <c r="D114" i="21"/>
  <c r="E114" i="21"/>
  <c r="E115" i="2" l="1"/>
  <c r="D115" i="2"/>
</calcChain>
</file>

<file path=xl/comments1.xml><?xml version="1.0" encoding="utf-8"?>
<comments xmlns="http://schemas.openxmlformats.org/spreadsheetml/2006/main">
  <authors>
    <author>KBlattenberger</author>
  </authors>
  <commentList>
    <comment ref="H6" authorId="0" shapeId="0">
      <text>
        <r>
          <rPr>
            <sz val="8"/>
            <color indexed="81"/>
            <rFont val="Tahoma"/>
            <family val="2"/>
          </rPr>
          <t>K is the linear attenuation ratio</t>
        </r>
      </text>
    </comment>
  </commentList>
</comments>
</file>

<file path=xl/comments10.xml><?xml version="1.0" encoding="utf-8"?>
<comments xmlns="http://schemas.openxmlformats.org/spreadsheetml/2006/main">
  <authors>
    <author>KBlattenberger</author>
  </authors>
  <commentList>
    <comment ref="F8" authorId="0" shapeId="0">
      <text>
        <r>
          <rPr>
            <sz val="8"/>
            <color indexed="81"/>
            <rFont val="Tahoma"/>
            <family val="2"/>
          </rPr>
          <t>This is the lowest unambiguous blind speed</t>
        </r>
      </text>
    </comment>
    <comment ref="C11" authorId="0" shapeId="0">
      <text>
        <r>
          <rPr>
            <sz val="8"/>
            <color indexed="81"/>
            <rFont val="Tahoma"/>
            <family val="2"/>
          </rPr>
          <t>Pulse Repitition Frequency, sometimes referred to as Pulse Repitition Rate (PRR).</t>
        </r>
      </text>
    </comment>
  </commentList>
</comments>
</file>

<file path=xl/comments2.xml><?xml version="1.0" encoding="utf-8"?>
<comments xmlns="http://schemas.openxmlformats.org/spreadsheetml/2006/main">
  <authors>
    <author>KBlattenberger</author>
  </authors>
  <commentList>
    <comment ref="C9" authorId="0" shapeId="0">
      <text>
        <r>
          <rPr>
            <sz val="8"/>
            <color indexed="81"/>
            <rFont val="Tahoma"/>
            <family val="2"/>
          </rPr>
          <t>These values determine the range of frequencies used in the Freq column in the table below.</t>
        </r>
      </text>
    </comment>
    <comment ref="D13" authorId="0" shapeId="0">
      <text>
        <r>
          <rPr>
            <sz val="8"/>
            <color indexed="81"/>
            <rFont val="Tahoma"/>
            <family val="2"/>
          </rPr>
          <t>Attenuation is sometimes given here, but the negative values really indicate gain.</t>
        </r>
      </text>
    </comment>
  </commentList>
</comments>
</file>

<file path=xl/comments3.xml><?xml version="1.0" encoding="utf-8"?>
<comments xmlns="http://schemas.openxmlformats.org/spreadsheetml/2006/main">
  <authors>
    <author>Kirt Blattenberger</author>
  </authors>
  <commentList>
    <comment ref="F8" authorId="0" shapeId="0">
      <text>
        <r>
          <rPr>
            <sz val="8"/>
            <color indexed="81"/>
            <rFont val="Tahoma"/>
            <family val="2"/>
          </rPr>
          <t>Referenced to component output</t>
        </r>
      </text>
    </comment>
    <comment ref="G8" authorId="0" shapeId="0">
      <text>
        <r>
          <rPr>
            <sz val="8"/>
            <color indexed="81"/>
            <rFont val="Tahoma"/>
            <family val="2"/>
          </rPr>
          <t>Referenced to component output</t>
        </r>
      </text>
    </comment>
    <comment ref="K8" authorId="0" shapeId="0">
      <text>
        <r>
          <rPr>
            <sz val="8"/>
            <color indexed="81"/>
            <rFont val="Tahoma"/>
            <family val="2"/>
          </rPr>
          <t>Referenced to component output</t>
        </r>
      </text>
    </comment>
    <comment ref="L8" authorId="0" shapeId="0">
      <text>
        <r>
          <rPr>
            <sz val="8"/>
            <color indexed="81"/>
            <rFont val="Tahoma"/>
            <family val="2"/>
          </rPr>
          <t>Referenced to component output</t>
        </r>
      </text>
    </comment>
  </commentList>
</comments>
</file>

<file path=xl/comments4.xml><?xml version="1.0" encoding="utf-8"?>
<comments xmlns="http://schemas.openxmlformats.org/spreadsheetml/2006/main">
  <authors>
    <author>Kirt Blattenberger</author>
  </authors>
  <commentList>
    <comment ref="F6" authorId="0" shapeId="0">
      <text>
        <r>
          <rPr>
            <sz val="8"/>
            <color indexed="81"/>
            <rFont val="Tahoma"/>
            <family val="2"/>
          </rPr>
          <t>Insertion loss not including theoretical Coupling Loss</t>
        </r>
      </text>
    </comment>
    <comment ref="I6" authorId="0" shapeId="0">
      <text>
        <r>
          <rPr>
            <sz val="8"/>
            <color indexed="81"/>
            <rFont val="Tahoma"/>
            <family val="2"/>
          </rPr>
          <t xml:space="preserve">     Mainline Loss
+ Theoretical Coupling Loss</t>
        </r>
      </text>
    </comment>
    <comment ref="L6" authorId="0" shapeId="0">
      <text>
        <r>
          <rPr>
            <sz val="8"/>
            <color indexed="81"/>
            <rFont val="Tahoma"/>
            <family val="2"/>
          </rPr>
          <t>Theoretical coupling loss</t>
        </r>
      </text>
    </comment>
  </commentList>
</comments>
</file>

<file path=xl/comments5.xml><?xml version="1.0" encoding="utf-8"?>
<comments xmlns="http://schemas.openxmlformats.org/spreadsheetml/2006/main">
  <authors>
    <author>KBlattenberger</author>
  </authors>
  <commentList>
    <comment ref="C8" authorId="0" shapeId="0">
      <text>
        <r>
          <rPr>
            <sz val="8"/>
            <color indexed="81"/>
            <rFont val="Tahoma"/>
            <family val="2"/>
          </rPr>
          <t>These values determine the range of frequencies used in the Freq column in the table below.</t>
        </r>
      </text>
    </comment>
    <comment ref="D12" authorId="0" shapeId="0">
      <text>
        <r>
          <rPr>
            <sz val="8"/>
            <color indexed="81"/>
            <rFont val="Tahoma"/>
            <family val="2"/>
          </rPr>
          <t>Attenuation is sometimes given here, but the negative values really indicate gain.</t>
        </r>
      </text>
    </comment>
  </commentList>
</comments>
</file>

<file path=xl/comments6.xml><?xml version="1.0" encoding="utf-8"?>
<comments xmlns="http://schemas.openxmlformats.org/spreadsheetml/2006/main">
  <authors>
    <author>KBlattenberger</author>
  </authors>
  <commentList>
    <comment ref="C8" authorId="0" shapeId="0">
      <text>
        <r>
          <rPr>
            <sz val="8"/>
            <color indexed="81"/>
            <rFont val="Tahoma"/>
            <family val="2"/>
          </rPr>
          <t>These values determine the range of frequencies used in the Freq column in the table below.</t>
        </r>
      </text>
    </comment>
    <comment ref="D12" authorId="0" shapeId="0">
      <text>
        <r>
          <rPr>
            <sz val="8"/>
            <color indexed="81"/>
            <rFont val="Tahoma"/>
            <family val="2"/>
          </rPr>
          <t>Attenuation is sometimes given here, but the negative values really indicate gain.</t>
        </r>
      </text>
    </comment>
  </commentList>
</comments>
</file>

<file path=xl/comments7.xml><?xml version="1.0" encoding="utf-8"?>
<comments xmlns="http://schemas.openxmlformats.org/spreadsheetml/2006/main">
  <authors>
    <author>KBlattenberger</author>
  </authors>
  <commentList>
    <comment ref="G8" authorId="0" shapeId="0">
      <text>
        <r>
          <rPr>
            <sz val="8"/>
            <color indexed="81"/>
            <rFont val="Tahoma"/>
            <family val="2"/>
          </rPr>
          <t>Use N/A for no attenuation</t>
        </r>
      </text>
    </comment>
  </commentList>
</comments>
</file>

<file path=xl/comments8.xml><?xml version="1.0" encoding="utf-8"?>
<comments xmlns="http://schemas.openxmlformats.org/spreadsheetml/2006/main">
  <authors>
    <author>KBlattenberger</author>
  </authors>
  <commentList>
    <comment ref="G8" authorId="0" shapeId="0">
      <text>
        <r>
          <rPr>
            <sz val="8"/>
            <color indexed="81"/>
            <rFont val="Tahoma"/>
            <family val="2"/>
          </rPr>
          <t>Use N/A for no attenuation</t>
        </r>
      </text>
    </comment>
  </commentList>
</comments>
</file>

<file path=xl/comments9.xml><?xml version="1.0" encoding="utf-8"?>
<comments xmlns="http://schemas.openxmlformats.org/spreadsheetml/2006/main">
  <authors>
    <author>Kirt Blattenberger</author>
  </authors>
  <commentList>
    <comment ref="C9" authorId="0" shapeId="0">
      <text>
        <r>
          <rPr>
            <sz val="8"/>
            <color indexed="81"/>
            <rFont val="Tahoma"/>
            <family val="2"/>
          </rPr>
          <t>Dielectric constant of the propagation medium relative to that of air (=1).</t>
        </r>
      </text>
    </comment>
    <comment ref="I11" authorId="0" shapeId="0">
      <text>
        <r>
          <rPr>
            <sz val="8"/>
            <color indexed="81"/>
            <rFont val="Tahoma"/>
            <family val="2"/>
          </rPr>
          <t>This is the number of wavelengths at the specified Frequency over the specified Distance in a material with the specified Relative Dielectric constant.</t>
        </r>
      </text>
    </comment>
  </commentList>
</comments>
</file>

<file path=xl/sharedStrings.xml><?xml version="1.0" encoding="utf-8"?>
<sst xmlns="http://schemas.openxmlformats.org/spreadsheetml/2006/main" count="592" uniqueCount="278">
  <si>
    <t>dB</t>
  </si>
  <si>
    <t>K=</t>
  </si>
  <si>
    <t>W</t>
  </si>
  <si>
    <t>Order:</t>
  </si>
  <si>
    <t>Graph Parameters (101 pts)</t>
  </si>
  <si>
    <t>dBm</t>
  </si>
  <si>
    <t xml:space="preserve"> </t>
  </si>
  <si>
    <t>Gain (dB)</t>
  </si>
  <si>
    <t>Frequency</t>
  </si>
  <si>
    <t>m</t>
  </si>
  <si>
    <t>Noise Figure:</t>
  </si>
  <si>
    <t>Noise Temperature:</t>
  </si>
  <si>
    <t>K</t>
  </si>
  <si>
    <t xml:space="preserve"> V</t>
  </si>
  <si>
    <t>mW</t>
  </si>
  <si>
    <t>V</t>
  </si>
  <si>
    <t>mA</t>
  </si>
  <si>
    <t>Conversions</t>
  </si>
  <si>
    <t>VSWR Mismatch Effects</t>
  </si>
  <si>
    <t>:1</t>
  </si>
  <si>
    <t>VSWR A</t>
  </si>
  <si>
    <t>VSWR B</t>
  </si>
  <si>
    <t>VSWR Reduction By Matched Attenuator</t>
  </si>
  <si>
    <t>Attenuator</t>
  </si>
  <si>
    <t>Load VSWR</t>
  </si>
  <si>
    <t>Improved VSWR</t>
  </si>
  <si>
    <t>at both ports.</t>
  </si>
  <si>
    <t>Wavelength</t>
  </si>
  <si>
    <t>Transmitter</t>
  </si>
  <si>
    <t>Path</t>
  </si>
  <si>
    <t>Receiver</t>
  </si>
  <si>
    <t>Power Out</t>
  </si>
  <si>
    <t>Distance</t>
  </si>
  <si>
    <t>Power @ Antenna</t>
  </si>
  <si>
    <t>Antenna Gain</t>
  </si>
  <si>
    <t>Attenuation</t>
  </si>
  <si>
    <t>dBi</t>
  </si>
  <si>
    <t>MHz</t>
  </si>
  <si>
    <t>System Gain</t>
  </si>
  <si>
    <t>Detector Power</t>
  </si>
  <si>
    <t>km</t>
  </si>
  <si>
    <t>ft</t>
  </si>
  <si>
    <t>Distance to Target</t>
  </si>
  <si>
    <t>Target</t>
  </si>
  <si>
    <t>Power @ Target</t>
  </si>
  <si>
    <t>Radar Cross-Section</t>
  </si>
  <si>
    <t>GHz</t>
  </si>
  <si>
    <t>kHz</t>
  </si>
  <si>
    <t>Upper:</t>
  </si>
  <si>
    <t>Lower:</t>
  </si>
  <si>
    <t>Start:</t>
  </si>
  <si>
    <t>Stop:</t>
  </si>
  <si>
    <t>Step:</t>
  </si>
  <si>
    <t>Resistive Attenuator Calculator</t>
  </si>
  <si>
    <t xml:space="preserve"> Zout</t>
  </si>
  <si>
    <t xml:space="preserve">Zin </t>
  </si>
  <si>
    <t>Red values indicate unallowed Zin:Zout combination.</t>
  </si>
  <si>
    <t>Tee (T) Pad</t>
  </si>
  <si>
    <t>Ripple:</t>
  </si>
  <si>
    <t>Butterworth</t>
  </si>
  <si>
    <t>Chebyshev</t>
  </si>
  <si>
    <t>Bandpass Filter Response</t>
  </si>
  <si>
    <t>Lowpass Filter Response</t>
  </si>
  <si>
    <t>Cutoff:</t>
  </si>
  <si>
    <t>Highpass Filter Response</t>
  </si>
  <si>
    <t>Hz</t>
  </si>
  <si>
    <t>MW</t>
  </si>
  <si>
    <t>kW</t>
  </si>
  <si>
    <t>dBW</t>
  </si>
  <si>
    <t>mm</t>
  </si>
  <si>
    <t>smi</t>
  </si>
  <si>
    <t>nmi</t>
  </si>
  <si>
    <t>in</t>
  </si>
  <si>
    <t>mil</t>
  </si>
  <si>
    <t>cm</t>
  </si>
  <si>
    <t>TxPout (W)</t>
  </si>
  <si>
    <t>RxPin (W)</t>
  </si>
  <si>
    <t>Freq (Hz)</t>
  </si>
  <si>
    <t>Wavelength (m)</t>
  </si>
  <si>
    <t>Distance (m)</t>
  </si>
  <si>
    <t>(dBW)</t>
  </si>
  <si>
    <t>Pdet (W)</t>
  </si>
  <si>
    <t>(W)</t>
  </si>
  <si>
    <t>1-Way Path Loss (Radio)</t>
  </si>
  <si>
    <t>Blue cells are in user-specified units</t>
  </si>
  <si>
    <t>Green cells are in standard units for equations</t>
  </si>
  <si>
    <t>N/A</t>
  </si>
  <si>
    <r>
      <t>m</t>
    </r>
    <r>
      <rPr>
        <vertAlign val="superscript"/>
        <sz val="9"/>
        <rFont val="Arial"/>
        <family val="2"/>
      </rPr>
      <t>2</t>
    </r>
  </si>
  <si>
    <t>RCS Gain</t>
  </si>
  <si>
    <t>Ptarget (W)</t>
  </si>
  <si>
    <t>2-Way Path Loss (Monostatic Radar)</t>
  </si>
  <si>
    <t>to/from Target</t>
  </si>
  <si>
    <t>Radar Blind Speed</t>
  </si>
  <si>
    <t>kt</t>
  </si>
  <si>
    <t>Blind Speeds</t>
  </si>
  <si>
    <t>PRF</t>
  </si>
  <si>
    <t>pps</t>
  </si>
  <si>
    <t>λ (m)</t>
  </si>
  <si>
    <r>
      <t>1st s</t>
    </r>
    <r>
      <rPr>
        <vertAlign val="subscript"/>
        <sz val="8"/>
        <rFont val="Arial Narrow"/>
        <family val="2"/>
      </rPr>
      <t>B</t>
    </r>
    <r>
      <rPr>
        <sz val="8"/>
        <rFont val="Arial Narrow"/>
        <family val="2"/>
      </rPr>
      <t xml:space="preserve"> (km/hr)</t>
    </r>
  </si>
  <si>
    <t>mi/hr</t>
  </si>
  <si>
    <t>km/hr</t>
  </si>
  <si>
    <t>1st</t>
  </si>
  <si>
    <t>2nd</t>
  </si>
  <si>
    <t>3rd</t>
  </si>
  <si>
    <t>4th</t>
  </si>
  <si>
    <t>5th</t>
  </si>
  <si>
    <t>ft/s</t>
  </si>
  <si>
    <t>m/s</t>
  </si>
  <si>
    <r>
      <t>Pi (</t>
    </r>
    <r>
      <rPr>
        <sz val="10"/>
        <color indexed="60"/>
        <rFont val="Symbol"/>
        <family val="1"/>
        <charset val="2"/>
      </rPr>
      <t>p</t>
    </r>
    <r>
      <rPr>
        <b/>
        <sz val="9"/>
        <color indexed="60"/>
        <rFont val="Arial"/>
        <family val="2"/>
      </rPr>
      <t>) Pad</t>
    </r>
  </si>
  <si>
    <t>VSWR Conversions &amp; Mismatch</t>
  </si>
  <si>
    <t>Note: This only holds exactly</t>
  </si>
  <si>
    <t>when the attenuator is a</t>
  </si>
  <si>
    <t>perfect VSWR match (1:1)</t>
  </si>
  <si>
    <t>VSWR:</t>
  </si>
  <si>
    <t>Return Loss:</t>
  </si>
  <si>
    <t>G:</t>
  </si>
  <si>
    <t>Amplitude Error:</t>
  </si>
  <si>
    <t>Phase Error:</t>
  </si>
  <si>
    <t>Max VSWR:</t>
  </si>
  <si>
    <t>Attenuation :</t>
  </si>
  <si>
    <t>Min VSWR:</t>
  </si>
  <si>
    <t>Ω</t>
  </si>
  <si>
    <t xml:space="preserve"> Vee:</t>
  </si>
  <si>
    <t xml:space="preserve"> Vcc:</t>
  </si>
  <si>
    <t xml:space="preserve"> R2:</t>
  </si>
  <si>
    <t xml:space="preserve"> R1:</t>
  </si>
  <si>
    <t>Vout:</t>
  </si>
  <si>
    <t>I:</t>
  </si>
  <si>
    <r>
      <t>R</t>
    </r>
    <r>
      <rPr>
        <b/>
        <vertAlign val="subscript"/>
        <sz val="10"/>
        <rFont val="Arial"/>
        <family val="2"/>
      </rPr>
      <t>Load</t>
    </r>
    <r>
      <rPr>
        <b/>
        <sz val="8"/>
        <rFont val="Arial"/>
        <family val="2"/>
      </rPr>
      <t>:</t>
    </r>
  </si>
  <si>
    <t>Resistive Voltage Divider</t>
  </si>
  <si>
    <t>Noise Figure (NF) - to - Noise Temperature (NT)</t>
  </si>
  <si>
    <t>Click here for the online version</t>
  </si>
  <si>
    <t>Click here to check for Updates</t>
  </si>
  <si>
    <r>
      <t>dB</t>
    </r>
    <r>
      <rPr>
        <sz val="8"/>
        <rFont val="Arial"/>
        <family val="2"/>
      </rPr>
      <t xml:space="preserve"> (Cheby)</t>
    </r>
  </si>
  <si>
    <t>Click here for the online version (Butterworth)</t>
  </si>
  <si>
    <t>Click here for the online version (Chebyshev)</t>
  </si>
  <si>
    <t>Click here to check to purchase unlocked version</t>
  </si>
  <si>
    <t>Disclaimer: Your use of this RF Cafe Calculator Workbook indicates that you accept full responsibility for the results produced, and that you agree to hold harmless Kirt Blattenberger, RF Cafe, and it assigns, for any damages that may result from its use.</t>
  </si>
  <si>
    <t>Please report any errors here:</t>
  </si>
  <si>
    <t>rfcafe@earthlink.net</t>
  </si>
  <si>
    <t>RF Cafe Calculator Workbook</t>
  </si>
  <si>
    <t>Revision History</t>
  </si>
  <si>
    <t>Version</t>
  </si>
  <si>
    <t>Description</t>
  </si>
  <si>
    <t>Initial release.</t>
  </si>
  <si>
    <t>Calculators</t>
  </si>
  <si>
    <t>Attenuators</t>
  </si>
  <si>
    <t>Bandpass Filters</t>
  </si>
  <si>
    <t>Highpass Filters</t>
  </si>
  <si>
    <t>Lowpass Filters</t>
  </si>
  <si>
    <t>Path Loss, 1-Way</t>
  </si>
  <si>
    <t>Path Loss, 2-Way</t>
  </si>
  <si>
    <t>Noise Figure↔Temp</t>
  </si>
  <si>
    <t>VSWR↔RL↔Gamma</t>
  </si>
  <si>
    <t>Voltage Divider</t>
  </si>
  <si>
    <t>Mode</t>
  </si>
  <si>
    <t>Resonant</t>
  </si>
  <si>
    <t>n</t>
  </si>
  <si>
    <t>p</t>
  </si>
  <si>
    <t>Length:</t>
  </si>
  <si>
    <t>Rectangular Cavity</t>
  </si>
  <si>
    <t>Rectangular Cavity Resonance</t>
  </si>
  <si>
    <t>e:</t>
  </si>
  <si>
    <t>m:</t>
  </si>
  <si>
    <t>H/m</t>
  </si>
  <si>
    <t>F/m</t>
  </si>
  <si>
    <t>c:</t>
  </si>
  <si>
    <t>b:</t>
  </si>
  <si>
    <t>a:</t>
  </si>
  <si>
    <t>Dimensions (a&lt;b&lt;c)</t>
  </si>
  <si>
    <r>
      <t>TE</t>
    </r>
    <r>
      <rPr>
        <b/>
        <vertAlign val="subscript"/>
        <sz val="9"/>
        <color indexed="16"/>
        <rFont val="Arial"/>
        <family val="2"/>
      </rPr>
      <t>m,n,p</t>
    </r>
    <r>
      <rPr>
        <b/>
        <sz val="9"/>
        <color indexed="16"/>
        <rFont val="Arial"/>
        <family val="2"/>
      </rPr>
      <t xml:space="preserve"> &amp; TM</t>
    </r>
    <r>
      <rPr>
        <b/>
        <vertAlign val="subscript"/>
        <sz val="9"/>
        <color indexed="16"/>
        <rFont val="Arial"/>
        <family val="2"/>
      </rPr>
      <t>m,n,p</t>
    </r>
  </si>
  <si>
    <t>Freq</t>
  </si>
  <si>
    <t>THz</t>
  </si>
  <si>
    <t>Size</t>
  </si>
  <si>
    <t>Inductance</t>
  </si>
  <si>
    <t>Single-Layer, Air-Core Coil</t>
  </si>
  <si>
    <t>Straight Wire</t>
  </si>
  <si>
    <t>Diameter (2r):</t>
  </si>
  <si>
    <t>Diameter (d):</t>
  </si>
  <si>
    <t>Length (x):</t>
  </si>
  <si>
    <t>Length (L):</t>
  </si>
  <si>
    <t># Turns:</t>
  </si>
  <si>
    <t>Inductance:</t>
  </si>
  <si>
    <t>uH</t>
  </si>
  <si>
    <t>Diameter:</t>
  </si>
  <si>
    <t>Wire diameter on RF Cafe.</t>
  </si>
  <si>
    <t>H</t>
  </si>
  <si>
    <t>Ind Mult</t>
  </si>
  <si>
    <t>Lenght Mult</t>
  </si>
  <si>
    <t>mH</t>
  </si>
  <si>
    <t>Added Rectangular Cavity, Coils</t>
  </si>
  <si>
    <t>nH</t>
  </si>
  <si>
    <t>Turns Mult</t>
  </si>
  <si>
    <t>Inductance (Low Freq):</t>
  </si>
  <si>
    <t>Inductance (High Freq):</t>
  </si>
  <si>
    <t>Single-Layer Air Coil - find Inductance</t>
  </si>
  <si>
    <t>Single-Layer Air Coil - find Turns</t>
  </si>
  <si>
    <t>Length Mult</t>
  </si>
  <si>
    <t>Home</t>
  </si>
  <si>
    <t>Input Power:</t>
  </si>
  <si>
    <t>Output Values</t>
  </si>
  <si>
    <t>Component Name</t>
  </si>
  <si>
    <t>NF (dB)</t>
  </si>
  <si>
    <t>Pwr (dBm)</t>
  </si>
  <si>
    <t>Gain  (dB)</t>
  </si>
  <si>
    <t>System Cascade Parameter Calculator</t>
  </si>
  <si>
    <t>IP3 (dBm)</t>
  </si>
  <si>
    <t>IP2 (dBm)</t>
  </si>
  <si>
    <t>Cascaded Components</t>
  </si>
  <si>
    <t>Input</t>
  </si>
  <si>
    <t>Ä</t>
  </si>
  <si>
    <t>Output</t>
  </si>
  <si>
    <t>High:</t>
  </si>
  <si>
    <t>—</t>
  </si>
  <si>
    <t>Low:</t>
  </si>
  <si>
    <t>|</t>
  </si>
  <si>
    <t>Units</t>
  </si>
  <si>
    <t>Local Oscillator</t>
  </si>
  <si>
    <t>Mixer Frequency Conversion</t>
  </si>
  <si>
    <t>Upper Sideband:</t>
  </si>
  <si>
    <t>Lower Sideband:</t>
  </si>
  <si>
    <t>Added Cascaded Components, Mixer Frequency Conversion</t>
  </si>
  <si>
    <t>Directional Couplers</t>
  </si>
  <si>
    <t>Input (Port 1)</t>
  </si>
  <si>
    <t>Mainline Loss</t>
  </si>
  <si>
    <t>Transmitted (Port 2)</t>
  </si>
  <si>
    <t>Coupling Factor</t>
  </si>
  <si>
    <t>Directivity</t>
  </si>
  <si>
    <t>Isolation</t>
  </si>
  <si>
    <t>Coupled (Port 3)</t>
  </si>
  <si>
    <t>Isolated (Port 4)</t>
  </si>
  <si>
    <t>Coupling Loss Only</t>
  </si>
  <si>
    <t>Propagation Time</t>
  </si>
  <si>
    <t>RF Energy Propagation Time</t>
  </si>
  <si>
    <t>Propagation Speed</t>
  </si>
  <si>
    <t>Relative Dielectric</t>
  </si>
  <si>
    <t># of Wavelengths</t>
  </si>
  <si>
    <t>day</t>
  </si>
  <si>
    <t>hr</t>
  </si>
  <si>
    <t>s</t>
  </si>
  <si>
    <t>ms</t>
  </si>
  <si>
    <t>us</t>
  </si>
  <si>
    <t>ns</t>
  </si>
  <si>
    <t>ps</t>
  </si>
  <si>
    <t>fs</t>
  </si>
  <si>
    <t>mi</t>
  </si>
  <si>
    <t>yd</t>
  </si>
  <si>
    <t>yr</t>
  </si>
  <si>
    <t>mo</t>
  </si>
  <si>
    <t>wk</t>
  </si>
  <si>
    <t>User Units:</t>
  </si>
  <si>
    <t>User Value:</t>
  </si>
  <si>
    <t>Distance (m):</t>
  </si>
  <si>
    <t>au</t>
  </si>
  <si>
    <t>ly</t>
  </si>
  <si>
    <t>Distance (in meters)</t>
  </si>
  <si>
    <t>Frequency (Hz):</t>
  </si>
  <si>
    <t>Frequency (in Hz)</t>
  </si>
  <si>
    <t>Wavelength (m):</t>
  </si>
  <si>
    <t>Prop Speed</t>
  </si>
  <si>
    <t>in/s</t>
  </si>
  <si>
    <t>km/s</t>
  </si>
  <si>
    <t>mi/s</t>
  </si>
  <si>
    <t>Prop Time</t>
  </si>
  <si>
    <t>c(user):</t>
  </si>
  <si>
    <t>c0(m/s):</t>
  </si>
  <si>
    <t>c(m/s):</t>
  </si>
  <si>
    <t>min</t>
  </si>
  <si>
    <t>con't:</t>
  </si>
  <si>
    <t>t(user):</t>
  </si>
  <si>
    <t>t0(s):</t>
  </si>
  <si>
    <t>t(s):</t>
  </si>
  <si>
    <t>Wavelength (user):</t>
  </si>
  <si>
    <t>Added Directional Couplers</t>
  </si>
  <si>
    <t>Added Propagation Time</t>
  </si>
  <si>
    <t>v5.1</t>
  </si>
  <si>
    <t>Corrected straight wire inductor formula</t>
  </si>
  <si>
    <t>Coils / Inductors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</si>
</sst>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7" formatCode="0.000"/>
    <numFmt numFmtId="181" formatCode="0.0"/>
    <numFmt numFmtId="182" formatCode="0.000E+00"/>
  </numFmts>
  <fonts count="82" x14ac:knownFonts="1">
    <font>
      <sz val="9"/>
      <name val="Arial"/>
    </font>
    <font>
      <sz val="9"/>
      <name val="Arial"/>
    </font>
    <font>
      <sz val="8"/>
      <name val="Arial"/>
    </font>
    <font>
      <sz val="9"/>
      <name val="Arial"/>
    </font>
    <font>
      <sz val="10"/>
      <name val="Arial"/>
    </font>
    <font>
      <sz val="9"/>
      <name val="Verdana"/>
    </font>
    <font>
      <sz val="10"/>
      <name val="Verdana"/>
    </font>
    <font>
      <b/>
      <sz val="9"/>
      <name val="Arial"/>
    </font>
    <font>
      <b/>
      <sz val="10"/>
      <name val="Verdana"/>
    </font>
    <font>
      <b/>
      <sz val="8"/>
      <name val="Arial"/>
    </font>
    <font>
      <sz val="9"/>
      <color indexed="8"/>
      <name val="Arial"/>
    </font>
    <font>
      <sz val="9"/>
      <name val="Arial"/>
    </font>
    <font>
      <sz val="8"/>
      <color indexed="81"/>
      <name val="Tahoma"/>
      <family val="2"/>
    </font>
    <font>
      <sz val="9"/>
      <name val="Arial"/>
      <family val="2"/>
    </font>
    <font>
      <sz val="7"/>
      <name val="Arial"/>
      <family val="2"/>
    </font>
    <font>
      <b/>
      <sz val="8"/>
      <name val="Arial"/>
      <family val="2"/>
    </font>
    <font>
      <b/>
      <sz val="9"/>
      <color indexed="61"/>
      <name val="Arial"/>
      <family val="2"/>
    </font>
    <font>
      <b/>
      <sz val="9"/>
      <color indexed="10"/>
      <name val="Arial"/>
      <family val="2"/>
    </font>
    <font>
      <sz val="8"/>
      <name val="Arial"/>
      <family val="2"/>
    </font>
    <font>
      <sz val="9"/>
      <name val="Symbol"/>
      <family val="1"/>
      <charset val="2"/>
    </font>
    <font>
      <b/>
      <sz val="8"/>
      <color indexed="25"/>
      <name val="Arial"/>
      <family val="2"/>
    </font>
    <font>
      <i/>
      <sz val="8"/>
      <color indexed="10"/>
      <name val="Arial"/>
      <family val="2"/>
    </font>
    <font>
      <i/>
      <sz val="8"/>
      <color indexed="9"/>
      <name val="Arial"/>
      <family val="2"/>
    </font>
    <font>
      <sz val="3"/>
      <name val="Arial"/>
      <family val="2"/>
    </font>
    <font>
      <sz val="1"/>
      <color indexed="9"/>
      <name val="Arial"/>
    </font>
    <font>
      <sz val="7"/>
      <color indexed="48"/>
      <name val="Arial"/>
      <family val="2"/>
    </font>
    <font>
      <b/>
      <u/>
      <sz val="10"/>
      <color indexed="62"/>
      <name val="Arial"/>
    </font>
    <font>
      <sz val="7"/>
      <color indexed="48"/>
      <name val="Arial"/>
    </font>
    <font>
      <sz val="9"/>
      <name val="Arial"/>
    </font>
    <font>
      <sz val="9"/>
      <name val="Arial"/>
    </font>
    <font>
      <sz val="9"/>
      <color indexed="8"/>
      <name val="Arial"/>
      <family val="2"/>
    </font>
    <font>
      <u/>
      <sz val="9"/>
      <color indexed="12"/>
      <name val="Arial"/>
    </font>
    <font>
      <b/>
      <sz val="9"/>
      <color indexed="56"/>
      <name val="Arial"/>
      <family val="2"/>
    </font>
    <font>
      <vertAlign val="superscript"/>
      <sz val="9"/>
      <name val="Arial"/>
      <family val="2"/>
    </font>
    <font>
      <b/>
      <sz val="8"/>
      <name val="Arial Narrow"/>
      <family val="2"/>
    </font>
    <font>
      <sz val="6"/>
      <name val="Arial"/>
    </font>
    <font>
      <sz val="6"/>
      <name val="Arial"/>
      <family val="2"/>
    </font>
    <font>
      <sz val="6"/>
      <name val="Arial Narrow"/>
      <family val="2"/>
    </font>
    <font>
      <sz val="8"/>
      <name val="Arial Narrow"/>
      <family val="2"/>
    </font>
    <font>
      <vertAlign val="subscript"/>
      <sz val="8"/>
      <name val="Arial Narrow"/>
      <family val="2"/>
    </font>
    <font>
      <sz val="9"/>
      <color indexed="18"/>
      <name val="Arial"/>
      <family val="2"/>
    </font>
    <font>
      <sz val="9"/>
      <color indexed="9"/>
      <name val="Arial"/>
      <family val="2"/>
    </font>
    <font>
      <b/>
      <sz val="8"/>
      <color indexed="8"/>
      <name val="Arial"/>
      <family val="2"/>
    </font>
    <font>
      <b/>
      <sz val="9"/>
      <color indexed="16"/>
      <name val="Arial"/>
      <family val="2"/>
    </font>
    <font>
      <b/>
      <sz val="9"/>
      <color indexed="60"/>
      <name val="Arial"/>
      <family val="2"/>
    </font>
    <font>
      <sz val="9"/>
      <color indexed="60"/>
      <name val="Arial"/>
      <family val="2"/>
    </font>
    <font>
      <sz val="10"/>
      <color indexed="60"/>
      <name val="Symbol"/>
      <family val="1"/>
      <charset val="2"/>
    </font>
    <font>
      <b/>
      <sz val="9"/>
      <color indexed="16"/>
      <name val="Arial"/>
    </font>
    <font>
      <b/>
      <sz val="8"/>
      <name val="Symbol"/>
      <family val="1"/>
      <charset val="2"/>
    </font>
    <font>
      <b/>
      <sz val="8"/>
      <color indexed="16"/>
      <name val="Arial"/>
      <family val="2"/>
    </font>
    <font>
      <b/>
      <sz val="8"/>
      <color indexed="16"/>
      <name val="Arial"/>
    </font>
    <font>
      <sz val="8"/>
      <name val="Arial Narrow"/>
    </font>
    <font>
      <sz val="9"/>
      <name val="Arial"/>
    </font>
    <font>
      <sz val="9"/>
      <name val="Verdana"/>
      <family val="2"/>
    </font>
    <font>
      <b/>
      <sz val="8"/>
      <name val="Verdana"/>
    </font>
    <font>
      <b/>
      <vertAlign val="subscript"/>
      <sz val="10"/>
      <name val="Arial"/>
      <family val="2"/>
    </font>
    <font>
      <b/>
      <u/>
      <sz val="9"/>
      <color indexed="18"/>
      <name val="Arial"/>
      <family val="2"/>
    </font>
    <font>
      <sz val="8"/>
      <color indexed="62"/>
      <name val="Arial"/>
      <family val="2"/>
    </font>
    <font>
      <u/>
      <sz val="7"/>
      <color indexed="48"/>
      <name val="Arial"/>
    </font>
    <font>
      <b/>
      <sz val="10"/>
      <color indexed="9"/>
      <name val="Arial"/>
      <family val="2"/>
    </font>
    <font>
      <b/>
      <sz val="10"/>
      <color indexed="9"/>
      <name val="Arial"/>
    </font>
    <font>
      <b/>
      <sz val="9"/>
      <color indexed="9"/>
      <name val="Arial"/>
      <family val="2"/>
    </font>
    <font>
      <sz val="8"/>
      <name val="Verdana"/>
      <family val="2"/>
    </font>
    <font>
      <sz val="7"/>
      <color indexed="53"/>
      <name val="Verdana"/>
      <family val="2"/>
    </font>
    <font>
      <u/>
      <sz val="8"/>
      <color indexed="48"/>
      <name val="Arial"/>
    </font>
    <font>
      <sz val="8"/>
      <color indexed="48"/>
      <name val="Arial"/>
    </font>
    <font>
      <b/>
      <sz val="9"/>
      <name val="Arial"/>
      <family val="2"/>
    </font>
    <font>
      <b/>
      <sz val="10"/>
      <name val="Symbol"/>
      <family val="1"/>
      <charset val="2"/>
    </font>
    <font>
      <b/>
      <vertAlign val="subscript"/>
      <sz val="9"/>
      <color indexed="16"/>
      <name val="Arial"/>
      <family val="2"/>
    </font>
    <font>
      <u/>
      <sz val="8"/>
      <color indexed="12"/>
      <name val="Arial"/>
    </font>
    <font>
      <b/>
      <sz val="9"/>
      <name val="Symbol"/>
      <family val="1"/>
      <charset val="2"/>
    </font>
    <font>
      <b/>
      <u/>
      <sz val="9"/>
      <name val="Arial"/>
    </font>
    <font>
      <sz val="9"/>
      <color indexed="62"/>
      <name val="Arial"/>
    </font>
    <font>
      <sz val="40"/>
      <name val="Symbol"/>
      <family val="1"/>
      <charset val="2"/>
    </font>
    <font>
      <sz val="28"/>
      <name val="Symbol"/>
      <family val="1"/>
      <charset val="2"/>
    </font>
    <font>
      <sz val="14"/>
      <name val="Verdana"/>
      <family val="2"/>
    </font>
    <font>
      <b/>
      <sz val="14"/>
      <name val="Symbol"/>
      <family val="1"/>
      <charset val="2"/>
    </font>
    <font>
      <u/>
      <sz val="9"/>
      <color indexed="48"/>
      <name val="Arial"/>
    </font>
    <font>
      <b/>
      <sz val="8"/>
      <color indexed="10"/>
      <name val="Arial"/>
      <family val="2"/>
    </font>
    <font>
      <b/>
      <sz val="8"/>
      <color indexed="53"/>
      <name val="Arial"/>
      <family val="2"/>
    </font>
    <font>
      <sz val="7"/>
      <color indexed="20"/>
      <name val="Arial"/>
      <family val="2"/>
    </font>
    <font>
      <u/>
      <sz val="7"/>
      <color indexed="30"/>
      <name val="Arial"/>
    </font>
  </fonts>
  <fills count="7">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42"/>
        <bgColor indexed="64"/>
      </patternFill>
    </fill>
    <fill>
      <patternFill patternType="solid">
        <fgColor indexed="30"/>
        <bgColor indexed="64"/>
      </patternFill>
    </fill>
    <fill>
      <patternFill patternType="solid">
        <fgColor indexed="47"/>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style="double">
        <color indexed="38"/>
      </right>
      <top/>
      <bottom/>
      <diagonal/>
    </border>
    <border>
      <left style="double">
        <color indexed="38"/>
      </left>
      <right/>
      <top style="double">
        <color indexed="38"/>
      </top>
      <bottom/>
      <diagonal/>
    </border>
    <border>
      <left/>
      <right/>
      <top style="double">
        <color indexed="38"/>
      </top>
      <bottom/>
      <diagonal/>
    </border>
    <border>
      <left/>
      <right style="double">
        <color indexed="38"/>
      </right>
      <top style="double">
        <color indexed="38"/>
      </top>
      <bottom/>
      <diagonal/>
    </border>
    <border>
      <left style="double">
        <color indexed="38"/>
      </left>
      <right/>
      <top/>
      <bottom/>
      <diagonal/>
    </border>
    <border>
      <left style="double">
        <color indexed="38"/>
      </left>
      <right/>
      <top/>
      <bottom style="double">
        <color indexed="38"/>
      </bottom>
      <diagonal/>
    </border>
    <border>
      <left/>
      <right/>
      <top/>
      <bottom style="double">
        <color indexed="38"/>
      </bottom>
      <diagonal/>
    </border>
    <border>
      <left/>
      <right style="double">
        <color indexed="38"/>
      </right>
      <top/>
      <bottom style="double">
        <color indexed="38"/>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right/>
      <top style="medium">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thin">
        <color indexed="64"/>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22"/>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right/>
      <top style="double">
        <color indexed="64"/>
      </top>
      <bottom/>
      <diagonal/>
    </border>
    <border>
      <left/>
      <right/>
      <top style="thin">
        <color indexed="64"/>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style="thin">
        <color indexed="64"/>
      </left>
      <right/>
      <top style="double">
        <color indexed="64"/>
      </top>
      <bottom style="thin">
        <color indexed="22"/>
      </bottom>
      <diagonal/>
    </border>
    <border>
      <left/>
      <right/>
      <top style="double">
        <color indexed="64"/>
      </top>
      <bottom style="thin">
        <color indexed="22"/>
      </bottom>
      <diagonal/>
    </border>
  </borders>
  <cellStyleXfs count="2">
    <xf numFmtId="0" fontId="0" fillId="0" borderId="0"/>
    <xf numFmtId="0" fontId="31" fillId="0" borderId="0" applyNumberFormat="0" applyFill="0" applyBorder="0" applyAlignment="0" applyProtection="0">
      <alignment vertical="top"/>
      <protection locked="0"/>
    </xf>
  </cellStyleXfs>
  <cellXfs count="477">
    <xf numFmtId="0" fontId="0" fillId="0" borderId="0" xfId="0"/>
    <xf numFmtId="0" fontId="5" fillId="0" borderId="0" xfId="0" applyNumberFormat="1" applyFont="1" applyFill="1" applyBorder="1" applyAlignment="1" applyProtection="1"/>
    <xf numFmtId="0" fontId="3" fillId="0" borderId="0" xfId="0" applyNumberFormat="1" applyFont="1" applyFill="1" applyBorder="1" applyAlignment="1" applyProtection="1"/>
    <xf numFmtId="0" fontId="10" fillId="0" borderId="0" xfId="0" applyNumberFormat="1" applyFont="1" applyFill="1" applyBorder="1" applyAlignment="1" applyProtection="1"/>
    <xf numFmtId="2" fontId="3" fillId="0" borderId="0" xfId="0" applyNumberFormat="1" applyFont="1" applyFill="1" applyBorder="1" applyAlignment="1" applyProtection="1"/>
    <xf numFmtId="0" fontId="1" fillId="0" borderId="0" xfId="0" applyNumberFormat="1" applyFont="1" applyFill="1" applyBorder="1" applyAlignment="1" applyProtection="1"/>
    <xf numFmtId="0" fontId="13" fillId="2" borderId="1" xfId="0" applyNumberFormat="1" applyFont="1" applyFill="1" applyBorder="1" applyAlignment="1" applyProtection="1">
      <alignment horizontal="center"/>
      <protection locked="0"/>
    </xf>
    <xf numFmtId="0" fontId="13" fillId="0" borderId="0" xfId="0" applyNumberFormat="1" applyFont="1" applyFill="1" applyBorder="1" applyAlignment="1" applyProtection="1">
      <alignment horizontal="right"/>
    </xf>
    <xf numFmtId="0" fontId="13" fillId="0" borderId="0" xfId="0" applyNumberFormat="1" applyFont="1" applyFill="1" applyBorder="1" applyAlignment="1" applyProtection="1">
      <alignment horizontal="left"/>
    </xf>
    <xf numFmtId="0" fontId="13" fillId="0" borderId="0" xfId="0" applyNumberFormat="1" applyFont="1" applyFill="1" applyBorder="1" applyAlignment="1" applyProtection="1"/>
    <xf numFmtId="0" fontId="13" fillId="0" borderId="0" xfId="0" quotePrefix="1" applyNumberFormat="1" applyFont="1" applyFill="1" applyBorder="1" applyAlignment="1" applyProtection="1"/>
    <xf numFmtId="0" fontId="17" fillId="0" borderId="0" xfId="0" applyNumberFormat="1" applyFont="1" applyFill="1" applyBorder="1" applyAlignment="1" applyProtection="1">
      <alignment horizontal="center"/>
    </xf>
    <xf numFmtId="0" fontId="16" fillId="0" borderId="0" xfId="0" applyNumberFormat="1" applyFont="1" applyFill="1" applyBorder="1" applyAlignment="1" applyProtection="1">
      <alignment horizontal="center"/>
    </xf>
    <xf numFmtId="0" fontId="13" fillId="0" borderId="0" xfId="0" quotePrefix="1" applyNumberFormat="1" applyFont="1" applyFill="1" applyBorder="1" applyAlignment="1" applyProtection="1">
      <alignment horizontal="right"/>
    </xf>
    <xf numFmtId="0" fontId="13" fillId="0" borderId="0" xfId="0" quotePrefix="1" applyNumberFormat="1" applyFont="1" applyFill="1" applyBorder="1" applyAlignment="1" applyProtection="1">
      <alignment horizontal="center"/>
    </xf>
    <xf numFmtId="0" fontId="13" fillId="0" borderId="0" xfId="0" quotePrefix="1" applyNumberFormat="1" applyFont="1" applyFill="1" applyBorder="1" applyAlignment="1" applyProtection="1">
      <alignment horizontal="left"/>
    </xf>
    <xf numFmtId="0" fontId="18" fillId="0" borderId="0" xfId="0" quotePrefix="1" applyNumberFormat="1" applyFont="1" applyFill="1" applyBorder="1" applyAlignment="1" applyProtection="1"/>
    <xf numFmtId="0" fontId="18" fillId="0" borderId="0" xfId="0" applyNumberFormat="1" applyFont="1" applyFill="1" applyBorder="1" applyAlignment="1" applyProtection="1"/>
    <xf numFmtId="0" fontId="13" fillId="0" borderId="0" xfId="0" applyNumberFormat="1" applyFont="1" applyFill="1" applyBorder="1" applyAlignment="1" applyProtection="1">
      <alignment horizontal="center"/>
    </xf>
    <xf numFmtId="4" fontId="13" fillId="0" borderId="0" xfId="0" applyNumberFormat="1" applyFont="1" applyFill="1" applyBorder="1" applyAlignment="1" applyProtection="1">
      <alignment horizontal="center"/>
    </xf>
    <xf numFmtId="0" fontId="18" fillId="0" borderId="0" xfId="0" applyNumberFormat="1" applyFont="1" applyFill="1" applyBorder="1" applyAlignment="1" applyProtection="1">
      <alignment horizontal="left"/>
    </xf>
    <xf numFmtId="0" fontId="19" fillId="0" borderId="0" xfId="0" applyNumberFormat="1" applyFont="1" applyFill="1" applyBorder="1" applyAlignment="1" applyProtection="1">
      <alignment horizontal="left"/>
    </xf>
    <xf numFmtId="4" fontId="13" fillId="0" borderId="2" xfId="0" applyNumberFormat="1" applyFont="1" applyFill="1" applyBorder="1" applyAlignment="1" applyProtection="1">
      <alignment horizontal="center"/>
    </xf>
    <xf numFmtId="0" fontId="20" fillId="0" borderId="0" xfId="0" applyNumberFormat="1" applyFont="1" applyFill="1" applyBorder="1" applyAlignment="1" applyProtection="1">
      <alignment horizontal="right"/>
    </xf>
    <xf numFmtId="0" fontId="21" fillId="0" borderId="0" xfId="0" applyNumberFormat="1" applyFont="1" applyFill="1" applyBorder="1" applyAlignment="1" applyProtection="1">
      <alignment horizontal="center"/>
    </xf>
    <xf numFmtId="0" fontId="13" fillId="2" borderId="3" xfId="0" applyNumberFormat="1" applyFont="1" applyFill="1" applyBorder="1" applyAlignment="1" applyProtection="1">
      <alignment horizontal="center"/>
      <protection locked="0"/>
    </xf>
    <xf numFmtId="0" fontId="13" fillId="0" borderId="4" xfId="0" applyNumberFormat="1" applyFont="1" applyFill="1" applyBorder="1" applyAlignment="1" applyProtection="1"/>
    <xf numFmtId="0" fontId="18" fillId="0" borderId="4" xfId="0" applyNumberFormat="1" applyFont="1" applyFill="1" applyBorder="1" applyAlignment="1" applyProtection="1"/>
    <xf numFmtId="0" fontId="22" fillId="0" borderId="0" xfId="0" applyNumberFormat="1" applyFont="1" applyFill="1" applyBorder="1" applyAlignment="1" applyProtection="1">
      <alignment horizontal="center"/>
    </xf>
    <xf numFmtId="0" fontId="13" fillId="0" borderId="0" xfId="0" applyFont="1" applyFill="1" applyProtection="1"/>
    <xf numFmtId="0" fontId="13" fillId="0" borderId="5" xfId="0" applyFont="1" applyFill="1" applyBorder="1" applyProtection="1"/>
    <xf numFmtId="0" fontId="13" fillId="0" borderId="6" xfId="0" applyFont="1" applyFill="1" applyBorder="1" applyProtection="1"/>
    <xf numFmtId="0" fontId="13" fillId="0" borderId="7" xfId="0" applyFont="1" applyFill="1" applyBorder="1" applyProtection="1"/>
    <xf numFmtId="0" fontId="13" fillId="0" borderId="8" xfId="0" applyFont="1" applyFill="1" applyBorder="1" applyProtection="1"/>
    <xf numFmtId="0" fontId="13" fillId="0" borderId="0" xfId="0" applyFont="1" applyFill="1" applyBorder="1" applyProtection="1"/>
    <xf numFmtId="0" fontId="13" fillId="0" borderId="4" xfId="0" applyFont="1" applyFill="1" applyBorder="1" applyProtection="1"/>
    <xf numFmtId="0" fontId="13" fillId="0" borderId="9" xfId="0" applyFont="1" applyFill="1" applyBorder="1" applyProtection="1"/>
    <xf numFmtId="0" fontId="13" fillId="0" borderId="10" xfId="0" applyFont="1" applyFill="1" applyBorder="1" applyProtection="1"/>
    <xf numFmtId="0" fontId="13" fillId="0" borderId="11" xfId="0" applyFont="1" applyFill="1" applyBorder="1" applyProtection="1"/>
    <xf numFmtId="0" fontId="13" fillId="2" borderId="12" xfId="0" applyNumberFormat="1" applyFont="1" applyFill="1" applyBorder="1" applyAlignment="1" applyProtection="1">
      <alignment horizontal="center"/>
      <protection locked="0"/>
    </xf>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xf numFmtId="0" fontId="0" fillId="0" borderId="9" xfId="0" applyBorder="1"/>
    <xf numFmtId="0" fontId="0" fillId="0" borderId="10" xfId="0" applyBorder="1"/>
    <xf numFmtId="0" fontId="0" fillId="0" borderId="11" xfId="0" applyBorder="1"/>
    <xf numFmtId="0" fontId="13" fillId="2" borderId="1" xfId="0" applyNumberFormat="1" applyFont="1" applyFill="1" applyBorder="1" applyAlignment="1" applyProtection="1">
      <alignment horizontal="left"/>
      <protection locked="0"/>
    </xf>
    <xf numFmtId="0" fontId="13" fillId="0" borderId="13" xfId="0" applyNumberFormat="1" applyFont="1" applyFill="1" applyBorder="1" applyAlignment="1" applyProtection="1">
      <alignment horizontal="left"/>
    </xf>
    <xf numFmtId="0" fontId="15" fillId="0" borderId="14" xfId="0" applyNumberFormat="1" applyFont="1" applyFill="1" applyBorder="1" applyAlignment="1" applyProtection="1">
      <alignment horizontal="center"/>
    </xf>
    <xf numFmtId="0" fontId="13" fillId="0" borderId="10" xfId="0" applyNumberFormat="1" applyFont="1" applyFill="1" applyBorder="1" applyAlignment="1" applyProtection="1">
      <alignment horizontal="center"/>
    </xf>
    <xf numFmtId="2" fontId="13" fillId="0" borderId="10" xfId="0" applyNumberFormat="1" applyFont="1" applyFill="1" applyBorder="1" applyAlignment="1" applyProtection="1">
      <alignment horizontal="center"/>
    </xf>
    <xf numFmtId="2" fontId="13" fillId="0" borderId="0" xfId="0" applyNumberFormat="1" applyFont="1" applyFill="1" applyBorder="1" applyAlignment="1" applyProtection="1">
      <alignment horizontal="center"/>
    </xf>
    <xf numFmtId="0" fontId="13" fillId="0" borderId="15" xfId="0" applyNumberFormat="1" applyFont="1" applyFill="1" applyBorder="1" applyAlignment="1" applyProtection="1">
      <alignment horizontal="center"/>
    </xf>
    <xf numFmtId="2" fontId="13" fillId="0" borderId="1" xfId="0" applyNumberFormat="1" applyFont="1" applyFill="1" applyBorder="1" applyAlignment="1" applyProtection="1">
      <alignment horizontal="center"/>
    </xf>
    <xf numFmtId="0" fontId="13" fillId="0" borderId="1" xfId="0" applyNumberFormat="1" applyFont="1" applyFill="1" applyBorder="1" applyAlignment="1" applyProtection="1">
      <alignment horizontal="center"/>
    </xf>
    <xf numFmtId="0" fontId="28" fillId="2" borderId="1" xfId="0" applyNumberFormat="1" applyFont="1" applyFill="1" applyBorder="1" applyAlignment="1" applyProtection="1">
      <alignment horizontal="left"/>
      <protection locked="0"/>
    </xf>
    <xf numFmtId="0" fontId="29" fillId="2" borderId="1" xfId="0" applyNumberFormat="1" applyFont="1" applyFill="1" applyBorder="1" applyAlignment="1" applyProtection="1">
      <alignment horizontal="left"/>
      <protection locked="0"/>
    </xf>
    <xf numFmtId="0" fontId="29" fillId="0" borderId="13" xfId="0" applyNumberFormat="1" applyFont="1" applyFill="1" applyBorder="1" applyAlignment="1" applyProtection="1">
      <alignment horizontal="left"/>
    </xf>
    <xf numFmtId="0" fontId="9" fillId="0" borderId="14" xfId="0" applyNumberFormat="1" applyFont="1" applyFill="1" applyBorder="1" applyAlignment="1" applyProtection="1">
      <alignment horizontal="center"/>
    </xf>
    <xf numFmtId="2" fontId="30" fillId="0" borderId="0" xfId="0" applyNumberFormat="1" applyFont="1" applyFill="1" applyBorder="1" applyAlignment="1" applyProtection="1"/>
    <xf numFmtId="0" fontId="26" fillId="0" borderId="0" xfId="0" applyFont="1" applyFill="1" applyBorder="1" applyAlignment="1" applyProtection="1"/>
    <xf numFmtId="0" fontId="26" fillId="0" borderId="0" xfId="0" applyFont="1" applyFill="1" applyBorder="1" applyAlignment="1" applyProtection="1">
      <alignment horizontal="center"/>
    </xf>
    <xf numFmtId="2" fontId="13" fillId="0" borderId="15" xfId="0" applyNumberFormat="1" applyFont="1" applyFill="1" applyBorder="1" applyAlignment="1" applyProtection="1">
      <alignment horizontal="center"/>
    </xf>
    <xf numFmtId="0" fontId="1" fillId="0" borderId="15" xfId="0" applyNumberFormat="1" applyFont="1" applyFill="1" applyBorder="1" applyAlignment="1" applyProtection="1">
      <alignment horizontal="center"/>
    </xf>
    <xf numFmtId="0" fontId="1" fillId="0" borderId="1" xfId="0" applyNumberFormat="1" applyFont="1" applyFill="1" applyBorder="1" applyAlignment="1" applyProtection="1">
      <alignment horizontal="center"/>
    </xf>
    <xf numFmtId="0" fontId="1" fillId="0" borderId="10" xfId="0" applyNumberFormat="1" applyFont="1" applyFill="1" applyBorder="1" applyAlignment="1" applyProtection="1">
      <alignment horizontal="center"/>
    </xf>
    <xf numFmtId="2" fontId="1" fillId="0" borderId="1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2" fontId="1" fillId="0" borderId="0" xfId="0" applyNumberFormat="1" applyFont="1" applyFill="1" applyBorder="1" applyAlignment="1" applyProtection="1">
      <alignment horizontal="center"/>
    </xf>
    <xf numFmtId="0" fontId="23" fillId="0" borderId="0" xfId="0" applyFont="1" applyFill="1" applyBorder="1" applyAlignment="1" applyProtection="1">
      <alignment horizontal="right" vertical="center"/>
    </xf>
    <xf numFmtId="0" fontId="3" fillId="2" borderId="1" xfId="0" applyNumberFormat="1" applyFont="1" applyFill="1" applyBorder="1" applyAlignment="1" applyProtection="1">
      <protection locked="0"/>
    </xf>
    <xf numFmtId="0" fontId="10" fillId="2" borderId="1" xfId="0" applyNumberFormat="1" applyFont="1" applyFill="1" applyBorder="1" applyAlignment="1" applyProtection="1">
      <protection locked="0"/>
    </xf>
    <xf numFmtId="0" fontId="13" fillId="0" borderId="16" xfId="0" applyNumberFormat="1" applyFont="1" applyFill="1" applyBorder="1" applyAlignment="1" applyProtection="1">
      <alignment horizontal="right"/>
    </xf>
    <xf numFmtId="0" fontId="29" fillId="0" borderId="16" xfId="0" applyNumberFormat="1" applyFont="1" applyFill="1" applyBorder="1" applyAlignment="1" applyProtection="1">
      <alignment horizontal="right"/>
    </xf>
    <xf numFmtId="0" fontId="18" fillId="0" borderId="10" xfId="0" applyNumberFormat="1" applyFont="1" applyFill="1" applyBorder="1" applyAlignment="1" applyProtection="1"/>
    <xf numFmtId="0" fontId="9" fillId="0" borderId="0" xfId="0" applyNumberFormat="1" applyFont="1" applyFill="1" applyBorder="1" applyAlignment="1" applyProtection="1">
      <alignment horizontal="center"/>
    </xf>
    <xf numFmtId="0" fontId="1" fillId="2" borderId="1" xfId="0" applyNumberFormat="1" applyFont="1" applyFill="1" applyBorder="1" applyAlignment="1" applyProtection="1">
      <protection locked="0"/>
    </xf>
    <xf numFmtId="2" fontId="1" fillId="0" borderId="0" xfId="0" applyNumberFormat="1" applyFont="1" applyFill="1" applyBorder="1" applyAlignment="1" applyProtection="1"/>
    <xf numFmtId="0" fontId="32" fillId="0" borderId="0" xfId="0" applyNumberFormat="1" applyFont="1" applyFill="1" applyBorder="1" applyAlignment="1" applyProtection="1">
      <alignment horizontal="center"/>
    </xf>
    <xf numFmtId="0" fontId="15" fillId="0" borderId="0" xfId="0" applyNumberFormat="1" applyFont="1" applyFill="1" applyBorder="1" applyAlignment="1" applyProtection="1">
      <alignment horizontal="center"/>
    </xf>
    <xf numFmtId="177" fontId="1" fillId="0" borderId="0" xfId="0" applyNumberFormat="1" applyFont="1" applyFill="1" applyBorder="1" applyAlignment="1" applyProtection="1"/>
    <xf numFmtId="0" fontId="35" fillId="0" borderId="0" xfId="0" applyNumberFormat="1" applyFont="1" applyFill="1" applyBorder="1" applyAlignment="1" applyProtection="1"/>
    <xf numFmtId="0" fontId="36" fillId="0" borderId="0" xfId="0" applyFont="1" applyFill="1" applyBorder="1" applyProtection="1"/>
    <xf numFmtId="0" fontId="9" fillId="0" borderId="17" xfId="0" applyNumberFormat="1" applyFont="1" applyFill="1" applyBorder="1" applyAlignment="1" applyProtection="1"/>
    <xf numFmtId="2" fontId="13" fillId="2" borderId="1" xfId="0" applyNumberFormat="1" applyFont="1" applyFill="1" applyBorder="1" applyAlignment="1" applyProtection="1">
      <alignment horizontal="center"/>
      <protection locked="0"/>
    </xf>
    <xf numFmtId="0" fontId="40" fillId="0" borderId="0" xfId="0" applyNumberFormat="1" applyFont="1" applyFill="1" applyBorder="1" applyAlignment="1" applyProtection="1"/>
    <xf numFmtId="0" fontId="13" fillId="2" borderId="1" xfId="0" applyNumberFormat="1" applyFont="1" applyFill="1" applyBorder="1" applyAlignment="1" applyProtection="1">
      <protection locked="0"/>
    </xf>
    <xf numFmtId="0" fontId="41" fillId="0" borderId="0" xfId="0" applyNumberFormat="1" applyFont="1" applyFill="1" applyBorder="1" applyAlignment="1" applyProtection="1"/>
    <xf numFmtId="2" fontId="13" fillId="0" borderId="0" xfId="0" applyNumberFormat="1" applyFont="1" applyFill="1" applyBorder="1" applyAlignment="1" applyProtection="1">
      <alignment horizontal="left"/>
    </xf>
    <xf numFmtId="0" fontId="30" fillId="0" borderId="0" xfId="0" applyNumberFormat="1" applyFont="1" applyFill="1" applyBorder="1" applyAlignment="1" applyProtection="1"/>
    <xf numFmtId="2" fontId="40" fillId="0" borderId="0" xfId="0" applyNumberFormat="1" applyFont="1" applyFill="1" applyBorder="1" applyAlignment="1" applyProtection="1"/>
    <xf numFmtId="2" fontId="13" fillId="0" borderId="0" xfId="0" applyNumberFormat="1" applyFont="1" applyFill="1" applyBorder="1" applyAlignment="1" applyProtection="1"/>
    <xf numFmtId="0" fontId="15" fillId="0" borderId="0" xfId="0" applyNumberFormat="1" applyFont="1" applyFill="1" applyBorder="1" applyAlignment="1" applyProtection="1">
      <alignment horizontal="right"/>
    </xf>
    <xf numFmtId="0" fontId="15" fillId="0" borderId="13" xfId="0" applyNumberFormat="1" applyFont="1" applyFill="1" applyBorder="1" applyAlignment="1" applyProtection="1">
      <alignment horizontal="right"/>
    </xf>
    <xf numFmtId="0" fontId="15" fillId="0" borderId="0" xfId="0" applyFont="1" applyFill="1" applyBorder="1" applyAlignment="1" applyProtection="1">
      <alignment horizontal="right"/>
    </xf>
    <xf numFmtId="0" fontId="15" fillId="0" borderId="0" xfId="0" applyNumberFormat="1" applyFont="1" applyFill="1" applyBorder="1" applyAlignment="1" applyProtection="1">
      <alignment horizontal="left"/>
    </xf>
    <xf numFmtId="0" fontId="15" fillId="0" borderId="18" xfId="0" applyNumberFormat="1" applyFont="1" applyFill="1" applyBorder="1" applyAlignment="1" applyProtection="1">
      <alignment horizontal="right"/>
    </xf>
    <xf numFmtId="0" fontId="11" fillId="0" borderId="0" xfId="0" applyNumberFormat="1" applyFont="1" applyFill="1" applyBorder="1" applyAlignment="1" applyProtection="1"/>
    <xf numFmtId="0" fontId="45" fillId="0" borderId="0" xfId="0" applyNumberFormat="1" applyFont="1" applyFill="1" applyBorder="1" applyAlignment="1" applyProtection="1"/>
    <xf numFmtId="0" fontId="7" fillId="0" borderId="0" xfId="0" applyNumberFormat="1" applyFont="1" applyFill="1" applyBorder="1" applyAlignment="1" applyProtection="1">
      <alignment horizontal="center"/>
    </xf>
    <xf numFmtId="0" fontId="48" fillId="0" borderId="0" xfId="0" applyNumberFormat="1" applyFont="1" applyFill="1" applyBorder="1" applyAlignment="1" applyProtection="1">
      <alignment horizontal="right"/>
    </xf>
    <xf numFmtId="0" fontId="13" fillId="2" borderId="19" xfId="0" applyNumberFormat="1" applyFont="1" applyFill="1" applyBorder="1" applyAlignment="1" applyProtection="1">
      <alignment horizontal="left"/>
      <protection locked="0"/>
    </xf>
    <xf numFmtId="0" fontId="29" fillId="2" borderId="19" xfId="0" applyNumberFormat="1" applyFont="1" applyFill="1" applyBorder="1" applyAlignment="1" applyProtection="1">
      <alignment horizontal="left"/>
      <protection locked="0"/>
    </xf>
    <xf numFmtId="0" fontId="26" fillId="0" borderId="4" xfId="0" applyFont="1" applyFill="1" applyBorder="1" applyAlignment="1" applyProtection="1">
      <alignment horizontal="center"/>
    </xf>
    <xf numFmtId="0" fontId="0" fillId="0" borderId="0" xfId="0" applyFill="1" applyBorder="1" applyProtection="1"/>
    <xf numFmtId="0" fontId="35" fillId="0" borderId="0" xfId="0" applyFont="1" applyFill="1" applyBorder="1" applyProtection="1"/>
    <xf numFmtId="0" fontId="8" fillId="0" borderId="0" xfId="0" applyNumberFormat="1" applyFont="1" applyFill="1" applyBorder="1" applyAlignment="1" applyProtection="1">
      <alignment horizontal="center"/>
    </xf>
    <xf numFmtId="0" fontId="6" fillId="0" borderId="0" xfId="0" applyNumberFormat="1" applyFont="1" applyFill="1" applyBorder="1" applyAlignment="1" applyProtection="1"/>
    <xf numFmtId="0" fontId="6" fillId="0" borderId="0" xfId="0" applyNumberFormat="1" applyFont="1" applyFill="1" applyBorder="1" applyAlignment="1" applyProtection="1">
      <alignment horizontal="center"/>
    </xf>
    <xf numFmtId="0" fontId="6" fillId="0" borderId="0" xfId="0" applyNumberFormat="1" applyFont="1" applyFill="1" applyBorder="1" applyAlignment="1" applyProtection="1">
      <alignment horizontal="left"/>
    </xf>
    <xf numFmtId="0" fontId="6" fillId="0" borderId="0" xfId="0" applyNumberFormat="1" applyFont="1" applyFill="1" applyBorder="1" applyAlignment="1" applyProtection="1">
      <alignment horizontal="right"/>
    </xf>
    <xf numFmtId="0" fontId="9" fillId="0" borderId="0" xfId="0" applyNumberFormat="1" applyFont="1" applyFill="1" applyBorder="1" applyAlignment="1" applyProtection="1">
      <alignment horizontal="right"/>
    </xf>
    <xf numFmtId="0" fontId="54" fillId="0" borderId="0" xfId="0" applyNumberFormat="1" applyFont="1" applyFill="1" applyBorder="1" applyAlignment="1" applyProtection="1">
      <alignment horizontal="right"/>
    </xf>
    <xf numFmtId="0" fontId="5" fillId="2" borderId="1" xfId="0" applyNumberFormat="1" applyFont="1" applyFill="1" applyBorder="1" applyAlignment="1" applyProtection="1">
      <alignment horizontal="center"/>
      <protection locked="0"/>
    </xf>
    <xf numFmtId="0" fontId="5" fillId="2" borderId="1" xfId="0" applyNumberFormat="1" applyFont="1" applyFill="1" applyBorder="1" applyAlignment="1" applyProtection="1">
      <alignment horizontal="right"/>
      <protection locked="0"/>
    </xf>
    <xf numFmtId="0" fontId="5" fillId="0" borderId="0" xfId="0" applyNumberFormat="1" applyFont="1" applyFill="1" applyBorder="1" applyAlignment="1" applyProtection="1">
      <alignment horizontal="left"/>
    </xf>
    <xf numFmtId="2" fontId="5" fillId="0" borderId="0" xfId="0" applyNumberFormat="1" applyFont="1" applyFill="1" applyBorder="1" applyAlignment="1" applyProtection="1">
      <alignment horizontal="right"/>
    </xf>
    <xf numFmtId="0" fontId="51" fillId="0" borderId="0" xfId="0" applyNumberFormat="1" applyFont="1" applyFill="1" applyBorder="1" applyAlignment="1" applyProtection="1">
      <alignment vertical="center"/>
    </xf>
    <xf numFmtId="0" fontId="41" fillId="0" borderId="0" xfId="0" applyNumberFormat="1" applyFont="1" applyFill="1" applyBorder="1" applyAlignment="1" applyProtection="1">
      <alignment vertical="center"/>
    </xf>
    <xf numFmtId="0" fontId="52" fillId="0" borderId="0" xfId="0" applyFont="1" applyFill="1" applyProtection="1"/>
    <xf numFmtId="0" fontId="11" fillId="0" borderId="0" xfId="0" applyFont="1" applyFill="1" applyProtection="1"/>
    <xf numFmtId="0" fontId="52" fillId="0" borderId="5" xfId="0" applyFont="1" applyFill="1" applyBorder="1" applyProtection="1"/>
    <xf numFmtId="0" fontId="52" fillId="0" borderId="6" xfId="0" applyFont="1" applyFill="1" applyBorder="1" applyProtection="1"/>
    <xf numFmtId="0" fontId="52" fillId="0" borderId="7" xfId="0" applyFont="1" applyFill="1" applyBorder="1" applyProtection="1"/>
    <xf numFmtId="0" fontId="52" fillId="0" borderId="8" xfId="0" applyFont="1" applyFill="1" applyBorder="1" applyProtection="1"/>
    <xf numFmtId="0" fontId="26" fillId="0" borderId="4" xfId="0" applyFont="1" applyFill="1" applyBorder="1" applyAlignment="1" applyProtection="1"/>
    <xf numFmtId="0" fontId="52" fillId="0" borderId="0" xfId="0" applyFont="1" applyFill="1" applyBorder="1" applyProtection="1"/>
    <xf numFmtId="0" fontId="52" fillId="0" borderId="4" xfId="0" applyFont="1" applyFill="1" applyBorder="1" applyProtection="1"/>
    <xf numFmtId="0" fontId="11" fillId="0" borderId="8" xfId="0" applyFont="1" applyFill="1" applyBorder="1" applyProtection="1"/>
    <xf numFmtId="0" fontId="11" fillId="0" borderId="0" xfId="0" applyFont="1" applyFill="1" applyBorder="1" applyProtection="1"/>
    <xf numFmtId="0" fontId="11" fillId="0" borderId="4" xfId="0" applyFont="1" applyFill="1" applyBorder="1" applyProtection="1"/>
    <xf numFmtId="0" fontId="4" fillId="0" borderId="8" xfId="0" applyNumberFormat="1" applyFont="1" applyFill="1" applyBorder="1" applyAlignment="1" applyProtection="1"/>
    <xf numFmtId="0" fontId="52" fillId="0" borderId="9" xfId="0" applyFont="1" applyFill="1" applyBorder="1" applyProtection="1"/>
    <xf numFmtId="0" fontId="52" fillId="0" borderId="10" xfId="0" applyFont="1" applyFill="1" applyBorder="1" applyProtection="1"/>
    <xf numFmtId="0" fontId="52" fillId="0" borderId="11" xfId="0" applyFont="1" applyFill="1" applyBorder="1" applyProtection="1"/>
    <xf numFmtId="0" fontId="42" fillId="0" borderId="0" xfId="0" applyNumberFormat="1" applyFont="1" applyFill="1" applyBorder="1" applyAlignment="1" applyProtection="1">
      <alignment horizontal="right"/>
    </xf>
    <xf numFmtId="0" fontId="30" fillId="2" borderId="1" xfId="0" applyNumberFormat="1" applyFont="1" applyFill="1" applyBorder="1" applyAlignment="1" applyProtection="1">
      <protection locked="0"/>
    </xf>
    <xf numFmtId="0" fontId="30" fillId="0" borderId="0" xfId="0" applyNumberFormat="1" applyFont="1" applyFill="1" applyBorder="1" applyAlignment="1" applyProtection="1">
      <alignment horizontal="left"/>
    </xf>
    <xf numFmtId="0" fontId="30" fillId="0" borderId="0" xfId="0" applyNumberFormat="1" applyFont="1" applyFill="1" applyBorder="1" applyAlignment="1" applyProtection="1">
      <alignment horizontal="right"/>
    </xf>
    <xf numFmtId="0" fontId="40" fillId="0" borderId="0" xfId="0" applyNumberFormat="1" applyFont="1" applyFill="1" applyBorder="1" applyAlignment="1" applyProtection="1">
      <alignment horizontal="center" vertical="center"/>
    </xf>
    <xf numFmtId="0" fontId="56" fillId="0" borderId="0" xfId="0" applyNumberFormat="1" applyFont="1" applyFill="1" applyBorder="1" applyAlignment="1" applyProtection="1">
      <alignment horizontal="center"/>
    </xf>
    <xf numFmtId="0" fontId="13" fillId="0" borderId="0" xfId="0" applyFont="1" applyProtection="1"/>
    <xf numFmtId="0" fontId="13" fillId="0" borderId="5" xfId="0" applyFont="1" applyBorder="1" applyProtection="1"/>
    <xf numFmtId="0" fontId="13" fillId="0" borderId="6" xfId="0" applyFont="1" applyBorder="1" applyProtection="1"/>
    <xf numFmtId="0" fontId="13" fillId="0" borderId="7" xfId="0" applyFont="1" applyBorder="1" applyProtection="1"/>
    <xf numFmtId="0" fontId="13" fillId="0" borderId="8" xfId="0" applyFont="1" applyBorder="1" applyProtection="1"/>
    <xf numFmtId="0" fontId="13" fillId="0" borderId="4" xfId="0" applyFont="1" applyBorder="1" applyProtection="1"/>
    <xf numFmtId="0" fontId="13" fillId="0" borderId="0" xfId="0" applyFont="1" applyBorder="1" applyProtection="1"/>
    <xf numFmtId="0" fontId="13" fillId="0" borderId="9" xfId="0" applyFont="1" applyBorder="1" applyProtection="1"/>
    <xf numFmtId="0" fontId="13" fillId="0" borderId="10" xfId="0" applyFont="1" applyBorder="1" applyProtection="1"/>
    <xf numFmtId="0" fontId="13" fillId="0" borderId="11" xfId="0" applyFont="1" applyBorder="1" applyProtection="1"/>
    <xf numFmtId="0" fontId="62" fillId="0" borderId="0" xfId="0" applyFont="1" applyBorder="1" applyAlignment="1">
      <alignment vertical="top" wrapText="1"/>
    </xf>
    <xf numFmtId="0" fontId="57" fillId="0" borderId="0" xfId="0" applyFont="1" applyFill="1" applyBorder="1" applyAlignment="1" applyProtection="1">
      <alignment horizontal="center"/>
    </xf>
    <xf numFmtId="0" fontId="58" fillId="0" borderId="0" xfId="1" applyFont="1" applyFill="1" applyBorder="1" applyAlignment="1" applyProtection="1">
      <alignment horizontal="center"/>
    </xf>
    <xf numFmtId="0" fontId="24" fillId="0" borderId="0" xfId="0" applyFont="1" applyProtection="1"/>
    <xf numFmtId="0" fontId="0" fillId="0" borderId="0" xfId="0" applyProtection="1"/>
    <xf numFmtId="0" fontId="0" fillId="0" borderId="5" xfId="0" applyBorder="1" applyProtection="1"/>
    <xf numFmtId="0" fontId="0" fillId="0" borderId="6" xfId="0" applyBorder="1" applyProtection="1"/>
    <xf numFmtId="0" fontId="0" fillId="0" borderId="7" xfId="0" applyBorder="1" applyProtection="1"/>
    <xf numFmtId="0" fontId="0" fillId="0" borderId="8" xfId="0" applyBorder="1" applyProtection="1"/>
    <xf numFmtId="0" fontId="0" fillId="0" borderId="4" xfId="0" applyBorder="1" applyProtection="1"/>
    <xf numFmtId="0" fontId="0" fillId="0" borderId="0" xfId="0" applyBorder="1" applyProtection="1"/>
    <xf numFmtId="0" fontId="13" fillId="0" borderId="13" xfId="0" applyFont="1" applyBorder="1" applyProtection="1"/>
    <xf numFmtId="0" fontId="35" fillId="0" borderId="0" xfId="0" applyFont="1" applyBorder="1" applyProtection="1"/>
    <xf numFmtId="0" fontId="0" fillId="0" borderId="9" xfId="0" applyBorder="1" applyProtection="1"/>
    <xf numFmtId="0" fontId="0" fillId="0" borderId="10" xfId="0" applyBorder="1" applyProtection="1"/>
    <xf numFmtId="0" fontId="0" fillId="0" borderId="11" xfId="0" applyBorder="1" applyProtection="1"/>
    <xf numFmtId="0" fontId="13" fillId="2" borderId="1" xfId="0" applyFont="1" applyFill="1" applyBorder="1" applyProtection="1">
      <protection locked="0"/>
    </xf>
    <xf numFmtId="0" fontId="28" fillId="0" borderId="0" xfId="0" applyFont="1" applyBorder="1" applyProtection="1"/>
    <xf numFmtId="0" fontId="29" fillId="0" borderId="0" xfId="0" applyFont="1" applyBorder="1" applyProtection="1"/>
    <xf numFmtId="0" fontId="29" fillId="0" borderId="13" xfId="0" applyFont="1" applyBorder="1" applyProtection="1"/>
    <xf numFmtId="0" fontId="1" fillId="0" borderId="0" xfId="0" applyFont="1" applyProtection="1"/>
    <xf numFmtId="0" fontId="28" fillId="2" borderId="1" xfId="0" applyFont="1" applyFill="1" applyBorder="1" applyProtection="1">
      <protection locked="0"/>
    </xf>
    <xf numFmtId="0" fontId="60" fillId="0" borderId="0" xfId="0" applyFont="1" applyFill="1" applyBorder="1" applyAlignment="1" applyProtection="1">
      <alignment horizontal="center"/>
    </xf>
    <xf numFmtId="0" fontId="0" fillId="0" borderId="0" xfId="0" applyBorder="1" applyAlignment="1">
      <alignment horizontal="center"/>
    </xf>
    <xf numFmtId="0" fontId="35" fillId="0" borderId="0" xfId="0" applyFont="1" applyProtection="1"/>
    <xf numFmtId="0" fontId="18" fillId="0" borderId="9" xfId="0" applyFont="1" applyBorder="1" applyProtection="1"/>
    <xf numFmtId="0" fontId="18" fillId="0" borderId="10" xfId="0" applyFont="1" applyBorder="1" applyProtection="1"/>
    <xf numFmtId="0" fontId="18" fillId="0" borderId="11" xfId="0" applyFont="1" applyBorder="1" applyProtection="1"/>
    <xf numFmtId="0" fontId="18" fillId="0" borderId="0" xfId="0" applyFont="1" applyProtection="1"/>
    <xf numFmtId="0" fontId="18" fillId="3" borderId="0" xfId="0" applyFont="1" applyFill="1" applyProtection="1"/>
    <xf numFmtId="0" fontId="18" fillId="0" borderId="0" xfId="0" applyFont="1" applyAlignment="1" applyProtection="1">
      <alignment shrinkToFit="1"/>
    </xf>
    <xf numFmtId="0" fontId="18" fillId="4" borderId="0" xfId="0" applyFont="1" applyFill="1" applyProtection="1"/>
    <xf numFmtId="0" fontId="37" fillId="0" borderId="0" xfId="0" applyFont="1" applyAlignment="1" applyProtection="1"/>
    <xf numFmtId="0" fontId="37" fillId="0" borderId="0" xfId="0" applyFont="1" applyBorder="1" applyAlignment="1" applyProtection="1"/>
    <xf numFmtId="0" fontId="38" fillId="0" borderId="0" xfId="0" applyFont="1" applyAlignment="1" applyProtection="1"/>
    <xf numFmtId="0" fontId="38" fillId="4" borderId="15" xfId="0" applyFont="1" applyFill="1" applyBorder="1" applyAlignment="1" applyProtection="1">
      <alignment horizontal="center"/>
    </xf>
    <xf numFmtId="0" fontId="38" fillId="0" borderId="0" xfId="0" applyFont="1" applyBorder="1" applyAlignment="1" applyProtection="1"/>
    <xf numFmtId="0" fontId="38" fillId="4" borderId="19" xfId="0" applyFont="1" applyFill="1" applyBorder="1" applyAlignment="1" applyProtection="1"/>
    <xf numFmtId="0" fontId="38" fillId="4" borderId="20" xfId="0" applyFont="1" applyFill="1" applyBorder="1" applyAlignment="1" applyProtection="1">
      <alignment horizontal="center"/>
    </xf>
    <xf numFmtId="0" fontId="38" fillId="0" borderId="20" xfId="0" applyFont="1" applyBorder="1" applyAlignment="1" applyProtection="1"/>
    <xf numFmtId="0" fontId="38" fillId="3" borderId="21" xfId="0" applyFont="1" applyFill="1" applyBorder="1" applyAlignment="1" applyProtection="1">
      <alignment horizontal="center"/>
    </xf>
    <xf numFmtId="0" fontId="38" fillId="4" borderId="22" xfId="0" applyFont="1" applyFill="1" applyBorder="1" applyAlignment="1" applyProtection="1">
      <alignment horizontal="center"/>
    </xf>
    <xf numFmtId="0" fontId="38" fillId="3" borderId="20" xfId="0" applyFont="1" applyFill="1" applyBorder="1" applyAlignment="1" applyProtection="1">
      <alignment horizontal="right"/>
    </xf>
    <xf numFmtId="0" fontId="38" fillId="3" borderId="23" xfId="0" applyFont="1" applyFill="1" applyBorder="1" applyAlignment="1" applyProtection="1">
      <alignment horizontal="center"/>
    </xf>
    <xf numFmtId="0" fontId="38" fillId="4" borderId="24" xfId="0" applyFont="1" applyFill="1" applyBorder="1" applyAlignment="1" applyProtection="1">
      <alignment horizontal="center"/>
    </xf>
    <xf numFmtId="0" fontId="38" fillId="3" borderId="19" xfId="0" applyFont="1" applyFill="1" applyBorder="1" applyAlignment="1" applyProtection="1"/>
    <xf numFmtId="0" fontId="18" fillId="0" borderId="0" xfId="0" applyFont="1" applyBorder="1" applyProtection="1"/>
    <xf numFmtId="0" fontId="19" fillId="0" borderId="0" xfId="0" applyFont="1" applyProtection="1"/>
    <xf numFmtId="0" fontId="45" fillId="0" borderId="0" xfId="0" applyFont="1" applyProtection="1"/>
    <xf numFmtId="0" fontId="18" fillId="3" borderId="21" xfId="0" applyFont="1" applyFill="1" applyBorder="1" applyAlignment="1" applyProtection="1">
      <alignment horizontal="center"/>
    </xf>
    <xf numFmtId="0" fontId="18" fillId="4" borderId="22" xfId="0" applyFont="1" applyFill="1" applyBorder="1" applyAlignment="1" applyProtection="1">
      <alignment horizontal="center"/>
    </xf>
    <xf numFmtId="0" fontId="18" fillId="4" borderId="15" xfId="0" applyFont="1" applyFill="1" applyBorder="1" applyAlignment="1" applyProtection="1">
      <alignment horizontal="center"/>
    </xf>
    <xf numFmtId="0" fontId="18" fillId="3" borderId="23" xfId="0" applyFont="1" applyFill="1" applyBorder="1" applyAlignment="1" applyProtection="1">
      <alignment horizontal="center"/>
    </xf>
    <xf numFmtId="0" fontId="18" fillId="4" borderId="24" xfId="0" applyFont="1" applyFill="1" applyBorder="1" applyAlignment="1" applyProtection="1">
      <alignment horizontal="center"/>
    </xf>
    <xf numFmtId="0" fontId="18" fillId="4" borderId="19" xfId="0" applyFont="1" applyFill="1" applyBorder="1" applyAlignment="1" applyProtection="1">
      <alignment horizontal="center"/>
    </xf>
    <xf numFmtId="0" fontId="18" fillId="3" borderId="25" xfId="0" applyFont="1" applyFill="1" applyBorder="1" applyAlignment="1" applyProtection="1">
      <alignment horizontal="center"/>
    </xf>
    <xf numFmtId="2" fontId="18" fillId="4" borderId="18" xfId="0" applyNumberFormat="1" applyFont="1" applyFill="1" applyBorder="1" applyAlignment="1" applyProtection="1">
      <alignment horizontal="center"/>
    </xf>
    <xf numFmtId="0" fontId="18" fillId="0" borderId="0" xfId="0" applyFont="1" applyBorder="1" applyAlignment="1" applyProtection="1">
      <alignment horizontal="center"/>
    </xf>
    <xf numFmtId="0" fontId="18" fillId="0" borderId="25" xfId="0" applyFont="1" applyBorder="1" applyAlignment="1" applyProtection="1">
      <alignment horizontal="center"/>
    </xf>
    <xf numFmtId="0" fontId="18" fillId="0" borderId="18" xfId="0" applyFont="1" applyBorder="1" applyProtection="1"/>
    <xf numFmtId="0" fontId="18" fillId="0" borderId="23" xfId="0" applyFont="1" applyBorder="1" applyProtection="1"/>
    <xf numFmtId="0" fontId="18" fillId="0" borderId="24" xfId="0" applyFont="1" applyBorder="1" applyProtection="1"/>
    <xf numFmtId="0" fontId="18" fillId="4" borderId="18" xfId="0" applyFont="1" applyFill="1" applyBorder="1" applyAlignment="1" applyProtection="1">
      <alignment horizontal="center"/>
    </xf>
    <xf numFmtId="0" fontId="18" fillId="0" borderId="23" xfId="0" applyFont="1" applyBorder="1" applyAlignment="1" applyProtection="1">
      <alignment horizontal="center"/>
    </xf>
    <xf numFmtId="0" fontId="0" fillId="0" borderId="24" xfId="0" applyBorder="1" applyProtection="1"/>
    <xf numFmtId="0" fontId="18" fillId="0" borderId="25" xfId="0" applyFont="1" applyFill="1" applyBorder="1" applyAlignment="1" applyProtection="1">
      <alignment horizontal="center"/>
    </xf>
    <xf numFmtId="0" fontId="0" fillId="0" borderId="18" xfId="0" applyBorder="1" applyProtection="1"/>
    <xf numFmtId="0" fontId="18" fillId="4" borderId="19" xfId="0" applyFont="1" applyFill="1" applyBorder="1" applyProtection="1"/>
    <xf numFmtId="0" fontId="18" fillId="0" borderId="23" xfId="0" applyFont="1" applyFill="1" applyBorder="1" applyProtection="1"/>
    <xf numFmtId="0" fontId="0" fillId="0" borderId="26" xfId="0" applyBorder="1" applyProtection="1"/>
    <xf numFmtId="0" fontId="0" fillId="3" borderId="23" xfId="0" applyFill="1" applyBorder="1" applyAlignment="1" applyProtection="1">
      <alignment horizontal="center"/>
    </xf>
    <xf numFmtId="0" fontId="0" fillId="0" borderId="27" xfId="0" applyBorder="1" applyProtection="1"/>
    <xf numFmtId="0" fontId="0" fillId="4" borderId="24" xfId="0" applyFill="1" applyBorder="1" applyAlignment="1" applyProtection="1">
      <alignment horizontal="center"/>
    </xf>
    <xf numFmtId="0" fontId="1" fillId="0" borderId="8" xfId="0" applyFont="1" applyBorder="1" applyProtection="1"/>
    <xf numFmtId="0" fontId="11" fillId="0" borderId="4" xfId="0" applyFont="1" applyBorder="1" applyProtection="1"/>
    <xf numFmtId="0" fontId="11" fillId="0" borderId="0" xfId="0" applyFont="1" applyProtection="1"/>
    <xf numFmtId="0" fontId="18" fillId="3" borderId="21" xfId="0" applyFont="1" applyFill="1" applyBorder="1" applyAlignment="1" applyProtection="1">
      <alignment horizontal="center" shrinkToFit="1"/>
    </xf>
    <xf numFmtId="0" fontId="18" fillId="4" borderId="22" xfId="0" applyFont="1" applyFill="1" applyBorder="1" applyAlignment="1" applyProtection="1">
      <alignment horizontal="center" shrinkToFit="1"/>
    </xf>
    <xf numFmtId="0" fontId="18" fillId="0" borderId="0" xfId="0" applyFont="1" applyBorder="1" applyAlignment="1" applyProtection="1">
      <alignment shrinkToFit="1"/>
    </xf>
    <xf numFmtId="0" fontId="18" fillId="4" borderId="15" xfId="0" applyFont="1" applyFill="1" applyBorder="1" applyAlignment="1" applyProtection="1">
      <alignment horizontal="center" shrinkToFit="1"/>
    </xf>
    <xf numFmtId="0" fontId="18" fillId="0" borderId="0" xfId="0" applyFont="1" applyFill="1" applyBorder="1" applyAlignment="1" applyProtection="1">
      <alignment horizontal="center" shrinkToFit="1"/>
    </xf>
    <xf numFmtId="0" fontId="18" fillId="3" borderId="23" xfId="0" applyFont="1" applyFill="1" applyBorder="1" applyAlignment="1" applyProtection="1">
      <alignment horizontal="center" shrinkToFit="1"/>
    </xf>
    <xf numFmtId="0" fontId="18" fillId="4" borderId="24" xfId="0" applyFont="1" applyFill="1" applyBorder="1" applyAlignment="1" applyProtection="1">
      <alignment horizontal="center" shrinkToFit="1"/>
    </xf>
    <xf numFmtId="0" fontId="18" fillId="4" borderId="19" xfId="0" applyFont="1" applyFill="1" applyBorder="1" applyAlignment="1" applyProtection="1">
      <alignment horizontal="center" shrinkToFit="1"/>
    </xf>
    <xf numFmtId="0" fontId="18" fillId="3" borderId="25" xfId="0" applyFont="1" applyFill="1" applyBorder="1" applyAlignment="1" applyProtection="1">
      <alignment horizontal="center" shrinkToFit="1"/>
    </xf>
    <xf numFmtId="2" fontId="18" fillId="4" borderId="18" xfId="0" applyNumberFormat="1" applyFont="1" applyFill="1" applyBorder="1" applyAlignment="1" applyProtection="1">
      <alignment horizontal="center" shrinkToFit="1"/>
    </xf>
    <xf numFmtId="2" fontId="18" fillId="0" borderId="0" xfId="0" applyNumberFormat="1" applyFont="1" applyFill="1" applyBorder="1" applyAlignment="1" applyProtection="1">
      <alignment horizontal="center" shrinkToFit="1"/>
    </xf>
    <xf numFmtId="2" fontId="14" fillId="4" borderId="18" xfId="0" applyNumberFormat="1" applyFont="1" applyFill="1" applyBorder="1" applyAlignment="1" applyProtection="1">
      <alignment horizontal="center" shrinkToFit="1"/>
    </xf>
    <xf numFmtId="0" fontId="18" fillId="0" borderId="0" xfId="0" applyFont="1" applyBorder="1" applyAlignment="1" applyProtection="1">
      <alignment horizontal="center" shrinkToFit="1"/>
    </xf>
    <xf numFmtId="0" fontId="18" fillId="0" borderId="25" xfId="0" applyFont="1" applyBorder="1" applyAlignment="1" applyProtection="1">
      <alignment horizontal="center" shrinkToFit="1"/>
    </xf>
    <xf numFmtId="0" fontId="18" fillId="0" borderId="18" xfId="0" applyFont="1" applyBorder="1" applyAlignment="1" applyProtection="1">
      <alignment shrinkToFit="1"/>
    </xf>
    <xf numFmtId="0" fontId="18" fillId="0" borderId="0" xfId="0" applyFont="1" applyFill="1" applyBorder="1" applyAlignment="1" applyProtection="1">
      <alignment shrinkToFit="1"/>
    </xf>
    <xf numFmtId="0" fontId="18" fillId="0" borderId="23" xfId="0" applyFont="1" applyBorder="1" applyAlignment="1" applyProtection="1">
      <alignment shrinkToFit="1"/>
    </xf>
    <xf numFmtId="0" fontId="18" fillId="0" borderId="24" xfId="0" applyFont="1" applyBorder="1" applyAlignment="1" applyProtection="1">
      <alignment shrinkToFit="1"/>
    </xf>
    <xf numFmtId="0" fontId="18" fillId="4" borderId="18" xfId="0" applyFont="1" applyFill="1" applyBorder="1" applyAlignment="1" applyProtection="1">
      <alignment horizontal="center" shrinkToFit="1"/>
    </xf>
    <xf numFmtId="0" fontId="18" fillId="0" borderId="23" xfId="0" applyFont="1" applyBorder="1" applyAlignment="1" applyProtection="1">
      <alignment horizontal="center" shrinkToFit="1"/>
    </xf>
    <xf numFmtId="0" fontId="18" fillId="0" borderId="25" xfId="0" applyFont="1" applyFill="1" applyBorder="1" applyAlignment="1" applyProtection="1">
      <alignment horizontal="center" shrinkToFit="1"/>
    </xf>
    <xf numFmtId="0" fontId="18" fillId="4" borderId="19" xfId="0" applyFont="1" applyFill="1" applyBorder="1" applyAlignment="1" applyProtection="1">
      <alignment shrinkToFit="1"/>
    </xf>
    <xf numFmtId="0" fontId="18" fillId="0" borderId="23" xfId="0" applyFont="1" applyFill="1" applyBorder="1" applyAlignment="1" applyProtection="1">
      <alignment shrinkToFit="1"/>
    </xf>
    <xf numFmtId="0" fontId="18" fillId="0" borderId="26" xfId="0" applyFont="1" applyBorder="1" applyAlignment="1" applyProtection="1">
      <alignment shrinkToFit="1"/>
    </xf>
    <xf numFmtId="0" fontId="18" fillId="0" borderId="27" xfId="0" applyFont="1" applyBorder="1" applyAlignment="1" applyProtection="1">
      <alignment shrinkToFit="1"/>
    </xf>
    <xf numFmtId="0" fontId="53" fillId="0" borderId="0" xfId="0" applyFont="1" applyBorder="1"/>
    <xf numFmtId="0" fontId="0" fillId="0" borderId="0" xfId="0" applyBorder="1" applyAlignment="1">
      <alignment vertical="top" wrapText="1"/>
    </xf>
    <xf numFmtId="0" fontId="58" fillId="0" borderId="0" xfId="1" applyFont="1" applyFill="1" applyBorder="1" applyAlignment="1" applyProtection="1">
      <alignment horizontal="right"/>
    </xf>
    <xf numFmtId="0" fontId="58" fillId="0" borderId="0" xfId="1" applyFont="1" applyFill="1" applyBorder="1" applyAlignment="1" applyProtection="1">
      <alignment horizontal="left"/>
    </xf>
    <xf numFmtId="0" fontId="63" fillId="0" borderId="0" xfId="0" applyFont="1" applyBorder="1" applyAlignment="1">
      <alignment vertical="top" wrapText="1"/>
    </xf>
    <xf numFmtId="0" fontId="2" fillId="0" borderId="0" xfId="0" applyFont="1" applyBorder="1"/>
    <xf numFmtId="0" fontId="64" fillId="0" borderId="0" xfId="1" applyFont="1" applyBorder="1" applyAlignment="1" applyProtection="1">
      <alignment horizontal="right"/>
    </xf>
    <xf numFmtId="0" fontId="2" fillId="0" borderId="0" xfId="0" applyFont="1" applyBorder="1" applyAlignment="1">
      <alignment horizontal="center"/>
    </xf>
    <xf numFmtId="0" fontId="1" fillId="0" borderId="6" xfId="0" applyFont="1" applyFill="1" applyBorder="1" applyProtection="1"/>
    <xf numFmtId="0" fontId="1" fillId="0" borderId="7" xfId="0" applyFont="1" applyFill="1" applyBorder="1" applyProtection="1"/>
    <xf numFmtId="0" fontId="43" fillId="0" borderId="28" xfId="0" applyNumberFormat="1" applyFont="1" applyFill="1" applyBorder="1" applyAlignment="1" applyProtection="1">
      <alignment horizontal="center"/>
    </xf>
    <xf numFmtId="0" fontId="62" fillId="0" borderId="0" xfId="0" applyFont="1" applyBorder="1" applyAlignment="1">
      <alignment horizontal="left" vertical="top" wrapText="1"/>
    </xf>
    <xf numFmtId="181" fontId="62" fillId="0" borderId="29" xfId="0" applyNumberFormat="1" applyFont="1" applyBorder="1" applyAlignment="1">
      <alignment vertical="top" wrapText="1"/>
    </xf>
    <xf numFmtId="0" fontId="58" fillId="0" borderId="0" xfId="1" applyFont="1" applyBorder="1" applyAlignment="1" applyProtection="1">
      <alignment horizontal="right"/>
    </xf>
    <xf numFmtId="0" fontId="1" fillId="0" borderId="0" xfId="0" applyFont="1" applyFill="1" applyProtection="1"/>
    <xf numFmtId="0" fontId="1" fillId="0" borderId="5" xfId="0" applyFont="1" applyFill="1" applyBorder="1" applyProtection="1"/>
    <xf numFmtId="0" fontId="61" fillId="0" borderId="0" xfId="0" applyFont="1" applyFill="1" applyBorder="1" applyAlignment="1">
      <alignment horizontal="center"/>
    </xf>
    <xf numFmtId="0" fontId="15" fillId="0" borderId="13" xfId="0" applyFont="1" applyBorder="1" applyAlignment="1">
      <alignment horizontal="center"/>
    </xf>
    <xf numFmtId="0" fontId="64" fillId="0" borderId="0" xfId="1" applyFont="1" applyBorder="1" applyAlignment="1" applyProtection="1"/>
    <xf numFmtId="0" fontId="65" fillId="0" borderId="0" xfId="0" applyFont="1" applyBorder="1"/>
    <xf numFmtId="0" fontId="1" fillId="0" borderId="8" xfId="0" applyFont="1" applyFill="1" applyBorder="1" applyProtection="1"/>
    <xf numFmtId="0" fontId="1" fillId="0" borderId="0" xfId="0" applyFont="1" applyFill="1" applyBorder="1" applyProtection="1"/>
    <xf numFmtId="0" fontId="1" fillId="0" borderId="4" xfId="0" applyFont="1" applyFill="1" applyBorder="1" applyProtection="1"/>
    <xf numFmtId="0" fontId="1" fillId="0" borderId="9" xfId="0" applyFont="1" applyFill="1" applyBorder="1" applyProtection="1"/>
    <xf numFmtId="0" fontId="1" fillId="0" borderId="10" xfId="0" applyFont="1" applyFill="1" applyBorder="1" applyProtection="1"/>
    <xf numFmtId="0" fontId="1" fillId="0" borderId="11" xfId="0" applyFont="1" applyFill="1" applyBorder="1" applyProtection="1"/>
    <xf numFmtId="0" fontId="66" fillId="0" borderId="28" xfId="0" applyNumberFormat="1" applyFont="1" applyFill="1" applyBorder="1" applyAlignment="1" applyProtection="1">
      <alignment horizontal="center"/>
    </xf>
    <xf numFmtId="0" fontId="66" fillId="0" borderId="0" xfId="0" applyNumberFormat="1" applyFont="1" applyFill="1" applyBorder="1" applyAlignment="1" applyProtection="1">
      <alignment horizontal="right"/>
    </xf>
    <xf numFmtId="2" fontId="13" fillId="2" borderId="1" xfId="0" applyNumberFormat="1" applyFont="1" applyFill="1" applyBorder="1" applyAlignment="1" applyProtection="1">
      <protection locked="0"/>
    </xf>
    <xf numFmtId="0" fontId="43" fillId="0" borderId="0" xfId="0" applyNumberFormat="1" applyFont="1" applyFill="1" applyBorder="1" applyAlignment="1" applyProtection="1">
      <alignment horizontal="center"/>
    </xf>
    <xf numFmtId="2" fontId="13" fillId="2" borderId="19" xfId="0" applyNumberFormat="1" applyFont="1" applyFill="1" applyBorder="1" applyAlignment="1" applyProtection="1">
      <protection locked="0"/>
    </xf>
    <xf numFmtId="0" fontId="67" fillId="0" borderId="0" xfId="0" applyNumberFormat="1" applyFont="1" applyFill="1" applyBorder="1" applyAlignment="1" applyProtection="1">
      <alignment horizontal="right"/>
    </xf>
    <xf numFmtId="182" fontId="13" fillId="2" borderId="1" xfId="0" applyNumberFormat="1" applyFont="1" applyFill="1" applyBorder="1" applyAlignment="1" applyProtection="1">
      <protection locked="0"/>
    </xf>
    <xf numFmtId="0" fontId="43" fillId="0" borderId="28" xfId="0" applyNumberFormat="1" applyFont="1" applyFill="1" applyBorder="1" applyAlignment="1" applyProtection="1"/>
    <xf numFmtId="0" fontId="1" fillId="0" borderId="28" xfId="0" applyFont="1" applyFill="1" applyBorder="1" applyProtection="1"/>
    <xf numFmtId="11" fontId="35" fillId="0" borderId="0" xfId="0" applyNumberFormat="1" applyFont="1" applyFill="1" applyProtection="1"/>
    <xf numFmtId="0" fontId="35" fillId="0" borderId="0" xfId="0" applyFont="1" applyFill="1" applyProtection="1"/>
    <xf numFmtId="0" fontId="66" fillId="0" borderId="0" xfId="0" applyNumberFormat="1" applyFont="1" applyFill="1" applyBorder="1" applyAlignment="1" applyProtection="1">
      <alignment horizontal="center"/>
    </xf>
    <xf numFmtId="0" fontId="13" fillId="2" borderId="30" xfId="0" applyFont="1" applyFill="1" applyBorder="1" applyProtection="1">
      <protection locked="0"/>
    </xf>
    <xf numFmtId="0" fontId="56" fillId="0" borderId="0" xfId="0" applyNumberFormat="1" applyFont="1" applyFill="1" applyBorder="1" applyAlignment="1" applyProtection="1"/>
    <xf numFmtId="0" fontId="66" fillId="0" borderId="28" xfId="0" applyNumberFormat="1" applyFont="1" applyFill="1" applyBorder="1" applyAlignment="1" applyProtection="1"/>
    <xf numFmtId="0" fontId="13" fillId="0" borderId="28" xfId="0" applyNumberFormat="1" applyFont="1" applyFill="1" applyBorder="1" applyAlignment="1" applyProtection="1"/>
    <xf numFmtId="0" fontId="69" fillId="0" borderId="0" xfId="1" applyNumberFormat="1" applyFont="1" applyFill="1" applyBorder="1" applyAlignment="1" applyProtection="1"/>
    <xf numFmtId="0" fontId="13" fillId="0" borderId="0" xfId="0" applyFont="1" applyAlignment="1" applyProtection="1">
      <alignment horizontal="center"/>
    </xf>
    <xf numFmtId="0" fontId="56" fillId="0" borderId="4" xfId="0" applyNumberFormat="1" applyFont="1" applyFill="1" applyBorder="1" applyAlignment="1" applyProtection="1"/>
    <xf numFmtId="0" fontId="66" fillId="0" borderId="0" xfId="0" applyNumberFormat="1" applyFont="1" applyFill="1" applyBorder="1" applyAlignment="1" applyProtection="1"/>
    <xf numFmtId="0" fontId="70" fillId="0" borderId="0" xfId="0" applyNumberFormat="1" applyFont="1" applyFill="1" applyBorder="1" applyAlignment="1" applyProtection="1"/>
    <xf numFmtId="0" fontId="15" fillId="0" borderId="0" xfId="0" applyFont="1" applyAlignment="1" applyProtection="1">
      <alignment horizontal="center"/>
    </xf>
    <xf numFmtId="0" fontId="15" fillId="0" borderId="0" xfId="0" applyFont="1" applyProtection="1"/>
    <xf numFmtId="0" fontId="31" fillId="0" borderId="0" xfId="1" applyBorder="1" applyAlignment="1" applyProtection="1">
      <alignment horizontal="right"/>
    </xf>
    <xf numFmtId="0" fontId="64" fillId="0" borderId="0" xfId="1" applyFont="1" applyAlignment="1" applyProtection="1"/>
    <xf numFmtId="0" fontId="71" fillId="0" borderId="0" xfId="0" applyNumberFormat="1" applyFont="1" applyFill="1" applyBorder="1" applyAlignment="1" applyProtection="1">
      <alignment horizontal="center"/>
    </xf>
    <xf numFmtId="0" fontId="72" fillId="0" borderId="0" xfId="0" applyNumberFormat="1" applyFont="1" applyFill="1" applyBorder="1" applyAlignment="1" applyProtection="1">
      <alignment horizontal="center"/>
    </xf>
    <xf numFmtId="0" fontId="9" fillId="4" borderId="1" xfId="0" applyNumberFormat="1" applyFont="1" applyFill="1" applyBorder="1" applyAlignment="1" applyProtection="1">
      <alignment horizontal="center"/>
    </xf>
    <xf numFmtId="0" fontId="9" fillId="4" borderId="19" xfId="0" applyNumberFormat="1" applyFont="1" applyFill="1" applyBorder="1" applyAlignment="1" applyProtection="1">
      <alignment horizontal="center"/>
    </xf>
    <xf numFmtId="0" fontId="1" fillId="2" borderId="1" xfId="0" applyNumberFormat="1" applyFont="1" applyFill="1" applyBorder="1" applyAlignment="1" applyProtection="1">
      <alignment horizontal="left"/>
      <protection locked="0"/>
    </xf>
    <xf numFmtId="0" fontId="1" fillId="2" borderId="1" xfId="0" applyNumberFormat="1" applyFont="1" applyFill="1" applyBorder="1" applyAlignment="1" applyProtection="1">
      <alignment horizontal="right"/>
      <protection locked="0"/>
    </xf>
    <xf numFmtId="2" fontId="1" fillId="0" borderId="1" xfId="0" applyNumberFormat="1" applyFont="1" applyFill="1" applyBorder="1" applyAlignment="1" applyProtection="1">
      <alignment horizontal="right"/>
    </xf>
    <xf numFmtId="0" fontId="1" fillId="0" borderId="4" xfId="0" applyNumberFormat="1" applyFont="1" applyFill="1" applyBorder="1" applyAlignment="1" applyProtection="1"/>
    <xf numFmtId="0" fontId="1" fillId="0" borderId="5" xfId="0" applyFont="1" applyBorder="1" applyProtection="1"/>
    <xf numFmtId="0" fontId="1" fillId="0" borderId="6" xfId="0" applyFont="1" applyBorder="1" applyProtection="1"/>
    <xf numFmtId="0" fontId="1" fillId="0" borderId="7" xfId="0" applyFont="1" applyBorder="1" applyProtection="1"/>
    <xf numFmtId="0" fontId="1" fillId="0" borderId="4" xfId="0" applyFont="1" applyBorder="1" applyProtection="1"/>
    <xf numFmtId="0" fontId="1" fillId="0" borderId="0" xfId="0" applyFont="1" applyBorder="1" applyProtection="1"/>
    <xf numFmtId="0" fontId="1" fillId="0" borderId="9" xfId="0" applyFont="1" applyBorder="1" applyProtection="1"/>
    <xf numFmtId="0" fontId="1" fillId="0" borderId="10" xfId="0" applyFont="1" applyBorder="1" applyProtection="1"/>
    <xf numFmtId="0" fontId="1" fillId="0" borderId="11" xfId="0" applyFont="1" applyBorder="1" applyProtection="1"/>
    <xf numFmtId="0" fontId="77" fillId="0" borderId="0" xfId="1" applyFont="1" applyBorder="1" applyAlignment="1" applyProtection="1">
      <alignment horizontal="right"/>
    </xf>
    <xf numFmtId="0" fontId="1" fillId="0" borderId="0" xfId="0" applyFont="1" applyBorder="1" applyAlignment="1" applyProtection="1">
      <alignment horizontal="center"/>
    </xf>
    <xf numFmtId="0" fontId="74" fillId="0" borderId="0" xfId="0" quotePrefix="1" applyFont="1" applyBorder="1" applyAlignment="1" applyProtection="1">
      <alignment horizontal="center" vertical="center"/>
    </xf>
    <xf numFmtId="0" fontId="15" fillId="0" borderId="15" xfId="0" applyFont="1" applyBorder="1" applyAlignment="1" applyProtection="1">
      <alignment horizontal="right"/>
    </xf>
    <xf numFmtId="0" fontId="75" fillId="0" borderId="0" xfId="0" applyFont="1" applyBorder="1" applyAlignment="1" applyProtection="1">
      <alignment horizontal="left" vertical="center"/>
    </xf>
    <xf numFmtId="0" fontId="75" fillId="0" borderId="0" xfId="0" applyFont="1" applyBorder="1" applyAlignment="1" applyProtection="1">
      <alignment horizontal="right" vertical="center"/>
    </xf>
    <xf numFmtId="0" fontId="15" fillId="0" borderId="31" xfId="0" applyFont="1" applyBorder="1" applyAlignment="1" applyProtection="1"/>
    <xf numFmtId="0" fontId="15" fillId="0" borderId="31" xfId="0" applyFont="1" applyBorder="1" applyAlignment="1" applyProtection="1">
      <alignment horizontal="right"/>
    </xf>
    <xf numFmtId="0" fontId="15" fillId="0" borderId="22" xfId="0" applyFont="1" applyBorder="1" applyAlignment="1" applyProtection="1">
      <alignment horizontal="right"/>
    </xf>
    <xf numFmtId="0" fontId="1" fillId="0" borderId="1" xfId="0" applyFont="1" applyBorder="1" applyAlignment="1" applyProtection="1">
      <alignment horizontal="center"/>
    </xf>
    <xf numFmtId="0" fontId="15" fillId="0" borderId="19" xfId="0" applyFont="1" applyBorder="1" applyAlignment="1" applyProtection="1">
      <alignment horizontal="right"/>
    </xf>
    <xf numFmtId="0" fontId="74" fillId="0" borderId="0" xfId="0" applyFont="1" applyBorder="1" applyAlignment="1" applyProtection="1">
      <alignment horizontal="center" vertical="center"/>
    </xf>
    <xf numFmtId="0" fontId="76" fillId="0" borderId="0" xfId="0" applyFont="1" applyBorder="1" applyAlignment="1" applyProtection="1">
      <alignment horizontal="center"/>
    </xf>
    <xf numFmtId="0" fontId="76" fillId="0" borderId="0" xfId="0" applyFont="1" applyBorder="1" applyAlignment="1" applyProtection="1">
      <alignment horizontal="center" vertical="center"/>
    </xf>
    <xf numFmtId="0" fontId="15" fillId="0" borderId="1" xfId="0" applyFont="1" applyBorder="1" applyAlignment="1" applyProtection="1">
      <alignment horizontal="center"/>
    </xf>
    <xf numFmtId="0" fontId="13" fillId="0" borderId="0" xfId="0" applyFont="1" applyBorder="1" applyAlignment="1" applyProtection="1">
      <alignment horizontal="center"/>
    </xf>
    <xf numFmtId="0" fontId="78" fillId="0" borderId="0" xfId="0" applyFont="1" applyBorder="1" applyAlignment="1" applyProtection="1">
      <alignment horizontal="center"/>
    </xf>
    <xf numFmtId="0" fontId="15" fillId="0" borderId="0" xfId="0" applyFont="1" applyBorder="1" applyAlignment="1" applyProtection="1">
      <alignment horizontal="center"/>
    </xf>
    <xf numFmtId="0" fontId="66" fillId="0" borderId="0" xfId="0" applyFont="1" applyBorder="1" applyAlignment="1" applyProtection="1">
      <alignment horizontal="center"/>
    </xf>
    <xf numFmtId="0" fontId="79" fillId="0" borderId="0" xfId="0" applyFont="1" applyBorder="1" applyAlignment="1" applyProtection="1">
      <alignment horizontal="center"/>
    </xf>
    <xf numFmtId="0" fontId="1" fillId="2" borderId="1" xfId="0" applyFont="1" applyFill="1" applyBorder="1" applyAlignment="1" applyProtection="1">
      <alignment horizontal="center"/>
      <protection locked="0"/>
    </xf>
    <xf numFmtId="181" fontId="2" fillId="0" borderId="32" xfId="0" applyNumberFormat="1" applyFont="1" applyBorder="1" applyAlignment="1">
      <alignment horizontal="center"/>
    </xf>
    <xf numFmtId="181" fontId="2" fillId="0" borderId="29" xfId="0" applyNumberFormat="1" applyFont="1" applyBorder="1" applyAlignment="1">
      <alignment horizontal="center"/>
    </xf>
    <xf numFmtId="0" fontId="2" fillId="0" borderId="33" xfId="0" applyFont="1" applyBorder="1" applyAlignment="1">
      <alignment horizontal="center"/>
    </xf>
    <xf numFmtId="0" fontId="1" fillId="0" borderId="0" xfId="0" applyFont="1" applyAlignment="1" applyProtection="1"/>
    <xf numFmtId="0" fontId="1" fillId="0" borderId="5" xfId="0" applyFont="1" applyBorder="1" applyAlignment="1" applyProtection="1"/>
    <xf numFmtId="0" fontId="1" fillId="0" borderId="6" xfId="0" applyFont="1" applyBorder="1" applyAlignment="1" applyProtection="1"/>
    <xf numFmtId="0" fontId="1" fillId="0" borderId="7" xfId="0" applyFont="1" applyBorder="1" applyAlignment="1" applyProtection="1"/>
    <xf numFmtId="0" fontId="1" fillId="0" borderId="8" xfId="0" applyFont="1" applyBorder="1" applyAlignment="1" applyProtection="1"/>
    <xf numFmtId="0" fontId="1" fillId="0" borderId="4" xfId="0" applyFont="1" applyBorder="1" applyAlignment="1" applyProtection="1"/>
    <xf numFmtId="0" fontId="1" fillId="0" borderId="0" xfId="0" applyFont="1" applyBorder="1" applyAlignment="1" applyProtection="1"/>
    <xf numFmtId="0" fontId="1" fillId="0" borderId="9" xfId="0" applyFont="1" applyBorder="1" applyAlignment="1" applyProtection="1"/>
    <xf numFmtId="0" fontId="1" fillId="0" borderId="10" xfId="0" applyFont="1" applyBorder="1" applyAlignment="1" applyProtection="1"/>
    <xf numFmtId="0" fontId="1" fillId="0" borderId="11" xfId="0" applyFont="1" applyBorder="1" applyAlignment="1" applyProtection="1"/>
    <xf numFmtId="0" fontId="81" fillId="0" borderId="0" xfId="1" applyFont="1" applyFill="1" applyBorder="1" applyAlignment="1" applyProtection="1">
      <alignment horizontal="left"/>
    </xf>
    <xf numFmtId="0" fontId="81" fillId="0" borderId="0" xfId="1" applyFont="1" applyFill="1" applyBorder="1" applyAlignment="1" applyProtection="1">
      <alignment horizontal="right"/>
    </xf>
    <xf numFmtId="0" fontId="1" fillId="0" borderId="0" xfId="0" applyFont="1" applyFill="1" applyBorder="1" applyAlignment="1" applyProtection="1"/>
    <xf numFmtId="0" fontId="1" fillId="2" borderId="19" xfId="0" applyNumberFormat="1" applyFont="1" applyFill="1" applyBorder="1" applyAlignment="1" applyProtection="1">
      <protection locked="0"/>
    </xf>
    <xf numFmtId="0" fontId="1" fillId="0" borderId="0" xfId="0" applyNumberFormat="1" applyFont="1" applyBorder="1" applyAlignment="1" applyProtection="1"/>
    <xf numFmtId="0" fontId="18" fillId="0" borderId="0" xfId="0" applyNumberFormat="1" applyFont="1" applyProtection="1"/>
    <xf numFmtId="0" fontId="2" fillId="0" borderId="0" xfId="0" applyNumberFormat="1" applyFont="1" applyProtection="1"/>
    <xf numFmtId="0" fontId="38" fillId="0" borderId="0" xfId="0" applyNumberFormat="1" applyFont="1" applyProtection="1"/>
    <xf numFmtId="0" fontId="38" fillId="0" borderId="0" xfId="0" applyNumberFormat="1" applyFont="1" applyAlignment="1" applyProtection="1">
      <alignment shrinkToFit="1"/>
    </xf>
    <xf numFmtId="0" fontId="34" fillId="0" borderId="15" xfId="0" applyNumberFormat="1" applyFont="1" applyFill="1" applyBorder="1" applyAlignment="1" applyProtection="1">
      <alignment horizontal="left"/>
    </xf>
    <xf numFmtId="0" fontId="38" fillId="0" borderId="22" xfId="0" applyNumberFormat="1" applyFont="1" applyBorder="1" applyAlignment="1" applyProtection="1"/>
    <xf numFmtId="0" fontId="34" fillId="0" borderId="25" xfId="0" applyNumberFormat="1" applyFont="1" applyBorder="1" applyAlignment="1" applyProtection="1">
      <alignment horizontal="right"/>
    </xf>
    <xf numFmtId="0" fontId="38" fillId="0" borderId="18" xfId="0" applyNumberFormat="1" applyFont="1" applyBorder="1" applyAlignment="1" applyProtection="1"/>
    <xf numFmtId="0" fontId="34" fillId="0" borderId="25" xfId="0" applyNumberFormat="1" applyFont="1" applyBorder="1" applyAlignment="1" applyProtection="1">
      <alignment horizontal="right" shrinkToFit="1"/>
    </xf>
    <xf numFmtId="0" fontId="38" fillId="0" borderId="0" xfId="0" applyNumberFormat="1" applyFont="1" applyAlignment="1" applyProtection="1"/>
    <xf numFmtId="0" fontId="38" fillId="0" borderId="25" xfId="0" applyNumberFormat="1" applyFont="1" applyBorder="1" applyProtection="1"/>
    <xf numFmtId="0" fontId="38" fillId="0" borderId="0" xfId="0" applyNumberFormat="1" applyFont="1" applyBorder="1" applyAlignment="1" applyProtection="1"/>
    <xf numFmtId="0" fontId="38" fillId="0" borderId="23" xfId="0" applyNumberFormat="1" applyFont="1" applyBorder="1" applyProtection="1"/>
    <xf numFmtId="0" fontId="38" fillId="0" borderId="24" xfId="0" applyNumberFormat="1" applyFont="1" applyBorder="1" applyAlignment="1" applyProtection="1"/>
    <xf numFmtId="0" fontId="34" fillId="0" borderId="31" xfId="0" applyNumberFormat="1" applyFont="1" applyFill="1" applyBorder="1" applyAlignment="1" applyProtection="1">
      <alignment horizontal="left"/>
    </xf>
    <xf numFmtId="0" fontId="38" fillId="0" borderId="34" xfId="0" applyNumberFormat="1" applyFont="1" applyBorder="1" applyAlignment="1" applyProtection="1"/>
    <xf numFmtId="0" fontId="34" fillId="0" borderId="25" xfId="0" applyNumberFormat="1" applyFont="1" applyFill="1" applyBorder="1" applyAlignment="1" applyProtection="1">
      <alignment horizontal="right"/>
    </xf>
    <xf numFmtId="0" fontId="38" fillId="0" borderId="0" xfId="0" applyNumberFormat="1" applyFont="1" applyAlignment="1" applyProtection="1">
      <alignment horizontal="right"/>
    </xf>
    <xf numFmtId="0" fontId="38" fillId="0" borderId="0" xfId="0" applyNumberFormat="1" applyFont="1" applyBorder="1" applyProtection="1"/>
    <xf numFmtId="0" fontId="38" fillId="0" borderId="18" xfId="0" applyNumberFormat="1" applyFont="1" applyBorder="1" applyProtection="1"/>
    <xf numFmtId="0" fontId="38" fillId="0" borderId="25" xfId="0" applyNumberFormat="1" applyFont="1" applyBorder="1" applyAlignment="1" applyProtection="1"/>
    <xf numFmtId="0" fontId="38" fillId="0" borderId="24" xfId="0" applyNumberFormat="1" applyFont="1" applyBorder="1" applyProtection="1"/>
    <xf numFmtId="0" fontId="0" fillId="0" borderId="0" xfId="0" applyNumberFormat="1" applyProtection="1"/>
    <xf numFmtId="0" fontId="0" fillId="0" borderId="0" xfId="0" applyNumberFormat="1" applyBorder="1" applyProtection="1"/>
    <xf numFmtId="0" fontId="38" fillId="0" borderId="0" xfId="0" applyNumberFormat="1" applyFont="1" applyFill="1" applyBorder="1" applyAlignment="1" applyProtection="1"/>
    <xf numFmtId="0" fontId="0" fillId="0" borderId="5" xfId="0" applyNumberFormat="1" applyBorder="1" applyProtection="1"/>
    <xf numFmtId="0" fontId="0" fillId="0" borderId="6" xfId="0" applyNumberFormat="1" applyBorder="1" applyProtection="1"/>
    <xf numFmtId="0" fontId="0" fillId="0" borderId="7" xfId="0" applyNumberFormat="1" applyBorder="1" applyProtection="1"/>
    <xf numFmtId="0" fontId="0" fillId="0" borderId="8" xfId="0" applyNumberFormat="1" applyBorder="1" applyProtection="1"/>
    <xf numFmtId="0" fontId="0" fillId="0" borderId="4" xfId="0" applyNumberFormat="1" applyBorder="1" applyProtection="1"/>
    <xf numFmtId="0" fontId="60" fillId="0" borderId="0" xfId="0" applyNumberFormat="1" applyFont="1" applyFill="1" applyBorder="1" applyAlignment="1" applyProtection="1">
      <alignment horizontal="center"/>
    </xf>
    <xf numFmtId="0" fontId="35" fillId="0" borderId="0" xfId="0" applyNumberFormat="1" applyFont="1" applyProtection="1"/>
    <xf numFmtId="0" fontId="31" fillId="0" borderId="0" xfId="1" applyNumberFormat="1" applyBorder="1" applyAlignment="1" applyProtection="1">
      <alignment horizontal="right"/>
    </xf>
    <xf numFmtId="0" fontId="18" fillId="0" borderId="9" xfId="0" applyNumberFormat="1" applyFont="1" applyBorder="1" applyProtection="1"/>
    <xf numFmtId="0" fontId="0" fillId="0" borderId="10" xfId="0" applyNumberFormat="1" applyBorder="1" applyProtection="1"/>
    <xf numFmtId="0" fontId="18" fillId="0" borderId="10" xfId="0" applyNumberFormat="1" applyFont="1" applyBorder="1" applyProtection="1"/>
    <xf numFmtId="0" fontId="18" fillId="0" borderId="11" xfId="0" applyNumberFormat="1" applyFont="1" applyBorder="1" applyProtection="1"/>
    <xf numFmtId="0" fontId="38" fillId="0" borderId="0" xfId="0" applyNumberFormat="1" applyFont="1" applyFill="1" applyBorder="1" applyProtection="1"/>
    <xf numFmtId="0" fontId="34" fillId="0" borderId="31" xfId="0" applyNumberFormat="1" applyFont="1" applyFill="1" applyBorder="1" applyAlignment="1" applyProtection="1"/>
    <xf numFmtId="0" fontId="38" fillId="0" borderId="1" xfId="0" applyNumberFormat="1" applyFont="1" applyFill="1" applyBorder="1" applyAlignment="1" applyProtection="1"/>
    <xf numFmtId="0" fontId="38" fillId="0" borderId="18" xfId="0" applyNumberFormat="1" applyFont="1" applyFill="1" applyBorder="1" applyAlignment="1" applyProtection="1"/>
    <xf numFmtId="0" fontId="38" fillId="0" borderId="0" xfId="0" applyNumberFormat="1" applyFont="1" applyFill="1" applyProtection="1"/>
    <xf numFmtId="0" fontId="38" fillId="0" borderId="0" xfId="0" applyNumberFormat="1" applyFont="1" applyFill="1" applyAlignment="1" applyProtection="1"/>
    <xf numFmtId="0" fontId="38" fillId="0" borderId="18" xfId="0" applyNumberFormat="1" applyFont="1" applyFill="1" applyBorder="1" applyProtection="1"/>
    <xf numFmtId="0" fontId="38" fillId="0" borderId="0" xfId="0" applyNumberFormat="1" applyFont="1" applyFill="1" applyAlignment="1" applyProtection="1">
      <alignment horizontal="right"/>
    </xf>
    <xf numFmtId="0" fontId="34" fillId="0" borderId="25" xfId="0" applyNumberFormat="1" applyFont="1" applyBorder="1" applyProtection="1"/>
    <xf numFmtId="0" fontId="34" fillId="0" borderId="23" xfId="0" applyNumberFormat="1" applyFont="1" applyBorder="1" applyProtection="1"/>
    <xf numFmtId="0" fontId="34" fillId="0" borderId="25" xfId="0" applyNumberFormat="1" applyFont="1" applyBorder="1" applyAlignment="1" applyProtection="1"/>
    <xf numFmtId="0" fontId="38" fillId="0" borderId="18" xfId="0" applyNumberFormat="1" applyFont="1" applyFill="1" applyBorder="1" applyAlignment="1" applyProtection="1">
      <alignment horizontal="right"/>
    </xf>
    <xf numFmtId="0" fontId="38" fillId="0" borderId="25" xfId="0" applyNumberFormat="1" applyFont="1" applyFill="1" applyBorder="1" applyAlignment="1" applyProtection="1"/>
    <xf numFmtId="0" fontId="34" fillId="0" borderId="18" xfId="0" applyNumberFormat="1" applyFont="1" applyBorder="1" applyAlignment="1" applyProtection="1">
      <alignment horizontal="center"/>
    </xf>
    <xf numFmtId="0" fontId="34" fillId="0" borderId="25" xfId="0" applyNumberFormat="1" applyFont="1" applyBorder="1" applyAlignment="1" applyProtection="1">
      <alignment shrinkToFit="1"/>
    </xf>
    <xf numFmtId="0" fontId="34" fillId="0" borderId="25" xfId="0" applyNumberFormat="1" applyFont="1" applyFill="1" applyBorder="1" applyProtection="1"/>
    <xf numFmtId="0" fontId="34" fillId="0" borderId="23" xfId="0" applyNumberFormat="1" applyFont="1" applyFill="1" applyBorder="1" applyProtection="1"/>
    <xf numFmtId="0" fontId="34" fillId="0" borderId="25" xfId="0" applyNumberFormat="1" applyFont="1" applyBorder="1" applyAlignment="1" applyProtection="1">
      <alignment horizontal="left"/>
    </xf>
    <xf numFmtId="0" fontId="48" fillId="0" borderId="25" xfId="0" applyNumberFormat="1" applyFont="1" applyBorder="1" applyAlignment="1" applyProtection="1">
      <alignment horizontal="right"/>
    </xf>
    <xf numFmtId="0" fontId="34" fillId="0" borderId="18" xfId="0" applyNumberFormat="1" applyFont="1" applyFill="1" applyBorder="1" applyAlignment="1" applyProtection="1">
      <alignment horizontal="center"/>
    </xf>
    <xf numFmtId="0" fontId="38" fillId="0" borderId="18" xfId="0" applyNumberFormat="1" applyFont="1" applyFill="1" applyBorder="1" applyAlignment="1" applyProtection="1">
      <alignment horizontal="left"/>
    </xf>
    <xf numFmtId="0" fontId="34" fillId="0" borderId="21" xfId="0" applyNumberFormat="1" applyFont="1" applyFill="1" applyBorder="1" applyAlignment="1" applyProtection="1">
      <alignment horizontal="right"/>
    </xf>
    <xf numFmtId="0" fontId="34" fillId="0" borderId="31" xfId="0" applyNumberFormat="1" applyFont="1" applyBorder="1" applyProtection="1"/>
    <xf numFmtId="0" fontId="38" fillId="0" borderId="34" xfId="0" applyNumberFormat="1" applyFont="1" applyBorder="1" applyProtection="1"/>
    <xf numFmtId="0" fontId="58" fillId="0" borderId="0" xfId="1" applyNumberFormat="1" applyFont="1" applyFill="1" applyBorder="1" applyAlignment="1" applyProtection="1">
      <alignment horizontal="left"/>
    </xf>
    <xf numFmtId="0" fontId="58" fillId="0" borderId="0" xfId="1" applyNumberFormat="1" applyFont="1" applyFill="1" applyBorder="1" applyAlignment="1" applyProtection="1">
      <alignment horizontal="right"/>
    </xf>
    <xf numFmtId="0" fontId="13" fillId="2" borderId="31" xfId="0" applyNumberFormat="1" applyFont="1" applyFill="1" applyBorder="1" applyAlignment="1" applyProtection="1">
      <protection locked="0"/>
    </xf>
    <xf numFmtId="0" fontId="63" fillId="0" borderId="0" xfId="0" applyFont="1" applyBorder="1" applyAlignment="1">
      <alignment vertical="top" wrapText="1"/>
    </xf>
    <xf numFmtId="0" fontId="61" fillId="5" borderId="0" xfId="0" applyFont="1" applyFill="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62" fillId="0" borderId="0" xfId="0" applyFont="1" applyBorder="1" applyAlignment="1">
      <alignment vertical="top" wrapText="1"/>
    </xf>
    <xf numFmtId="0" fontId="44" fillId="0" borderId="13" xfId="0" applyNumberFormat="1" applyFont="1" applyFill="1" applyBorder="1" applyAlignment="1" applyProtection="1">
      <alignment horizontal="center"/>
    </xf>
    <xf numFmtId="0" fontId="59" fillId="5" borderId="0" xfId="0" applyFont="1" applyFill="1" applyBorder="1" applyAlignment="1" applyProtection="1">
      <alignment horizontal="center"/>
    </xf>
    <xf numFmtId="0" fontId="25" fillId="0" borderId="0" xfId="0" applyNumberFormat="1" applyFont="1" applyFill="1" applyBorder="1" applyAlignment="1" applyProtection="1">
      <alignment horizontal="center" vertical="center"/>
    </xf>
    <xf numFmtId="0" fontId="15" fillId="0" borderId="35" xfId="0" applyNumberFormat="1" applyFont="1" applyFill="1" applyBorder="1" applyAlignment="1" applyProtection="1">
      <alignment horizontal="center"/>
    </xf>
    <xf numFmtId="0" fontId="49" fillId="0" borderId="28"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9" fillId="4" borderId="21" xfId="0" applyNumberFormat="1" applyFont="1" applyFill="1" applyBorder="1" applyAlignment="1" applyProtection="1">
      <alignment horizontal="center"/>
    </xf>
    <xf numFmtId="0" fontId="9" fillId="4" borderId="26" xfId="0" applyNumberFormat="1" applyFont="1" applyFill="1" applyBorder="1" applyAlignment="1" applyProtection="1">
      <alignment horizontal="center"/>
    </xf>
    <xf numFmtId="0" fontId="9" fillId="4" borderId="22" xfId="0" applyNumberFormat="1" applyFont="1" applyFill="1" applyBorder="1" applyAlignment="1" applyProtection="1">
      <alignment horizontal="center"/>
    </xf>
    <xf numFmtId="0" fontId="61" fillId="5" borderId="0" xfId="0" applyNumberFormat="1" applyFont="1" applyFill="1" applyBorder="1" applyAlignment="1" applyProtection="1">
      <alignment horizontal="center"/>
    </xf>
    <xf numFmtId="0" fontId="66" fillId="0" borderId="28" xfId="0" applyNumberFormat="1" applyFont="1" applyFill="1" applyBorder="1" applyAlignment="1" applyProtection="1">
      <alignment horizontal="center"/>
    </xf>
    <xf numFmtId="0" fontId="15" fillId="0" borderId="27" xfId="0" applyFont="1" applyBorder="1" applyAlignment="1" applyProtection="1">
      <alignment horizontal="center"/>
    </xf>
    <xf numFmtId="0" fontId="61" fillId="5" borderId="0" xfId="0" applyFont="1" applyFill="1" applyBorder="1" applyAlignment="1" applyProtection="1">
      <alignment horizontal="center"/>
    </xf>
    <xf numFmtId="0" fontId="60" fillId="5" borderId="0" xfId="0" applyFont="1" applyFill="1" applyBorder="1" applyAlignment="1" applyProtection="1">
      <alignment horizontal="center"/>
    </xf>
    <xf numFmtId="0" fontId="27" fillId="0" borderId="0" xfId="0" applyNumberFormat="1" applyFont="1" applyFill="1" applyBorder="1" applyAlignment="1" applyProtection="1">
      <alignment horizontal="center" vertical="center"/>
    </xf>
    <xf numFmtId="0" fontId="9" fillId="0" borderId="35" xfId="0" applyNumberFormat="1" applyFont="1" applyFill="1" applyBorder="1" applyAlignment="1" applyProtection="1">
      <alignment horizontal="center"/>
    </xf>
    <xf numFmtId="0" fontId="50" fillId="0" borderId="28" xfId="0" applyNumberFormat="1" applyFont="1" applyFill="1" applyBorder="1" applyAlignment="1" applyProtection="1">
      <alignment horizontal="center"/>
    </xf>
    <xf numFmtId="0" fontId="9" fillId="6" borderId="31" xfId="0" applyFont="1" applyFill="1" applyBorder="1" applyAlignment="1" applyProtection="1">
      <alignment horizontal="center"/>
    </xf>
    <xf numFmtId="0" fontId="9" fillId="6" borderId="36" xfId="0" applyFont="1" applyFill="1" applyBorder="1" applyAlignment="1" applyProtection="1">
      <alignment horizontal="center"/>
    </xf>
    <xf numFmtId="0" fontId="9" fillId="6" borderId="34" xfId="0" applyFont="1" applyFill="1" applyBorder="1" applyAlignment="1" applyProtection="1">
      <alignment horizontal="center"/>
    </xf>
    <xf numFmtId="0" fontId="13" fillId="2" borderId="31" xfId="0" applyFont="1" applyFill="1" applyBorder="1" applyAlignment="1" applyProtection="1">
      <alignment horizontal="center"/>
      <protection locked="0"/>
    </xf>
    <xf numFmtId="0" fontId="13" fillId="2" borderId="36" xfId="0" applyFont="1" applyFill="1" applyBorder="1" applyAlignment="1" applyProtection="1">
      <alignment horizontal="center"/>
      <protection locked="0"/>
    </xf>
    <xf numFmtId="0" fontId="13" fillId="2" borderId="34" xfId="0" applyFont="1" applyFill="1" applyBorder="1" applyAlignment="1" applyProtection="1">
      <alignment horizontal="center"/>
      <protection locked="0"/>
    </xf>
    <xf numFmtId="0" fontId="80" fillId="0" borderId="26" xfId="0" applyFont="1" applyBorder="1" applyAlignment="1" applyProtection="1">
      <alignment horizontal="right"/>
    </xf>
    <xf numFmtId="0" fontId="15" fillId="4" borderId="31" xfId="0" applyFont="1" applyFill="1" applyBorder="1" applyAlignment="1" applyProtection="1">
      <alignment horizontal="center"/>
    </xf>
    <xf numFmtId="0" fontId="15" fillId="4" borderId="34" xfId="0" applyFont="1" applyFill="1" applyBorder="1" applyAlignment="1" applyProtection="1">
      <alignment horizontal="center"/>
    </xf>
    <xf numFmtId="0" fontId="73" fillId="0" borderId="0" xfId="0" applyFont="1" applyBorder="1" applyAlignment="1" applyProtection="1">
      <alignment horizontal="center" vertical="center"/>
    </xf>
    <xf numFmtId="0" fontId="15" fillId="3" borderId="31" xfId="0" applyFont="1" applyFill="1" applyBorder="1" applyAlignment="1" applyProtection="1">
      <alignment horizontal="center"/>
    </xf>
    <xf numFmtId="0" fontId="15" fillId="3" borderId="36" xfId="0" applyFont="1" applyFill="1" applyBorder="1" applyAlignment="1" applyProtection="1">
      <alignment horizontal="center"/>
    </xf>
    <xf numFmtId="0" fontId="15" fillId="3" borderId="34" xfId="0" applyFont="1" applyFill="1" applyBorder="1" applyAlignment="1" applyProtection="1">
      <alignment horizontal="center"/>
    </xf>
    <xf numFmtId="0" fontId="9" fillId="0" borderId="0" xfId="0" applyNumberFormat="1" applyFont="1" applyFill="1" applyBorder="1" applyAlignment="1" applyProtection="1">
      <alignment horizontal="center"/>
    </xf>
    <xf numFmtId="0" fontId="43" fillId="0" borderId="28" xfId="0" applyNumberFormat="1" applyFont="1" applyFill="1" applyBorder="1" applyAlignment="1" applyProtection="1">
      <alignment horizontal="center"/>
    </xf>
    <xf numFmtId="0" fontId="47" fillId="0" borderId="28" xfId="0" applyNumberFormat="1" applyFont="1" applyFill="1" applyBorder="1" applyAlignment="1" applyProtection="1">
      <alignment horizontal="center"/>
    </xf>
    <xf numFmtId="0" fontId="34" fillId="0" borderId="0" xfId="0" applyNumberFormat="1" applyFont="1" applyFill="1" applyBorder="1" applyAlignment="1" applyProtection="1">
      <alignment horizontal="center"/>
    </xf>
    <xf numFmtId="0" fontId="60" fillId="5" borderId="0" xfId="0" applyNumberFormat="1" applyFont="1" applyFill="1" applyBorder="1" applyAlignment="1" applyProtection="1">
      <alignment horizontal="center"/>
    </xf>
    <xf numFmtId="0" fontId="15" fillId="0" borderId="0" xfId="0" applyNumberFormat="1" applyFont="1" applyFill="1" applyBorder="1" applyAlignment="1" applyProtection="1">
      <alignment horizontal="center"/>
    </xf>
    <xf numFmtId="0" fontId="9" fillId="0" borderId="27" xfId="0" applyNumberFormat="1" applyFont="1" applyFill="1" applyBorder="1" applyAlignment="1" applyProtection="1">
      <alignment horizontal="center"/>
    </xf>
    <xf numFmtId="0" fontId="9" fillId="0" borderId="26" xfId="0" applyNumberFormat="1" applyFont="1" applyFill="1" applyBorder="1" applyAlignment="1" applyProtection="1">
      <alignment horizontal="center"/>
    </xf>
    <xf numFmtId="0" fontId="43" fillId="0" borderId="0" xfId="0" applyNumberFormat="1" applyFont="1" applyFill="1" applyBorder="1" applyAlignment="1" applyProtection="1">
      <alignment horizontal="center"/>
    </xf>
    <xf numFmtId="0" fontId="1" fillId="0" borderId="13" xfId="0" applyFont="1" applyFill="1" applyBorder="1" applyAlignment="1" applyProtection="1">
      <alignment horizontal="center"/>
    </xf>
    <xf numFmtId="0" fontId="2" fillId="0" borderId="37" xfId="0" applyFont="1" applyBorder="1" applyAlignment="1">
      <alignment horizontal="left"/>
    </xf>
    <xf numFmtId="0" fontId="2" fillId="0" borderId="38" xfId="0" applyFont="1" applyBorder="1" applyAlignment="1">
      <alignment horizontal="left"/>
    </xf>
    <xf numFmtId="0" fontId="62" fillId="0" borderId="37" xfId="0" applyFont="1" applyBorder="1" applyAlignment="1">
      <alignment horizontal="left" vertical="top" wrapText="1"/>
    </xf>
    <xf numFmtId="0" fontId="62" fillId="0" borderId="38" xfId="0" applyFont="1" applyBorder="1" applyAlignment="1">
      <alignment horizontal="left" vertical="top" wrapText="1"/>
    </xf>
    <xf numFmtId="0" fontId="2" fillId="0" borderId="13" xfId="0" applyFont="1" applyBorder="1" applyAlignment="1">
      <alignment horizontal="center"/>
    </xf>
    <xf numFmtId="0" fontId="2" fillId="0" borderId="39" xfId="0" applyFont="1" applyBorder="1" applyAlignment="1">
      <alignment horizontal="left"/>
    </xf>
    <xf numFmtId="0" fontId="2" fillId="0" borderId="40" xfId="0" applyFont="1" applyBorder="1" applyAlignment="1">
      <alignment horizontal="left"/>
    </xf>
  </cellXfs>
  <cellStyles count="2">
    <cellStyle name="Hyperlink" xfId="1" builtinId="8"/>
    <cellStyle name="Normal" xfId="0" builtinId="0"/>
  </cellStyles>
  <dxfs count="13">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b val="0"/>
        <i/>
        <condense val="0"/>
        <extend val="0"/>
        <color indexed="9"/>
      </font>
      <fill>
        <patternFill patternType="solid">
          <fgColor indexed="9"/>
          <bgColor indexed="10"/>
        </patternFill>
      </fill>
    </dxf>
    <dxf>
      <font>
        <b val="0"/>
        <i val="0"/>
        <condense val="0"/>
        <extend val="0"/>
        <color indexed="9"/>
      </font>
      <fill>
        <patternFill>
          <bgColor indexed="10"/>
        </patternFill>
      </fill>
    </dxf>
    <dxf>
      <font>
        <b val="0"/>
        <i val="0"/>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b val="0"/>
        <i/>
        <condense val="0"/>
        <extend val="0"/>
        <color indexed="9"/>
      </font>
      <fill>
        <patternFill patternType="solid">
          <fgColor indexed="9"/>
          <bgColor indexed="10"/>
        </patternFill>
      </fill>
    </dxf>
    <dxf>
      <font>
        <b val="0"/>
        <i val="0"/>
        <condense val="0"/>
        <extend val="0"/>
        <color indexed="9"/>
      </font>
      <fill>
        <patternFill>
          <bgColor indexed="10"/>
        </patternFill>
      </fill>
    </dxf>
    <dxf>
      <font>
        <b val="0"/>
        <i val="0"/>
        <condense val="0"/>
        <extend val="0"/>
        <color indexed="9"/>
      </font>
      <fill>
        <patternFill>
          <bgColor indexed="10"/>
        </patternFill>
      </fill>
    </dxf>
    <dxf>
      <font>
        <b val="0"/>
        <i/>
        <condense val="0"/>
        <extend val="0"/>
        <color indexed="10"/>
      </font>
    </dxf>
    <dxf>
      <font>
        <b val="0"/>
        <i/>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60434244965196"/>
          <c:y val="5.1371509492385829E-2"/>
          <c:w val="0.81657978563032807"/>
          <c:h val="0.79454601348223419"/>
        </c:manualLayout>
      </c:layout>
      <c:scatterChart>
        <c:scatterStyle val="lineMarker"/>
        <c:varyColors val="0"/>
        <c:ser>
          <c:idx val="1"/>
          <c:order val="0"/>
          <c:tx>
            <c:strRef>
              <c:f>BPF!$D$14</c:f>
              <c:strCache>
                <c:ptCount val="1"/>
                <c:pt idx="0">
                  <c:v>Butterworth</c:v>
                </c:pt>
              </c:strCache>
            </c:strRef>
          </c:tx>
          <c:spPr>
            <a:ln w="12700">
              <a:solidFill>
                <a:srgbClr val="FF0000"/>
              </a:solidFill>
              <a:prstDash val="solid"/>
            </a:ln>
          </c:spPr>
          <c:marker>
            <c:symbol val="square"/>
            <c:size val="3"/>
            <c:spPr>
              <a:solidFill>
                <a:srgbClr val="FF0000"/>
              </a:solidFill>
              <a:ln>
                <a:solidFill>
                  <a:srgbClr val="FF0000"/>
                </a:solidFill>
                <a:prstDash val="solid"/>
              </a:ln>
            </c:spPr>
          </c:marker>
          <c:xVal>
            <c:numRef>
              <c:f>BPF!$C$15:$C$115</c:f>
              <c:numCache>
                <c:formatCode>General</c:formatCode>
                <c:ptCount val="101"/>
                <c:pt idx="0">
                  <c:v>5</c:v>
                </c:pt>
                <c:pt idx="1">
                  <c:v>5.15</c:v>
                </c:pt>
                <c:pt idx="2">
                  <c:v>5.3000000000000007</c:v>
                </c:pt>
                <c:pt idx="3">
                  <c:v>5.4500000000000011</c:v>
                </c:pt>
                <c:pt idx="4">
                  <c:v>5.6000000000000014</c:v>
                </c:pt>
                <c:pt idx="5">
                  <c:v>5.7500000000000018</c:v>
                </c:pt>
                <c:pt idx="6">
                  <c:v>5.9000000000000021</c:v>
                </c:pt>
                <c:pt idx="7">
                  <c:v>6.0500000000000025</c:v>
                </c:pt>
                <c:pt idx="8">
                  <c:v>6.2000000000000028</c:v>
                </c:pt>
                <c:pt idx="9">
                  <c:v>6.3500000000000032</c:v>
                </c:pt>
                <c:pt idx="10">
                  <c:v>6.5000000000000036</c:v>
                </c:pt>
                <c:pt idx="11">
                  <c:v>6.6500000000000039</c:v>
                </c:pt>
                <c:pt idx="12">
                  <c:v>6.8000000000000043</c:v>
                </c:pt>
                <c:pt idx="13">
                  <c:v>6.9500000000000046</c:v>
                </c:pt>
                <c:pt idx="14">
                  <c:v>7.100000000000005</c:v>
                </c:pt>
                <c:pt idx="15">
                  <c:v>7.2500000000000053</c:v>
                </c:pt>
                <c:pt idx="16">
                  <c:v>7.4000000000000057</c:v>
                </c:pt>
                <c:pt idx="17">
                  <c:v>7.550000000000006</c:v>
                </c:pt>
                <c:pt idx="18">
                  <c:v>7.7000000000000064</c:v>
                </c:pt>
                <c:pt idx="19">
                  <c:v>7.8500000000000068</c:v>
                </c:pt>
                <c:pt idx="20">
                  <c:v>8.0000000000000071</c:v>
                </c:pt>
                <c:pt idx="21">
                  <c:v>8.1500000000000075</c:v>
                </c:pt>
                <c:pt idx="22">
                  <c:v>8.3000000000000078</c:v>
                </c:pt>
                <c:pt idx="23">
                  <c:v>8.4500000000000082</c:v>
                </c:pt>
                <c:pt idx="24">
                  <c:v>8.6000000000000085</c:v>
                </c:pt>
                <c:pt idx="25">
                  <c:v>8.7500000000000089</c:v>
                </c:pt>
                <c:pt idx="26">
                  <c:v>8.9000000000000092</c:v>
                </c:pt>
                <c:pt idx="27">
                  <c:v>9.0500000000000096</c:v>
                </c:pt>
                <c:pt idx="28">
                  <c:v>9.2000000000000099</c:v>
                </c:pt>
                <c:pt idx="29">
                  <c:v>9.3500000000000103</c:v>
                </c:pt>
                <c:pt idx="30">
                  <c:v>9.5000000000000107</c:v>
                </c:pt>
                <c:pt idx="31">
                  <c:v>9.650000000000011</c:v>
                </c:pt>
                <c:pt idx="32">
                  <c:v>9.8000000000000114</c:v>
                </c:pt>
                <c:pt idx="33">
                  <c:v>9.9500000000000117</c:v>
                </c:pt>
                <c:pt idx="34">
                  <c:v>10.100000000000012</c:v>
                </c:pt>
                <c:pt idx="35">
                  <c:v>10.250000000000012</c:v>
                </c:pt>
                <c:pt idx="36">
                  <c:v>10.400000000000013</c:v>
                </c:pt>
                <c:pt idx="37">
                  <c:v>10.550000000000013</c:v>
                </c:pt>
                <c:pt idx="38">
                  <c:v>10.700000000000014</c:v>
                </c:pt>
                <c:pt idx="39">
                  <c:v>10.850000000000014</c:v>
                </c:pt>
                <c:pt idx="40">
                  <c:v>11.000000000000014</c:v>
                </c:pt>
                <c:pt idx="41">
                  <c:v>11.150000000000015</c:v>
                </c:pt>
                <c:pt idx="42">
                  <c:v>11.300000000000015</c:v>
                </c:pt>
                <c:pt idx="43">
                  <c:v>11.450000000000015</c:v>
                </c:pt>
                <c:pt idx="44">
                  <c:v>11.600000000000016</c:v>
                </c:pt>
                <c:pt idx="45">
                  <c:v>11.750000000000016</c:v>
                </c:pt>
                <c:pt idx="46">
                  <c:v>11.900000000000016</c:v>
                </c:pt>
                <c:pt idx="47">
                  <c:v>12.050000000000017</c:v>
                </c:pt>
                <c:pt idx="48">
                  <c:v>12.200000000000017</c:v>
                </c:pt>
                <c:pt idx="49">
                  <c:v>12.350000000000017</c:v>
                </c:pt>
                <c:pt idx="50">
                  <c:v>12.500000000000018</c:v>
                </c:pt>
                <c:pt idx="51">
                  <c:v>12.650000000000018</c:v>
                </c:pt>
                <c:pt idx="52">
                  <c:v>12.800000000000018</c:v>
                </c:pt>
                <c:pt idx="53">
                  <c:v>12.950000000000019</c:v>
                </c:pt>
                <c:pt idx="54">
                  <c:v>13.100000000000019</c:v>
                </c:pt>
                <c:pt idx="55">
                  <c:v>13.25000000000002</c:v>
                </c:pt>
                <c:pt idx="56">
                  <c:v>13.40000000000002</c:v>
                </c:pt>
                <c:pt idx="57">
                  <c:v>13.55000000000002</c:v>
                </c:pt>
                <c:pt idx="58">
                  <c:v>13.700000000000021</c:v>
                </c:pt>
                <c:pt idx="59">
                  <c:v>13.850000000000021</c:v>
                </c:pt>
                <c:pt idx="60">
                  <c:v>14.000000000000021</c:v>
                </c:pt>
                <c:pt idx="61">
                  <c:v>14.150000000000022</c:v>
                </c:pt>
                <c:pt idx="62">
                  <c:v>14.300000000000022</c:v>
                </c:pt>
                <c:pt idx="63">
                  <c:v>14.450000000000022</c:v>
                </c:pt>
                <c:pt idx="64">
                  <c:v>14.600000000000023</c:v>
                </c:pt>
                <c:pt idx="65">
                  <c:v>14.750000000000023</c:v>
                </c:pt>
                <c:pt idx="66">
                  <c:v>14.900000000000023</c:v>
                </c:pt>
                <c:pt idx="67">
                  <c:v>15.050000000000024</c:v>
                </c:pt>
                <c:pt idx="68">
                  <c:v>15.200000000000024</c:v>
                </c:pt>
                <c:pt idx="69">
                  <c:v>15.350000000000025</c:v>
                </c:pt>
                <c:pt idx="70">
                  <c:v>15.500000000000025</c:v>
                </c:pt>
                <c:pt idx="71">
                  <c:v>15.650000000000025</c:v>
                </c:pt>
                <c:pt idx="72">
                  <c:v>15.800000000000026</c:v>
                </c:pt>
                <c:pt idx="73">
                  <c:v>15.950000000000026</c:v>
                </c:pt>
                <c:pt idx="74">
                  <c:v>16.100000000000026</c:v>
                </c:pt>
                <c:pt idx="75">
                  <c:v>16.250000000000025</c:v>
                </c:pt>
                <c:pt idx="76">
                  <c:v>16.400000000000023</c:v>
                </c:pt>
                <c:pt idx="77">
                  <c:v>16.550000000000022</c:v>
                </c:pt>
                <c:pt idx="78">
                  <c:v>16.700000000000021</c:v>
                </c:pt>
                <c:pt idx="79">
                  <c:v>16.850000000000019</c:v>
                </c:pt>
                <c:pt idx="80">
                  <c:v>17.000000000000018</c:v>
                </c:pt>
                <c:pt idx="81">
                  <c:v>17.150000000000016</c:v>
                </c:pt>
                <c:pt idx="82">
                  <c:v>17.300000000000015</c:v>
                </c:pt>
                <c:pt idx="83">
                  <c:v>17.450000000000014</c:v>
                </c:pt>
                <c:pt idx="84">
                  <c:v>17.600000000000012</c:v>
                </c:pt>
                <c:pt idx="85">
                  <c:v>17.750000000000011</c:v>
                </c:pt>
                <c:pt idx="86">
                  <c:v>17.900000000000009</c:v>
                </c:pt>
                <c:pt idx="87">
                  <c:v>18.050000000000008</c:v>
                </c:pt>
                <c:pt idx="88">
                  <c:v>18.200000000000006</c:v>
                </c:pt>
                <c:pt idx="89">
                  <c:v>18.350000000000005</c:v>
                </c:pt>
                <c:pt idx="90">
                  <c:v>18.500000000000004</c:v>
                </c:pt>
                <c:pt idx="91">
                  <c:v>18.650000000000002</c:v>
                </c:pt>
                <c:pt idx="92">
                  <c:v>18.8</c:v>
                </c:pt>
                <c:pt idx="93">
                  <c:v>18.95</c:v>
                </c:pt>
                <c:pt idx="94">
                  <c:v>19.099999999999998</c:v>
                </c:pt>
                <c:pt idx="95">
                  <c:v>19.249999999999996</c:v>
                </c:pt>
                <c:pt idx="96">
                  <c:v>19.399999999999995</c:v>
                </c:pt>
                <c:pt idx="97">
                  <c:v>19.549999999999994</c:v>
                </c:pt>
                <c:pt idx="98">
                  <c:v>19.699999999999992</c:v>
                </c:pt>
                <c:pt idx="99">
                  <c:v>19.849999999999991</c:v>
                </c:pt>
                <c:pt idx="100">
                  <c:v>19.999999999999989</c:v>
                </c:pt>
              </c:numCache>
            </c:numRef>
          </c:xVal>
          <c:yVal>
            <c:numRef>
              <c:f>BPF!$D$15:$D$115</c:f>
              <c:numCache>
                <c:formatCode>0.00</c:formatCode>
                <c:ptCount val="101"/>
                <c:pt idx="0">
                  <c:v>-69.897000878319403</c:v>
                </c:pt>
                <c:pt idx="1">
                  <c:v>-68.081060128944998</c:v>
                </c:pt>
                <c:pt idx="2">
                  <c:v>-66.279346756062012</c:v>
                </c:pt>
                <c:pt idx="3">
                  <c:v>-64.489011084318577</c:v>
                </c:pt>
                <c:pt idx="4">
                  <c:v>-62.707312996186701</c:v>
                </c:pt>
                <c:pt idx="5">
                  <c:v>-60.931599086331573</c:v>
                </c:pt>
                <c:pt idx="6">
                  <c:v>-59.159281500446923</c:v>
                </c:pt>
                <c:pt idx="7">
                  <c:v>-57.387818032018345</c:v>
                </c:pt>
                <c:pt idx="8">
                  <c:v>-55.614693097053788</c:v>
                </c:pt>
                <c:pt idx="9">
                  <c:v>-53.837399240612569</c:v>
                </c:pt>
                <c:pt idx="10">
                  <c:v>-52.053418852617327</c:v>
                </c:pt>
                <c:pt idx="11">
                  <c:v>-50.260205786531962</c:v>
                </c:pt>
                <c:pt idx="12">
                  <c:v>-48.455166586114103</c:v>
                </c:pt>
                <c:pt idx="13">
                  <c:v>-46.635641037069547</c:v>
                </c:pt>
                <c:pt idx="14">
                  <c:v>-44.798881779419986</c:v>
                </c:pt>
                <c:pt idx="15">
                  <c:v>-42.94203275576222</c:v>
                </c:pt>
                <c:pt idx="16">
                  <c:v>-41.06210635409289</c:v>
                </c:pt>
                <c:pt idx="17">
                  <c:v>-39.155959275536446</c:v>
                </c:pt>
                <c:pt idx="18">
                  <c:v>-37.220267499797885</c:v>
                </c:pt>
                <c:pt idx="19">
                  <c:v>-35.251501391300224</c:v>
                </c:pt>
                <c:pt idx="20">
                  <c:v>-33.245903287852144</c:v>
                </c:pt>
                <c:pt idx="21">
                  <c:v>-31.199472426707217</c:v>
                </c:pt>
                <c:pt idx="22">
                  <c:v>-29.107966943072157</c:v>
                </c:pt>
                <c:pt idx="23">
                  <c:v>-26.966942223552628</c:v>
                </c:pt>
                <c:pt idx="24">
                  <c:v>-24.771863747570254</c:v>
                </c:pt>
                <c:pt idx="25">
                  <c:v>-22.518370093125213</c:v>
                </c:pt>
                <c:pt idx="26">
                  <c:v>-20.202836902006215</c:v>
                </c:pt>
                <c:pt idx="27">
                  <c:v>-17.823541998466702</c:v>
                </c:pt>
                <c:pt idx="28">
                  <c:v>-15.383019996524499</c:v>
                </c:pt>
                <c:pt idx="29">
                  <c:v>-12.89270178826075</c:v>
                </c:pt>
                <c:pt idx="30">
                  <c:v>-10.381602552823948</c:v>
                </c:pt>
                <c:pt idx="31">
                  <c:v>-7.9107401761417853</c:v>
                </c:pt>
                <c:pt idx="32">
                  <c:v>-5.5903960601148448</c:v>
                </c:pt>
                <c:pt idx="33">
                  <c:v>-3.5813027549728558</c:v>
                </c:pt>
                <c:pt idx="34">
                  <c:v>-2.0428596089565159</c:v>
                </c:pt>
                <c:pt idx="35">
                  <c:v>-1.0333410222739845</c:v>
                </c:pt>
                <c:pt idx="36">
                  <c:v>-0.46780764042999246</c:v>
                </c:pt>
                <c:pt idx="37">
                  <c:v>-0.19176322268848134</c:v>
                </c:pt>
                <c:pt idx="38">
                  <c:v>-7.1478329775766583E-2</c:v>
                </c:pt>
                <c:pt idx="39">
                  <c:v>-2.4075839306720449E-2</c:v>
                </c:pt>
                <c:pt idx="40">
                  <c:v>-7.2073726412988388E-3</c:v>
                </c:pt>
                <c:pt idx="41">
                  <c:v>-1.8653902401000845E-3</c:v>
                </c:pt>
                <c:pt idx="42">
                  <c:v>-4.0019856391072708E-4</c:v>
                </c:pt>
                <c:pt idx="43">
                  <c:v>-6.6691365053709296E-5</c:v>
                </c:pt>
                <c:pt idx="44">
                  <c:v>-7.7620591441373275E-6</c:v>
                </c:pt>
                <c:pt idx="45">
                  <c:v>-5.2100203799307725E-7</c:v>
                </c:pt>
                <c:pt idx="46">
                  <c:v>-1.3496907530143357E-8</c:v>
                </c:pt>
                <c:pt idx="47">
                  <c:v>-4.4500819598806549E-11</c:v>
                </c:pt>
                <c:pt idx="48">
                  <c:v>0</c:v>
                </c:pt>
                <c:pt idx="49">
                  <c:v>-5.5930993060090292E-14</c:v>
                </c:pt>
                <c:pt idx="50">
                  <c:v>-4.3429451781522366E-10</c:v>
                </c:pt>
                <c:pt idx="51">
                  <c:v>-4.334506519944646E-8</c:v>
                </c:pt>
                <c:pt idx="52">
                  <c:v>-9.7128218695610801E-7</c:v>
                </c:pt>
                <c:pt idx="53">
                  <c:v>-1.0132861526291161E-5</c:v>
                </c:pt>
                <c:pt idx="54">
                  <c:v>-6.6361418726552669E-5</c:v>
                </c:pt>
                <c:pt idx="55">
                  <c:v>-3.1764560910342349E-4</c:v>
                </c:pt>
                <c:pt idx="56">
                  <c:v>-1.2134444729952453E-3</c:v>
                </c:pt>
                <c:pt idx="57">
                  <c:v>-3.9103144524883157E-3</c:v>
                </c:pt>
                <c:pt idx="58">
                  <c:v>-1.1030325738477852E-2</c:v>
                </c:pt>
                <c:pt idx="59">
                  <c:v>-2.7943994258074499E-2</c:v>
                </c:pt>
                <c:pt idx="60">
                  <c:v>-6.473534104880678E-2</c:v>
                </c:pt>
                <c:pt idx="61">
                  <c:v>-0.13884882412859595</c:v>
                </c:pt>
                <c:pt idx="62">
                  <c:v>-0.27792128276755029</c:v>
                </c:pt>
                <c:pt idx="63">
                  <c:v>-0.52124377148592904</c:v>
                </c:pt>
                <c:pt idx="64">
                  <c:v>-0.91690698189043529</c:v>
                </c:pt>
                <c:pt idx="65">
                  <c:v>-1.5116420733193063</c:v>
                </c:pt>
                <c:pt idx="66">
                  <c:v>-2.3345609831370413</c:v>
                </c:pt>
                <c:pt idx="67">
                  <c:v>-3.3835324077611979</c:v>
                </c:pt>
                <c:pt idx="68">
                  <c:v>-4.6246666266830623</c:v>
                </c:pt>
                <c:pt idx="69">
                  <c:v>-6.0054133735474231</c:v>
                </c:pt>
                <c:pt idx="70">
                  <c:v>-7.4711819693343884</c:v>
                </c:pt>
                <c:pt idx="71">
                  <c:v>-8.9762632737305719</c:v>
                </c:pt>
                <c:pt idx="72">
                  <c:v>-10.487318226299482</c:v>
                </c:pt>
                <c:pt idx="73">
                  <c:v>-11.982265435741136</c:v>
                </c:pt>
                <c:pt idx="74">
                  <c:v>-13.447577712302445</c:v>
                </c:pt>
                <c:pt idx="75">
                  <c:v>-14.875628075887487</c:v>
                </c:pt>
                <c:pt idx="76">
                  <c:v>-16.262632152799057</c:v>
                </c:pt>
                <c:pt idx="77">
                  <c:v>-17.607214405955148</c:v>
                </c:pt>
                <c:pt idx="78">
                  <c:v>-18.909462926828827</c:v>
                </c:pt>
                <c:pt idx="79">
                  <c:v>-20.170325064726757</c:v>
                </c:pt>
                <c:pt idx="80">
                  <c:v>-21.391227898999489</c:v>
                </c:pt>
                <c:pt idx="81">
                  <c:v>-22.573842875244591</c:v>
                </c:pt>
                <c:pt idx="82">
                  <c:v>-23.719941563087016</c:v>
                </c:pt>
                <c:pt idx="83">
                  <c:v>-24.831308611736841</c:v>
                </c:pt>
                <c:pt idx="84">
                  <c:v>-25.909690485044003</c:v>
                </c:pt>
                <c:pt idx="85">
                  <c:v>-26.956766519939887</c:v>
                </c:pt>
                <c:pt idx="86">
                  <c:v>-27.974133860031358</c:v>
                </c:pt>
                <c:pt idx="87">
                  <c:v>-28.963300952891878</c:v>
                </c:pt>
                <c:pt idx="88">
                  <c:v>-29.925686265203744</c:v>
                </c:pt>
                <c:pt idx="89">
                  <c:v>-30.862620105199333</c:v>
                </c:pt>
                <c:pt idx="90">
                  <c:v>-31.775348221341595</c:v>
                </c:pt>
                <c:pt idx="91">
                  <c:v>-32.665036340207372</c:v>
                </c:pt>
                <c:pt idx="92">
                  <c:v>-33.532775120884338</c:v>
                </c:pt>
                <c:pt idx="93">
                  <c:v>-34.379585203817612</c:v>
                </c:pt>
                <c:pt idx="94">
                  <c:v>-35.20642216028002</c:v>
                </c:pt>
                <c:pt idx="95">
                  <c:v>-36.014181230553945</c:v>
                </c:pt>
                <c:pt idx="96">
                  <c:v>-36.803701791040908</c:v>
                </c:pt>
                <c:pt idx="97">
                  <c:v>-37.57577152342401</c:v>
                </c:pt>
                <c:pt idx="98">
                  <c:v>-38.331130279482075</c:v>
                </c:pt>
                <c:pt idx="99">
                  <c:v>-39.070473647581643</c:v>
                </c:pt>
                <c:pt idx="100">
                  <c:v>-39.794456234100451</c:v>
                </c:pt>
              </c:numCache>
            </c:numRef>
          </c:yVal>
          <c:smooth val="0"/>
          <c:extLst>
            <c:ext xmlns:c16="http://schemas.microsoft.com/office/drawing/2014/chart" uri="{C3380CC4-5D6E-409C-BE32-E72D297353CC}">
              <c16:uniqueId val="{00000000-4AF9-4463-8EBC-A2E1E010DFCA}"/>
            </c:ext>
          </c:extLst>
        </c:ser>
        <c:ser>
          <c:idx val="0"/>
          <c:order val="1"/>
          <c:tx>
            <c:v>Chebyshev</c:v>
          </c:tx>
          <c:spPr>
            <a:ln w="12700">
              <a:solidFill>
                <a:srgbClr val="008000"/>
              </a:solidFill>
              <a:prstDash val="solid"/>
            </a:ln>
          </c:spPr>
          <c:marker>
            <c:symbol val="diamond"/>
            <c:size val="3"/>
            <c:spPr>
              <a:solidFill>
                <a:srgbClr val="008000"/>
              </a:solidFill>
              <a:ln>
                <a:solidFill>
                  <a:srgbClr val="008000"/>
                </a:solidFill>
                <a:prstDash val="solid"/>
              </a:ln>
            </c:spPr>
          </c:marker>
          <c:xVal>
            <c:numRef>
              <c:f>BPF!$C$15:$C$115</c:f>
              <c:numCache>
                <c:formatCode>General</c:formatCode>
                <c:ptCount val="101"/>
                <c:pt idx="0">
                  <c:v>5</c:v>
                </c:pt>
                <c:pt idx="1">
                  <c:v>5.15</c:v>
                </c:pt>
                <c:pt idx="2">
                  <c:v>5.3000000000000007</c:v>
                </c:pt>
                <c:pt idx="3">
                  <c:v>5.4500000000000011</c:v>
                </c:pt>
                <c:pt idx="4">
                  <c:v>5.6000000000000014</c:v>
                </c:pt>
                <c:pt idx="5">
                  <c:v>5.7500000000000018</c:v>
                </c:pt>
                <c:pt idx="6">
                  <c:v>5.9000000000000021</c:v>
                </c:pt>
                <c:pt idx="7">
                  <c:v>6.0500000000000025</c:v>
                </c:pt>
                <c:pt idx="8">
                  <c:v>6.2000000000000028</c:v>
                </c:pt>
                <c:pt idx="9">
                  <c:v>6.3500000000000032</c:v>
                </c:pt>
                <c:pt idx="10">
                  <c:v>6.5000000000000036</c:v>
                </c:pt>
                <c:pt idx="11">
                  <c:v>6.6500000000000039</c:v>
                </c:pt>
                <c:pt idx="12">
                  <c:v>6.8000000000000043</c:v>
                </c:pt>
                <c:pt idx="13">
                  <c:v>6.9500000000000046</c:v>
                </c:pt>
                <c:pt idx="14">
                  <c:v>7.100000000000005</c:v>
                </c:pt>
                <c:pt idx="15">
                  <c:v>7.2500000000000053</c:v>
                </c:pt>
                <c:pt idx="16">
                  <c:v>7.4000000000000057</c:v>
                </c:pt>
                <c:pt idx="17">
                  <c:v>7.550000000000006</c:v>
                </c:pt>
                <c:pt idx="18">
                  <c:v>7.7000000000000064</c:v>
                </c:pt>
                <c:pt idx="19">
                  <c:v>7.8500000000000068</c:v>
                </c:pt>
                <c:pt idx="20">
                  <c:v>8.0000000000000071</c:v>
                </c:pt>
                <c:pt idx="21">
                  <c:v>8.1500000000000075</c:v>
                </c:pt>
                <c:pt idx="22">
                  <c:v>8.3000000000000078</c:v>
                </c:pt>
                <c:pt idx="23">
                  <c:v>8.4500000000000082</c:v>
                </c:pt>
                <c:pt idx="24">
                  <c:v>8.6000000000000085</c:v>
                </c:pt>
                <c:pt idx="25">
                  <c:v>8.7500000000000089</c:v>
                </c:pt>
                <c:pt idx="26">
                  <c:v>8.9000000000000092</c:v>
                </c:pt>
                <c:pt idx="27">
                  <c:v>9.0500000000000096</c:v>
                </c:pt>
                <c:pt idx="28">
                  <c:v>9.2000000000000099</c:v>
                </c:pt>
                <c:pt idx="29">
                  <c:v>9.3500000000000103</c:v>
                </c:pt>
                <c:pt idx="30">
                  <c:v>9.5000000000000107</c:v>
                </c:pt>
                <c:pt idx="31">
                  <c:v>9.650000000000011</c:v>
                </c:pt>
                <c:pt idx="32">
                  <c:v>9.8000000000000114</c:v>
                </c:pt>
                <c:pt idx="33">
                  <c:v>9.9500000000000117</c:v>
                </c:pt>
                <c:pt idx="34">
                  <c:v>10.100000000000012</c:v>
                </c:pt>
                <c:pt idx="35">
                  <c:v>10.250000000000012</c:v>
                </c:pt>
                <c:pt idx="36">
                  <c:v>10.400000000000013</c:v>
                </c:pt>
                <c:pt idx="37">
                  <c:v>10.550000000000013</c:v>
                </c:pt>
                <c:pt idx="38">
                  <c:v>10.700000000000014</c:v>
                </c:pt>
                <c:pt idx="39">
                  <c:v>10.850000000000014</c:v>
                </c:pt>
                <c:pt idx="40">
                  <c:v>11.000000000000014</c:v>
                </c:pt>
                <c:pt idx="41">
                  <c:v>11.150000000000015</c:v>
                </c:pt>
                <c:pt idx="42">
                  <c:v>11.300000000000015</c:v>
                </c:pt>
                <c:pt idx="43">
                  <c:v>11.450000000000015</c:v>
                </c:pt>
                <c:pt idx="44">
                  <c:v>11.600000000000016</c:v>
                </c:pt>
                <c:pt idx="45">
                  <c:v>11.750000000000016</c:v>
                </c:pt>
                <c:pt idx="46">
                  <c:v>11.900000000000016</c:v>
                </c:pt>
                <c:pt idx="47">
                  <c:v>12.050000000000017</c:v>
                </c:pt>
                <c:pt idx="48">
                  <c:v>12.200000000000017</c:v>
                </c:pt>
                <c:pt idx="49">
                  <c:v>12.350000000000017</c:v>
                </c:pt>
                <c:pt idx="50">
                  <c:v>12.500000000000018</c:v>
                </c:pt>
                <c:pt idx="51">
                  <c:v>12.650000000000018</c:v>
                </c:pt>
                <c:pt idx="52">
                  <c:v>12.800000000000018</c:v>
                </c:pt>
                <c:pt idx="53">
                  <c:v>12.950000000000019</c:v>
                </c:pt>
                <c:pt idx="54">
                  <c:v>13.100000000000019</c:v>
                </c:pt>
                <c:pt idx="55">
                  <c:v>13.25000000000002</c:v>
                </c:pt>
                <c:pt idx="56">
                  <c:v>13.40000000000002</c:v>
                </c:pt>
                <c:pt idx="57">
                  <c:v>13.55000000000002</c:v>
                </c:pt>
                <c:pt idx="58">
                  <c:v>13.700000000000021</c:v>
                </c:pt>
                <c:pt idx="59">
                  <c:v>13.850000000000021</c:v>
                </c:pt>
                <c:pt idx="60">
                  <c:v>14.000000000000021</c:v>
                </c:pt>
                <c:pt idx="61">
                  <c:v>14.150000000000022</c:v>
                </c:pt>
                <c:pt idx="62">
                  <c:v>14.300000000000022</c:v>
                </c:pt>
                <c:pt idx="63">
                  <c:v>14.450000000000022</c:v>
                </c:pt>
                <c:pt idx="64">
                  <c:v>14.600000000000023</c:v>
                </c:pt>
                <c:pt idx="65">
                  <c:v>14.750000000000023</c:v>
                </c:pt>
                <c:pt idx="66">
                  <c:v>14.900000000000023</c:v>
                </c:pt>
                <c:pt idx="67">
                  <c:v>15.050000000000024</c:v>
                </c:pt>
                <c:pt idx="68">
                  <c:v>15.200000000000024</c:v>
                </c:pt>
                <c:pt idx="69">
                  <c:v>15.350000000000025</c:v>
                </c:pt>
                <c:pt idx="70">
                  <c:v>15.500000000000025</c:v>
                </c:pt>
                <c:pt idx="71">
                  <c:v>15.650000000000025</c:v>
                </c:pt>
                <c:pt idx="72">
                  <c:v>15.800000000000026</c:v>
                </c:pt>
                <c:pt idx="73">
                  <c:v>15.950000000000026</c:v>
                </c:pt>
                <c:pt idx="74">
                  <c:v>16.100000000000026</c:v>
                </c:pt>
                <c:pt idx="75">
                  <c:v>16.250000000000025</c:v>
                </c:pt>
                <c:pt idx="76">
                  <c:v>16.400000000000023</c:v>
                </c:pt>
                <c:pt idx="77">
                  <c:v>16.550000000000022</c:v>
                </c:pt>
                <c:pt idx="78">
                  <c:v>16.700000000000021</c:v>
                </c:pt>
                <c:pt idx="79">
                  <c:v>16.850000000000019</c:v>
                </c:pt>
                <c:pt idx="80">
                  <c:v>17.000000000000018</c:v>
                </c:pt>
                <c:pt idx="81">
                  <c:v>17.150000000000016</c:v>
                </c:pt>
                <c:pt idx="82">
                  <c:v>17.300000000000015</c:v>
                </c:pt>
                <c:pt idx="83">
                  <c:v>17.450000000000014</c:v>
                </c:pt>
                <c:pt idx="84">
                  <c:v>17.600000000000012</c:v>
                </c:pt>
                <c:pt idx="85">
                  <c:v>17.750000000000011</c:v>
                </c:pt>
                <c:pt idx="86">
                  <c:v>17.900000000000009</c:v>
                </c:pt>
                <c:pt idx="87">
                  <c:v>18.050000000000008</c:v>
                </c:pt>
                <c:pt idx="88">
                  <c:v>18.200000000000006</c:v>
                </c:pt>
                <c:pt idx="89">
                  <c:v>18.350000000000005</c:v>
                </c:pt>
                <c:pt idx="90">
                  <c:v>18.500000000000004</c:v>
                </c:pt>
                <c:pt idx="91">
                  <c:v>18.650000000000002</c:v>
                </c:pt>
                <c:pt idx="92">
                  <c:v>18.8</c:v>
                </c:pt>
                <c:pt idx="93">
                  <c:v>18.95</c:v>
                </c:pt>
                <c:pt idx="94">
                  <c:v>19.099999999999998</c:v>
                </c:pt>
                <c:pt idx="95">
                  <c:v>19.249999999999996</c:v>
                </c:pt>
                <c:pt idx="96">
                  <c:v>19.399999999999995</c:v>
                </c:pt>
                <c:pt idx="97">
                  <c:v>19.549999999999994</c:v>
                </c:pt>
                <c:pt idx="98">
                  <c:v>19.699999999999992</c:v>
                </c:pt>
                <c:pt idx="99">
                  <c:v>19.849999999999991</c:v>
                </c:pt>
                <c:pt idx="100">
                  <c:v>19.999999999999989</c:v>
                </c:pt>
              </c:numCache>
            </c:numRef>
          </c:xVal>
          <c:yVal>
            <c:numRef>
              <c:f>BPF!$E$15:$E$115</c:f>
              <c:numCache>
                <c:formatCode>0.00</c:formatCode>
                <c:ptCount val="101"/>
                <c:pt idx="0">
                  <c:v>-87.670189274374621</c:v>
                </c:pt>
                <c:pt idx="1">
                  <c:v>-85.815138795290764</c:v>
                </c:pt>
                <c:pt idx="2">
                  <c:v>-83.971131826166385</c:v>
                </c:pt>
                <c:pt idx="3">
                  <c:v>-82.135005616848403</c:v>
                </c:pt>
                <c:pt idx="4">
                  <c:v>-80.303666511408636</c:v>
                </c:pt>
                <c:pt idx="5">
                  <c:v>-78.474060694437895</c:v>
                </c:pt>
                <c:pt idx="6">
                  <c:v>-76.643145381467889</c:v>
                </c:pt>
                <c:pt idx="7">
                  <c:v>-74.807859739332002</c:v>
                </c:pt>
                <c:pt idx="8">
                  <c:v>-72.965094789530056</c:v>
                </c:pt>
                <c:pt idx="9">
                  <c:v>-71.111661476300895</c:v>
                </c:pt>
                <c:pt idx="10">
                  <c:v>-69.244255963892599</c:v>
                </c:pt>
                <c:pt idx="11">
                  <c:v>-67.359421052733865</c:v>
                </c:pt>
                <c:pt idx="12">
                  <c:v>-65.453502353918424</c:v>
                </c:pt>
                <c:pt idx="13">
                  <c:v>-63.522597508694851</c:v>
                </c:pt>
                <c:pt idx="14">
                  <c:v>-61.56249624417552</c:v>
                </c:pt>
                <c:pt idx="15">
                  <c:v>-59.568608357358855</c:v>
                </c:pt>
                <c:pt idx="16">
                  <c:v>-57.535875723751737</c:v>
                </c:pt>
                <c:pt idx="17">
                  <c:v>-55.458662989798533</c:v>
                </c:pt>
                <c:pt idx="18">
                  <c:v>-53.330619500970116</c:v>
                </c:pt>
                <c:pt idx="19">
                  <c:v>-51.144501869116297</c:v>
                </c:pt>
                <c:pt idx="20">
                  <c:v>-48.891941779184506</c:v>
                </c:pt>
                <c:pt idx="21">
                  <c:v>-46.563136131337821</c:v>
                </c:pt>
                <c:pt idx="22">
                  <c:v>-44.146424580000925</c:v>
                </c:pt>
                <c:pt idx="23">
                  <c:v>-41.627699664162911</c:v>
                </c:pt>
                <c:pt idx="24">
                  <c:v>-38.989560870277003</c:v>
                </c:pt>
                <c:pt idx="25">
                  <c:v>-36.210064292859883</c:v>
                </c:pt>
                <c:pt idx="26">
                  <c:v>-33.260810638024232</c:v>
                </c:pt>
                <c:pt idx="27">
                  <c:v>-30.103909200165369</c:v>
                </c:pt>
                <c:pt idx="28">
                  <c:v>-26.686963471320212</c:v>
                </c:pt>
                <c:pt idx="29">
                  <c:v>-22.934511745139027</c:v>
                </c:pt>
                <c:pt idx="30">
                  <c:v>-18.733514483107943</c:v>
                </c:pt>
                <c:pt idx="31">
                  <c:v>-13.914135544413124</c:v>
                </c:pt>
                <c:pt idx="32">
                  <c:v>-8.2876650678989492</c:v>
                </c:pt>
                <c:pt idx="33">
                  <c:v>-2.4086589906996503</c:v>
                </c:pt>
                <c:pt idx="34">
                  <c:v>-1.6853054680135012E-4</c:v>
                </c:pt>
                <c:pt idx="35">
                  <c:v>-0.67491029365787036</c:v>
                </c:pt>
                <c:pt idx="36">
                  <c:v>-0.99876088483754333</c:v>
                </c:pt>
                <c:pt idx="37">
                  <c:v>-0.7104726672542</c:v>
                </c:pt>
                <c:pt idx="38">
                  <c:v>-0.23992253042053299</c:v>
                </c:pt>
                <c:pt idx="39">
                  <c:v>-2.2339742968879662E-3</c:v>
                </c:pt>
                <c:pt idx="40">
                  <c:v>-0.14071209649993086</c:v>
                </c:pt>
                <c:pt idx="41">
                  <c:v>-0.49169346666635871</c:v>
                </c:pt>
                <c:pt idx="42">
                  <c:v>-0.82116036359191125</c:v>
                </c:pt>
                <c:pt idx="43">
                  <c:v>-0.98898955532177857</c:v>
                </c:pt>
                <c:pt idx="44">
                  <c:v>-0.9558896174899888</c:v>
                </c:pt>
                <c:pt idx="45">
                  <c:v>-0.75077086020750206</c:v>
                </c:pt>
                <c:pt idx="46">
                  <c:v>-0.45068082457490233</c:v>
                </c:pt>
                <c:pt idx="47">
                  <c:v>-0.16614333536745438</c:v>
                </c:pt>
                <c:pt idx="48">
                  <c:v>-1.0124929452960335E-2</c:v>
                </c:pt>
                <c:pt idx="49">
                  <c:v>-4.604407429540109E-2</c:v>
                </c:pt>
                <c:pt idx="50">
                  <c:v>-0.25181373892583397</c:v>
                </c:pt>
                <c:pt idx="51">
                  <c:v>-0.53890922013988818</c:v>
                </c:pt>
                <c:pt idx="52">
                  <c:v>-0.80450915942715462</c:v>
                </c:pt>
                <c:pt idx="53">
                  <c:v>-0.9692864506422485</c:v>
                </c:pt>
                <c:pt idx="54">
                  <c:v>-0.98916010588089798</c:v>
                </c:pt>
                <c:pt idx="55">
                  <c:v>-0.85581150576427223</c:v>
                </c:pt>
                <c:pt idx="56">
                  <c:v>-0.59913826627095668</c:v>
                </c:pt>
                <c:pt idx="57">
                  <c:v>-0.29383506082013949</c:v>
                </c:pt>
                <c:pt idx="58">
                  <c:v>-5.7298542076158886E-2</c:v>
                </c:pt>
                <c:pt idx="59">
                  <c:v>-1.1316538776248769E-2</c:v>
                </c:pt>
                <c:pt idx="60">
                  <c:v>-0.20228380987999564</c:v>
                </c:pt>
                <c:pt idx="61">
                  <c:v>-0.54808188294930638</c:v>
                </c:pt>
                <c:pt idx="62">
                  <c:v>-0.87555618127138968</c:v>
                </c:pt>
                <c:pt idx="63">
                  <c:v>-0.99845732083963457</c:v>
                </c:pt>
                <c:pt idx="64">
                  <c:v>-0.77738899826959029</c:v>
                </c:pt>
                <c:pt idx="65">
                  <c:v>-0.24390792601819855</c:v>
                </c:pt>
                <c:pt idx="66">
                  <c:v>-8.1814979316222405E-2</c:v>
                </c:pt>
                <c:pt idx="67">
                  <c:v>-1.8758987111359047</c:v>
                </c:pt>
                <c:pt idx="68">
                  <c:v>-5.5059718605680628</c:v>
                </c:pt>
                <c:pt idx="69">
                  <c:v>-9.4009477554645109</c:v>
                </c:pt>
                <c:pt idx="70">
                  <c:v>-12.949554627667712</c:v>
                </c:pt>
                <c:pt idx="71">
                  <c:v>-16.102805319135118</c:v>
                </c:pt>
                <c:pt idx="72">
                  <c:v>-18.921850118406013</c:v>
                </c:pt>
                <c:pt idx="73">
                  <c:v>-21.470614419421061</c:v>
                </c:pt>
                <c:pt idx="74">
                  <c:v>-23.79975453206567</c:v>
                </c:pt>
                <c:pt idx="75">
                  <c:v>-25.947611735062999</c:v>
                </c:pt>
                <c:pt idx="76">
                  <c:v>-27.943281187211902</c:v>
                </c:pt>
                <c:pt idx="77">
                  <c:v>-29.809188625496063</c:v>
                </c:pt>
                <c:pt idx="78">
                  <c:v>-31.562941171911664</c:v>
                </c:pt>
                <c:pt idx="79">
                  <c:v>-33.21861405200756</c:v>
                </c:pt>
                <c:pt idx="80">
                  <c:v>-34.787646609813279</c:v>
                </c:pt>
                <c:pt idx="81">
                  <c:v>-36.279474580884454</c:v>
                </c:pt>
                <c:pt idx="82">
                  <c:v>-37.701983948372451</c:v>
                </c:pt>
                <c:pt idx="83">
                  <c:v>-39.061842599288703</c:v>
                </c:pt>
                <c:pt idx="84">
                  <c:v>-40.364746924646447</c:v>
                </c:pt>
                <c:pt idx="85">
                  <c:v>-41.615608194650719</c:v>
                </c:pt>
                <c:pt idx="86">
                  <c:v>-42.818695563887481</c:v>
                </c:pt>
                <c:pt idx="87">
                  <c:v>-43.977747335880728</c:v>
                </c:pt>
                <c:pt idx="88">
                  <c:v>-45.096058642965872</c:v>
                </c:pt>
                <c:pt idx="89">
                  <c:v>-46.176551352356938</c:v>
                </c:pt>
                <c:pt idx="90">
                  <c:v>-47.221830400943844</c:v>
                </c:pt>
                <c:pt idx="91">
                  <c:v>-48.234229641279278</c:v>
                </c:pt>
                <c:pt idx="92">
                  <c:v>-49.215849489657479</c:v>
                </c:pt>
                <c:pt idx="93">
                  <c:v>-50.168588099967224</c:v>
                </c:pt>
                <c:pt idx="94">
                  <c:v>-51.094167375181215</c:v>
                </c:pt>
                <c:pt idx="95">
                  <c:v>-51.994154825645438</c:v>
                </c:pt>
                <c:pt idx="96">
                  <c:v>-52.869982058254493</c:v>
                </c:pt>
                <c:pt idx="97">
                  <c:v>-53.722960511417703</c:v>
                </c:pt>
                <c:pt idx="98">
                  <c:v>-54.554294922253575</c:v>
                </c:pt>
                <c:pt idx="99">
                  <c:v>-55.36509491396599</c:v>
                </c:pt>
                <c:pt idx="100">
                  <c:v>-56.156385015176696</c:v>
                </c:pt>
              </c:numCache>
            </c:numRef>
          </c:yVal>
          <c:smooth val="0"/>
          <c:extLst>
            <c:ext xmlns:c16="http://schemas.microsoft.com/office/drawing/2014/chart" uri="{C3380CC4-5D6E-409C-BE32-E72D297353CC}">
              <c16:uniqueId val="{00000001-4AF9-4463-8EBC-A2E1E010DFCA}"/>
            </c:ext>
          </c:extLst>
        </c:ser>
        <c:dLbls>
          <c:showLegendKey val="0"/>
          <c:showVal val="0"/>
          <c:showCatName val="0"/>
          <c:showSerName val="0"/>
          <c:showPercent val="0"/>
          <c:showBubbleSize val="0"/>
        </c:dLbls>
        <c:axId val="1903711456"/>
        <c:axId val="1"/>
      </c:scatterChart>
      <c:valAx>
        <c:axId val="1903711456"/>
        <c:scaling>
          <c:orientation val="minMax"/>
        </c:scaling>
        <c:delete val="0"/>
        <c:axPos val="b"/>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Frequency</a:t>
                </a:r>
              </a:p>
            </c:rich>
          </c:tx>
          <c:layout>
            <c:manualLayout>
              <c:xMode val="edge"/>
              <c:yMode val="edge"/>
              <c:x val="0.49218507627033475"/>
              <c:y val="0.9144128689644677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crossBetween val="midCat"/>
      </c:valAx>
      <c:valAx>
        <c:axId val="1"/>
        <c:scaling>
          <c:orientation val="minMax"/>
        </c:scaling>
        <c:delete val="0"/>
        <c:axPos val="l"/>
        <c:majorGridlines>
          <c:spPr>
            <a:ln w="3175">
              <a:solidFill>
                <a:srgbClr val="969696"/>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Gain (dB)</a:t>
                </a:r>
              </a:p>
            </c:rich>
          </c:tx>
          <c:layout>
            <c:manualLayout>
              <c:xMode val="edge"/>
              <c:yMode val="edge"/>
              <c:x val="1.1186024460689427E-2"/>
              <c:y val="0.3698748683451779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903711456"/>
        <c:crosses val="autoZero"/>
        <c:crossBetween val="midCat"/>
      </c:valAx>
      <c:spPr>
        <a:gradFill rotWithShape="0">
          <a:gsLst>
            <a:gs pos="0">
              <a:srgbClr xmlns:mc="http://schemas.openxmlformats.org/markup-compatibility/2006" xmlns:a14="http://schemas.microsoft.com/office/drawing/2010/main" val="99CCFF" mc:Ignorable="a14" a14:legacySpreadsheetColorIndex="44"/>
            </a:gs>
            <a:gs pos="100000">
              <a:srgbClr xmlns:mc="http://schemas.openxmlformats.org/markup-compatibility/2006" xmlns:a14="http://schemas.microsoft.com/office/drawing/2010/main" val="FFFFFF" mc:Ignorable="a14" a14:legacySpreadsheetColorIndex="9"/>
            </a:gs>
          </a:gsLst>
          <a:path path="rect">
            <a:fillToRect l="50000" t="50000" r="50000" b="50000"/>
          </a:path>
        </a:gradFill>
        <a:ln w="12700">
          <a:solidFill>
            <a:srgbClr val="808080"/>
          </a:solidFill>
          <a:prstDash val="solid"/>
        </a:ln>
      </c:spPr>
    </c:plotArea>
    <c:legend>
      <c:legendPos val="r"/>
      <c:layout>
        <c:manualLayout>
          <c:xMode val="edge"/>
          <c:yMode val="edge"/>
          <c:x val="0.72485438505267485"/>
          <c:y val="0.11986685548223359"/>
          <c:w val="0.21477166964523697"/>
          <c:h val="0.102743018984771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62303971475637"/>
          <c:y val="5.4349717075989942E-2"/>
          <c:w val="0.86356108836522372"/>
          <c:h val="0.78263592589425512"/>
        </c:manualLayout>
      </c:layout>
      <c:scatterChart>
        <c:scatterStyle val="lineMarker"/>
        <c:varyColors val="0"/>
        <c:ser>
          <c:idx val="1"/>
          <c:order val="0"/>
          <c:tx>
            <c:strRef>
              <c:f>HPF!$D$13</c:f>
              <c:strCache>
                <c:ptCount val="1"/>
                <c:pt idx="0">
                  <c:v>Butterworth</c:v>
                </c:pt>
              </c:strCache>
            </c:strRef>
          </c:tx>
          <c:spPr>
            <a:ln w="12700">
              <a:solidFill>
                <a:srgbClr val="FF0000"/>
              </a:solidFill>
              <a:prstDash val="solid"/>
            </a:ln>
          </c:spPr>
          <c:marker>
            <c:symbol val="square"/>
            <c:size val="3"/>
            <c:spPr>
              <a:solidFill>
                <a:srgbClr val="FF0000"/>
              </a:solidFill>
              <a:ln>
                <a:solidFill>
                  <a:srgbClr val="FF0000"/>
                </a:solidFill>
                <a:prstDash val="solid"/>
              </a:ln>
            </c:spPr>
          </c:marker>
          <c:xVal>
            <c:numRef>
              <c:f>HPF!$C$15:$C$115</c:f>
              <c:numCache>
                <c:formatCode>General</c:formatCode>
                <c:ptCount val="101"/>
                <c:pt idx="0">
                  <c:v>5.25</c:v>
                </c:pt>
                <c:pt idx="1">
                  <c:v>5.5</c:v>
                </c:pt>
                <c:pt idx="2">
                  <c:v>5.75</c:v>
                </c:pt>
                <c:pt idx="3">
                  <c:v>6</c:v>
                </c:pt>
                <c:pt idx="4">
                  <c:v>6.25</c:v>
                </c:pt>
                <c:pt idx="5">
                  <c:v>6.5</c:v>
                </c:pt>
                <c:pt idx="6">
                  <c:v>6.75</c:v>
                </c:pt>
                <c:pt idx="7">
                  <c:v>7</c:v>
                </c:pt>
                <c:pt idx="8">
                  <c:v>7.25</c:v>
                </c:pt>
                <c:pt idx="9">
                  <c:v>7.5</c:v>
                </c:pt>
                <c:pt idx="10">
                  <c:v>7.75</c:v>
                </c:pt>
                <c:pt idx="11">
                  <c:v>8</c:v>
                </c:pt>
                <c:pt idx="12">
                  <c:v>8.25</c:v>
                </c:pt>
                <c:pt idx="13">
                  <c:v>8.5</c:v>
                </c:pt>
                <c:pt idx="14">
                  <c:v>8.75</c:v>
                </c:pt>
                <c:pt idx="15">
                  <c:v>9</c:v>
                </c:pt>
                <c:pt idx="16">
                  <c:v>9.25</c:v>
                </c:pt>
                <c:pt idx="17">
                  <c:v>9.5</c:v>
                </c:pt>
                <c:pt idx="18">
                  <c:v>9.75</c:v>
                </c:pt>
                <c:pt idx="19">
                  <c:v>10</c:v>
                </c:pt>
                <c:pt idx="20">
                  <c:v>10.25</c:v>
                </c:pt>
                <c:pt idx="21">
                  <c:v>10.5</c:v>
                </c:pt>
                <c:pt idx="22">
                  <c:v>10.75</c:v>
                </c:pt>
                <c:pt idx="23">
                  <c:v>11</c:v>
                </c:pt>
                <c:pt idx="24">
                  <c:v>11.25</c:v>
                </c:pt>
                <c:pt idx="25">
                  <c:v>11.5</c:v>
                </c:pt>
                <c:pt idx="26">
                  <c:v>11.75</c:v>
                </c:pt>
                <c:pt idx="27">
                  <c:v>12</c:v>
                </c:pt>
                <c:pt idx="28">
                  <c:v>12.25</c:v>
                </c:pt>
                <c:pt idx="29">
                  <c:v>12.5</c:v>
                </c:pt>
                <c:pt idx="30">
                  <c:v>12.75</c:v>
                </c:pt>
                <c:pt idx="31">
                  <c:v>13</c:v>
                </c:pt>
                <c:pt idx="32">
                  <c:v>13.25</c:v>
                </c:pt>
                <c:pt idx="33">
                  <c:v>13.5</c:v>
                </c:pt>
                <c:pt idx="34">
                  <c:v>13.75</c:v>
                </c:pt>
                <c:pt idx="35">
                  <c:v>14</c:v>
                </c:pt>
                <c:pt idx="36">
                  <c:v>14.25</c:v>
                </c:pt>
                <c:pt idx="37">
                  <c:v>14.5</c:v>
                </c:pt>
                <c:pt idx="38">
                  <c:v>14.75</c:v>
                </c:pt>
                <c:pt idx="39">
                  <c:v>15</c:v>
                </c:pt>
                <c:pt idx="40">
                  <c:v>15.25</c:v>
                </c:pt>
                <c:pt idx="41">
                  <c:v>15.5</c:v>
                </c:pt>
                <c:pt idx="42">
                  <c:v>15.75</c:v>
                </c:pt>
                <c:pt idx="43">
                  <c:v>16</c:v>
                </c:pt>
                <c:pt idx="44">
                  <c:v>16.25</c:v>
                </c:pt>
                <c:pt idx="45">
                  <c:v>16.5</c:v>
                </c:pt>
                <c:pt idx="46">
                  <c:v>16.75</c:v>
                </c:pt>
                <c:pt idx="47">
                  <c:v>17</c:v>
                </c:pt>
                <c:pt idx="48">
                  <c:v>17.25</c:v>
                </c:pt>
                <c:pt idx="49">
                  <c:v>17.5</c:v>
                </c:pt>
                <c:pt idx="50">
                  <c:v>17.75</c:v>
                </c:pt>
                <c:pt idx="51">
                  <c:v>18</c:v>
                </c:pt>
                <c:pt idx="52">
                  <c:v>18.25</c:v>
                </c:pt>
                <c:pt idx="53">
                  <c:v>18.5</c:v>
                </c:pt>
                <c:pt idx="54">
                  <c:v>18.75</c:v>
                </c:pt>
                <c:pt idx="55">
                  <c:v>19</c:v>
                </c:pt>
                <c:pt idx="56">
                  <c:v>19.25</c:v>
                </c:pt>
                <c:pt idx="57">
                  <c:v>19.5</c:v>
                </c:pt>
                <c:pt idx="58">
                  <c:v>19.75</c:v>
                </c:pt>
                <c:pt idx="59">
                  <c:v>20</c:v>
                </c:pt>
                <c:pt idx="60">
                  <c:v>20.25</c:v>
                </c:pt>
                <c:pt idx="61">
                  <c:v>20.5</c:v>
                </c:pt>
                <c:pt idx="62">
                  <c:v>20.75</c:v>
                </c:pt>
                <c:pt idx="63">
                  <c:v>21</c:v>
                </c:pt>
                <c:pt idx="64">
                  <c:v>21.25</c:v>
                </c:pt>
                <c:pt idx="65">
                  <c:v>21.5</c:v>
                </c:pt>
                <c:pt idx="66">
                  <c:v>21.75</c:v>
                </c:pt>
                <c:pt idx="67">
                  <c:v>22</c:v>
                </c:pt>
                <c:pt idx="68">
                  <c:v>22.25</c:v>
                </c:pt>
                <c:pt idx="69">
                  <c:v>22.5</c:v>
                </c:pt>
                <c:pt idx="70">
                  <c:v>22.75</c:v>
                </c:pt>
                <c:pt idx="71">
                  <c:v>23</c:v>
                </c:pt>
                <c:pt idx="72">
                  <c:v>23.25</c:v>
                </c:pt>
                <c:pt idx="73">
                  <c:v>23.5</c:v>
                </c:pt>
                <c:pt idx="74">
                  <c:v>23.75</c:v>
                </c:pt>
                <c:pt idx="75">
                  <c:v>24</c:v>
                </c:pt>
                <c:pt idx="76">
                  <c:v>24.25</c:v>
                </c:pt>
                <c:pt idx="77">
                  <c:v>24.5</c:v>
                </c:pt>
                <c:pt idx="78">
                  <c:v>24.75</c:v>
                </c:pt>
                <c:pt idx="79">
                  <c:v>25</c:v>
                </c:pt>
                <c:pt idx="80">
                  <c:v>25.25</c:v>
                </c:pt>
                <c:pt idx="81">
                  <c:v>25.5</c:v>
                </c:pt>
                <c:pt idx="82">
                  <c:v>25.75</c:v>
                </c:pt>
                <c:pt idx="83">
                  <c:v>26</c:v>
                </c:pt>
                <c:pt idx="84">
                  <c:v>26.25</c:v>
                </c:pt>
                <c:pt idx="85">
                  <c:v>26.5</c:v>
                </c:pt>
                <c:pt idx="86">
                  <c:v>26.75</c:v>
                </c:pt>
                <c:pt idx="87">
                  <c:v>27</c:v>
                </c:pt>
                <c:pt idx="88">
                  <c:v>27.25</c:v>
                </c:pt>
                <c:pt idx="89">
                  <c:v>27.5</c:v>
                </c:pt>
                <c:pt idx="90">
                  <c:v>27.75</c:v>
                </c:pt>
                <c:pt idx="91">
                  <c:v>28</c:v>
                </c:pt>
                <c:pt idx="92">
                  <c:v>28.25</c:v>
                </c:pt>
                <c:pt idx="93">
                  <c:v>28.5</c:v>
                </c:pt>
                <c:pt idx="94">
                  <c:v>28.75</c:v>
                </c:pt>
                <c:pt idx="95">
                  <c:v>29</c:v>
                </c:pt>
                <c:pt idx="96">
                  <c:v>29.25</c:v>
                </c:pt>
                <c:pt idx="97">
                  <c:v>29.5</c:v>
                </c:pt>
                <c:pt idx="98">
                  <c:v>29.75</c:v>
                </c:pt>
                <c:pt idx="99">
                  <c:v>30</c:v>
                </c:pt>
              </c:numCache>
            </c:numRef>
          </c:xVal>
          <c:yVal>
            <c:numRef>
              <c:f>HPF!$D$14:$D$114</c:f>
              <c:numCache>
                <c:formatCode>General</c:formatCode>
                <c:ptCount val="101"/>
                <c:pt idx="0">
                  <c:v>-30.107238653917729</c:v>
                </c:pt>
                <c:pt idx="1">
                  <c:v>-27.9909725684997</c:v>
                </c:pt>
                <c:pt idx="2">
                  <c:v>-25.97471761134884</c:v>
                </c:pt>
                <c:pt idx="3">
                  <c:v>-24.050339572659645</c:v>
                </c:pt>
                <c:pt idx="4">
                  <c:v>-22.211056014335362</c:v>
                </c:pt>
                <c:pt idx="5">
                  <c:v>-20.451318580348975</c:v>
                </c:pt>
                <c:pt idx="6">
                  <c:v>-18.766742214724527</c:v>
                </c:pt>
                <c:pt idx="7">
                  <c:v>-17.154071377241358</c:v>
                </c:pt>
                <c:pt idx="8">
                  <c:v>-15.611172726473818</c:v>
                </c:pt>
                <c:pt idx="9">
                  <c:v>-14.137041199450945</c:v>
                </c:pt>
                <c:pt idx="10">
                  <c:v>-12.731802023683505</c:v>
                </c:pt>
                <c:pt idx="11">
                  <c:v>-11.396685445701673</c:v>
                </c:pt>
                <c:pt idx="12">
                  <c:v>-10.133945241238077</c:v>
                </c:pt>
                <c:pt idx="13">
                  <c:v>-8.9466891315102828</c:v>
                </c:pt>
                <c:pt idx="14">
                  <c:v>-7.8385932236659244</c:v>
                </c:pt>
                <c:pt idx="15">
                  <c:v>-6.8134880713261969</c:v>
                </c:pt>
                <c:pt idx="16">
                  <c:v>-5.8748332055875965</c:v>
                </c:pt>
                <c:pt idx="17">
                  <c:v>-5.025136240084497</c:v>
                </c:pt>
                <c:pt idx="18">
                  <c:v>-4.2654095667649941</c:v>
                </c:pt>
                <c:pt idx="19">
                  <c:v>-3.5947740087407865</c:v>
                </c:pt>
                <c:pt idx="20">
                  <c:v>-3.0102999566398121</c:v>
                </c:pt>
                <c:pt idx="21">
                  <c:v>-2.5071229676571516</c:v>
                </c:pt>
                <c:pt idx="22">
                  <c:v>-2.0788018805580735</c:v>
                </c:pt>
                <c:pt idx="23">
                  <c:v>-1.7178316509589346</c:v>
                </c:pt>
                <c:pt idx="24">
                  <c:v>-1.4162009927499635</c:v>
                </c:pt>
                <c:pt idx="25">
                  <c:v>-1.1658986305806476</c:v>
                </c:pt>
                <c:pt idx="26">
                  <c:v>-0.95930776581358357</c:v>
                </c:pt>
                <c:pt idx="27">
                  <c:v>-0.789467861595332</c:v>
                </c:pt>
                <c:pt idx="28">
                  <c:v>-0.65021301620047611</c:v>
                </c:pt>
                <c:pt idx="29">
                  <c:v>-0.5362125546589277</c:v>
                </c:pt>
                <c:pt idx="30">
                  <c:v>-0.44294394043243657</c:v>
                </c:pt>
                <c:pt idx="31">
                  <c:v>-0.36662515152694397</c:v>
                </c:pt>
                <c:pt idx="32">
                  <c:v>-0.3041274902850517</c:v>
                </c:pt>
                <c:pt idx="33">
                  <c:v>-0.25288322128825602</c:v>
                </c:pt>
                <c:pt idx="34">
                  <c:v>-0.21079686714494916</c:v>
                </c:pt>
                <c:pt idx="35">
                  <c:v>-0.17616487177700757</c:v>
                </c:pt>
                <c:pt idx="36">
                  <c:v>-0.14760557900634921</c:v>
                </c:pt>
                <c:pt idx="37">
                  <c:v>-0.12399978351108906</c:v>
                </c:pt>
                <c:pt idx="38">
                  <c:v>-0.10444117877738721</c:v>
                </c:pt>
                <c:pt idx="39">
                  <c:v>-8.8195589212298281E-2</c:v>
                </c:pt>
                <c:pt idx="40">
                  <c:v>-7.4667736289173697E-2</c:v>
                </c:pt>
                <c:pt idx="41">
                  <c:v>-6.3374318951760128E-2</c:v>
                </c:pt>
                <c:pt idx="42">
                  <c:v>-5.3922302060751853E-2</c:v>
                </c:pt>
                <c:pt idx="43">
                  <c:v>-4.5991452753188347E-2</c:v>
                </c:pt>
                <c:pt idx="44">
                  <c:v>-3.9320314756490234E-2</c:v>
                </c:pt>
                <c:pt idx="45">
                  <c:v>-3.3694950396321005E-2</c:v>
                </c:pt>
                <c:pt idx="46">
                  <c:v>-2.8939902957463844E-2</c:v>
                </c:pt>
                <c:pt idx="47">
                  <c:v>-2.4910936540072825E-2</c:v>
                </c:pt>
                <c:pt idx="48">
                  <c:v>-2.1489197364241704E-2</c:v>
                </c:pt>
                <c:pt idx="49">
                  <c:v>-1.8576511491221002E-2</c:v>
                </c:pt>
                <c:pt idx="50">
                  <c:v>-1.6091591402484437E-2</c:v>
                </c:pt>
                <c:pt idx="51">
                  <c:v>-1.3966970045456051E-2</c:v>
                </c:pt>
                <c:pt idx="52">
                  <c:v>-1.214651785277562E-2</c:v>
                </c:pt>
                <c:pt idx="53">
                  <c:v>-1.058342763269767E-2</c:v>
                </c:pt>
                <c:pt idx="54">
                  <c:v>-9.2385755910047614E-3</c:v>
                </c:pt>
                <c:pt idx="55">
                  <c:v>-8.0791852958397303E-3</c:v>
                </c:pt>
                <c:pt idx="56">
                  <c:v>-7.0777361224412076E-3</c:v>
                </c:pt>
                <c:pt idx="57">
                  <c:v>-6.2110694066975867E-3</c:v>
                </c:pt>
                <c:pt idx="58">
                  <c:v>-5.459654826297438E-3</c:v>
                </c:pt>
                <c:pt idx="59">
                  <c:v>-4.8069869173739503E-3</c:v>
                </c:pt>
                <c:pt idx="60">
                  <c:v>-4.2390875196115195E-3</c:v>
                </c:pt>
                <c:pt idx="61">
                  <c:v>-3.7440946372914066E-3</c:v>
                </c:pt>
                <c:pt idx="62">
                  <c:v>-3.3119219548466729E-3</c:v>
                </c:pt>
                <c:pt idx="63">
                  <c:v>-2.9339762483847737E-3</c:v>
                </c:pt>
                <c:pt idx="64">
                  <c:v>-2.6029223431140811E-3</c:v>
                </c:pt>
                <c:pt idx="65">
                  <c:v>-2.3124872022404624E-3</c:v>
                </c:pt>
                <c:pt idx="66">
                  <c:v>-2.0572962917112711E-3</c:v>
                </c:pt>
                <c:pt idx="67">
                  <c:v>-1.8327366231332921E-3</c:v>
                </c:pt>
                <c:pt idx="68">
                  <c:v>-1.6348418944845391E-3</c:v>
                </c:pt>
                <c:pt idx="69">
                  <c:v>-1.4601959726606916E-3</c:v>
                </c:pt>
                <c:pt idx="70">
                  <c:v>-1.3058516314421117E-3</c:v>
                </c:pt>
                <c:pt idx="71">
                  <c:v>-1.16926200333892E-3</c:v>
                </c:pt>
                <c:pt idx="72">
                  <c:v>-1.0482226481488041E-3</c:v>
                </c:pt>
                <c:pt idx="73">
                  <c:v>-9.4082250422712307E-4</c:v>
                </c:pt>
                <c:pt idx="74">
                  <c:v>-8.4540228588270464E-4</c:v>
                </c:pt>
                <c:pt idx="75">
                  <c:v>-7.6051913431847613E-4</c:v>
                </c:pt>
                <c:pt idx="76">
                  <c:v>-6.8491653026252165E-4</c:v>
                </c:pt>
                <c:pt idx="77">
                  <c:v>-6.1749864169472228E-4</c:v>
                </c:pt>
                <c:pt idx="78">
                  <c:v>-5.5730841661970983E-4</c:v>
                </c:pt>
                <c:pt idx="79">
                  <c:v>-5.0350884364555777E-4</c:v>
                </c:pt>
                <c:pt idx="80">
                  <c:v>-4.5536689673347536E-4</c:v>
                </c:pt>
                <c:pt idx="81">
                  <c:v>-4.1223975809160263E-4</c:v>
                </c:pt>
                <c:pt idx="82">
                  <c:v>-3.735629778193109E-4</c:v>
                </c:pt>
                <c:pt idx="83">
                  <c:v>-3.3884028269719549E-4</c:v>
                </c:pt>
                <c:pt idx="84">
                  <c:v>-3.0763479147543146E-4</c:v>
                </c:pt>
                <c:pt idx="85">
                  <c:v>-2.7956143157271024E-4</c:v>
                </c:pt>
                <c:pt idx="86">
                  <c:v>-2.5428038355768519E-4</c:v>
                </c:pt>
                <c:pt idx="87">
                  <c:v>-2.3149140622065971E-4</c:v>
                </c:pt>
                <c:pt idx="88">
                  <c:v>-2.1092891720183836E-4</c:v>
                </c:pt>
                <c:pt idx="89">
                  <c:v>-1.9235772286883452E-4</c:v>
                </c:pt>
                <c:pt idx="90">
                  <c:v>-1.7556930683597645E-4</c:v>
                </c:pt>
                <c:pt idx="91">
                  <c:v>-1.603785998921013E-4</c:v>
                </c:pt>
                <c:pt idx="92">
                  <c:v>-1.4662116529235382E-4</c:v>
                </c:pt>
                <c:pt idx="93">
                  <c:v>-1.341507429430651E-4</c:v>
                </c:pt>
                <c:pt idx="94">
                  <c:v>-1.2283710409977461E-4</c:v>
                </c:pt>
                <c:pt idx="95">
                  <c:v>-1.1256417503536111E-4</c:v>
                </c:pt>
                <c:pt idx="96">
                  <c:v>-1.0322839402971822E-4</c:v>
                </c:pt>
                <c:pt idx="97">
                  <c:v>-9.4737270989646885E-5</c:v>
                </c:pt>
                <c:pt idx="98">
                  <c:v>-8.7008123250898221E-5</c:v>
                </c:pt>
                <c:pt idx="99">
                  <c:v>-7.9966964783067808E-5</c:v>
                </c:pt>
                <c:pt idx="100">
                  <c:v>-7.3547529092759275E-5</c:v>
                </c:pt>
              </c:numCache>
            </c:numRef>
          </c:yVal>
          <c:smooth val="0"/>
          <c:extLst>
            <c:ext xmlns:c16="http://schemas.microsoft.com/office/drawing/2014/chart" uri="{C3380CC4-5D6E-409C-BE32-E72D297353CC}">
              <c16:uniqueId val="{00000000-2FBD-4505-BCB1-56B4A011285E}"/>
            </c:ext>
          </c:extLst>
        </c:ser>
        <c:ser>
          <c:idx val="0"/>
          <c:order val="1"/>
          <c:tx>
            <c:v>Chebyshev</c:v>
          </c:tx>
          <c:spPr>
            <a:ln w="12700">
              <a:solidFill>
                <a:srgbClr val="008000"/>
              </a:solidFill>
              <a:prstDash val="solid"/>
            </a:ln>
          </c:spPr>
          <c:marker>
            <c:symbol val="diamond"/>
            <c:size val="3"/>
            <c:spPr>
              <a:solidFill>
                <a:srgbClr val="008000"/>
              </a:solidFill>
              <a:ln>
                <a:solidFill>
                  <a:srgbClr val="008000"/>
                </a:solidFill>
                <a:prstDash val="solid"/>
              </a:ln>
            </c:spPr>
          </c:marker>
          <c:xVal>
            <c:numRef>
              <c:f>HPF!$C$15:$C$115</c:f>
              <c:numCache>
                <c:formatCode>General</c:formatCode>
                <c:ptCount val="101"/>
                <c:pt idx="0">
                  <c:v>5.25</c:v>
                </c:pt>
                <c:pt idx="1">
                  <c:v>5.5</c:v>
                </c:pt>
                <c:pt idx="2">
                  <c:v>5.75</c:v>
                </c:pt>
                <c:pt idx="3">
                  <c:v>6</c:v>
                </c:pt>
                <c:pt idx="4">
                  <c:v>6.25</c:v>
                </c:pt>
                <c:pt idx="5">
                  <c:v>6.5</c:v>
                </c:pt>
                <c:pt idx="6">
                  <c:v>6.75</c:v>
                </c:pt>
                <c:pt idx="7">
                  <c:v>7</c:v>
                </c:pt>
                <c:pt idx="8">
                  <c:v>7.25</c:v>
                </c:pt>
                <c:pt idx="9">
                  <c:v>7.5</c:v>
                </c:pt>
                <c:pt idx="10">
                  <c:v>7.75</c:v>
                </c:pt>
                <c:pt idx="11">
                  <c:v>8</c:v>
                </c:pt>
                <c:pt idx="12">
                  <c:v>8.25</c:v>
                </c:pt>
                <c:pt idx="13">
                  <c:v>8.5</c:v>
                </c:pt>
                <c:pt idx="14">
                  <c:v>8.75</c:v>
                </c:pt>
                <c:pt idx="15">
                  <c:v>9</c:v>
                </c:pt>
                <c:pt idx="16">
                  <c:v>9.25</c:v>
                </c:pt>
                <c:pt idx="17">
                  <c:v>9.5</c:v>
                </c:pt>
                <c:pt idx="18">
                  <c:v>9.75</c:v>
                </c:pt>
                <c:pt idx="19">
                  <c:v>10</c:v>
                </c:pt>
                <c:pt idx="20">
                  <c:v>10.25</c:v>
                </c:pt>
                <c:pt idx="21">
                  <c:v>10.5</c:v>
                </c:pt>
                <c:pt idx="22">
                  <c:v>10.75</c:v>
                </c:pt>
                <c:pt idx="23">
                  <c:v>11</c:v>
                </c:pt>
                <c:pt idx="24">
                  <c:v>11.25</c:v>
                </c:pt>
                <c:pt idx="25">
                  <c:v>11.5</c:v>
                </c:pt>
                <c:pt idx="26">
                  <c:v>11.75</c:v>
                </c:pt>
                <c:pt idx="27">
                  <c:v>12</c:v>
                </c:pt>
                <c:pt idx="28">
                  <c:v>12.25</c:v>
                </c:pt>
                <c:pt idx="29">
                  <c:v>12.5</c:v>
                </c:pt>
                <c:pt idx="30">
                  <c:v>12.75</c:v>
                </c:pt>
                <c:pt idx="31">
                  <c:v>13</c:v>
                </c:pt>
                <c:pt idx="32">
                  <c:v>13.25</c:v>
                </c:pt>
                <c:pt idx="33">
                  <c:v>13.5</c:v>
                </c:pt>
                <c:pt idx="34">
                  <c:v>13.75</c:v>
                </c:pt>
                <c:pt idx="35">
                  <c:v>14</c:v>
                </c:pt>
                <c:pt idx="36">
                  <c:v>14.25</c:v>
                </c:pt>
                <c:pt idx="37">
                  <c:v>14.5</c:v>
                </c:pt>
                <c:pt idx="38">
                  <c:v>14.75</c:v>
                </c:pt>
                <c:pt idx="39">
                  <c:v>15</c:v>
                </c:pt>
                <c:pt idx="40">
                  <c:v>15.25</c:v>
                </c:pt>
                <c:pt idx="41">
                  <c:v>15.5</c:v>
                </c:pt>
                <c:pt idx="42">
                  <c:v>15.75</c:v>
                </c:pt>
                <c:pt idx="43">
                  <c:v>16</c:v>
                </c:pt>
                <c:pt idx="44">
                  <c:v>16.25</c:v>
                </c:pt>
                <c:pt idx="45">
                  <c:v>16.5</c:v>
                </c:pt>
                <c:pt idx="46">
                  <c:v>16.75</c:v>
                </c:pt>
                <c:pt idx="47">
                  <c:v>17</c:v>
                </c:pt>
                <c:pt idx="48">
                  <c:v>17.25</c:v>
                </c:pt>
                <c:pt idx="49">
                  <c:v>17.5</c:v>
                </c:pt>
                <c:pt idx="50">
                  <c:v>17.75</c:v>
                </c:pt>
                <c:pt idx="51">
                  <c:v>18</c:v>
                </c:pt>
                <c:pt idx="52">
                  <c:v>18.25</c:v>
                </c:pt>
                <c:pt idx="53">
                  <c:v>18.5</c:v>
                </c:pt>
                <c:pt idx="54">
                  <c:v>18.75</c:v>
                </c:pt>
                <c:pt idx="55">
                  <c:v>19</c:v>
                </c:pt>
                <c:pt idx="56">
                  <c:v>19.25</c:v>
                </c:pt>
                <c:pt idx="57">
                  <c:v>19.5</c:v>
                </c:pt>
                <c:pt idx="58">
                  <c:v>19.75</c:v>
                </c:pt>
                <c:pt idx="59">
                  <c:v>20</c:v>
                </c:pt>
                <c:pt idx="60">
                  <c:v>20.25</c:v>
                </c:pt>
                <c:pt idx="61">
                  <c:v>20.5</c:v>
                </c:pt>
                <c:pt idx="62">
                  <c:v>20.75</c:v>
                </c:pt>
                <c:pt idx="63">
                  <c:v>21</c:v>
                </c:pt>
                <c:pt idx="64">
                  <c:v>21.25</c:v>
                </c:pt>
                <c:pt idx="65">
                  <c:v>21.5</c:v>
                </c:pt>
                <c:pt idx="66">
                  <c:v>21.75</c:v>
                </c:pt>
                <c:pt idx="67">
                  <c:v>22</c:v>
                </c:pt>
                <c:pt idx="68">
                  <c:v>22.25</c:v>
                </c:pt>
                <c:pt idx="69">
                  <c:v>22.5</c:v>
                </c:pt>
                <c:pt idx="70">
                  <c:v>22.75</c:v>
                </c:pt>
                <c:pt idx="71">
                  <c:v>23</c:v>
                </c:pt>
                <c:pt idx="72">
                  <c:v>23.25</c:v>
                </c:pt>
                <c:pt idx="73">
                  <c:v>23.5</c:v>
                </c:pt>
                <c:pt idx="74">
                  <c:v>23.75</c:v>
                </c:pt>
                <c:pt idx="75">
                  <c:v>24</c:v>
                </c:pt>
                <c:pt idx="76">
                  <c:v>24.25</c:v>
                </c:pt>
                <c:pt idx="77">
                  <c:v>24.5</c:v>
                </c:pt>
                <c:pt idx="78">
                  <c:v>24.75</c:v>
                </c:pt>
                <c:pt idx="79">
                  <c:v>25</c:v>
                </c:pt>
                <c:pt idx="80">
                  <c:v>25.25</c:v>
                </c:pt>
                <c:pt idx="81">
                  <c:v>25.5</c:v>
                </c:pt>
                <c:pt idx="82">
                  <c:v>25.75</c:v>
                </c:pt>
                <c:pt idx="83">
                  <c:v>26</c:v>
                </c:pt>
                <c:pt idx="84">
                  <c:v>26.25</c:v>
                </c:pt>
                <c:pt idx="85">
                  <c:v>26.5</c:v>
                </c:pt>
                <c:pt idx="86">
                  <c:v>26.75</c:v>
                </c:pt>
                <c:pt idx="87">
                  <c:v>27</c:v>
                </c:pt>
                <c:pt idx="88">
                  <c:v>27.25</c:v>
                </c:pt>
                <c:pt idx="89">
                  <c:v>27.5</c:v>
                </c:pt>
                <c:pt idx="90">
                  <c:v>27.75</c:v>
                </c:pt>
                <c:pt idx="91">
                  <c:v>28</c:v>
                </c:pt>
                <c:pt idx="92">
                  <c:v>28.25</c:v>
                </c:pt>
                <c:pt idx="93">
                  <c:v>28.5</c:v>
                </c:pt>
                <c:pt idx="94">
                  <c:v>28.75</c:v>
                </c:pt>
                <c:pt idx="95">
                  <c:v>29</c:v>
                </c:pt>
                <c:pt idx="96">
                  <c:v>29.25</c:v>
                </c:pt>
                <c:pt idx="97">
                  <c:v>29.5</c:v>
                </c:pt>
                <c:pt idx="98">
                  <c:v>29.75</c:v>
                </c:pt>
                <c:pt idx="99">
                  <c:v>30</c:v>
                </c:pt>
              </c:numCache>
            </c:numRef>
          </c:xVal>
          <c:yVal>
            <c:numRef>
              <c:f>HPF!$E$14:$E$114</c:f>
              <c:numCache>
                <c:formatCode>General</c:formatCode>
                <c:ptCount val="101"/>
                <c:pt idx="0">
                  <c:v>-45.30604615982574</c:v>
                </c:pt>
                <c:pt idx="1">
                  <c:v>-42.838511984293355</c:v>
                </c:pt>
                <c:pt idx="2">
                  <c:v>-40.442824491069359</c:v>
                </c:pt>
                <c:pt idx="3">
                  <c:v>-38.10817318517919</c:v>
                </c:pt>
                <c:pt idx="4">
                  <c:v>-35.824555428873239</c:v>
                </c:pt>
                <c:pt idx="5">
                  <c:v>-33.582536022757232</c:v>
                </c:pt>
                <c:pt idx="6">
                  <c:v>-31.373031566407072</c:v>
                </c:pt>
                <c:pt idx="7">
                  <c:v>-29.187110818799553</c:v>
                </c:pt>
                <c:pt idx="8">
                  <c:v>-27.015806440942093</c:v>
                </c:pt>
                <c:pt idx="9">
                  <c:v>-24.849940089334876</c:v>
                </c:pt>
                <c:pt idx="10">
                  <c:v>-22.67997562230115</c:v>
                </c:pt>
                <c:pt idx="11">
                  <c:v>-20.495942260592052</c:v>
                </c:pt>
                <c:pt idx="12">
                  <c:v>-18.287528754699402</c:v>
                </c:pt>
                <c:pt idx="13">
                  <c:v>-16.044580820179636</c:v>
                </c:pt>
                <c:pt idx="14">
                  <c:v>-13.758525160280366</c:v>
                </c:pt>
                <c:pt idx="15">
                  <c:v>-11.425874959011439</c:v>
                </c:pt>
                <c:pt idx="16">
                  <c:v>-9.0562326138171638</c:v>
                </c:pt>
                <c:pt idx="17">
                  <c:v>-6.6890839531083461</c:v>
                </c:pt>
                <c:pt idx="18">
                  <c:v>-4.4232376773941899</c:v>
                </c:pt>
                <c:pt idx="19">
                  <c:v>-2.4461999223910493</c:v>
                </c:pt>
                <c:pt idx="20">
                  <c:v>-1.0000000000000002</c:v>
                </c:pt>
                <c:pt idx="21">
                  <c:v>-0.21976334318448335</c:v>
                </c:pt>
                <c:pt idx="22">
                  <c:v>-5.2322886496559918E-4</c:v>
                </c:pt>
                <c:pt idx="23">
                  <c:v>-0.10210468283654579</c:v>
                </c:pt>
                <c:pt idx="24">
                  <c:v>-0.32303670745369606</c:v>
                </c:pt>
                <c:pt idx="25">
                  <c:v>-0.55176411909121881</c:v>
                </c:pt>
                <c:pt idx="26">
                  <c:v>-0.74102910691326884</c:v>
                </c:pt>
                <c:pt idx="27">
                  <c:v>-0.8768200027785813</c:v>
                </c:pt>
                <c:pt idx="28">
                  <c:v>-0.95983858140683931</c:v>
                </c:pt>
                <c:pt idx="29">
                  <c:v>-0.99648924035706909</c:v>
                </c:pt>
                <c:pt idx="30">
                  <c:v>-0.99485941387678256</c:v>
                </c:pt>
                <c:pt idx="31">
                  <c:v>-0.9630262483130797</c:v>
                </c:pt>
                <c:pt idx="32">
                  <c:v>-0.90839786606116957</c:v>
                </c:pt>
                <c:pt idx="33">
                  <c:v>-0.83750124523938319</c:v>
                </c:pt>
                <c:pt idx="34">
                  <c:v>-0.75595525952278342</c:v>
                </c:pt>
                <c:pt idx="35">
                  <c:v>-0.66851465543109934</c:v>
                </c:pt>
                <c:pt idx="36">
                  <c:v>-0.5791367440705375</c:v>
                </c:pt>
                <c:pt idx="37">
                  <c:v>-0.4910520243195734</c:v>
                </c:pt>
                <c:pt idx="38">
                  <c:v>-0.40683278469251732</c:v>
                </c:pt>
                <c:pt idx="39">
                  <c:v>-0.32845891287119311</c:v>
                </c:pt>
                <c:pt idx="40">
                  <c:v>-0.25738178612272916</c:v>
                </c:pt>
                <c:pt idx="41">
                  <c:v>-0.19458717493749234</c:v>
                </c:pt>
                <c:pt idx="42">
                  <c:v>-0.14065753566919997</c:v>
                </c:pt>
                <c:pt idx="43">
                  <c:v>-9.5833394146028608E-2</c:v>
                </c:pt>
                <c:pt idx="44">
                  <c:v>-6.0072981929593781E-2</c:v>
                </c:pt>
                <c:pt idx="45">
                  <c:v>-3.3108984995548985E-2</c:v>
                </c:pt>
                <c:pt idx="46">
                  <c:v>-1.4501213778212639E-2</c:v>
                </c:pt>
                <c:pt idx="47">
                  <c:v>-3.6841604134114692E-3</c:v>
                </c:pt>
                <c:pt idx="48">
                  <c:v>-8.7028907002097506E-6</c:v>
                </c:pt>
                <c:pt idx="49">
                  <c:v>-2.7775711430101926E-3</c:v>
                </c:pt>
                <c:pt idx="50">
                  <c:v>-1.1274542084663318E-2</c:v>
                </c:pt>
                <c:pt idx="51">
                  <c:v>-2.4787633436557589E-2</c:v>
                </c:pt>
                <c:pt idx="52">
                  <c:v>-4.2626794729555405E-2</c:v>
                </c:pt>
                <c:pt idx="53">
                  <c:v>-6.4136741005392461E-2</c:v>
                </c:pt>
                <c:pt idx="54">
                  <c:v>-8.8705646275358818E-2</c:v>
                </c:pt>
                <c:pt idx="55">
                  <c:v>-0.11577042317644419</c:v>
                </c:pt>
                <c:pt idx="56">
                  <c:v>-0.14481927888495502</c:v>
                </c:pt>
                <c:pt idx="57">
                  <c:v>-0.17539217128939921</c:v>
                </c:pt>
                <c:pt idx="58">
                  <c:v>-0.20707970749888446</c:v>
                </c:pt>
                <c:pt idx="59">
                  <c:v>-0.23952093967494126</c:v>
                </c:pt>
                <c:pt idx="60">
                  <c:v>-0.27240042845372126</c:v>
                </c:pt>
                <c:pt idx="61">
                  <c:v>-0.30544486660649162</c:v>
                </c:pt>
                <c:pt idx="62">
                  <c:v>-0.33841948758261081</c:v>
                </c:pt>
                <c:pt idx="63">
                  <c:v>-0.37112442608454582</c:v>
                </c:pt>
                <c:pt idx="64">
                  <c:v>-0.40339115065081577</c:v>
                </c:pt>
                <c:pt idx="65">
                  <c:v>-0.43507905053100171</c:v>
                </c:pt>
                <c:pt idx="66">
                  <c:v>-0.46607222975694673</c:v>
                </c:pt>
                <c:pt idx="67">
                  <c:v>-0.4962765389650543</c:v>
                </c:pt>
                <c:pt idx="68">
                  <c:v>-0.52561685895356047</c:v>
                </c:pt>
                <c:pt idx="69">
                  <c:v>-0.5540346380219604</c:v>
                </c:pt>
                <c:pt idx="70">
                  <c:v>-0.58148567683989438</c:v>
                </c:pt>
                <c:pt idx="71">
                  <c:v>-0.60793814908914523</c:v>
                </c:pt>
                <c:pt idx="72">
                  <c:v>-0.6333708427259348</c:v>
                </c:pt>
                <c:pt idx="73">
                  <c:v>-0.65777160486864938</c:v>
                </c:pt>
                <c:pt idx="74">
                  <c:v>-0.68113597259381919</c:v>
                </c:pt>
                <c:pt idx="75">
                  <c:v>-0.70346597198469341</c:v>
                </c:pt>
                <c:pt idx="76">
                  <c:v>-0.72476906836687438</c:v>
                </c:pt>
                <c:pt idx="77">
                  <c:v>-0.74505725159318659</c:v>
                </c:pt>
                <c:pt idx="78">
                  <c:v>-0.7643462413654003</c:v>
                </c:pt>
                <c:pt idx="79">
                  <c:v>-0.78265479880258515</c:v>
                </c:pt>
                <c:pt idx="80">
                  <c:v>-0.80000413171400842</c:v>
                </c:pt>
                <c:pt idx="81">
                  <c:v>-0.81641738226023597</c:v>
                </c:pt>
                <c:pt idx="82">
                  <c:v>-0.83191918685803334</c:v>
                </c:pt>
                <c:pt idx="83">
                  <c:v>-0.84653529928347782</c:v>
                </c:pt>
                <c:pt idx="84">
                  <c:v>-0.86029226894295907</c:v>
                </c:pt>
                <c:pt idx="85">
                  <c:v>-0.87321716720926978</c:v>
                </c:pt>
                <c:pt idx="86">
                  <c:v>-0.88533735555982773</c:v>
                </c:pt>
                <c:pt idx="87">
                  <c:v>-0.89668029000898497</c:v>
                </c:pt>
                <c:pt idx="88">
                  <c:v>-0.90727335700116751</c:v>
                </c:pt>
                <c:pt idx="89">
                  <c:v>-0.91714373653181347</c:v>
                </c:pt>
                <c:pt idx="90">
                  <c:v>-0.92631828879486044</c:v>
                </c:pt>
                <c:pt idx="91">
                  <c:v>-0.93482346112521919</c:v>
                </c:pt>
                <c:pt idx="92">
                  <c:v>-0.94268521241838443</c:v>
                </c:pt>
                <c:pt idx="93">
                  <c:v>-0.94992895257281218</c:v>
                </c:pt>
                <c:pt idx="94">
                  <c:v>-0.95657949481960547</c:v>
                </c:pt>
                <c:pt idx="95">
                  <c:v>-0.9626610190832332</c:v>
                </c:pt>
                <c:pt idx="96">
                  <c:v>-0.96819704476122659</c:v>
                </c:pt>
                <c:pt idx="97">
                  <c:v>-0.97321041152408716</c:v>
                </c:pt>
                <c:pt idx="98">
                  <c:v>-0.97772326692277767</c:v>
                </c:pt>
                <c:pt idx="99">
                  <c:v>-0.98175705975348437</c:v>
                </c:pt>
                <c:pt idx="100">
                  <c:v>-0.9853325382707544</c:v>
                </c:pt>
              </c:numCache>
            </c:numRef>
          </c:yVal>
          <c:smooth val="0"/>
          <c:extLst>
            <c:ext xmlns:c16="http://schemas.microsoft.com/office/drawing/2014/chart" uri="{C3380CC4-5D6E-409C-BE32-E72D297353CC}">
              <c16:uniqueId val="{00000001-2FBD-4505-BCB1-56B4A011285E}"/>
            </c:ext>
          </c:extLst>
        </c:ser>
        <c:dLbls>
          <c:showLegendKey val="0"/>
          <c:showVal val="0"/>
          <c:showCatName val="0"/>
          <c:showSerName val="0"/>
          <c:showPercent val="0"/>
          <c:showBubbleSize val="0"/>
        </c:dLbls>
        <c:axId val="1903718528"/>
        <c:axId val="1"/>
      </c:scatterChart>
      <c:valAx>
        <c:axId val="1903718528"/>
        <c:scaling>
          <c:orientation val="minMax"/>
        </c:scaling>
        <c:delete val="0"/>
        <c:axPos val="b"/>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Frequency</a:t>
                </a:r>
              </a:p>
            </c:rich>
          </c:tx>
          <c:layout>
            <c:manualLayout>
              <c:xMode val="edge"/>
              <c:yMode val="edge"/>
              <c:x val="0.46981302734895591"/>
              <c:y val="0.909451932404898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crossBetween val="midCat"/>
      </c:valAx>
      <c:valAx>
        <c:axId val="1"/>
        <c:scaling>
          <c:orientation val="minMax"/>
        </c:scaling>
        <c:delete val="0"/>
        <c:axPos val="l"/>
        <c:majorGridlines>
          <c:spPr>
            <a:ln w="3175">
              <a:solidFill>
                <a:srgbClr val="969696"/>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Gain (dB)</a:t>
                </a:r>
              </a:p>
            </c:rich>
          </c:tx>
          <c:layout>
            <c:manualLayout>
              <c:xMode val="edge"/>
              <c:yMode val="edge"/>
              <c:x val="1.1186024460689427E-2"/>
              <c:y val="0.362331447173266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903718528"/>
        <c:crosses val="autoZero"/>
        <c:crossBetween val="midCat"/>
      </c:valAx>
      <c:spPr>
        <a:gradFill rotWithShape="0">
          <a:gsLst>
            <a:gs pos="0">
              <a:srgbClr xmlns:mc="http://schemas.openxmlformats.org/markup-compatibility/2006" xmlns:a14="http://schemas.microsoft.com/office/drawing/2010/main" val="99CCFF" mc:Ignorable="a14" a14:legacySpreadsheetColorIndex="44"/>
            </a:gs>
            <a:gs pos="100000">
              <a:srgbClr xmlns:mc="http://schemas.openxmlformats.org/markup-compatibility/2006" xmlns:a14="http://schemas.microsoft.com/office/drawing/2010/main" val="FFFFFF" mc:Ignorable="a14" a14:legacySpreadsheetColorIndex="9"/>
            </a:gs>
          </a:gsLst>
          <a:path path="rect">
            <a:fillToRect l="50000" t="50000" r="50000" b="50000"/>
          </a:path>
        </a:gradFill>
        <a:ln w="12700">
          <a:solidFill>
            <a:srgbClr val="808080"/>
          </a:solidFill>
          <a:prstDash val="solid"/>
        </a:ln>
      </c:spPr>
    </c:plotArea>
    <c:legend>
      <c:legendPos val="r"/>
      <c:layout>
        <c:manualLayout>
          <c:xMode val="edge"/>
          <c:yMode val="edge"/>
          <c:x val="0.72485438505267485"/>
          <c:y val="0.11956937756717786"/>
          <c:w val="0.21477166964523697"/>
          <c:h val="0.1086994341519798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62303971475637"/>
          <c:y val="5.4349717075989942E-2"/>
          <c:w val="0.86356108836522372"/>
          <c:h val="0.78263592589425512"/>
        </c:manualLayout>
      </c:layout>
      <c:scatterChart>
        <c:scatterStyle val="lineMarker"/>
        <c:varyColors val="0"/>
        <c:ser>
          <c:idx val="1"/>
          <c:order val="0"/>
          <c:tx>
            <c:strRef>
              <c:f>LPF!$D$13</c:f>
              <c:strCache>
                <c:ptCount val="1"/>
                <c:pt idx="0">
                  <c:v>Butterworth</c:v>
                </c:pt>
              </c:strCache>
            </c:strRef>
          </c:tx>
          <c:spPr>
            <a:ln w="12700">
              <a:solidFill>
                <a:srgbClr val="FF0000"/>
              </a:solidFill>
              <a:prstDash val="solid"/>
            </a:ln>
          </c:spPr>
          <c:marker>
            <c:symbol val="square"/>
            <c:size val="3"/>
            <c:spPr>
              <a:solidFill>
                <a:srgbClr val="FF0000"/>
              </a:solidFill>
              <a:ln>
                <a:solidFill>
                  <a:srgbClr val="FF0000"/>
                </a:solidFill>
                <a:prstDash val="solid"/>
              </a:ln>
            </c:spPr>
          </c:marker>
          <c:xVal>
            <c:numRef>
              <c:f>LPF!$C$15:$C$115</c:f>
              <c:numCache>
                <c:formatCode>General</c:formatCode>
                <c:ptCount val="101"/>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pt idx="96">
                  <c:v>24.25</c:v>
                </c:pt>
                <c:pt idx="97">
                  <c:v>24.5</c:v>
                </c:pt>
                <c:pt idx="98">
                  <c:v>24.75</c:v>
                </c:pt>
                <c:pt idx="99">
                  <c:v>25</c:v>
                </c:pt>
              </c:numCache>
            </c:numRef>
          </c:xVal>
          <c:yVal>
            <c:numRef>
              <c:f>LPF!$D$14:$D$114</c:f>
              <c:numCache>
                <c:formatCode>0.00</c:formatCode>
                <c:ptCount val="101"/>
                <c:pt idx="0" formatCode="General">
                  <c:v>0</c:v>
                </c:pt>
                <c:pt idx="1">
                  <c:v>0</c:v>
                </c:pt>
                <c:pt idx="2">
                  <c:v>-4.2430408528342562E-13</c:v>
                </c:pt>
                <c:pt idx="3">
                  <c:v>-2.4456308879189051E-11</c:v>
                </c:pt>
                <c:pt idx="4">
                  <c:v>-4.3429451781522366E-10</c:v>
                </c:pt>
                <c:pt idx="5">
                  <c:v>-4.0446825483908662E-9</c:v>
                </c:pt>
                <c:pt idx="6">
                  <c:v>-2.5043608342368497E-8</c:v>
                </c:pt>
                <c:pt idx="7">
                  <c:v>-1.1699432432950986E-7</c:v>
                </c:pt>
                <c:pt idx="8">
                  <c:v>-4.4471752685104418E-7</c:v>
                </c:pt>
                <c:pt idx="9">
                  <c:v>-1.4441404086303572E-6</c:v>
                </c:pt>
                <c:pt idx="10">
                  <c:v>-4.1417529565395065E-6</c:v>
                </c:pt>
                <c:pt idx="11">
                  <c:v>-1.0742632338343237E-5</c:v>
                </c:pt>
                <c:pt idx="12">
                  <c:v>-2.5644579147969755E-5</c:v>
                </c:pt>
                <c:pt idx="13">
                  <c:v>-5.7097233512622527E-5</c:v>
                </c:pt>
                <c:pt idx="14">
                  <c:v>-1.1980053700061422E-4</c:v>
                </c:pt>
                <c:pt idx="15">
                  <c:v>-2.3882789296056416E-4</c:v>
                </c:pt>
                <c:pt idx="16">
                  <c:v>-4.5536689673347536E-4</c:v>
                </c:pt>
                <c:pt idx="17">
                  <c:v>-8.3489501194863825E-4</c:v>
                </c:pt>
                <c:pt idx="18">
                  <c:v>-1.4785483111400812E-3</c:v>
                </c:pt>
                <c:pt idx="19">
                  <c:v>-2.538595299684465E-3</c:v>
                </c:pt>
                <c:pt idx="20">
                  <c:v>-4.2390875196115195E-3</c:v>
                </c:pt>
                <c:pt idx="21">
                  <c:v>-6.9029090953894538E-3</c:v>
                </c:pt>
                <c:pt idx="22">
                  <c:v>-1.0986560773229745E-2</c:v>
                </c:pt>
                <c:pt idx="23">
                  <c:v>-1.712404162269731E-2</c:v>
                </c:pt>
                <c:pt idx="24">
                  <c:v>-2.6181052699723043E-2</c:v>
                </c:pt>
                <c:pt idx="25">
                  <c:v>-3.9320314756490234E-2</c:v>
                </c:pt>
                <c:pt idx="26">
                  <c:v>-5.8077879010084404E-2</c:v>
                </c:pt>
                <c:pt idx="27">
                  <c:v>-8.4448660343852178E-2</c:v>
                </c:pt>
                <c:pt idx="28">
                  <c:v>-0.12097672789950013</c:v>
                </c:pt>
                <c:pt idx="29">
                  <c:v>-0.17084185655031142</c:v>
                </c:pt>
                <c:pt idx="30">
                  <c:v>-0.23792836285351132</c:v>
                </c:pt>
                <c:pt idx="31">
                  <c:v>-0.32685569633270212</c:v>
                </c:pt>
                <c:pt idx="32">
                  <c:v>-0.44294394043243657</c:v>
                </c:pt>
                <c:pt idx="33">
                  <c:v>-0.59208398650278948</c:v>
                </c:pt>
                <c:pt idx="34">
                  <c:v>-0.78048579509519511</c:v>
                </c:pt>
                <c:pt idx="35">
                  <c:v>-1.0142933735575239</c:v>
                </c:pt>
                <c:pt idx="36">
                  <c:v>-1.2990841495200813</c:v>
                </c:pt>
                <c:pt idx="37">
                  <c:v>-1.6393095139877565</c:v>
                </c:pt>
                <c:pt idx="38">
                  <c:v>-2.0377700956497717</c:v>
                </c:pt>
                <c:pt idx="39">
                  <c:v>-2.4952355785944698</c:v>
                </c:pt>
                <c:pt idx="40">
                  <c:v>-3.0102999566398121</c:v>
                </c:pt>
                <c:pt idx="41">
                  <c:v>-3.5795095068344613</c:v>
                </c:pt>
                <c:pt idx="42">
                  <c:v>-4.1977317875518807</c:v>
                </c:pt>
                <c:pt idx="43">
                  <c:v>-4.8586780761213477</c:v>
                </c:pt>
                <c:pt idx="44">
                  <c:v>-5.5554695085724699</c:v>
                </c:pt>
                <c:pt idx="45">
                  <c:v>-6.2811508753187777</c:v>
                </c:pt>
                <c:pt idx="46">
                  <c:v>-7.0290918011747481</c:v>
                </c:pt>
                <c:pt idx="47">
                  <c:v>-7.7932545223708427</c:v>
                </c:pt>
                <c:pt idx="48">
                  <c:v>-8.5683376209629571</c:v>
                </c:pt>
                <c:pt idx="49">
                  <c:v>-9.3498214247140581</c:v>
                </c:pt>
                <c:pt idx="50">
                  <c:v>-10.133945241238077</c:v>
                </c:pt>
                <c:pt idx="51">
                  <c:v>-10.917643628524338</c:v>
                </c:pt>
                <c:pt idx="52">
                  <c:v>-11.698462720968729</c:v>
                </c:pt>
                <c:pt idx="53">
                  <c:v>-12.474471048570921</c:v>
                </c:pt>
                <c:pt idx="54">
                  <c:v>-13.244173716645564</c:v>
                </c:pt>
                <c:pt idx="55">
                  <c:v>-14.006434688405154</c:v>
                </c:pt>
                <c:pt idx="56">
                  <c:v>-14.760409146830149</c:v>
                </c:pt>
                <c:pt idx="57">
                  <c:v>-15.505486217963991</c:v>
                </c:pt>
                <c:pt idx="58">
                  <c:v>-16.241241402274877</c:v>
                </c:pt>
                <c:pt idx="59">
                  <c:v>-16.967397620630479</c:v>
                </c:pt>
                <c:pt idx="60">
                  <c:v>-17.683793641857296</c:v>
                </c:pt>
                <c:pt idx="61">
                  <c:v>-18.390358687232219</c:v>
                </c:pt>
                <c:pt idx="62">
                  <c:v>-19.087092119089903</c:v>
                </c:pt>
                <c:pt idx="63">
                  <c:v>-19.774047265315119</c:v>
                </c:pt>
                <c:pt idx="64">
                  <c:v>-20.451318580348975</c:v>
                </c:pt>
                <c:pt idx="65">
                  <c:v>-21.119031481885639</c:v>
                </c:pt>
                <c:pt idx="66">
                  <c:v>-21.777334324348089</c:v>
                </c:pt>
                <c:pt idx="67">
                  <c:v>-22.426392073826477</c:v>
                </c:pt>
                <c:pt idx="68">
                  <c:v>-23.066381335191632</c:v>
                </c:pt>
                <c:pt idx="69">
                  <c:v>-23.697486452420517</c:v>
                </c:pt>
                <c:pt idx="70">
                  <c:v>-24.319896460031927</c:v>
                </c:pt>
                <c:pt idx="71">
                  <c:v>-24.933802709156744</c:v>
                </c:pt>
                <c:pt idx="72">
                  <c:v>-25.539397028183384</c:v>
                </c:pt>
                <c:pt idx="73">
                  <c:v>-26.136870306882049</c:v>
                </c:pt>
                <c:pt idx="74">
                  <c:v>-26.726411415892386</c:v>
                </c:pt>
                <c:pt idx="75">
                  <c:v>-27.308206391669607</c:v>
                </c:pt>
                <c:pt idx="76">
                  <c:v>-27.882437831405337</c:v>
                </c:pt>
                <c:pt idx="77">
                  <c:v>-28.449284453858649</c:v>
                </c:pt>
                <c:pt idx="78">
                  <c:v>-29.008920791078097</c:v>
                </c:pt>
                <c:pt idx="79">
                  <c:v>-29.56151698316528</c:v>
                </c:pt>
                <c:pt idx="80">
                  <c:v>-30.107238653917729</c:v>
                </c:pt>
                <c:pt idx="81">
                  <c:v>-30.646246849706028</c:v>
                </c:pt>
                <c:pt idx="82">
                  <c:v>-31.178698027530274</c:v>
                </c:pt>
                <c:pt idx="83">
                  <c:v>-31.704744081059545</c:v>
                </c:pt>
                <c:pt idx="84">
                  <c:v>-32.224532395735046</c:v>
                </c:pt>
                <c:pt idx="85">
                  <c:v>-32.738205925835274</c:v>
                </c:pt>
                <c:pt idx="86">
                  <c:v>-33.245903287852244</c:v>
                </c:pt>
                <c:pt idx="87">
                  <c:v>-33.747758865688745</c:v>
                </c:pt>
                <c:pt idx="88">
                  <c:v>-34.243902924115112</c:v>
                </c:pt>
                <c:pt idx="89">
                  <c:v>-34.7344617276677</c:v>
                </c:pt>
                <c:pt idx="90">
                  <c:v>-35.219557662767691</c:v>
                </c:pt>
                <c:pt idx="91">
                  <c:v>-35.699309361316459</c:v>
                </c:pt>
                <c:pt idx="92">
                  <c:v>-36.173831824407429</c:v>
                </c:pt>
                <c:pt idx="93">
                  <c:v>-36.643236545101502</c:v>
                </c:pt>
                <c:pt idx="94">
                  <c:v>-37.107631629459512</c:v>
                </c:pt>
                <c:pt idx="95">
                  <c:v>-37.567121915222856</c:v>
                </c:pt>
                <c:pt idx="96">
                  <c:v>-38.021809087690869</c:v>
                </c:pt>
                <c:pt idx="97">
                  <c:v>-38.471791792469936</c:v>
                </c:pt>
                <c:pt idx="98">
                  <c:v>-38.91716574486987</c:v>
                </c:pt>
                <c:pt idx="99">
                  <c:v>-39.358023835802399</c:v>
                </c:pt>
                <c:pt idx="100">
                  <c:v>-39.794456234100494</c:v>
                </c:pt>
              </c:numCache>
            </c:numRef>
          </c:yVal>
          <c:smooth val="0"/>
          <c:extLst>
            <c:ext xmlns:c16="http://schemas.microsoft.com/office/drawing/2014/chart" uri="{C3380CC4-5D6E-409C-BE32-E72D297353CC}">
              <c16:uniqueId val="{00000000-8CC8-4BB7-AFDC-9F13A540119D}"/>
            </c:ext>
          </c:extLst>
        </c:ser>
        <c:ser>
          <c:idx val="0"/>
          <c:order val="1"/>
          <c:tx>
            <c:v>Chebyshev</c:v>
          </c:tx>
          <c:spPr>
            <a:ln w="12700">
              <a:solidFill>
                <a:srgbClr val="008000"/>
              </a:solidFill>
              <a:prstDash val="solid"/>
            </a:ln>
          </c:spPr>
          <c:marker>
            <c:symbol val="diamond"/>
            <c:size val="3"/>
            <c:spPr>
              <a:solidFill>
                <a:srgbClr val="008000"/>
              </a:solidFill>
              <a:ln>
                <a:solidFill>
                  <a:srgbClr val="008000"/>
                </a:solidFill>
                <a:prstDash val="solid"/>
              </a:ln>
            </c:spPr>
          </c:marker>
          <c:xVal>
            <c:numRef>
              <c:f>LPF!$C$15:$C$115</c:f>
              <c:numCache>
                <c:formatCode>General</c:formatCode>
                <c:ptCount val="101"/>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pt idx="96">
                  <c:v>24.25</c:v>
                </c:pt>
                <c:pt idx="97">
                  <c:v>24.5</c:v>
                </c:pt>
                <c:pt idx="98">
                  <c:v>24.75</c:v>
                </c:pt>
                <c:pt idx="99">
                  <c:v>25</c:v>
                </c:pt>
              </c:numCache>
            </c:numRef>
          </c:xVal>
          <c:yVal>
            <c:numRef>
              <c:f>LPF!$E$14:$E$114</c:f>
              <c:numCache>
                <c:formatCode>General</c:formatCode>
                <c:ptCount val="101"/>
                <c:pt idx="0">
                  <c:v>0</c:v>
                </c:pt>
                <c:pt idx="1">
                  <c:v>-1.7447501445528486E-2</c:v>
                </c:pt>
                <c:pt idx="2">
                  <c:v>-6.834475974314777E-2</c:v>
                </c:pt>
                <c:pt idx="3">
                  <c:v>-0.14855796681980263</c:v>
                </c:pt>
                <c:pt idx="4">
                  <c:v>-0.25181373892580211</c:v>
                </c:pt>
                <c:pt idx="5">
                  <c:v>-0.37045109808336585</c:v>
                </c:pt>
                <c:pt idx="6">
                  <c:v>-0.49620674585384206</c:v>
                </c:pt>
                <c:pt idx="7">
                  <c:v>-0.62089810955823688</c:v>
                </c:pt>
                <c:pt idx="8">
                  <c:v>-0.73693329483549797</c:v>
                </c:pt>
                <c:pt idx="9">
                  <c:v>-0.83763955377704358</c:v>
                </c:pt>
                <c:pt idx="10">
                  <c:v>-0.9174434385696334</c:v>
                </c:pt>
                <c:pt idx="11">
                  <c:v>-0.97195380932195907</c:v>
                </c:pt>
                <c:pt idx="12">
                  <c:v>-0.9979998446132704</c:v>
                </c:pt>
                <c:pt idx="13">
                  <c:v>-0.99366838943893709</c:v>
                </c:pt>
                <c:pt idx="14">
                  <c:v>-0.95837409512210914</c:v>
                </c:pt>
                <c:pt idx="15">
                  <c:v>-0.89298397984156286</c:v>
                </c:pt>
                <c:pt idx="16">
                  <c:v>-0.80000413171400842</c:v>
                </c:pt>
                <c:pt idx="17">
                  <c:v>-0.68381661966255181</c:v>
                </c:pt>
                <c:pt idx="18">
                  <c:v>-0.55092415255492599</c:v>
                </c:pt>
                <c:pt idx="19">
                  <c:v>-0.41011462584246705</c:v>
                </c:pt>
                <c:pt idx="20">
                  <c:v>-0.27240042845372126</c:v>
                </c:pt>
                <c:pt idx="21">
                  <c:v>-0.15053840283633446</c:v>
                </c:pt>
                <c:pt idx="22">
                  <c:v>-5.7942135727711223E-2</c:v>
                </c:pt>
                <c:pt idx="23">
                  <c:v>-6.9223505002249178E-3</c:v>
                </c:pt>
                <c:pt idx="24">
                  <c:v>-6.4629745652234651E-3</c:v>
                </c:pt>
                <c:pt idx="25">
                  <c:v>-6.0072981929593781E-2</c:v>
                </c:pt>
                <c:pt idx="26">
                  <c:v>-0.16442400146223424</c:v>
                </c:pt>
                <c:pt idx="27">
                  <c:v>-0.309283458986221</c:v>
                </c:pt>
                <c:pt idx="28">
                  <c:v>-0.47873174883034281</c:v>
                </c:pt>
                <c:pt idx="29">
                  <c:v>-0.65314394309853774</c:v>
                </c:pt>
                <c:pt idx="30">
                  <c:v>-0.81125052902582007</c:v>
                </c:pt>
                <c:pt idx="31">
                  <c:v>-0.93181188886697064</c:v>
                </c:pt>
                <c:pt idx="32">
                  <c:v>-0.99485941387678256</c:v>
                </c:pt>
                <c:pt idx="33">
                  <c:v>-0.98291189281610569</c:v>
                </c:pt>
                <c:pt idx="34">
                  <c:v>-0.88311760928751093</c:v>
                </c:pt>
                <c:pt idx="35">
                  <c:v>-0.69218493372880685</c:v>
                </c:pt>
                <c:pt idx="36">
                  <c:v>-0.42761866834239332</c:v>
                </c:pt>
                <c:pt idx="37">
                  <c:v>-0.15053113681476404</c:v>
                </c:pt>
                <c:pt idx="38">
                  <c:v>-3.2515916632645586E-4</c:v>
                </c:pt>
                <c:pt idx="39">
                  <c:v>-0.20805540538039441</c:v>
                </c:pt>
                <c:pt idx="40">
                  <c:v>-1.0000000000000002</c:v>
                </c:pt>
                <c:pt idx="41">
                  <c:v>-2.4036722699287445</c:v>
                </c:pt>
                <c:pt idx="42">
                  <c:v>-4.2187980086033319</c:v>
                </c:pt>
                <c:pt idx="43">
                  <c:v>-6.201634187387155</c:v>
                </c:pt>
                <c:pt idx="44">
                  <c:v>-8.1916111799669231</c:v>
                </c:pt>
                <c:pt idx="45">
                  <c:v>-10.112421763652762</c:v>
                </c:pt>
                <c:pt idx="46">
                  <c:v>-11.936759165258866</c:v>
                </c:pt>
                <c:pt idx="47">
                  <c:v>-13.660206034046784</c:v>
                </c:pt>
                <c:pt idx="48">
                  <c:v>-15.287679676866491</c:v>
                </c:pt>
                <c:pt idx="49">
                  <c:v>-16.827253223161275</c:v>
                </c:pt>
                <c:pt idx="50">
                  <c:v>-18.287528754699402</c:v>
                </c:pt>
                <c:pt idx="51">
                  <c:v>-19.676604730537882</c:v>
                </c:pt>
                <c:pt idx="52">
                  <c:v>-21.001735393058635</c:v>
                </c:pt>
                <c:pt idx="53">
                  <c:v>-22.269280144137756</c:v>
                </c:pt>
                <c:pt idx="54">
                  <c:v>-23.484766032102176</c:v>
                </c:pt>
                <c:pt idx="55">
                  <c:v>-24.652986583046857</c:v>
                </c:pt>
                <c:pt idx="56">
                  <c:v>-25.778104698484206</c:v>
                </c:pt>
                <c:pt idx="57">
                  <c:v>-26.863747088534954</c:v>
                </c:pt>
                <c:pt idx="58">
                  <c:v>-27.913086367381826</c:v>
                </c:pt>
                <c:pt idx="59">
                  <c:v>-28.928910595400588</c:v>
                </c:pt>
                <c:pt idx="60">
                  <c:v>-29.913681459660868</c:v>
                </c:pt>
                <c:pt idx="61">
                  <c:v>-30.869582695365089</c:v>
                </c:pt>
                <c:pt idx="62">
                  <c:v>-31.798560339902359</c:v>
                </c:pt>
                <c:pt idx="63">
                  <c:v>-32.702356240497224</c:v>
                </c:pt>
                <c:pt idx="64">
                  <c:v>-33.582536022757232</c:v>
                </c:pt>
                <c:pt idx="65">
                  <c:v>-34.440512520116641</c:v>
                </c:pt>
                <c:pt idx="66">
                  <c:v>-35.277565481516071</c:v>
                </c:pt>
                <c:pt idx="67">
                  <c:v>-36.094858221010938</c:v>
                </c:pt>
                <c:pt idx="68">
                  <c:v>-36.893451746891543</c:v>
                </c:pt>
                <c:pt idx="69">
                  <c:v>-37.67431680574844</c:v>
                </c:pt>
                <c:pt idx="70">
                  <c:v>-38.438344194739649</c:v>
                </c:pt>
                <c:pt idx="71">
                  <c:v>-39.18635362939709</c:v>
                </c:pt>
                <c:pt idx="72">
                  <c:v>-39.919101401457105</c:v>
                </c:pt>
                <c:pt idx="73">
                  <c:v>-40.637287018773058</c:v>
                </c:pt>
                <c:pt idx="74">
                  <c:v>-41.341558985237945</c:v>
                </c:pt>
                <c:pt idx="75">
                  <c:v>-42.032519851105967</c:v>
                </c:pt>
                <c:pt idx="76">
                  <c:v>-42.710730641809832</c:v>
                </c:pt>
                <c:pt idx="77">
                  <c:v>-43.376714755257602</c:v>
                </c:pt>
                <c:pt idx="78">
                  <c:v>-44.030961402820061</c:v>
                </c:pt>
                <c:pt idx="79">
                  <c:v>-44.673928657124229</c:v>
                </c:pt>
                <c:pt idx="80">
                  <c:v>-45.30604615982574</c:v>
                </c:pt>
                <c:pt idx="81">
                  <c:v>-45.927717534327357</c:v>
                </c:pt>
                <c:pt idx="82">
                  <c:v>-46.53932254161333</c:v>
                </c:pt>
                <c:pt idx="83">
                  <c:v>-47.141219011715769</c:v>
                </c:pt>
                <c:pt idx="84">
                  <c:v>-47.733744578609887</c:v>
                </c:pt>
                <c:pt idx="85">
                  <c:v>-48.317218242381522</c:v>
                </c:pt>
                <c:pt idx="86">
                  <c:v>-48.89194177918462</c:v>
                </c:pt>
                <c:pt idx="87">
                  <c:v>-49.458201016702283</c:v>
                </c:pt>
                <c:pt idx="88">
                  <c:v>-50.01626699044899</c:v>
                </c:pt>
                <c:pt idx="89">
                  <c:v>-50.566396994234793</c:v>
                </c:pt>
                <c:pt idx="90">
                  <c:v>-51.108835536392903</c:v>
                </c:pt>
                <c:pt idx="91">
                  <c:v>-51.643815211902606</c:v>
                </c:pt>
                <c:pt idx="92">
                  <c:v>-52.171557499279686</c:v>
                </c:pt>
                <c:pt idx="93">
                  <c:v>-52.692273490023645</c:v>
                </c:pt>
                <c:pt idx="94">
                  <c:v>-53.206164557476257</c:v>
                </c:pt>
                <c:pt idx="95">
                  <c:v>-53.713422971139117</c:v>
                </c:pt>
                <c:pt idx="96">
                  <c:v>-54.214232461797607</c:v>
                </c:pt>
                <c:pt idx="97">
                  <c:v>-54.708768742190088</c:v>
                </c:pt>
                <c:pt idx="98">
                  <c:v>-55.197199987431027</c:v>
                </c:pt>
                <c:pt idx="99">
                  <c:v>-55.679687278934267</c:v>
                </c:pt>
                <c:pt idx="100">
                  <c:v>-56.156385015176753</c:v>
                </c:pt>
              </c:numCache>
            </c:numRef>
          </c:yVal>
          <c:smooth val="0"/>
          <c:extLst>
            <c:ext xmlns:c16="http://schemas.microsoft.com/office/drawing/2014/chart" uri="{C3380CC4-5D6E-409C-BE32-E72D297353CC}">
              <c16:uniqueId val="{00000001-8CC8-4BB7-AFDC-9F13A540119D}"/>
            </c:ext>
          </c:extLst>
        </c:ser>
        <c:dLbls>
          <c:showLegendKey val="0"/>
          <c:showVal val="0"/>
          <c:showCatName val="0"/>
          <c:showSerName val="0"/>
          <c:showPercent val="0"/>
          <c:showBubbleSize val="0"/>
        </c:dLbls>
        <c:axId val="1903700224"/>
        <c:axId val="1"/>
      </c:scatterChart>
      <c:valAx>
        <c:axId val="1903700224"/>
        <c:scaling>
          <c:orientation val="minMax"/>
        </c:scaling>
        <c:delete val="0"/>
        <c:axPos val="b"/>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Frequency</a:t>
                </a:r>
              </a:p>
            </c:rich>
          </c:tx>
          <c:layout>
            <c:manualLayout>
              <c:xMode val="edge"/>
              <c:yMode val="edge"/>
              <c:x val="0.46981302734895591"/>
              <c:y val="0.909451932404898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crossBetween val="midCat"/>
      </c:valAx>
      <c:valAx>
        <c:axId val="1"/>
        <c:scaling>
          <c:orientation val="minMax"/>
        </c:scaling>
        <c:delete val="0"/>
        <c:axPos val="l"/>
        <c:majorGridlines>
          <c:spPr>
            <a:ln w="3175">
              <a:solidFill>
                <a:srgbClr val="969696"/>
              </a:solidFill>
              <a:prstDash val="sysDash"/>
            </a:ln>
          </c:spPr>
        </c:majorGridlines>
        <c:title>
          <c:tx>
            <c:rich>
              <a:bodyPr/>
              <a:lstStyle/>
              <a:p>
                <a:pPr>
                  <a:defRPr sz="800" b="0" i="0" u="none" strike="noStrike" baseline="0">
                    <a:solidFill>
                      <a:srgbClr val="000000"/>
                    </a:solidFill>
                    <a:latin typeface="Arial"/>
                    <a:ea typeface="Arial"/>
                    <a:cs typeface="Arial"/>
                  </a:defRPr>
                </a:pPr>
                <a:r>
                  <a:rPr lang="es-MX"/>
                  <a:t>Gain (dB)</a:t>
                </a:r>
              </a:p>
            </c:rich>
          </c:tx>
          <c:layout>
            <c:manualLayout>
              <c:xMode val="edge"/>
              <c:yMode val="edge"/>
              <c:x val="1.1186024460689427E-2"/>
              <c:y val="0.362331447173266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903700224"/>
        <c:crosses val="autoZero"/>
        <c:crossBetween val="midCat"/>
      </c:valAx>
      <c:spPr>
        <a:gradFill rotWithShape="0">
          <a:gsLst>
            <a:gs pos="0">
              <a:srgbClr xmlns:mc="http://schemas.openxmlformats.org/markup-compatibility/2006" xmlns:a14="http://schemas.microsoft.com/office/drawing/2010/main" val="99CCFF" mc:Ignorable="a14" a14:legacySpreadsheetColorIndex="44"/>
            </a:gs>
            <a:gs pos="100000">
              <a:srgbClr xmlns:mc="http://schemas.openxmlformats.org/markup-compatibility/2006" xmlns:a14="http://schemas.microsoft.com/office/drawing/2010/main" val="FFFFFF" mc:Ignorable="a14" a14:legacySpreadsheetColorIndex="9"/>
            </a:gs>
          </a:gsLst>
          <a:path path="rect">
            <a:fillToRect l="50000" t="50000" r="50000" b="50000"/>
          </a:path>
        </a:gradFill>
        <a:ln w="12700">
          <a:solidFill>
            <a:srgbClr val="808080"/>
          </a:solidFill>
          <a:prstDash val="solid"/>
        </a:ln>
      </c:spPr>
    </c:plotArea>
    <c:legend>
      <c:legendPos val="r"/>
      <c:layout>
        <c:manualLayout>
          <c:xMode val="edge"/>
          <c:yMode val="edge"/>
          <c:x val="0.72261718016053689"/>
          <c:y val="0.11956937756717786"/>
          <c:w val="0.21477166964523697"/>
          <c:h val="0.1086994341519798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rfcafe.com/"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5.w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400050</xdr:colOff>
      <xdr:row>2</xdr:row>
      <xdr:rowOff>19050</xdr:rowOff>
    </xdr:from>
    <xdr:to>
      <xdr:col>9</xdr:col>
      <xdr:colOff>0</xdr:colOff>
      <xdr:row>5</xdr:row>
      <xdr:rowOff>19050</xdr:rowOff>
    </xdr:to>
    <xdr:pic>
      <xdr:nvPicPr>
        <xdr:cNvPr id="20481" name="Picture 1" descr="Please click here to visit RF Cafe">
          <a:hlinkClick xmlns:r="http://schemas.openxmlformats.org/officeDocument/2006/relationships" r:id="rId1" tgtFrame="_blank"/>
          <a:extLst>
            <a:ext uri="{FF2B5EF4-FFF2-40B4-BE49-F238E27FC236}">
              <a16:creationId xmlns:a16="http://schemas.microsoft.com/office/drawing/2014/main" id="{4E6E9138-AB42-43B7-8CB5-91662F64DB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57475" y="13335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19050</xdr:rowOff>
    </xdr:from>
    <xdr:to>
      <xdr:col>5</xdr:col>
      <xdr:colOff>209550</xdr:colOff>
      <xdr:row>5</xdr:row>
      <xdr:rowOff>19050</xdr:rowOff>
    </xdr:to>
    <xdr:pic>
      <xdr:nvPicPr>
        <xdr:cNvPr id="20482" name="Picture 2" descr="Please click here to visit RF Cafe">
          <a:hlinkClick xmlns:r="http://schemas.openxmlformats.org/officeDocument/2006/relationships" r:id="rId1" tgtFrame="_blank"/>
          <a:extLst>
            <a:ext uri="{FF2B5EF4-FFF2-40B4-BE49-F238E27FC236}">
              <a16:creationId xmlns:a16="http://schemas.microsoft.com/office/drawing/2014/main" id="{EE0B382E-0876-4CC7-9BE2-B5A6A7FA48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 y="13335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9525</xdr:colOff>
      <xdr:row>9</xdr:row>
      <xdr:rowOff>47625</xdr:rowOff>
    </xdr:from>
    <xdr:to>
      <xdr:col>9</xdr:col>
      <xdr:colOff>9525</xdr:colOff>
      <xdr:row>14</xdr:row>
      <xdr:rowOff>57150</xdr:rowOff>
    </xdr:to>
    <xdr:sp macro="" textlink="">
      <xdr:nvSpPr>
        <xdr:cNvPr id="20483" name="Text Box 3">
          <a:extLst>
            <a:ext uri="{FF2B5EF4-FFF2-40B4-BE49-F238E27FC236}">
              <a16:creationId xmlns:a16="http://schemas.microsoft.com/office/drawing/2014/main" id="{F8AB9AF0-5CF4-4F69-85F5-D343EBD7BFB5}"/>
            </a:ext>
          </a:extLst>
        </xdr:cNvPr>
        <xdr:cNvSpPr txBox="1">
          <a:spLocks noChangeArrowheads="1"/>
        </xdr:cNvSpPr>
      </xdr:nvSpPr>
      <xdr:spPr bwMode="auto">
        <a:xfrm>
          <a:off x="438150" y="1247775"/>
          <a:ext cx="3657600" cy="771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900" b="0" i="0" u="none" strike="noStrike" baseline="0">
              <a:solidFill>
                <a:srgbClr val="000000"/>
              </a:solidFill>
              <a:latin typeface="Arial"/>
              <a:cs typeface="Arial"/>
            </a:rPr>
            <a:t>This locked version of the RF Cafe Calculator Workbook is provided free of charge. You are encouraged to distribute it freely, as long as no changes are made and you require no payment for it. An unlocked version is available for purchase.</a:t>
          </a:r>
        </a:p>
        <a:p>
          <a:pPr algn="l" rtl="0">
            <a:defRPr sz="1000"/>
          </a:pPr>
          <a:r>
            <a:rPr lang="es-MX" sz="900" b="0" i="0" u="none" strike="noStrike" baseline="0">
              <a:solidFill>
                <a:srgbClr val="000000"/>
              </a:solidFill>
              <a:latin typeface="Arial"/>
              <a:cs typeface="Arial"/>
            </a:rPr>
            <a:t>                                     --</a:t>
          </a:r>
          <a:r>
            <a:rPr lang="es-MX" sz="800" b="0" i="0" u="none" strike="noStrike" baseline="0">
              <a:solidFill>
                <a:srgbClr val="000000"/>
              </a:solidFill>
              <a:latin typeface="Arial"/>
              <a:cs typeface="Arial"/>
            </a:rPr>
            <a:t> Check Back Often for Updates --</a:t>
          </a:r>
        </a:p>
      </xdr:txBody>
    </xdr:sp>
    <xdr:clientData/>
  </xdr:twoCellAnchor>
  <xdr:twoCellAnchor>
    <xdr:from>
      <xdr:col>3</xdr:col>
      <xdr:colOff>9525</xdr:colOff>
      <xdr:row>16</xdr:row>
      <xdr:rowOff>95250</xdr:rowOff>
    </xdr:from>
    <xdr:to>
      <xdr:col>9</xdr:col>
      <xdr:colOff>0</xdr:colOff>
      <xdr:row>19</xdr:row>
      <xdr:rowOff>9525</xdr:rowOff>
    </xdr:to>
    <xdr:sp macro="" textlink="">
      <xdr:nvSpPr>
        <xdr:cNvPr id="20484" name="Text Box 4">
          <a:extLst>
            <a:ext uri="{FF2B5EF4-FFF2-40B4-BE49-F238E27FC236}">
              <a16:creationId xmlns:a16="http://schemas.microsoft.com/office/drawing/2014/main" id="{4D24B0FE-6CBA-4155-B30F-D4F41C41BCA6}"/>
            </a:ext>
          </a:extLst>
        </xdr:cNvPr>
        <xdr:cNvSpPr txBox="1">
          <a:spLocks noChangeArrowheads="1"/>
        </xdr:cNvSpPr>
      </xdr:nvSpPr>
      <xdr:spPr bwMode="auto">
        <a:xfrm>
          <a:off x="438150" y="2362200"/>
          <a:ext cx="3648075" cy="3714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s-MX" sz="700" b="0" i="0" u="none" strike="noStrike" baseline="0">
              <a:solidFill>
                <a:srgbClr val="FF6600"/>
              </a:solidFill>
              <a:latin typeface="Arial"/>
              <a:cs typeface="Arial"/>
            </a:rPr>
            <a:t>Disclaimer: Your use of this RF Cafe Calculator Workbook indicates that you accept full responsibility for the results produced, and that you agree to hold harmless Kirt Blattenberger, RF Cafe, and it assigns, for any damages that may result from its use.</a:t>
          </a:r>
        </a:p>
      </xdr:txBody>
    </xdr:sp>
    <xdr:clientData/>
  </xdr:twoCellAnchor>
  <xdr:twoCellAnchor>
    <xdr:from>
      <xdr:col>3</xdr:col>
      <xdr:colOff>9525</xdr:colOff>
      <xdr:row>19</xdr:row>
      <xdr:rowOff>114300</xdr:rowOff>
    </xdr:from>
    <xdr:to>
      <xdr:col>9</xdr:col>
      <xdr:colOff>0</xdr:colOff>
      <xdr:row>21</xdr:row>
      <xdr:rowOff>66675</xdr:rowOff>
    </xdr:to>
    <xdr:sp macro="" textlink="">
      <xdr:nvSpPr>
        <xdr:cNvPr id="20485" name="Text Box 5">
          <a:extLst>
            <a:ext uri="{FF2B5EF4-FFF2-40B4-BE49-F238E27FC236}">
              <a16:creationId xmlns:a16="http://schemas.microsoft.com/office/drawing/2014/main" id="{2FFADEF5-0418-4616-B25F-1DE71E6EEAF6}"/>
            </a:ext>
          </a:extLst>
        </xdr:cNvPr>
        <xdr:cNvSpPr txBox="1">
          <a:spLocks noChangeArrowheads="1"/>
        </xdr:cNvSpPr>
      </xdr:nvSpPr>
      <xdr:spPr bwMode="auto">
        <a:xfrm>
          <a:off x="438150" y="2838450"/>
          <a:ext cx="3648075" cy="257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s-MX" sz="700" b="0" i="0" u="none" strike="noStrike" baseline="0">
              <a:solidFill>
                <a:srgbClr val="339966"/>
              </a:solidFill>
              <a:latin typeface="Arial"/>
              <a:cs typeface="Arial"/>
            </a:rPr>
            <a:t>Note: This file is supplied in a format compatible with versions back to Excel 97. Saving the file in Excel 2003 format will greatly reduce the file size. </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133350</xdr:colOff>
      <xdr:row>4</xdr:row>
      <xdr:rowOff>57150</xdr:rowOff>
    </xdr:from>
    <xdr:to>
      <xdr:col>10</xdr:col>
      <xdr:colOff>361950</xdr:colOff>
      <xdr:row>11</xdr:row>
      <xdr:rowOff>0</xdr:rowOff>
    </xdr:to>
    <xdr:grpSp>
      <xdr:nvGrpSpPr>
        <xdr:cNvPr id="16449" name="Group 65">
          <a:extLst>
            <a:ext uri="{FF2B5EF4-FFF2-40B4-BE49-F238E27FC236}">
              <a16:creationId xmlns:a16="http://schemas.microsoft.com/office/drawing/2014/main" id="{90EAC148-CA7C-4D26-A91A-E56D106D8993}"/>
            </a:ext>
          </a:extLst>
        </xdr:cNvPr>
        <xdr:cNvGrpSpPr>
          <a:grpSpLocks/>
        </xdr:cNvGrpSpPr>
      </xdr:nvGrpSpPr>
      <xdr:grpSpPr bwMode="auto">
        <a:xfrm>
          <a:off x="3048000" y="495300"/>
          <a:ext cx="1219200" cy="1019175"/>
          <a:chOff x="315" y="76"/>
          <a:chExt cx="128" cy="108"/>
        </a:xfrm>
      </xdr:grpSpPr>
      <xdr:sp macro="" textlink="">
        <xdr:nvSpPr>
          <xdr:cNvPr id="16390" name="Oval 6">
            <a:extLst>
              <a:ext uri="{FF2B5EF4-FFF2-40B4-BE49-F238E27FC236}">
                <a16:creationId xmlns:a16="http://schemas.microsoft.com/office/drawing/2014/main" id="{4513F9F2-A1A9-4005-A258-55C2BA5013A3}"/>
              </a:ext>
            </a:extLst>
          </xdr:cNvPr>
          <xdr:cNvSpPr>
            <a:spLocks noChangeArrowheads="1"/>
          </xdr:cNvSpPr>
        </xdr:nvSpPr>
        <xdr:spPr bwMode="auto">
          <a:xfrm>
            <a:off x="315" y="114"/>
            <a:ext cx="70" cy="7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6391" name="Line 7">
            <a:extLst>
              <a:ext uri="{FF2B5EF4-FFF2-40B4-BE49-F238E27FC236}">
                <a16:creationId xmlns:a16="http://schemas.microsoft.com/office/drawing/2014/main" id="{3DCE46A7-00CD-4BDB-A43F-C43BE83B8800}"/>
              </a:ext>
            </a:extLst>
          </xdr:cNvPr>
          <xdr:cNvSpPr>
            <a:spLocks noChangeShapeType="1"/>
          </xdr:cNvSpPr>
        </xdr:nvSpPr>
        <xdr:spPr bwMode="auto">
          <a:xfrm>
            <a:off x="315" y="150"/>
            <a:ext cx="6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392" name="Line 8">
            <a:extLst>
              <a:ext uri="{FF2B5EF4-FFF2-40B4-BE49-F238E27FC236}">
                <a16:creationId xmlns:a16="http://schemas.microsoft.com/office/drawing/2014/main" id="{654300DF-1F70-466D-8D21-0F91B6E13D82}"/>
              </a:ext>
            </a:extLst>
          </xdr:cNvPr>
          <xdr:cNvSpPr>
            <a:spLocks noChangeShapeType="1"/>
          </xdr:cNvSpPr>
        </xdr:nvSpPr>
        <xdr:spPr bwMode="auto">
          <a:xfrm rot="-5400000">
            <a:off x="315" y="149"/>
            <a:ext cx="6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6396" name="Group 12">
            <a:extLst>
              <a:ext uri="{FF2B5EF4-FFF2-40B4-BE49-F238E27FC236}">
                <a16:creationId xmlns:a16="http://schemas.microsoft.com/office/drawing/2014/main" id="{05BC3502-3165-4065-9D98-C224C6EA75DF}"/>
              </a:ext>
            </a:extLst>
          </xdr:cNvPr>
          <xdr:cNvGrpSpPr>
            <a:grpSpLocks/>
          </xdr:cNvGrpSpPr>
        </xdr:nvGrpSpPr>
        <xdr:grpSpPr bwMode="auto">
          <a:xfrm rot="-2700000">
            <a:off x="316" y="115"/>
            <a:ext cx="68" cy="69"/>
            <a:chOff x="324" y="165"/>
            <a:chExt cx="68" cy="68"/>
          </a:xfrm>
        </xdr:grpSpPr>
        <xdr:sp macro="" textlink="">
          <xdr:nvSpPr>
            <xdr:cNvPr id="16394" name="Line 10">
              <a:extLst>
                <a:ext uri="{FF2B5EF4-FFF2-40B4-BE49-F238E27FC236}">
                  <a16:creationId xmlns:a16="http://schemas.microsoft.com/office/drawing/2014/main" id="{3767C72A-09AA-4162-B638-180F2833C52C}"/>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395" name="Line 11">
              <a:extLst>
                <a:ext uri="{FF2B5EF4-FFF2-40B4-BE49-F238E27FC236}">
                  <a16:creationId xmlns:a16="http://schemas.microsoft.com/office/drawing/2014/main" id="{583D7BD4-3900-4624-82CE-D197ECCAA6E7}"/>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397" name="Group 13">
            <a:extLst>
              <a:ext uri="{FF2B5EF4-FFF2-40B4-BE49-F238E27FC236}">
                <a16:creationId xmlns:a16="http://schemas.microsoft.com/office/drawing/2014/main" id="{DD609B66-3E8B-4A96-8D39-CFD5DACA884B}"/>
              </a:ext>
            </a:extLst>
          </xdr:cNvPr>
          <xdr:cNvGrpSpPr>
            <a:grpSpLocks/>
          </xdr:cNvGrpSpPr>
        </xdr:nvGrpSpPr>
        <xdr:grpSpPr bwMode="auto">
          <a:xfrm rot="-3600000">
            <a:off x="315" y="116"/>
            <a:ext cx="69" cy="68"/>
            <a:chOff x="324" y="165"/>
            <a:chExt cx="68" cy="68"/>
          </a:xfrm>
        </xdr:grpSpPr>
        <xdr:sp macro="" textlink="">
          <xdr:nvSpPr>
            <xdr:cNvPr id="16398" name="Line 14">
              <a:extLst>
                <a:ext uri="{FF2B5EF4-FFF2-40B4-BE49-F238E27FC236}">
                  <a16:creationId xmlns:a16="http://schemas.microsoft.com/office/drawing/2014/main" id="{1FF88070-2B8B-462F-AD99-35722E1858C6}"/>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399" name="Line 15">
              <a:extLst>
                <a:ext uri="{FF2B5EF4-FFF2-40B4-BE49-F238E27FC236}">
                  <a16:creationId xmlns:a16="http://schemas.microsoft.com/office/drawing/2014/main" id="{711B321E-B977-4F80-A196-5E00BC948454}"/>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400" name="Group 16">
            <a:extLst>
              <a:ext uri="{FF2B5EF4-FFF2-40B4-BE49-F238E27FC236}">
                <a16:creationId xmlns:a16="http://schemas.microsoft.com/office/drawing/2014/main" id="{CDC268A2-32BD-4C78-BE50-79CF36D76316}"/>
              </a:ext>
            </a:extLst>
          </xdr:cNvPr>
          <xdr:cNvGrpSpPr>
            <a:grpSpLocks/>
          </xdr:cNvGrpSpPr>
        </xdr:nvGrpSpPr>
        <xdr:grpSpPr bwMode="auto">
          <a:xfrm rot="1800000">
            <a:off x="316" y="115"/>
            <a:ext cx="68" cy="69"/>
            <a:chOff x="324" y="165"/>
            <a:chExt cx="68" cy="68"/>
          </a:xfrm>
        </xdr:grpSpPr>
        <xdr:sp macro="" textlink="">
          <xdr:nvSpPr>
            <xdr:cNvPr id="16401" name="Line 17">
              <a:extLst>
                <a:ext uri="{FF2B5EF4-FFF2-40B4-BE49-F238E27FC236}">
                  <a16:creationId xmlns:a16="http://schemas.microsoft.com/office/drawing/2014/main" id="{76340E63-1EFB-4875-8F6A-1294A4566963}"/>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02" name="Line 18">
              <a:extLst>
                <a:ext uri="{FF2B5EF4-FFF2-40B4-BE49-F238E27FC236}">
                  <a16:creationId xmlns:a16="http://schemas.microsoft.com/office/drawing/2014/main" id="{F6295832-3DDF-4390-98F1-8614286F591E}"/>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403" name="Group 19">
            <a:extLst>
              <a:ext uri="{FF2B5EF4-FFF2-40B4-BE49-F238E27FC236}">
                <a16:creationId xmlns:a16="http://schemas.microsoft.com/office/drawing/2014/main" id="{A6637A55-0F3A-4465-B696-EEB80C79A738}"/>
              </a:ext>
            </a:extLst>
          </xdr:cNvPr>
          <xdr:cNvGrpSpPr>
            <a:grpSpLocks/>
          </xdr:cNvGrpSpPr>
        </xdr:nvGrpSpPr>
        <xdr:grpSpPr bwMode="auto">
          <a:xfrm rot="900000">
            <a:off x="316" y="115"/>
            <a:ext cx="68" cy="69"/>
            <a:chOff x="324" y="165"/>
            <a:chExt cx="68" cy="68"/>
          </a:xfrm>
        </xdr:grpSpPr>
        <xdr:sp macro="" textlink="">
          <xdr:nvSpPr>
            <xdr:cNvPr id="16404" name="Line 20">
              <a:extLst>
                <a:ext uri="{FF2B5EF4-FFF2-40B4-BE49-F238E27FC236}">
                  <a16:creationId xmlns:a16="http://schemas.microsoft.com/office/drawing/2014/main" id="{2A9584E8-705A-4EE2-B7DD-F4373B7C1FC3}"/>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05" name="Line 21">
              <a:extLst>
                <a:ext uri="{FF2B5EF4-FFF2-40B4-BE49-F238E27FC236}">
                  <a16:creationId xmlns:a16="http://schemas.microsoft.com/office/drawing/2014/main" id="{61FDBC7A-E7D0-485A-A35D-64269C8D9499}"/>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406" name="Group 22">
            <a:extLst>
              <a:ext uri="{FF2B5EF4-FFF2-40B4-BE49-F238E27FC236}">
                <a16:creationId xmlns:a16="http://schemas.microsoft.com/office/drawing/2014/main" id="{8B75E0DB-43EE-4845-96CE-D19E101196FC}"/>
              </a:ext>
            </a:extLst>
          </xdr:cNvPr>
          <xdr:cNvGrpSpPr>
            <a:grpSpLocks/>
          </xdr:cNvGrpSpPr>
        </xdr:nvGrpSpPr>
        <xdr:grpSpPr bwMode="auto">
          <a:xfrm rot="3600000">
            <a:off x="315" y="116"/>
            <a:ext cx="69" cy="68"/>
            <a:chOff x="324" y="165"/>
            <a:chExt cx="68" cy="68"/>
          </a:xfrm>
        </xdr:grpSpPr>
        <xdr:sp macro="" textlink="">
          <xdr:nvSpPr>
            <xdr:cNvPr id="16407" name="Line 23">
              <a:extLst>
                <a:ext uri="{FF2B5EF4-FFF2-40B4-BE49-F238E27FC236}">
                  <a16:creationId xmlns:a16="http://schemas.microsoft.com/office/drawing/2014/main" id="{5D5F4B3A-F3A7-4272-9C87-9AD56A0ADCFA}"/>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08" name="Line 24">
              <a:extLst>
                <a:ext uri="{FF2B5EF4-FFF2-40B4-BE49-F238E27FC236}">
                  <a16:creationId xmlns:a16="http://schemas.microsoft.com/office/drawing/2014/main" id="{4161FB75-CADE-4192-B6CF-00A1E546D220}"/>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409" name="Group 25">
            <a:extLst>
              <a:ext uri="{FF2B5EF4-FFF2-40B4-BE49-F238E27FC236}">
                <a16:creationId xmlns:a16="http://schemas.microsoft.com/office/drawing/2014/main" id="{11A6753D-3726-4400-937C-3921C419A113}"/>
              </a:ext>
            </a:extLst>
          </xdr:cNvPr>
          <xdr:cNvGrpSpPr>
            <a:grpSpLocks/>
          </xdr:cNvGrpSpPr>
        </xdr:nvGrpSpPr>
        <xdr:grpSpPr bwMode="auto">
          <a:xfrm rot="4500000">
            <a:off x="315" y="116"/>
            <a:ext cx="69" cy="68"/>
            <a:chOff x="324" y="165"/>
            <a:chExt cx="68" cy="68"/>
          </a:xfrm>
        </xdr:grpSpPr>
        <xdr:sp macro="" textlink="">
          <xdr:nvSpPr>
            <xdr:cNvPr id="16410" name="Line 26">
              <a:extLst>
                <a:ext uri="{FF2B5EF4-FFF2-40B4-BE49-F238E27FC236}">
                  <a16:creationId xmlns:a16="http://schemas.microsoft.com/office/drawing/2014/main" id="{FD890FAC-4661-4958-8CD2-7F69E08BB00E}"/>
                </a:ext>
              </a:extLst>
            </xdr:cNvPr>
            <xdr:cNvSpPr>
              <a:spLocks noChangeShapeType="1"/>
            </xdr:cNvSpPr>
          </xdr:nvSpPr>
          <xdr:spPr bwMode="auto">
            <a:xfrm>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11" name="Line 27">
              <a:extLst>
                <a:ext uri="{FF2B5EF4-FFF2-40B4-BE49-F238E27FC236}">
                  <a16:creationId xmlns:a16="http://schemas.microsoft.com/office/drawing/2014/main" id="{15856D60-3305-4F56-9FB5-3C15D61A3A04}"/>
                </a:ext>
              </a:extLst>
            </xdr:cNvPr>
            <xdr:cNvSpPr>
              <a:spLocks noChangeShapeType="1"/>
            </xdr:cNvSpPr>
          </xdr:nvSpPr>
          <xdr:spPr bwMode="auto">
            <a:xfrm rot="-5400000">
              <a:off x="324" y="199"/>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6393" name="Oval 9">
            <a:extLst>
              <a:ext uri="{FF2B5EF4-FFF2-40B4-BE49-F238E27FC236}">
                <a16:creationId xmlns:a16="http://schemas.microsoft.com/office/drawing/2014/main" id="{48776029-EE0F-45CC-86B2-3C98BEC6A0E9}"/>
              </a:ext>
            </a:extLst>
          </xdr:cNvPr>
          <xdr:cNvSpPr>
            <a:spLocks noChangeArrowheads="1"/>
          </xdr:cNvSpPr>
        </xdr:nvSpPr>
        <xdr:spPr bwMode="auto">
          <a:xfrm>
            <a:off x="320" y="119"/>
            <a:ext cx="59" cy="60"/>
          </a:xfrm>
          <a:prstGeom prst="ellipse">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13" name="Line 29">
            <a:extLst>
              <a:ext uri="{FF2B5EF4-FFF2-40B4-BE49-F238E27FC236}">
                <a16:creationId xmlns:a16="http://schemas.microsoft.com/office/drawing/2014/main" id="{AF686809-3D03-4E31-BD3D-92E58F5CDC58}"/>
              </a:ext>
            </a:extLst>
          </xdr:cNvPr>
          <xdr:cNvSpPr>
            <a:spLocks noChangeShapeType="1"/>
          </xdr:cNvSpPr>
        </xdr:nvSpPr>
        <xdr:spPr bwMode="auto">
          <a:xfrm rot="5400000" flipV="1">
            <a:off x="332" y="132"/>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16438" name="Text Box 54">
            <a:extLst>
              <a:ext uri="{FF2B5EF4-FFF2-40B4-BE49-F238E27FC236}">
                <a16:creationId xmlns:a16="http://schemas.microsoft.com/office/drawing/2014/main" id="{480644C1-E112-4F3D-BE29-897A53C9F7EE}"/>
              </a:ext>
            </a:extLst>
          </xdr:cNvPr>
          <xdr:cNvSpPr txBox="1">
            <a:spLocks noChangeArrowheads="1"/>
          </xdr:cNvSpPr>
        </xdr:nvSpPr>
        <xdr:spPr bwMode="auto">
          <a:xfrm>
            <a:off x="392" y="126"/>
            <a:ext cx="4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Radial</a:t>
            </a:r>
          </a:p>
        </xdr:txBody>
      </xdr:sp>
      <xdr:sp macro="" textlink="">
        <xdr:nvSpPr>
          <xdr:cNvPr id="16412" name="Oval 28">
            <a:extLst>
              <a:ext uri="{FF2B5EF4-FFF2-40B4-BE49-F238E27FC236}">
                <a16:creationId xmlns:a16="http://schemas.microsoft.com/office/drawing/2014/main" id="{3A13E8E4-9D10-475E-BF0D-C06E3F22E01F}"/>
              </a:ext>
            </a:extLst>
          </xdr:cNvPr>
          <xdr:cNvSpPr>
            <a:spLocks noChangeArrowheads="1"/>
          </xdr:cNvSpPr>
        </xdr:nvSpPr>
        <xdr:spPr bwMode="auto">
          <a:xfrm>
            <a:off x="346" y="146"/>
            <a:ext cx="8" cy="8"/>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8"/>
            </a:solidFill>
            <a:round/>
            <a:headEnd/>
            <a:tailEnd/>
          </a:ln>
        </xdr:spPr>
      </xdr:sp>
      <xdr:sp macro="" textlink="">
        <xdr:nvSpPr>
          <xdr:cNvPr id="16415" name="Line 31">
            <a:extLst>
              <a:ext uri="{FF2B5EF4-FFF2-40B4-BE49-F238E27FC236}">
                <a16:creationId xmlns:a16="http://schemas.microsoft.com/office/drawing/2014/main" id="{0400DEBB-70FE-4A45-9779-C5FBBD7803F9}"/>
              </a:ext>
            </a:extLst>
          </xdr:cNvPr>
          <xdr:cNvSpPr>
            <a:spLocks noChangeShapeType="1"/>
          </xdr:cNvSpPr>
        </xdr:nvSpPr>
        <xdr:spPr bwMode="auto">
          <a:xfrm flipV="1">
            <a:off x="350" y="95"/>
            <a:ext cx="93" cy="55"/>
          </a:xfrm>
          <a:prstGeom prst="line">
            <a:avLst/>
          </a:prstGeom>
          <a:noFill/>
          <a:ln w="952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pic>
        <xdr:nvPicPr>
          <xdr:cNvPr id="16417" name="Picture 33" descr="MCj02900370000[1]">
            <a:extLst>
              <a:ext uri="{FF2B5EF4-FFF2-40B4-BE49-F238E27FC236}">
                <a16:creationId xmlns:a16="http://schemas.microsoft.com/office/drawing/2014/main" id="{7ED6C0B6-9503-4732-A17E-4F7AE7F62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788057" flipV="1">
            <a:off x="394" y="85"/>
            <a:ext cx="51" cy="3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571500</xdr:colOff>
      <xdr:row>14</xdr:row>
      <xdr:rowOff>57150</xdr:rowOff>
    </xdr:from>
    <xdr:to>
      <xdr:col>10</xdr:col>
      <xdr:colOff>0</xdr:colOff>
      <xdr:row>19</xdr:row>
      <xdr:rowOff>85725</xdr:rowOff>
    </xdr:to>
    <xdr:sp macro="" textlink="">
      <xdr:nvSpPr>
        <xdr:cNvPr id="22548" name="AutoShape 20">
          <a:extLst>
            <a:ext uri="{FF2B5EF4-FFF2-40B4-BE49-F238E27FC236}">
              <a16:creationId xmlns:a16="http://schemas.microsoft.com/office/drawing/2014/main" id="{4D619429-1D7F-491C-9408-803D38257347}"/>
            </a:ext>
          </a:extLst>
        </xdr:cNvPr>
        <xdr:cNvSpPr>
          <a:spLocks noChangeArrowheads="1"/>
        </xdr:cNvSpPr>
      </xdr:nvSpPr>
      <xdr:spPr bwMode="auto">
        <a:xfrm>
          <a:off x="3000375" y="2105025"/>
          <a:ext cx="1162050" cy="809625"/>
        </a:xfrm>
        <a:prstGeom prst="cube">
          <a:avLst>
            <a:gd name="adj" fmla="val 21176"/>
          </a:avLst>
        </a:prstGeom>
        <a:gradFill rotWithShape="1">
          <a:gsLst>
            <a:gs pos="0">
              <a:srgbClr val="F8F8F8"/>
            </a:gs>
            <a:gs pos="100000">
              <a:srgbClr val="F8F8F8">
                <a:gamma/>
                <a:shade val="46275"/>
                <a:invGamma/>
              </a:srgbClr>
            </a:gs>
          </a:gsLst>
          <a:path path="rect">
            <a:fillToRect r="100000" b="100000"/>
          </a:path>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7</xdr:col>
      <xdr:colOff>142875</xdr:colOff>
      <xdr:row>17</xdr:row>
      <xdr:rowOff>0</xdr:rowOff>
    </xdr:from>
    <xdr:to>
      <xdr:col>8</xdr:col>
      <xdr:colOff>47625</xdr:colOff>
      <xdr:row>18</xdr:row>
      <xdr:rowOff>38100</xdr:rowOff>
    </xdr:to>
    <xdr:sp macro="" textlink="">
      <xdr:nvSpPr>
        <xdr:cNvPr id="22549" name="Text Box 21">
          <a:extLst>
            <a:ext uri="{FF2B5EF4-FFF2-40B4-BE49-F238E27FC236}">
              <a16:creationId xmlns:a16="http://schemas.microsoft.com/office/drawing/2014/main" id="{1EC52C3F-7CFD-46DD-B45A-C4F8BCCBC538}"/>
            </a:ext>
          </a:extLst>
        </xdr:cNvPr>
        <xdr:cNvSpPr txBox="1">
          <a:spLocks noChangeArrowheads="1"/>
        </xdr:cNvSpPr>
      </xdr:nvSpPr>
      <xdr:spPr bwMode="auto">
        <a:xfrm>
          <a:off x="2628900" y="2524125"/>
          <a:ext cx="4191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MX" sz="900" b="0" i="0" u="none" strike="noStrike" baseline="0">
              <a:solidFill>
                <a:srgbClr val="000000"/>
              </a:solidFill>
              <a:latin typeface="Arial"/>
              <a:cs typeface="Arial"/>
            </a:rPr>
            <a:t>b, n</a:t>
          </a:r>
        </a:p>
      </xdr:txBody>
    </xdr:sp>
    <xdr:clientData/>
  </xdr:twoCellAnchor>
  <xdr:oneCellAnchor>
    <xdr:from>
      <xdr:col>9</xdr:col>
      <xdr:colOff>714375</xdr:colOff>
      <xdr:row>18</xdr:row>
      <xdr:rowOff>95250</xdr:rowOff>
    </xdr:from>
    <xdr:ext cx="304800" cy="190500"/>
    <xdr:sp macro="" textlink="">
      <xdr:nvSpPr>
        <xdr:cNvPr id="22550" name="Text Box 22">
          <a:extLst>
            <a:ext uri="{FF2B5EF4-FFF2-40B4-BE49-F238E27FC236}">
              <a16:creationId xmlns:a16="http://schemas.microsoft.com/office/drawing/2014/main" id="{1FCEDB2A-7E1F-4E23-80EE-81606F7AB922}"/>
            </a:ext>
          </a:extLst>
        </xdr:cNvPr>
        <xdr:cNvSpPr txBox="1">
          <a:spLocks noChangeArrowheads="1"/>
        </xdr:cNvSpPr>
      </xdr:nvSpPr>
      <xdr:spPr bwMode="auto">
        <a:xfrm>
          <a:off x="4095750" y="2771775"/>
          <a:ext cx="3048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s-MX" sz="900" b="0" i="0" u="none" strike="noStrike" baseline="0">
              <a:solidFill>
                <a:srgbClr val="000000"/>
              </a:solidFill>
              <a:latin typeface="Arial"/>
              <a:cs typeface="Arial"/>
            </a:rPr>
            <a:t>a, m</a:t>
          </a:r>
        </a:p>
      </xdr:txBody>
    </xdr:sp>
    <xdr:clientData/>
  </xdr:oneCellAnchor>
  <xdr:twoCellAnchor editAs="oneCell">
    <xdr:from>
      <xdr:col>8</xdr:col>
      <xdr:colOff>161925</xdr:colOff>
      <xdr:row>19</xdr:row>
      <xdr:rowOff>133350</xdr:rowOff>
    </xdr:from>
    <xdr:to>
      <xdr:col>9</xdr:col>
      <xdr:colOff>66675</xdr:colOff>
      <xdr:row>21</xdr:row>
      <xdr:rowOff>9525</xdr:rowOff>
    </xdr:to>
    <xdr:sp macro="" textlink="">
      <xdr:nvSpPr>
        <xdr:cNvPr id="22551" name="Text Box 23">
          <a:extLst>
            <a:ext uri="{FF2B5EF4-FFF2-40B4-BE49-F238E27FC236}">
              <a16:creationId xmlns:a16="http://schemas.microsoft.com/office/drawing/2014/main" id="{A315CC1A-CB1A-4DB2-BDB5-0625C421EAEC}"/>
            </a:ext>
          </a:extLst>
        </xdr:cNvPr>
        <xdr:cNvSpPr txBox="1">
          <a:spLocks noChangeArrowheads="1"/>
        </xdr:cNvSpPr>
      </xdr:nvSpPr>
      <xdr:spPr bwMode="auto">
        <a:xfrm>
          <a:off x="3162300" y="2962275"/>
          <a:ext cx="28575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MX" sz="900" b="0" i="0" u="none" strike="noStrike" baseline="0">
              <a:solidFill>
                <a:srgbClr val="000000"/>
              </a:solidFill>
              <a:latin typeface="Arial"/>
              <a:cs typeface="Arial"/>
            </a:rPr>
            <a:t>c, p</a:t>
          </a:r>
        </a:p>
      </xdr:txBody>
    </xdr:sp>
    <xdr:clientData/>
  </xdr:twoCellAnchor>
  <xdr:oneCellAnchor>
    <xdr:from>
      <xdr:col>8</xdr:col>
      <xdr:colOff>342900</xdr:colOff>
      <xdr:row>16</xdr:row>
      <xdr:rowOff>95250</xdr:rowOff>
    </xdr:from>
    <xdr:ext cx="361950" cy="228600"/>
    <xdr:sp macro="" textlink="">
      <xdr:nvSpPr>
        <xdr:cNvPr id="22553" name="Text Box 25">
          <a:extLst>
            <a:ext uri="{FF2B5EF4-FFF2-40B4-BE49-F238E27FC236}">
              <a16:creationId xmlns:a16="http://schemas.microsoft.com/office/drawing/2014/main" id="{D3AADA94-3D4F-4D3B-8A97-6165EA7DF455}"/>
            </a:ext>
          </a:extLst>
        </xdr:cNvPr>
        <xdr:cNvSpPr txBox="1">
          <a:spLocks noChangeArrowheads="1"/>
        </xdr:cNvSpPr>
      </xdr:nvSpPr>
      <xdr:spPr bwMode="auto">
        <a:xfrm>
          <a:off x="3343275" y="2466975"/>
          <a:ext cx="3619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s-MX" sz="1100" b="1" i="0" u="none" strike="noStrike" baseline="0">
              <a:solidFill>
                <a:srgbClr val="FFFFFF"/>
              </a:solidFill>
              <a:latin typeface="Symbol"/>
            </a:rPr>
            <a:t>e, m</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7</xdr:col>
      <xdr:colOff>352425</xdr:colOff>
      <xdr:row>8</xdr:row>
      <xdr:rowOff>76200</xdr:rowOff>
    </xdr:from>
    <xdr:to>
      <xdr:col>8</xdr:col>
      <xdr:colOff>371475</xdr:colOff>
      <xdr:row>8</xdr:row>
      <xdr:rowOff>76200</xdr:rowOff>
    </xdr:to>
    <xdr:sp macro="" textlink="">
      <xdr:nvSpPr>
        <xdr:cNvPr id="17409" name="Line 1">
          <a:extLst>
            <a:ext uri="{FF2B5EF4-FFF2-40B4-BE49-F238E27FC236}">
              <a16:creationId xmlns:a16="http://schemas.microsoft.com/office/drawing/2014/main" id="{B38788E5-1149-41E6-9305-E43D24484796}"/>
            </a:ext>
          </a:extLst>
        </xdr:cNvPr>
        <xdr:cNvSpPr>
          <a:spLocks noChangeShapeType="1"/>
        </xdr:cNvSpPr>
      </xdr:nvSpPr>
      <xdr:spPr bwMode="auto">
        <a:xfrm>
          <a:off x="2895600" y="1133475"/>
          <a:ext cx="628650"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304800</xdr:colOff>
      <xdr:row>18</xdr:row>
      <xdr:rowOff>76200</xdr:rowOff>
    </xdr:from>
    <xdr:to>
      <xdr:col>7</xdr:col>
      <xdr:colOff>0</xdr:colOff>
      <xdr:row>19</xdr:row>
      <xdr:rowOff>123825</xdr:rowOff>
    </xdr:to>
    <xdr:sp macro="" textlink="">
      <xdr:nvSpPr>
        <xdr:cNvPr id="17411" name="Freeform 3">
          <a:extLst>
            <a:ext uri="{FF2B5EF4-FFF2-40B4-BE49-F238E27FC236}">
              <a16:creationId xmlns:a16="http://schemas.microsoft.com/office/drawing/2014/main" id="{1E9E3426-71ED-4A17-9150-94DE37EF41C2}"/>
            </a:ext>
          </a:extLst>
        </xdr:cNvPr>
        <xdr:cNvSpPr>
          <a:spLocks/>
        </xdr:cNvSpPr>
      </xdr:nvSpPr>
      <xdr:spPr bwMode="auto">
        <a:xfrm>
          <a:off x="2238375" y="2667000"/>
          <a:ext cx="304800" cy="200025"/>
        </a:xfrm>
        <a:custGeom>
          <a:avLst/>
          <a:gdLst>
            <a:gd name="T0" fmla="*/ 0 w 32"/>
            <a:gd name="T1" fmla="*/ 21 h 21"/>
            <a:gd name="T2" fmla="*/ 0 w 32"/>
            <a:gd name="T3" fmla="*/ 0 h 21"/>
            <a:gd name="T4" fmla="*/ 32 w 32"/>
            <a:gd name="T5" fmla="*/ 0 h 21"/>
          </a:gdLst>
          <a:ahLst/>
          <a:cxnLst>
            <a:cxn ang="0">
              <a:pos x="T0" y="T1"/>
            </a:cxn>
            <a:cxn ang="0">
              <a:pos x="T2" y="T3"/>
            </a:cxn>
            <a:cxn ang="0">
              <a:pos x="T4" y="T5"/>
            </a:cxn>
          </a:cxnLst>
          <a:rect l="0" t="0" r="r" b="b"/>
          <a:pathLst>
            <a:path w="32" h="21">
              <a:moveTo>
                <a:pt x="0" y="21"/>
              </a:moveTo>
              <a:lnTo>
                <a:pt x="0" y="0"/>
              </a:lnTo>
              <a:lnTo>
                <a:pt x="32"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238125</xdr:colOff>
      <xdr:row>18</xdr:row>
      <xdr:rowOff>76200</xdr:rowOff>
    </xdr:from>
    <xdr:to>
      <xdr:col>9</xdr:col>
      <xdr:colOff>266700</xdr:colOff>
      <xdr:row>18</xdr:row>
      <xdr:rowOff>76200</xdr:rowOff>
    </xdr:to>
    <xdr:sp macro="" textlink="">
      <xdr:nvSpPr>
        <xdr:cNvPr id="17414" name="Line 6">
          <a:extLst>
            <a:ext uri="{FF2B5EF4-FFF2-40B4-BE49-F238E27FC236}">
              <a16:creationId xmlns:a16="http://schemas.microsoft.com/office/drawing/2014/main" id="{A3A2F10C-2AC2-44FB-9E75-012D70AF93D7}"/>
            </a:ext>
          </a:extLst>
        </xdr:cNvPr>
        <xdr:cNvSpPr>
          <a:spLocks noChangeShapeType="1"/>
        </xdr:cNvSpPr>
      </xdr:nvSpPr>
      <xdr:spPr bwMode="auto">
        <a:xfrm>
          <a:off x="3390900" y="2667000"/>
          <a:ext cx="6381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333375</xdr:colOff>
      <xdr:row>6</xdr:row>
      <xdr:rowOff>66675</xdr:rowOff>
    </xdr:from>
    <xdr:to>
      <xdr:col>4</xdr:col>
      <xdr:colOff>333375</xdr:colOff>
      <xdr:row>15</xdr:row>
      <xdr:rowOff>38100</xdr:rowOff>
    </xdr:to>
    <xdr:sp macro="" textlink="">
      <xdr:nvSpPr>
        <xdr:cNvPr id="18433" name="Line 1">
          <a:extLst>
            <a:ext uri="{FF2B5EF4-FFF2-40B4-BE49-F238E27FC236}">
              <a16:creationId xmlns:a16="http://schemas.microsoft.com/office/drawing/2014/main" id="{127FC045-EE75-4A30-92FE-9D1979B084DB}"/>
            </a:ext>
          </a:extLst>
        </xdr:cNvPr>
        <xdr:cNvSpPr>
          <a:spLocks noChangeShapeType="1"/>
        </xdr:cNvSpPr>
      </xdr:nvSpPr>
      <xdr:spPr bwMode="auto">
        <a:xfrm>
          <a:off x="1371600" y="819150"/>
          <a:ext cx="0" cy="144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15</xdr:row>
      <xdr:rowOff>47625</xdr:rowOff>
    </xdr:from>
    <xdr:to>
      <xdr:col>4</xdr:col>
      <xdr:colOff>371475</xdr:colOff>
      <xdr:row>15</xdr:row>
      <xdr:rowOff>123825</xdr:rowOff>
    </xdr:to>
    <xdr:sp macro="" textlink="">
      <xdr:nvSpPr>
        <xdr:cNvPr id="18434" name="Oval 2">
          <a:extLst>
            <a:ext uri="{FF2B5EF4-FFF2-40B4-BE49-F238E27FC236}">
              <a16:creationId xmlns:a16="http://schemas.microsoft.com/office/drawing/2014/main" id="{D664EFBC-B3AE-4BB4-A320-FFA623C0CDA4}"/>
            </a:ext>
          </a:extLst>
        </xdr:cNvPr>
        <xdr:cNvSpPr>
          <a:spLocks noChangeArrowheads="1"/>
        </xdr:cNvSpPr>
      </xdr:nvSpPr>
      <xdr:spPr bwMode="auto">
        <a:xfrm>
          <a:off x="1333500" y="2276475"/>
          <a:ext cx="76200" cy="762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295275</xdr:colOff>
      <xdr:row>6</xdr:row>
      <xdr:rowOff>28575</xdr:rowOff>
    </xdr:from>
    <xdr:to>
      <xdr:col>4</xdr:col>
      <xdr:colOff>371475</xdr:colOff>
      <xdr:row>6</xdr:row>
      <xdr:rowOff>104775</xdr:rowOff>
    </xdr:to>
    <xdr:sp macro="" textlink="">
      <xdr:nvSpPr>
        <xdr:cNvPr id="18435" name="Oval 3">
          <a:extLst>
            <a:ext uri="{FF2B5EF4-FFF2-40B4-BE49-F238E27FC236}">
              <a16:creationId xmlns:a16="http://schemas.microsoft.com/office/drawing/2014/main" id="{8D54B6F1-6F71-4541-989F-19DB2FCE8988}"/>
            </a:ext>
          </a:extLst>
        </xdr:cNvPr>
        <xdr:cNvSpPr>
          <a:spLocks noChangeArrowheads="1"/>
        </xdr:cNvSpPr>
      </xdr:nvSpPr>
      <xdr:spPr bwMode="auto">
        <a:xfrm>
          <a:off x="1333500" y="781050"/>
          <a:ext cx="76200" cy="762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0</xdr:colOff>
      <xdr:row>10</xdr:row>
      <xdr:rowOff>47625</xdr:rowOff>
    </xdr:from>
    <xdr:to>
      <xdr:col>7</xdr:col>
      <xdr:colOff>76200</xdr:colOff>
      <xdr:row>10</xdr:row>
      <xdr:rowOff>123825</xdr:rowOff>
    </xdr:to>
    <xdr:sp macro="" textlink="">
      <xdr:nvSpPr>
        <xdr:cNvPr id="18436" name="Oval 4">
          <a:extLst>
            <a:ext uri="{FF2B5EF4-FFF2-40B4-BE49-F238E27FC236}">
              <a16:creationId xmlns:a16="http://schemas.microsoft.com/office/drawing/2014/main" id="{908072EF-82BF-430B-9812-C82D7D994D4A}"/>
            </a:ext>
          </a:extLst>
        </xdr:cNvPr>
        <xdr:cNvSpPr>
          <a:spLocks noChangeArrowheads="1"/>
        </xdr:cNvSpPr>
      </xdr:nvSpPr>
      <xdr:spPr bwMode="auto">
        <a:xfrm>
          <a:off x="2409825" y="1447800"/>
          <a:ext cx="76200" cy="762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333375</xdr:colOff>
      <xdr:row>10</xdr:row>
      <xdr:rowOff>85725</xdr:rowOff>
    </xdr:from>
    <xdr:to>
      <xdr:col>7</xdr:col>
      <xdr:colOff>0</xdr:colOff>
      <xdr:row>10</xdr:row>
      <xdr:rowOff>85725</xdr:rowOff>
    </xdr:to>
    <xdr:sp macro="" textlink="">
      <xdr:nvSpPr>
        <xdr:cNvPr id="18437" name="Line 5">
          <a:extLst>
            <a:ext uri="{FF2B5EF4-FFF2-40B4-BE49-F238E27FC236}">
              <a16:creationId xmlns:a16="http://schemas.microsoft.com/office/drawing/2014/main" id="{B01982B5-E0D0-41ED-B081-AAB06ACCF820}"/>
            </a:ext>
          </a:extLst>
        </xdr:cNvPr>
        <xdr:cNvSpPr>
          <a:spLocks noChangeShapeType="1"/>
        </xdr:cNvSpPr>
      </xdr:nvSpPr>
      <xdr:spPr bwMode="auto">
        <a:xfrm flipH="1">
          <a:off x="1371600" y="1485900"/>
          <a:ext cx="1038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10</xdr:row>
      <xdr:rowOff>47625</xdr:rowOff>
    </xdr:from>
    <xdr:to>
      <xdr:col>4</xdr:col>
      <xdr:colOff>371475</xdr:colOff>
      <xdr:row>10</xdr:row>
      <xdr:rowOff>123825</xdr:rowOff>
    </xdr:to>
    <xdr:sp macro="" textlink="">
      <xdr:nvSpPr>
        <xdr:cNvPr id="18438" name="Oval 6">
          <a:extLst>
            <a:ext uri="{FF2B5EF4-FFF2-40B4-BE49-F238E27FC236}">
              <a16:creationId xmlns:a16="http://schemas.microsoft.com/office/drawing/2014/main" id="{4C262BC2-AD9D-4B25-BB0D-814104CD6C9B}"/>
            </a:ext>
          </a:extLst>
        </xdr:cNvPr>
        <xdr:cNvSpPr>
          <a:spLocks noChangeArrowheads="1"/>
        </xdr:cNvSpPr>
      </xdr:nvSpPr>
      <xdr:spPr bwMode="auto">
        <a:xfrm>
          <a:off x="1333500" y="1447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8"/>
              </a:solidFill>
              <a:round/>
              <a:headEnd/>
              <a:tailEnd/>
            </a14:hiddenLine>
          </a:ext>
        </a:extLst>
      </xdr:spPr>
    </xdr:sp>
    <xdr:clientData/>
  </xdr:twoCellAnchor>
  <xdr:twoCellAnchor>
    <xdr:from>
      <xdr:col>4</xdr:col>
      <xdr:colOff>285750</xdr:colOff>
      <xdr:row>7</xdr:row>
      <xdr:rowOff>47625</xdr:rowOff>
    </xdr:from>
    <xdr:to>
      <xdr:col>4</xdr:col>
      <xdr:colOff>390525</xdr:colOff>
      <xdr:row>9</xdr:row>
      <xdr:rowOff>104775</xdr:rowOff>
    </xdr:to>
    <xdr:grpSp>
      <xdr:nvGrpSpPr>
        <xdr:cNvPr id="18441" name="Group 9">
          <a:extLst>
            <a:ext uri="{FF2B5EF4-FFF2-40B4-BE49-F238E27FC236}">
              <a16:creationId xmlns:a16="http://schemas.microsoft.com/office/drawing/2014/main" id="{5BE807EE-9207-4041-957B-1CFA3D0607B9}"/>
            </a:ext>
          </a:extLst>
        </xdr:cNvPr>
        <xdr:cNvGrpSpPr>
          <a:grpSpLocks/>
        </xdr:cNvGrpSpPr>
      </xdr:nvGrpSpPr>
      <xdr:grpSpPr bwMode="auto">
        <a:xfrm>
          <a:off x="1323975" y="962025"/>
          <a:ext cx="104775" cy="381000"/>
          <a:chOff x="721" y="16"/>
          <a:chExt cx="34" cy="135"/>
        </a:xfrm>
      </xdr:grpSpPr>
      <xdr:sp macro="" textlink="">
        <xdr:nvSpPr>
          <xdr:cNvPr id="18440" name="Rectangle 8">
            <a:extLst>
              <a:ext uri="{FF2B5EF4-FFF2-40B4-BE49-F238E27FC236}">
                <a16:creationId xmlns:a16="http://schemas.microsoft.com/office/drawing/2014/main" id="{5336123C-C0B2-44BC-9C13-8AAEBD2BA3A1}"/>
              </a:ext>
            </a:extLst>
          </xdr:cNvPr>
          <xdr:cNvSpPr>
            <a:spLocks noChangeArrowheads="1"/>
          </xdr:cNvSpPr>
        </xdr:nvSpPr>
        <xdr:spPr bwMode="auto">
          <a:xfrm>
            <a:off x="721" y="16"/>
            <a:ext cx="34" cy="13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8439" name="Freeform 7">
            <a:extLst>
              <a:ext uri="{FF2B5EF4-FFF2-40B4-BE49-F238E27FC236}">
                <a16:creationId xmlns:a16="http://schemas.microsoft.com/office/drawing/2014/main" id="{74C8D561-63DF-4C34-9F39-0DCCD60CBA0F}"/>
              </a:ext>
            </a:extLst>
          </xdr:cNvPr>
          <xdr:cNvSpPr>
            <a:spLocks/>
          </xdr:cNvSpPr>
        </xdr:nvSpPr>
        <xdr:spPr bwMode="auto">
          <a:xfrm>
            <a:off x="721" y="17"/>
            <a:ext cx="34" cy="134"/>
          </a:xfrm>
          <a:custGeom>
            <a:avLst/>
            <a:gdLst>
              <a:gd name="T0" fmla="*/ 17 w 34"/>
              <a:gd name="T1" fmla="*/ 0 h 134"/>
              <a:gd name="T2" fmla="*/ 34 w 34"/>
              <a:gd name="T3" fmla="*/ 15 h 134"/>
              <a:gd name="T4" fmla="*/ 0 w 34"/>
              <a:gd name="T5" fmla="*/ 49 h 134"/>
              <a:gd name="T6" fmla="*/ 34 w 34"/>
              <a:gd name="T7" fmla="*/ 83 h 134"/>
              <a:gd name="T8" fmla="*/ 0 w 34"/>
              <a:gd name="T9" fmla="*/ 117 h 134"/>
              <a:gd name="T10" fmla="*/ 17 w 34"/>
              <a:gd name="T11" fmla="*/ 134 h 134"/>
            </a:gdLst>
            <a:ahLst/>
            <a:cxnLst>
              <a:cxn ang="0">
                <a:pos x="T0" y="T1"/>
              </a:cxn>
              <a:cxn ang="0">
                <a:pos x="T2" y="T3"/>
              </a:cxn>
              <a:cxn ang="0">
                <a:pos x="T4" y="T5"/>
              </a:cxn>
              <a:cxn ang="0">
                <a:pos x="T6" y="T7"/>
              </a:cxn>
              <a:cxn ang="0">
                <a:pos x="T8" y="T9"/>
              </a:cxn>
              <a:cxn ang="0">
                <a:pos x="T10" y="T11"/>
              </a:cxn>
            </a:cxnLst>
            <a:rect l="0" t="0" r="r" b="b"/>
            <a:pathLst>
              <a:path w="34" h="134">
                <a:moveTo>
                  <a:pt x="17" y="0"/>
                </a:moveTo>
                <a:lnTo>
                  <a:pt x="34" y="15"/>
                </a:lnTo>
                <a:lnTo>
                  <a:pt x="0" y="49"/>
                </a:lnTo>
                <a:lnTo>
                  <a:pt x="34" y="83"/>
                </a:lnTo>
                <a:lnTo>
                  <a:pt x="0" y="117"/>
                </a:lnTo>
                <a:lnTo>
                  <a:pt x="17" y="134"/>
                </a:ln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twoCellAnchor>
    <xdr:from>
      <xdr:col>4</xdr:col>
      <xdr:colOff>285750</xdr:colOff>
      <xdr:row>11</xdr:row>
      <xdr:rowOff>66675</xdr:rowOff>
    </xdr:from>
    <xdr:to>
      <xdr:col>4</xdr:col>
      <xdr:colOff>390525</xdr:colOff>
      <xdr:row>13</xdr:row>
      <xdr:rowOff>123825</xdr:rowOff>
    </xdr:to>
    <xdr:grpSp>
      <xdr:nvGrpSpPr>
        <xdr:cNvPr id="18442" name="Group 10">
          <a:extLst>
            <a:ext uri="{FF2B5EF4-FFF2-40B4-BE49-F238E27FC236}">
              <a16:creationId xmlns:a16="http://schemas.microsoft.com/office/drawing/2014/main" id="{D23F2E2A-2273-4F45-A0DA-E8F035C01333}"/>
            </a:ext>
          </a:extLst>
        </xdr:cNvPr>
        <xdr:cNvGrpSpPr>
          <a:grpSpLocks/>
        </xdr:cNvGrpSpPr>
      </xdr:nvGrpSpPr>
      <xdr:grpSpPr bwMode="auto">
        <a:xfrm>
          <a:off x="1323975" y="1628775"/>
          <a:ext cx="104775" cy="381000"/>
          <a:chOff x="721" y="16"/>
          <a:chExt cx="34" cy="135"/>
        </a:xfrm>
      </xdr:grpSpPr>
      <xdr:sp macro="" textlink="">
        <xdr:nvSpPr>
          <xdr:cNvPr id="18443" name="Rectangle 11">
            <a:extLst>
              <a:ext uri="{FF2B5EF4-FFF2-40B4-BE49-F238E27FC236}">
                <a16:creationId xmlns:a16="http://schemas.microsoft.com/office/drawing/2014/main" id="{1E7D575E-9B26-4752-B664-BD530F979B53}"/>
              </a:ext>
            </a:extLst>
          </xdr:cNvPr>
          <xdr:cNvSpPr>
            <a:spLocks noChangeArrowheads="1"/>
          </xdr:cNvSpPr>
        </xdr:nvSpPr>
        <xdr:spPr bwMode="auto">
          <a:xfrm>
            <a:off x="721" y="16"/>
            <a:ext cx="34" cy="13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8444" name="Freeform 12">
            <a:extLst>
              <a:ext uri="{FF2B5EF4-FFF2-40B4-BE49-F238E27FC236}">
                <a16:creationId xmlns:a16="http://schemas.microsoft.com/office/drawing/2014/main" id="{0EF96029-0742-4455-BADC-AFE421325438}"/>
              </a:ext>
            </a:extLst>
          </xdr:cNvPr>
          <xdr:cNvSpPr>
            <a:spLocks/>
          </xdr:cNvSpPr>
        </xdr:nvSpPr>
        <xdr:spPr bwMode="auto">
          <a:xfrm>
            <a:off x="721" y="17"/>
            <a:ext cx="34" cy="134"/>
          </a:xfrm>
          <a:custGeom>
            <a:avLst/>
            <a:gdLst>
              <a:gd name="T0" fmla="*/ 17 w 34"/>
              <a:gd name="T1" fmla="*/ 0 h 134"/>
              <a:gd name="T2" fmla="*/ 34 w 34"/>
              <a:gd name="T3" fmla="*/ 15 h 134"/>
              <a:gd name="T4" fmla="*/ 0 w 34"/>
              <a:gd name="T5" fmla="*/ 49 h 134"/>
              <a:gd name="T6" fmla="*/ 34 w 34"/>
              <a:gd name="T7" fmla="*/ 83 h 134"/>
              <a:gd name="T8" fmla="*/ 0 w 34"/>
              <a:gd name="T9" fmla="*/ 117 h 134"/>
              <a:gd name="T10" fmla="*/ 17 w 34"/>
              <a:gd name="T11" fmla="*/ 134 h 134"/>
            </a:gdLst>
            <a:ahLst/>
            <a:cxnLst>
              <a:cxn ang="0">
                <a:pos x="T0" y="T1"/>
              </a:cxn>
              <a:cxn ang="0">
                <a:pos x="T2" y="T3"/>
              </a:cxn>
              <a:cxn ang="0">
                <a:pos x="T4" y="T5"/>
              </a:cxn>
              <a:cxn ang="0">
                <a:pos x="T6" y="T7"/>
              </a:cxn>
              <a:cxn ang="0">
                <a:pos x="T8" y="T9"/>
              </a:cxn>
              <a:cxn ang="0">
                <a:pos x="T10" y="T11"/>
              </a:cxn>
            </a:cxnLst>
            <a:rect l="0" t="0" r="r" b="b"/>
            <a:pathLst>
              <a:path w="34" h="134">
                <a:moveTo>
                  <a:pt x="17" y="0"/>
                </a:moveTo>
                <a:lnTo>
                  <a:pt x="34" y="15"/>
                </a:lnTo>
                <a:lnTo>
                  <a:pt x="0" y="49"/>
                </a:lnTo>
                <a:lnTo>
                  <a:pt x="34" y="83"/>
                </a:lnTo>
                <a:lnTo>
                  <a:pt x="0" y="117"/>
                </a:lnTo>
                <a:lnTo>
                  <a:pt x="17" y="134"/>
                </a:ln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twoCellAnchor>
    <xdr:from>
      <xdr:col>5</xdr:col>
      <xdr:colOff>323850</xdr:colOff>
      <xdr:row>10</xdr:row>
      <xdr:rowOff>85725</xdr:rowOff>
    </xdr:from>
    <xdr:to>
      <xdr:col>5</xdr:col>
      <xdr:colOff>323850</xdr:colOff>
      <xdr:row>14</xdr:row>
      <xdr:rowOff>95250</xdr:rowOff>
    </xdr:to>
    <xdr:sp macro="" textlink="">
      <xdr:nvSpPr>
        <xdr:cNvPr id="18445" name="Line 13">
          <a:extLst>
            <a:ext uri="{FF2B5EF4-FFF2-40B4-BE49-F238E27FC236}">
              <a16:creationId xmlns:a16="http://schemas.microsoft.com/office/drawing/2014/main" id="{00D7A4AA-D6F1-4D2E-88CD-514CB4BAFDFD}"/>
            </a:ext>
          </a:extLst>
        </xdr:cNvPr>
        <xdr:cNvSpPr>
          <a:spLocks noChangeShapeType="1"/>
        </xdr:cNvSpPr>
      </xdr:nvSpPr>
      <xdr:spPr bwMode="auto">
        <a:xfrm>
          <a:off x="1971675" y="1485900"/>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11</xdr:row>
      <xdr:rowOff>76200</xdr:rowOff>
    </xdr:from>
    <xdr:to>
      <xdr:col>6</xdr:col>
      <xdr:colOff>0</xdr:colOff>
      <xdr:row>13</xdr:row>
      <xdr:rowOff>133350</xdr:rowOff>
    </xdr:to>
    <xdr:grpSp>
      <xdr:nvGrpSpPr>
        <xdr:cNvPr id="18447" name="Group 15">
          <a:extLst>
            <a:ext uri="{FF2B5EF4-FFF2-40B4-BE49-F238E27FC236}">
              <a16:creationId xmlns:a16="http://schemas.microsoft.com/office/drawing/2014/main" id="{6DDF04B0-BA7F-420D-AC60-BEA50B7150F1}"/>
            </a:ext>
          </a:extLst>
        </xdr:cNvPr>
        <xdr:cNvGrpSpPr>
          <a:grpSpLocks/>
        </xdr:cNvGrpSpPr>
      </xdr:nvGrpSpPr>
      <xdr:grpSpPr bwMode="auto">
        <a:xfrm>
          <a:off x="1924050" y="1638300"/>
          <a:ext cx="104775" cy="381000"/>
          <a:chOff x="721" y="16"/>
          <a:chExt cx="34" cy="135"/>
        </a:xfrm>
      </xdr:grpSpPr>
      <xdr:sp macro="" textlink="">
        <xdr:nvSpPr>
          <xdr:cNvPr id="18448" name="Rectangle 16">
            <a:extLst>
              <a:ext uri="{FF2B5EF4-FFF2-40B4-BE49-F238E27FC236}">
                <a16:creationId xmlns:a16="http://schemas.microsoft.com/office/drawing/2014/main" id="{D6209562-AB06-4B33-9A1F-F5E78C8B33D7}"/>
              </a:ext>
            </a:extLst>
          </xdr:cNvPr>
          <xdr:cNvSpPr>
            <a:spLocks noChangeArrowheads="1"/>
          </xdr:cNvSpPr>
        </xdr:nvSpPr>
        <xdr:spPr bwMode="auto">
          <a:xfrm>
            <a:off x="721" y="16"/>
            <a:ext cx="34" cy="13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8449" name="Freeform 17">
            <a:extLst>
              <a:ext uri="{FF2B5EF4-FFF2-40B4-BE49-F238E27FC236}">
                <a16:creationId xmlns:a16="http://schemas.microsoft.com/office/drawing/2014/main" id="{9931217F-1ECF-4E1D-B015-BD7B13BB47B6}"/>
              </a:ext>
            </a:extLst>
          </xdr:cNvPr>
          <xdr:cNvSpPr>
            <a:spLocks/>
          </xdr:cNvSpPr>
        </xdr:nvSpPr>
        <xdr:spPr bwMode="auto">
          <a:xfrm>
            <a:off x="721" y="17"/>
            <a:ext cx="34" cy="134"/>
          </a:xfrm>
          <a:custGeom>
            <a:avLst/>
            <a:gdLst>
              <a:gd name="T0" fmla="*/ 17 w 34"/>
              <a:gd name="T1" fmla="*/ 0 h 134"/>
              <a:gd name="T2" fmla="*/ 34 w 34"/>
              <a:gd name="T3" fmla="*/ 15 h 134"/>
              <a:gd name="T4" fmla="*/ 0 w 34"/>
              <a:gd name="T5" fmla="*/ 49 h 134"/>
              <a:gd name="T6" fmla="*/ 34 w 34"/>
              <a:gd name="T7" fmla="*/ 83 h 134"/>
              <a:gd name="T8" fmla="*/ 0 w 34"/>
              <a:gd name="T9" fmla="*/ 117 h 134"/>
              <a:gd name="T10" fmla="*/ 17 w 34"/>
              <a:gd name="T11" fmla="*/ 134 h 134"/>
            </a:gdLst>
            <a:ahLst/>
            <a:cxnLst>
              <a:cxn ang="0">
                <a:pos x="T0" y="T1"/>
              </a:cxn>
              <a:cxn ang="0">
                <a:pos x="T2" y="T3"/>
              </a:cxn>
              <a:cxn ang="0">
                <a:pos x="T4" y="T5"/>
              </a:cxn>
              <a:cxn ang="0">
                <a:pos x="T6" y="T7"/>
              </a:cxn>
              <a:cxn ang="0">
                <a:pos x="T8" y="T9"/>
              </a:cxn>
              <a:cxn ang="0">
                <a:pos x="T10" y="T11"/>
              </a:cxn>
            </a:cxnLst>
            <a:rect l="0" t="0" r="r" b="b"/>
            <a:pathLst>
              <a:path w="34" h="134">
                <a:moveTo>
                  <a:pt x="17" y="0"/>
                </a:moveTo>
                <a:lnTo>
                  <a:pt x="34" y="15"/>
                </a:lnTo>
                <a:lnTo>
                  <a:pt x="0" y="49"/>
                </a:lnTo>
                <a:lnTo>
                  <a:pt x="34" y="83"/>
                </a:lnTo>
                <a:lnTo>
                  <a:pt x="0" y="117"/>
                </a:lnTo>
                <a:lnTo>
                  <a:pt x="17" y="134"/>
                </a:ln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twoCellAnchor>
    <xdr:from>
      <xdr:col>5</xdr:col>
      <xdr:colOff>285750</xdr:colOff>
      <xdr:row>10</xdr:row>
      <xdr:rowOff>47625</xdr:rowOff>
    </xdr:from>
    <xdr:to>
      <xdr:col>5</xdr:col>
      <xdr:colOff>361950</xdr:colOff>
      <xdr:row>10</xdr:row>
      <xdr:rowOff>123825</xdr:rowOff>
    </xdr:to>
    <xdr:sp macro="" textlink="">
      <xdr:nvSpPr>
        <xdr:cNvPr id="18450" name="Oval 18">
          <a:extLst>
            <a:ext uri="{FF2B5EF4-FFF2-40B4-BE49-F238E27FC236}">
              <a16:creationId xmlns:a16="http://schemas.microsoft.com/office/drawing/2014/main" id="{404BBF2C-774A-4DAF-A6F4-D50C5268F0EE}"/>
            </a:ext>
          </a:extLst>
        </xdr:cNvPr>
        <xdr:cNvSpPr>
          <a:spLocks noChangeArrowheads="1"/>
        </xdr:cNvSpPr>
      </xdr:nvSpPr>
      <xdr:spPr bwMode="auto">
        <a:xfrm>
          <a:off x="1933575" y="1447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8"/>
              </a:solidFill>
              <a:round/>
              <a:headEnd/>
              <a:tailEnd/>
            </a14:hiddenLine>
          </a:ext>
        </a:extLst>
      </xdr:spPr>
    </xdr:sp>
    <xdr:clientData/>
  </xdr:twoCellAnchor>
  <xdr:twoCellAnchor>
    <xdr:from>
      <xdr:col>4</xdr:col>
      <xdr:colOff>333375</xdr:colOff>
      <xdr:row>14</xdr:row>
      <xdr:rowOff>95250</xdr:rowOff>
    </xdr:from>
    <xdr:to>
      <xdr:col>5</xdr:col>
      <xdr:colOff>314325</xdr:colOff>
      <xdr:row>14</xdr:row>
      <xdr:rowOff>95250</xdr:rowOff>
    </xdr:to>
    <xdr:sp macro="" textlink="">
      <xdr:nvSpPr>
        <xdr:cNvPr id="18451" name="Line 19">
          <a:extLst>
            <a:ext uri="{FF2B5EF4-FFF2-40B4-BE49-F238E27FC236}">
              <a16:creationId xmlns:a16="http://schemas.microsoft.com/office/drawing/2014/main" id="{03C6FDD6-DABE-49F2-9BF7-5DAB9826B91C}"/>
            </a:ext>
          </a:extLst>
        </xdr:cNvPr>
        <xdr:cNvSpPr>
          <a:spLocks noChangeShapeType="1"/>
        </xdr:cNvSpPr>
      </xdr:nvSpPr>
      <xdr:spPr bwMode="auto">
        <a:xfrm flipH="1">
          <a:off x="1371600" y="2162175"/>
          <a:ext cx="590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14</xdr:row>
      <xdr:rowOff>57150</xdr:rowOff>
    </xdr:from>
    <xdr:to>
      <xdr:col>4</xdr:col>
      <xdr:colOff>371475</xdr:colOff>
      <xdr:row>14</xdr:row>
      <xdr:rowOff>133350</xdr:rowOff>
    </xdr:to>
    <xdr:sp macro="" textlink="">
      <xdr:nvSpPr>
        <xdr:cNvPr id="18452" name="Oval 20">
          <a:extLst>
            <a:ext uri="{FF2B5EF4-FFF2-40B4-BE49-F238E27FC236}">
              <a16:creationId xmlns:a16="http://schemas.microsoft.com/office/drawing/2014/main" id="{3A70DE7A-5BB2-46D8-B1D2-F950522A08D4}"/>
            </a:ext>
          </a:extLst>
        </xdr:cNvPr>
        <xdr:cNvSpPr>
          <a:spLocks noChangeArrowheads="1"/>
        </xdr:cNvSpPr>
      </xdr:nvSpPr>
      <xdr:spPr bwMode="auto">
        <a:xfrm>
          <a:off x="1333500" y="212407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8"/>
              </a:solidFill>
              <a:round/>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9</xdr:row>
      <xdr:rowOff>47625</xdr:rowOff>
    </xdr:from>
    <xdr:to>
      <xdr:col>9</xdr:col>
      <xdr:colOff>304800</xdr:colOff>
      <xdr:row>13</xdr:row>
      <xdr:rowOff>123825</xdr:rowOff>
    </xdr:to>
    <xdr:grpSp>
      <xdr:nvGrpSpPr>
        <xdr:cNvPr id="4147" name="Group 51">
          <a:extLst>
            <a:ext uri="{FF2B5EF4-FFF2-40B4-BE49-F238E27FC236}">
              <a16:creationId xmlns:a16="http://schemas.microsoft.com/office/drawing/2014/main" id="{4AC25E7D-F3F2-43E4-9BAF-193DA1C9DE2B}"/>
            </a:ext>
          </a:extLst>
        </xdr:cNvPr>
        <xdr:cNvGrpSpPr>
          <a:grpSpLocks/>
        </xdr:cNvGrpSpPr>
      </xdr:nvGrpSpPr>
      <xdr:grpSpPr bwMode="auto">
        <a:xfrm>
          <a:off x="952500" y="1162050"/>
          <a:ext cx="2667000" cy="723900"/>
          <a:chOff x="96" y="111"/>
          <a:chExt cx="280" cy="76"/>
        </a:xfrm>
      </xdr:grpSpPr>
      <xdr:sp macro="" textlink="">
        <xdr:nvSpPr>
          <xdr:cNvPr id="4098" name="Freeform 2">
            <a:extLst>
              <a:ext uri="{FF2B5EF4-FFF2-40B4-BE49-F238E27FC236}">
                <a16:creationId xmlns:a16="http://schemas.microsoft.com/office/drawing/2014/main" id="{7E6DFE88-3582-4315-88CD-ADAB53C4809E}"/>
              </a:ext>
            </a:extLst>
          </xdr:cNvPr>
          <xdr:cNvSpPr>
            <a:spLocks/>
          </xdr:cNvSpPr>
        </xdr:nvSpPr>
        <xdr:spPr bwMode="auto">
          <a:xfrm>
            <a:off x="96" y="115"/>
            <a:ext cx="43" cy="25"/>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00" name="Freeform 4">
            <a:extLst>
              <a:ext uri="{FF2B5EF4-FFF2-40B4-BE49-F238E27FC236}">
                <a16:creationId xmlns:a16="http://schemas.microsoft.com/office/drawing/2014/main" id="{A0F6B391-41B9-49D9-970B-497CEA049022}"/>
              </a:ext>
            </a:extLst>
          </xdr:cNvPr>
          <xdr:cNvSpPr>
            <a:spLocks/>
          </xdr:cNvSpPr>
        </xdr:nvSpPr>
        <xdr:spPr bwMode="auto">
          <a:xfrm flipH="1">
            <a:off x="332" y="115"/>
            <a:ext cx="44" cy="25"/>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01" name="Line 5">
            <a:extLst>
              <a:ext uri="{FF2B5EF4-FFF2-40B4-BE49-F238E27FC236}">
                <a16:creationId xmlns:a16="http://schemas.microsoft.com/office/drawing/2014/main" id="{05F021F7-4767-4A8D-8528-8BA4E58DBB8B}"/>
              </a:ext>
            </a:extLst>
          </xdr:cNvPr>
          <xdr:cNvSpPr>
            <a:spLocks noChangeShapeType="1"/>
          </xdr:cNvSpPr>
        </xdr:nvSpPr>
        <xdr:spPr bwMode="auto">
          <a:xfrm>
            <a:off x="204" y="115"/>
            <a:ext cx="64"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03" name="Freeform 7">
            <a:extLst>
              <a:ext uri="{FF2B5EF4-FFF2-40B4-BE49-F238E27FC236}">
                <a16:creationId xmlns:a16="http://schemas.microsoft.com/office/drawing/2014/main" id="{82B4DBD5-E679-4E80-A654-738CBE43E276}"/>
              </a:ext>
            </a:extLst>
          </xdr:cNvPr>
          <xdr:cNvSpPr>
            <a:spLocks/>
          </xdr:cNvSpPr>
        </xdr:nvSpPr>
        <xdr:spPr bwMode="auto">
          <a:xfrm flipV="1">
            <a:off x="96" y="157"/>
            <a:ext cx="126" cy="27"/>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04" name="Freeform 8">
            <a:extLst>
              <a:ext uri="{FF2B5EF4-FFF2-40B4-BE49-F238E27FC236}">
                <a16:creationId xmlns:a16="http://schemas.microsoft.com/office/drawing/2014/main" id="{D0A66BA0-EB4B-4750-81F3-F54D77146844}"/>
              </a:ext>
            </a:extLst>
          </xdr:cNvPr>
          <xdr:cNvSpPr>
            <a:spLocks/>
          </xdr:cNvSpPr>
        </xdr:nvSpPr>
        <xdr:spPr bwMode="auto">
          <a:xfrm flipH="1" flipV="1">
            <a:off x="221" y="157"/>
            <a:ext cx="155" cy="27"/>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06" name="Line 10">
            <a:extLst>
              <a:ext uri="{FF2B5EF4-FFF2-40B4-BE49-F238E27FC236}">
                <a16:creationId xmlns:a16="http://schemas.microsoft.com/office/drawing/2014/main" id="{69CA1E06-4A3D-465C-87EC-0571495CC4EF}"/>
              </a:ext>
            </a:extLst>
          </xdr:cNvPr>
          <xdr:cNvSpPr>
            <a:spLocks noChangeShapeType="1"/>
          </xdr:cNvSpPr>
        </xdr:nvSpPr>
        <xdr:spPr bwMode="auto">
          <a:xfrm>
            <a:off x="236" y="115"/>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08" name="Oval 12">
            <a:extLst>
              <a:ext uri="{FF2B5EF4-FFF2-40B4-BE49-F238E27FC236}">
                <a16:creationId xmlns:a16="http://schemas.microsoft.com/office/drawing/2014/main" id="{68054BAF-2D0C-4C26-BDC1-9758777E6C94}"/>
              </a:ext>
            </a:extLst>
          </xdr:cNvPr>
          <xdr:cNvSpPr>
            <a:spLocks noChangeArrowheads="1"/>
          </xdr:cNvSpPr>
        </xdr:nvSpPr>
        <xdr:spPr bwMode="auto">
          <a:xfrm>
            <a:off x="232" y="111"/>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sp macro="" textlink="">
        <xdr:nvSpPr>
          <xdr:cNvPr id="4107" name="Line 11">
            <a:extLst>
              <a:ext uri="{FF2B5EF4-FFF2-40B4-BE49-F238E27FC236}">
                <a16:creationId xmlns:a16="http://schemas.microsoft.com/office/drawing/2014/main" id="{DD6D4855-E806-4DD9-81F5-2EB6693B348E}"/>
              </a:ext>
            </a:extLst>
          </xdr:cNvPr>
          <xdr:cNvSpPr>
            <a:spLocks noChangeShapeType="1"/>
          </xdr:cNvSpPr>
        </xdr:nvSpPr>
        <xdr:spPr bwMode="auto">
          <a:xfrm>
            <a:off x="236" y="157"/>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09" name="Oval 13">
            <a:extLst>
              <a:ext uri="{FF2B5EF4-FFF2-40B4-BE49-F238E27FC236}">
                <a16:creationId xmlns:a16="http://schemas.microsoft.com/office/drawing/2014/main" id="{43CD2F19-0DA7-4DE1-AA84-590F5DA3B700}"/>
              </a:ext>
            </a:extLst>
          </xdr:cNvPr>
          <xdr:cNvSpPr>
            <a:spLocks noChangeArrowheads="1"/>
          </xdr:cNvSpPr>
        </xdr:nvSpPr>
        <xdr:spPr bwMode="auto">
          <a:xfrm>
            <a:off x="232" y="179"/>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grpSp>
    <xdr:clientData/>
  </xdr:twoCellAnchor>
  <xdr:twoCellAnchor>
    <xdr:from>
      <xdr:col>3</xdr:col>
      <xdr:colOff>304800</xdr:colOff>
      <xdr:row>19</xdr:row>
      <xdr:rowOff>38100</xdr:rowOff>
    </xdr:from>
    <xdr:to>
      <xdr:col>9</xdr:col>
      <xdr:colOff>304800</xdr:colOff>
      <xdr:row>23</xdr:row>
      <xdr:rowOff>123825</xdr:rowOff>
    </xdr:to>
    <xdr:grpSp>
      <xdr:nvGrpSpPr>
        <xdr:cNvPr id="4146" name="Group 50">
          <a:extLst>
            <a:ext uri="{FF2B5EF4-FFF2-40B4-BE49-F238E27FC236}">
              <a16:creationId xmlns:a16="http://schemas.microsoft.com/office/drawing/2014/main" id="{D20E0F85-205E-48EE-B7FE-BA9F71B043BA}"/>
            </a:ext>
          </a:extLst>
        </xdr:cNvPr>
        <xdr:cNvGrpSpPr>
          <a:grpSpLocks/>
        </xdr:cNvGrpSpPr>
      </xdr:nvGrpSpPr>
      <xdr:grpSpPr bwMode="auto">
        <a:xfrm>
          <a:off x="952500" y="2514600"/>
          <a:ext cx="2667000" cy="733425"/>
          <a:chOff x="96" y="253"/>
          <a:chExt cx="280" cy="77"/>
        </a:xfrm>
      </xdr:grpSpPr>
      <xdr:sp macro="" textlink="">
        <xdr:nvSpPr>
          <xdr:cNvPr id="4124" name="Freeform 28">
            <a:extLst>
              <a:ext uri="{FF2B5EF4-FFF2-40B4-BE49-F238E27FC236}">
                <a16:creationId xmlns:a16="http://schemas.microsoft.com/office/drawing/2014/main" id="{90493B03-D0D7-4A07-975A-90423785AA12}"/>
              </a:ext>
            </a:extLst>
          </xdr:cNvPr>
          <xdr:cNvSpPr>
            <a:spLocks/>
          </xdr:cNvSpPr>
        </xdr:nvSpPr>
        <xdr:spPr bwMode="auto">
          <a:xfrm>
            <a:off x="96" y="257"/>
            <a:ext cx="108" cy="26"/>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25" name="Freeform 29">
            <a:extLst>
              <a:ext uri="{FF2B5EF4-FFF2-40B4-BE49-F238E27FC236}">
                <a16:creationId xmlns:a16="http://schemas.microsoft.com/office/drawing/2014/main" id="{E03E96ED-C5FB-4604-8F25-DFCD9AA7114E}"/>
              </a:ext>
            </a:extLst>
          </xdr:cNvPr>
          <xdr:cNvSpPr>
            <a:spLocks/>
          </xdr:cNvSpPr>
        </xdr:nvSpPr>
        <xdr:spPr bwMode="auto">
          <a:xfrm flipH="1">
            <a:off x="268" y="257"/>
            <a:ext cx="108" cy="26"/>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30" name="Freeform 34">
            <a:extLst>
              <a:ext uri="{FF2B5EF4-FFF2-40B4-BE49-F238E27FC236}">
                <a16:creationId xmlns:a16="http://schemas.microsoft.com/office/drawing/2014/main" id="{B0114C1E-FB01-45DC-8160-58D1E6005EA1}"/>
              </a:ext>
            </a:extLst>
          </xdr:cNvPr>
          <xdr:cNvSpPr>
            <a:spLocks/>
          </xdr:cNvSpPr>
        </xdr:nvSpPr>
        <xdr:spPr bwMode="auto">
          <a:xfrm flipV="1">
            <a:off x="96" y="300"/>
            <a:ext cx="138" cy="26"/>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31" name="Freeform 35">
            <a:extLst>
              <a:ext uri="{FF2B5EF4-FFF2-40B4-BE49-F238E27FC236}">
                <a16:creationId xmlns:a16="http://schemas.microsoft.com/office/drawing/2014/main" id="{9FE90643-D49B-43B4-BF78-E7FF63E40D98}"/>
              </a:ext>
            </a:extLst>
          </xdr:cNvPr>
          <xdr:cNvSpPr>
            <a:spLocks/>
          </xdr:cNvSpPr>
        </xdr:nvSpPr>
        <xdr:spPr bwMode="auto">
          <a:xfrm flipH="1" flipV="1">
            <a:off x="233" y="300"/>
            <a:ext cx="143" cy="26"/>
          </a:xfrm>
          <a:custGeom>
            <a:avLst/>
            <a:gdLst>
              <a:gd name="T0" fmla="*/ 48 w 48"/>
              <a:gd name="T1" fmla="*/ 0 h 22"/>
              <a:gd name="T2" fmla="*/ 0 w 48"/>
              <a:gd name="T3" fmla="*/ 0 h 22"/>
              <a:gd name="T4" fmla="*/ 0 w 48"/>
              <a:gd name="T5" fmla="*/ 22 h 22"/>
            </a:gdLst>
            <a:ahLst/>
            <a:cxnLst>
              <a:cxn ang="0">
                <a:pos x="T0" y="T1"/>
              </a:cxn>
              <a:cxn ang="0">
                <a:pos x="T2" y="T3"/>
              </a:cxn>
              <a:cxn ang="0">
                <a:pos x="T4" y="T5"/>
              </a:cxn>
            </a:cxnLst>
            <a:rect l="0" t="0" r="r" b="b"/>
            <a:pathLst>
              <a:path w="48" h="22">
                <a:moveTo>
                  <a:pt x="48" y="0"/>
                </a:moveTo>
                <a:lnTo>
                  <a:pt x="0" y="0"/>
                </a:lnTo>
                <a:lnTo>
                  <a:pt x="0" y="22"/>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127" name="Line 31">
            <a:extLst>
              <a:ext uri="{FF2B5EF4-FFF2-40B4-BE49-F238E27FC236}">
                <a16:creationId xmlns:a16="http://schemas.microsoft.com/office/drawing/2014/main" id="{3B38897C-1AEB-433B-987A-808D5040B236}"/>
              </a:ext>
            </a:extLst>
          </xdr:cNvPr>
          <xdr:cNvSpPr>
            <a:spLocks noChangeShapeType="1"/>
          </xdr:cNvSpPr>
        </xdr:nvSpPr>
        <xdr:spPr bwMode="auto">
          <a:xfrm>
            <a:off x="172" y="258"/>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28" name="Oval 32">
            <a:extLst>
              <a:ext uri="{FF2B5EF4-FFF2-40B4-BE49-F238E27FC236}">
                <a16:creationId xmlns:a16="http://schemas.microsoft.com/office/drawing/2014/main" id="{2B4DB961-4AA1-4CC4-8A25-C1DA13F10EA1}"/>
              </a:ext>
            </a:extLst>
          </xdr:cNvPr>
          <xdr:cNvSpPr>
            <a:spLocks noChangeArrowheads="1"/>
          </xdr:cNvSpPr>
        </xdr:nvSpPr>
        <xdr:spPr bwMode="auto">
          <a:xfrm>
            <a:off x="168" y="253"/>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sp macro="" textlink="">
        <xdr:nvSpPr>
          <xdr:cNvPr id="4132" name="Line 36">
            <a:extLst>
              <a:ext uri="{FF2B5EF4-FFF2-40B4-BE49-F238E27FC236}">
                <a16:creationId xmlns:a16="http://schemas.microsoft.com/office/drawing/2014/main" id="{8C4EFDA0-E94D-4731-9568-6A7808B7A0DF}"/>
              </a:ext>
            </a:extLst>
          </xdr:cNvPr>
          <xdr:cNvSpPr>
            <a:spLocks noChangeShapeType="1"/>
          </xdr:cNvSpPr>
        </xdr:nvSpPr>
        <xdr:spPr bwMode="auto">
          <a:xfrm>
            <a:off x="172" y="300"/>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33" name="Oval 37">
            <a:extLst>
              <a:ext uri="{FF2B5EF4-FFF2-40B4-BE49-F238E27FC236}">
                <a16:creationId xmlns:a16="http://schemas.microsoft.com/office/drawing/2014/main" id="{5B55D111-B0A9-4687-AE01-6499631E4642}"/>
              </a:ext>
            </a:extLst>
          </xdr:cNvPr>
          <xdr:cNvSpPr>
            <a:spLocks noChangeArrowheads="1"/>
          </xdr:cNvSpPr>
        </xdr:nvSpPr>
        <xdr:spPr bwMode="auto">
          <a:xfrm>
            <a:off x="168" y="322"/>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sp macro="" textlink="">
        <xdr:nvSpPr>
          <xdr:cNvPr id="4138" name="Line 42">
            <a:extLst>
              <a:ext uri="{FF2B5EF4-FFF2-40B4-BE49-F238E27FC236}">
                <a16:creationId xmlns:a16="http://schemas.microsoft.com/office/drawing/2014/main" id="{6DD2C7E9-4111-4256-8841-7EE34BF639B2}"/>
              </a:ext>
            </a:extLst>
          </xdr:cNvPr>
          <xdr:cNvSpPr>
            <a:spLocks noChangeShapeType="1"/>
          </xdr:cNvSpPr>
        </xdr:nvSpPr>
        <xdr:spPr bwMode="auto">
          <a:xfrm>
            <a:off x="301" y="258"/>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39" name="Oval 43">
            <a:extLst>
              <a:ext uri="{FF2B5EF4-FFF2-40B4-BE49-F238E27FC236}">
                <a16:creationId xmlns:a16="http://schemas.microsoft.com/office/drawing/2014/main" id="{DD996ADA-04D6-4B4B-8C92-82CFF1B3CF0B}"/>
              </a:ext>
            </a:extLst>
          </xdr:cNvPr>
          <xdr:cNvSpPr>
            <a:spLocks noChangeArrowheads="1"/>
          </xdr:cNvSpPr>
        </xdr:nvSpPr>
        <xdr:spPr bwMode="auto">
          <a:xfrm>
            <a:off x="297" y="253"/>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sp macro="" textlink="">
        <xdr:nvSpPr>
          <xdr:cNvPr id="4140" name="Line 44">
            <a:extLst>
              <a:ext uri="{FF2B5EF4-FFF2-40B4-BE49-F238E27FC236}">
                <a16:creationId xmlns:a16="http://schemas.microsoft.com/office/drawing/2014/main" id="{EB4DF82D-ECC6-422D-832C-3B9DFBFA10E7}"/>
              </a:ext>
            </a:extLst>
          </xdr:cNvPr>
          <xdr:cNvSpPr>
            <a:spLocks noChangeShapeType="1"/>
          </xdr:cNvSpPr>
        </xdr:nvSpPr>
        <xdr:spPr bwMode="auto">
          <a:xfrm>
            <a:off x="301" y="300"/>
            <a:ext cx="0"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141" name="Oval 45">
            <a:extLst>
              <a:ext uri="{FF2B5EF4-FFF2-40B4-BE49-F238E27FC236}">
                <a16:creationId xmlns:a16="http://schemas.microsoft.com/office/drawing/2014/main" id="{70AD36FB-02B6-4C11-8C45-82F2DD4E13A1}"/>
              </a:ext>
            </a:extLst>
          </xdr:cNvPr>
          <xdr:cNvSpPr>
            <a:spLocks noChangeArrowheads="1"/>
          </xdr:cNvSpPr>
        </xdr:nvSpPr>
        <xdr:spPr bwMode="auto">
          <a:xfrm>
            <a:off x="297" y="322"/>
            <a:ext cx="8" cy="8"/>
          </a:xfrm>
          <a:prstGeom prst="ellipse">
            <a:avLst/>
          </a:prstGeom>
          <a:solidFill>
            <a:srgbClr xmlns:mc="http://schemas.openxmlformats.org/markup-compatibility/2006" xmlns:a14="http://schemas.microsoft.com/office/drawing/2010/main" val="000000" mc:Ignorable="a14" a14:legacySpreadsheetColorIndex="8"/>
          </a:solidFill>
          <a:ln w="3175">
            <a:solidFill>
              <a:srgbClr xmlns:mc="http://schemas.openxmlformats.org/markup-compatibility/2006" xmlns:a14="http://schemas.microsoft.com/office/drawing/2010/main" val="000000" mc:Ignorable="a14" a14:legacySpreadsheetColorIndex="8"/>
            </a:solidFill>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4</xdr:row>
      <xdr:rowOff>0</xdr:rowOff>
    </xdr:from>
    <xdr:to>
      <xdr:col>12</xdr:col>
      <xdr:colOff>600075</xdr:colOff>
      <xdr:row>22</xdr:row>
      <xdr:rowOff>0</xdr:rowOff>
    </xdr:to>
    <xdr:graphicFrame macro="">
      <xdr:nvGraphicFramePr>
        <xdr:cNvPr id="1029" name="Chart 5">
          <a:extLst>
            <a:ext uri="{FF2B5EF4-FFF2-40B4-BE49-F238E27FC236}">
              <a16:creationId xmlns:a16="http://schemas.microsoft.com/office/drawing/2014/main" id="{926D5166-006E-4996-BEA6-328A962EF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6</xdr:row>
      <xdr:rowOff>85725</xdr:rowOff>
    </xdr:from>
    <xdr:to>
      <xdr:col>3</xdr:col>
      <xdr:colOff>609600</xdr:colOff>
      <xdr:row>10</xdr:row>
      <xdr:rowOff>38100</xdr:rowOff>
    </xdr:to>
    <xdr:pic>
      <xdr:nvPicPr>
        <xdr:cNvPr id="23561" name="Picture 9">
          <a:extLst>
            <a:ext uri="{FF2B5EF4-FFF2-40B4-BE49-F238E27FC236}">
              <a16:creationId xmlns:a16="http://schemas.microsoft.com/office/drawing/2014/main" id="{881F09FE-EB98-44FA-B6BF-E7322E9A4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828675"/>
          <a:ext cx="904875"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7</xdr:col>
      <xdr:colOff>238125</xdr:colOff>
      <xdr:row>6</xdr:row>
      <xdr:rowOff>57150</xdr:rowOff>
    </xdr:from>
    <xdr:to>
      <xdr:col>9</xdr:col>
      <xdr:colOff>66675</xdr:colOff>
      <xdr:row>9</xdr:row>
      <xdr:rowOff>95250</xdr:rowOff>
    </xdr:to>
    <xdr:pic>
      <xdr:nvPicPr>
        <xdr:cNvPr id="23562" name="Picture 10" descr="Straight wire inductance">
          <a:extLst>
            <a:ext uri="{FF2B5EF4-FFF2-40B4-BE49-F238E27FC236}">
              <a16:creationId xmlns:a16="http://schemas.microsoft.com/office/drawing/2014/main" id="{F7198280-6CCF-482D-B830-B41FBE0F4B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800100"/>
          <a:ext cx="11811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7</xdr:row>
      <xdr:rowOff>123825</xdr:rowOff>
    </xdr:from>
    <xdr:to>
      <xdr:col>6</xdr:col>
      <xdr:colOff>304800</xdr:colOff>
      <xdr:row>11</xdr:row>
      <xdr:rowOff>28575</xdr:rowOff>
    </xdr:to>
    <xdr:sp macro="" textlink="">
      <xdr:nvSpPr>
        <xdr:cNvPr id="26625" name="Rectangle 1">
          <a:extLst>
            <a:ext uri="{FF2B5EF4-FFF2-40B4-BE49-F238E27FC236}">
              <a16:creationId xmlns:a16="http://schemas.microsoft.com/office/drawing/2014/main" id="{3267ED53-3865-41EE-B2BB-5C9A825691A7}"/>
            </a:ext>
          </a:extLst>
        </xdr:cNvPr>
        <xdr:cNvSpPr>
          <a:spLocks noChangeArrowheads="1"/>
        </xdr:cNvSpPr>
      </xdr:nvSpPr>
      <xdr:spPr bwMode="auto">
        <a:xfrm>
          <a:off x="1447800" y="971550"/>
          <a:ext cx="1104900" cy="514350"/>
        </a:xfrm>
        <a:prstGeom prst="rect">
          <a:avLst/>
        </a:prstGeom>
        <a:solidFill>
          <a:srgbClr val="CCFFCC"/>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266700</xdr:colOff>
      <xdr:row>9</xdr:row>
      <xdr:rowOff>47625</xdr:rowOff>
    </xdr:from>
    <xdr:to>
      <xdr:col>6</xdr:col>
      <xdr:colOff>171450</xdr:colOff>
      <xdr:row>9</xdr:row>
      <xdr:rowOff>104775</xdr:rowOff>
    </xdr:to>
    <xdr:grpSp>
      <xdr:nvGrpSpPr>
        <xdr:cNvPr id="26626" name="Group 2">
          <a:extLst>
            <a:ext uri="{FF2B5EF4-FFF2-40B4-BE49-F238E27FC236}">
              <a16:creationId xmlns:a16="http://schemas.microsoft.com/office/drawing/2014/main" id="{3E10617C-2C6B-47E2-829B-B42A04984483}"/>
            </a:ext>
          </a:extLst>
        </xdr:cNvPr>
        <xdr:cNvGrpSpPr>
          <a:grpSpLocks/>
        </xdr:cNvGrpSpPr>
      </xdr:nvGrpSpPr>
      <xdr:grpSpPr bwMode="auto">
        <a:xfrm>
          <a:off x="1666875" y="1200150"/>
          <a:ext cx="752475" cy="57150"/>
          <a:chOff x="221" y="101"/>
          <a:chExt cx="79" cy="6"/>
        </a:xfrm>
      </xdr:grpSpPr>
      <xdr:sp macro="" textlink="">
        <xdr:nvSpPr>
          <xdr:cNvPr id="26627" name="Line 3">
            <a:extLst>
              <a:ext uri="{FF2B5EF4-FFF2-40B4-BE49-F238E27FC236}">
                <a16:creationId xmlns:a16="http://schemas.microsoft.com/office/drawing/2014/main" id="{48DC5D5C-3FB6-4D14-B2B9-84B1EB2C0E04}"/>
              </a:ext>
            </a:extLst>
          </xdr:cNvPr>
          <xdr:cNvSpPr>
            <a:spLocks noChangeShapeType="1"/>
          </xdr:cNvSpPr>
        </xdr:nvSpPr>
        <xdr:spPr bwMode="auto">
          <a:xfrm>
            <a:off x="221" y="101"/>
            <a:ext cx="78" cy="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628" name="Line 4">
            <a:extLst>
              <a:ext uri="{FF2B5EF4-FFF2-40B4-BE49-F238E27FC236}">
                <a16:creationId xmlns:a16="http://schemas.microsoft.com/office/drawing/2014/main" id="{0551FDEE-C8E4-4A83-8878-97D50784D053}"/>
              </a:ext>
            </a:extLst>
          </xdr:cNvPr>
          <xdr:cNvSpPr>
            <a:spLocks noChangeShapeType="1"/>
          </xdr:cNvSpPr>
        </xdr:nvSpPr>
        <xdr:spPr bwMode="auto">
          <a:xfrm flipV="1">
            <a:off x="222" y="101"/>
            <a:ext cx="78" cy="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3</xdr:col>
      <xdr:colOff>104775</xdr:colOff>
      <xdr:row>9</xdr:row>
      <xdr:rowOff>9525</xdr:rowOff>
    </xdr:from>
    <xdr:to>
      <xdr:col>8</xdr:col>
      <xdr:colOff>238125</xdr:colOff>
      <xdr:row>9</xdr:row>
      <xdr:rowOff>9525</xdr:rowOff>
    </xdr:to>
    <xdr:grpSp>
      <xdr:nvGrpSpPr>
        <xdr:cNvPr id="26629" name="Group 5">
          <a:extLst>
            <a:ext uri="{FF2B5EF4-FFF2-40B4-BE49-F238E27FC236}">
              <a16:creationId xmlns:a16="http://schemas.microsoft.com/office/drawing/2014/main" id="{A530162A-6539-4CAC-ADF5-21BC4C7CCE49}"/>
            </a:ext>
          </a:extLst>
        </xdr:cNvPr>
        <xdr:cNvGrpSpPr>
          <a:grpSpLocks/>
        </xdr:cNvGrpSpPr>
      </xdr:nvGrpSpPr>
      <xdr:grpSpPr bwMode="auto">
        <a:xfrm>
          <a:off x="1038225" y="1162050"/>
          <a:ext cx="1914525" cy="0"/>
          <a:chOff x="157" y="97"/>
          <a:chExt cx="201" cy="0"/>
        </a:xfrm>
      </xdr:grpSpPr>
      <xdr:sp macro="" textlink="">
        <xdr:nvSpPr>
          <xdr:cNvPr id="26630" name="Line 6">
            <a:extLst>
              <a:ext uri="{FF2B5EF4-FFF2-40B4-BE49-F238E27FC236}">
                <a16:creationId xmlns:a16="http://schemas.microsoft.com/office/drawing/2014/main" id="{282AA203-CCE3-4D91-A384-D93D617C0414}"/>
              </a:ext>
            </a:extLst>
          </xdr:cNvPr>
          <xdr:cNvSpPr>
            <a:spLocks noChangeShapeType="1"/>
          </xdr:cNvSpPr>
        </xdr:nvSpPr>
        <xdr:spPr bwMode="auto">
          <a:xfrm flipV="1">
            <a:off x="157" y="97"/>
            <a:ext cx="201"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631" name="Line 7">
            <a:extLst>
              <a:ext uri="{FF2B5EF4-FFF2-40B4-BE49-F238E27FC236}">
                <a16:creationId xmlns:a16="http://schemas.microsoft.com/office/drawing/2014/main" id="{DEBB415F-2D3E-47C7-A270-4529A562F7E6}"/>
              </a:ext>
            </a:extLst>
          </xdr:cNvPr>
          <xdr:cNvSpPr>
            <a:spLocks noChangeShapeType="1"/>
          </xdr:cNvSpPr>
        </xdr:nvSpPr>
        <xdr:spPr bwMode="auto">
          <a:xfrm flipV="1">
            <a:off x="330" y="97"/>
            <a:ext cx="14"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6632" name="Line 8">
            <a:extLst>
              <a:ext uri="{FF2B5EF4-FFF2-40B4-BE49-F238E27FC236}">
                <a16:creationId xmlns:a16="http://schemas.microsoft.com/office/drawing/2014/main" id="{B0FE0C3C-8887-4241-B616-E2DAE6BC34A2}"/>
              </a:ext>
            </a:extLst>
          </xdr:cNvPr>
          <xdr:cNvSpPr>
            <a:spLocks noChangeShapeType="1"/>
          </xdr:cNvSpPr>
        </xdr:nvSpPr>
        <xdr:spPr bwMode="auto">
          <a:xfrm flipV="1">
            <a:off x="168" y="97"/>
            <a:ext cx="14"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editAs="oneCell">
    <xdr:from>
      <xdr:col>4</xdr:col>
      <xdr:colOff>66675</xdr:colOff>
      <xdr:row>10</xdr:row>
      <xdr:rowOff>0</xdr:rowOff>
    </xdr:from>
    <xdr:to>
      <xdr:col>7</xdr:col>
      <xdr:colOff>47625</xdr:colOff>
      <xdr:row>13</xdr:row>
      <xdr:rowOff>0</xdr:rowOff>
    </xdr:to>
    <xdr:grpSp>
      <xdr:nvGrpSpPr>
        <xdr:cNvPr id="26633" name="Group 9">
          <a:extLst>
            <a:ext uri="{FF2B5EF4-FFF2-40B4-BE49-F238E27FC236}">
              <a16:creationId xmlns:a16="http://schemas.microsoft.com/office/drawing/2014/main" id="{E14ADFE8-6F05-4385-9813-6541207F8D36}"/>
            </a:ext>
          </a:extLst>
        </xdr:cNvPr>
        <xdr:cNvGrpSpPr>
          <a:grpSpLocks/>
        </xdr:cNvGrpSpPr>
      </xdr:nvGrpSpPr>
      <xdr:grpSpPr bwMode="auto">
        <a:xfrm>
          <a:off x="1352550" y="1304925"/>
          <a:ext cx="1295400" cy="457200"/>
          <a:chOff x="190" y="112"/>
          <a:chExt cx="136" cy="64"/>
        </a:xfrm>
      </xdr:grpSpPr>
      <xdr:sp macro="" textlink="">
        <xdr:nvSpPr>
          <xdr:cNvPr id="26634" name="Freeform 10">
            <a:extLst>
              <a:ext uri="{FF2B5EF4-FFF2-40B4-BE49-F238E27FC236}">
                <a16:creationId xmlns:a16="http://schemas.microsoft.com/office/drawing/2014/main" id="{41977EA6-3B9D-4D38-AD94-77EC59FC2462}"/>
              </a:ext>
            </a:extLst>
          </xdr:cNvPr>
          <xdr:cNvSpPr>
            <a:spLocks/>
          </xdr:cNvSpPr>
        </xdr:nvSpPr>
        <xdr:spPr bwMode="auto">
          <a:xfrm>
            <a:off x="190" y="112"/>
            <a:ext cx="71" cy="64"/>
          </a:xfrm>
          <a:custGeom>
            <a:avLst/>
            <a:gdLst>
              <a:gd name="T0" fmla="*/ 71 w 71"/>
              <a:gd name="T1" fmla="*/ 0 h 64"/>
              <a:gd name="T2" fmla="*/ 29 w 71"/>
              <a:gd name="T3" fmla="*/ 0 h 64"/>
              <a:gd name="T4" fmla="*/ 29 w 71"/>
              <a:gd name="T5" fmla="*/ 64 h 64"/>
              <a:gd name="T6" fmla="*/ 0 w 71"/>
              <a:gd name="T7" fmla="*/ 64 h 64"/>
            </a:gdLst>
            <a:ahLst/>
            <a:cxnLst>
              <a:cxn ang="0">
                <a:pos x="T0" y="T1"/>
              </a:cxn>
              <a:cxn ang="0">
                <a:pos x="T2" y="T3"/>
              </a:cxn>
              <a:cxn ang="0">
                <a:pos x="T4" y="T5"/>
              </a:cxn>
              <a:cxn ang="0">
                <a:pos x="T6" y="T7"/>
              </a:cxn>
            </a:cxnLst>
            <a:rect l="0" t="0" r="r" b="b"/>
            <a:pathLst>
              <a:path w="71" h="64">
                <a:moveTo>
                  <a:pt x="71" y="0"/>
                </a:moveTo>
                <a:lnTo>
                  <a:pt x="29" y="0"/>
                </a:lnTo>
                <a:lnTo>
                  <a:pt x="29" y="64"/>
                </a:lnTo>
                <a:lnTo>
                  <a:pt x="0" y="64"/>
                </a:lnTo>
              </a:path>
            </a:pathLst>
          </a:cu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26635" name="Freeform 11">
            <a:extLst>
              <a:ext uri="{FF2B5EF4-FFF2-40B4-BE49-F238E27FC236}">
                <a16:creationId xmlns:a16="http://schemas.microsoft.com/office/drawing/2014/main" id="{222AF6C6-8313-40AB-A925-EC4F572C4A56}"/>
              </a:ext>
            </a:extLst>
          </xdr:cNvPr>
          <xdr:cNvSpPr>
            <a:spLocks/>
          </xdr:cNvSpPr>
        </xdr:nvSpPr>
        <xdr:spPr bwMode="auto">
          <a:xfrm flipH="1">
            <a:off x="255" y="112"/>
            <a:ext cx="71" cy="64"/>
          </a:xfrm>
          <a:custGeom>
            <a:avLst/>
            <a:gdLst>
              <a:gd name="T0" fmla="*/ 71 w 71"/>
              <a:gd name="T1" fmla="*/ 0 h 64"/>
              <a:gd name="T2" fmla="*/ 29 w 71"/>
              <a:gd name="T3" fmla="*/ 0 h 64"/>
              <a:gd name="T4" fmla="*/ 29 w 71"/>
              <a:gd name="T5" fmla="*/ 64 h 64"/>
              <a:gd name="T6" fmla="*/ 0 w 71"/>
              <a:gd name="T7" fmla="*/ 64 h 64"/>
            </a:gdLst>
            <a:ahLst/>
            <a:cxnLst>
              <a:cxn ang="0">
                <a:pos x="T0" y="T1"/>
              </a:cxn>
              <a:cxn ang="0">
                <a:pos x="T2" y="T3"/>
              </a:cxn>
              <a:cxn ang="0">
                <a:pos x="T4" y="T5"/>
              </a:cxn>
              <a:cxn ang="0">
                <a:pos x="T6" y="T7"/>
              </a:cxn>
            </a:cxnLst>
            <a:rect l="0" t="0" r="r" b="b"/>
            <a:pathLst>
              <a:path w="71" h="64">
                <a:moveTo>
                  <a:pt x="71" y="0"/>
                </a:moveTo>
                <a:lnTo>
                  <a:pt x="29" y="0"/>
                </a:lnTo>
                <a:lnTo>
                  <a:pt x="29" y="64"/>
                </a:lnTo>
                <a:lnTo>
                  <a:pt x="0" y="64"/>
                </a:lnTo>
              </a:path>
            </a:pathLst>
          </a:cu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26636" name="Line 12">
            <a:extLst>
              <a:ext uri="{FF2B5EF4-FFF2-40B4-BE49-F238E27FC236}">
                <a16:creationId xmlns:a16="http://schemas.microsoft.com/office/drawing/2014/main" id="{C07AE829-9332-4760-95E1-68BA9770F14D}"/>
              </a:ext>
            </a:extLst>
          </xdr:cNvPr>
          <xdr:cNvSpPr>
            <a:spLocks noChangeShapeType="1"/>
          </xdr:cNvSpPr>
        </xdr:nvSpPr>
        <xdr:spPr bwMode="auto">
          <a:xfrm flipV="1">
            <a:off x="304" y="176"/>
            <a:ext cx="14"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6637" name="Line 13">
            <a:extLst>
              <a:ext uri="{FF2B5EF4-FFF2-40B4-BE49-F238E27FC236}">
                <a16:creationId xmlns:a16="http://schemas.microsoft.com/office/drawing/2014/main" id="{A282BDA7-01CF-4AD9-9CFD-502F8E81B89B}"/>
              </a:ext>
            </a:extLst>
          </xdr:cNvPr>
          <xdr:cNvSpPr>
            <a:spLocks noChangeShapeType="1"/>
          </xdr:cNvSpPr>
        </xdr:nvSpPr>
        <xdr:spPr bwMode="auto">
          <a:xfrm flipH="1" flipV="1">
            <a:off x="197" y="176"/>
            <a:ext cx="14"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142875</xdr:colOff>
      <xdr:row>7</xdr:row>
      <xdr:rowOff>142875</xdr:rowOff>
    </xdr:from>
    <xdr:to>
      <xdr:col>6</xdr:col>
      <xdr:colOff>209550</xdr:colOff>
      <xdr:row>8</xdr:row>
      <xdr:rowOff>142875</xdr:rowOff>
    </xdr:to>
    <xdr:sp macro="" textlink="">
      <xdr:nvSpPr>
        <xdr:cNvPr id="26638" name="Text Box 14">
          <a:extLst>
            <a:ext uri="{FF2B5EF4-FFF2-40B4-BE49-F238E27FC236}">
              <a16:creationId xmlns:a16="http://schemas.microsoft.com/office/drawing/2014/main" id="{C1849D50-2CD6-45D2-BC1F-EDCA8C36C294}"/>
            </a:ext>
          </a:extLst>
        </xdr:cNvPr>
        <xdr:cNvSpPr txBox="1">
          <a:spLocks noChangeArrowheads="1"/>
        </xdr:cNvSpPr>
      </xdr:nvSpPr>
      <xdr:spPr bwMode="auto">
        <a:xfrm>
          <a:off x="1543050" y="990600"/>
          <a:ext cx="914400" cy="152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ctr" rtl="0">
            <a:defRPr sz="1000"/>
          </a:pPr>
          <a:r>
            <a:rPr lang="es-MX" sz="800" b="1" i="0" u="none" strike="noStrike" baseline="0">
              <a:solidFill>
                <a:srgbClr val="000000"/>
              </a:solidFill>
              <a:latin typeface="Arial"/>
              <a:cs typeface="Arial"/>
            </a:rPr>
            <a:t>Mainline (</a:t>
          </a:r>
          <a:r>
            <a:rPr lang="es-MX" sz="800" b="1" i="0" u="none" strike="noStrike" baseline="0">
              <a:solidFill>
                <a:srgbClr val="000000"/>
              </a:solidFill>
              <a:latin typeface="Symbol"/>
              <a:cs typeface="Arial"/>
            </a:rPr>
            <a:t>l</a:t>
          </a:r>
          <a:r>
            <a:rPr lang="es-MX" sz="800" b="1" i="0" u="none" strike="noStrike" baseline="0">
              <a:solidFill>
                <a:srgbClr val="000000"/>
              </a:solidFill>
              <a:latin typeface="Arial"/>
              <a:cs typeface="Arial"/>
            </a:rPr>
            <a:t>/4)</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4</xdr:row>
      <xdr:rowOff>0</xdr:rowOff>
    </xdr:from>
    <xdr:to>
      <xdr:col>12</xdr:col>
      <xdr:colOff>600075</xdr:colOff>
      <xdr:row>21</xdr:row>
      <xdr:rowOff>0</xdr:rowOff>
    </xdr:to>
    <xdr:graphicFrame macro="">
      <xdr:nvGraphicFramePr>
        <xdr:cNvPr id="8193" name="Chart 1">
          <a:extLst>
            <a:ext uri="{FF2B5EF4-FFF2-40B4-BE49-F238E27FC236}">
              <a16:creationId xmlns:a16="http://schemas.microsoft.com/office/drawing/2014/main" id="{42C0D493-0587-40B8-AB33-EDDD97F52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4</xdr:row>
      <xdr:rowOff>0</xdr:rowOff>
    </xdr:from>
    <xdr:to>
      <xdr:col>12</xdr:col>
      <xdr:colOff>600075</xdr:colOff>
      <xdr:row>21</xdr:row>
      <xdr:rowOff>0</xdr:rowOff>
    </xdr:to>
    <xdr:graphicFrame macro="">
      <xdr:nvGraphicFramePr>
        <xdr:cNvPr id="6145" name="Chart 1">
          <a:extLst>
            <a:ext uri="{FF2B5EF4-FFF2-40B4-BE49-F238E27FC236}">
              <a16:creationId xmlns:a16="http://schemas.microsoft.com/office/drawing/2014/main" id="{C9D110F4-9367-42BC-9D22-442A6EE80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200025</xdr:colOff>
      <xdr:row>10</xdr:row>
      <xdr:rowOff>114300</xdr:rowOff>
    </xdr:from>
    <xdr:to>
      <xdr:col>7</xdr:col>
      <xdr:colOff>200025</xdr:colOff>
      <xdr:row>13</xdr:row>
      <xdr:rowOff>47625</xdr:rowOff>
    </xdr:to>
    <xdr:sp macro="" textlink="">
      <xdr:nvSpPr>
        <xdr:cNvPr id="12298" name="Text Box 10">
          <a:extLst>
            <a:ext uri="{FF2B5EF4-FFF2-40B4-BE49-F238E27FC236}">
              <a16:creationId xmlns:a16="http://schemas.microsoft.com/office/drawing/2014/main" id="{08E0073C-7396-47F4-87BB-0A7913D2072C}"/>
            </a:ext>
          </a:extLst>
        </xdr:cNvPr>
        <xdr:cNvSpPr txBox="1">
          <a:spLocks noChangeArrowheads="1"/>
        </xdr:cNvSpPr>
      </xdr:nvSpPr>
      <xdr:spPr bwMode="auto">
        <a:xfrm>
          <a:off x="1304925" y="1457325"/>
          <a:ext cx="1428750"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5720" rIns="45720" bIns="45720" anchor="t" upright="1"/>
        <a:lstStyle/>
        <a:p>
          <a:pPr algn="ctr" rtl="0">
            <a:defRPr sz="1000"/>
          </a:pPr>
          <a:r>
            <a:rPr lang="es-MX" sz="800" b="0" i="0" u="none" strike="noStrike" baseline="0">
              <a:solidFill>
                <a:srgbClr val="000000"/>
              </a:solidFill>
              <a:latin typeface="Arial"/>
              <a:cs typeface="Arial"/>
            </a:rPr>
            <a:t>Do not specify a path distance less than </a:t>
          </a:r>
          <a:r>
            <a:rPr lang="es-MX" sz="800" b="0" i="0" u="none" strike="noStrike" baseline="0">
              <a:solidFill>
                <a:srgbClr val="000000"/>
              </a:solidFill>
              <a:latin typeface="Symbol"/>
              <a:cs typeface="Arial"/>
            </a:rPr>
            <a:t>l</a:t>
          </a:r>
          <a:r>
            <a:rPr lang="es-MX" sz="800" b="0" i="0" u="none" strike="noStrike" baseline="0">
              <a:solidFill>
                <a:srgbClr val="000000"/>
              </a:solidFill>
              <a:latin typeface="Arial"/>
              <a:cs typeface="Arial"/>
            </a:rPr>
            <a:t>/10.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11</xdr:row>
      <xdr:rowOff>114300</xdr:rowOff>
    </xdr:from>
    <xdr:to>
      <xdr:col>7</xdr:col>
      <xdr:colOff>190500</xdr:colOff>
      <xdr:row>14</xdr:row>
      <xdr:rowOff>66675</xdr:rowOff>
    </xdr:to>
    <xdr:sp macro="" textlink="">
      <xdr:nvSpPr>
        <xdr:cNvPr id="15361" name="Text Box 1">
          <a:extLst>
            <a:ext uri="{FF2B5EF4-FFF2-40B4-BE49-F238E27FC236}">
              <a16:creationId xmlns:a16="http://schemas.microsoft.com/office/drawing/2014/main" id="{172CFB17-5E04-4587-BB13-79BF13FD6783}"/>
            </a:ext>
          </a:extLst>
        </xdr:cNvPr>
        <xdr:cNvSpPr txBox="1">
          <a:spLocks noChangeArrowheads="1"/>
        </xdr:cNvSpPr>
      </xdr:nvSpPr>
      <xdr:spPr bwMode="auto">
        <a:xfrm>
          <a:off x="1295400" y="1638300"/>
          <a:ext cx="142875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5720" rIns="45720" bIns="45720" anchor="t" upright="1"/>
        <a:lstStyle/>
        <a:p>
          <a:pPr algn="ctr" rtl="0">
            <a:defRPr sz="1000"/>
          </a:pPr>
          <a:r>
            <a:rPr lang="es-MX" sz="800" b="0" i="0" u="none" strike="noStrike" baseline="0">
              <a:solidFill>
                <a:srgbClr val="000000"/>
              </a:solidFill>
              <a:latin typeface="Arial"/>
              <a:cs typeface="Arial"/>
            </a:rPr>
            <a:t>Do not specify a path distance less than </a:t>
          </a:r>
          <a:r>
            <a:rPr lang="es-MX" sz="800" b="0" i="0" u="none" strike="noStrike" baseline="0">
              <a:solidFill>
                <a:srgbClr val="000000"/>
              </a:solidFill>
              <a:latin typeface="Symbol"/>
              <a:cs typeface="Arial"/>
            </a:rPr>
            <a:t>l</a:t>
          </a:r>
          <a:r>
            <a:rPr lang="es-MX" sz="800" b="0" i="0" u="none" strike="noStrike" baseline="0">
              <a:solidFill>
                <a:srgbClr val="000000"/>
              </a:solidFill>
              <a:latin typeface="Arial"/>
              <a:cs typeface="Arial"/>
            </a:rPr>
            <a:t>/10.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fcafe@earthlink.net?subject=RF%20Cafe%20Calculator%20Workbook" TargetMode="External"/><Relationship Id="rId2" Type="http://schemas.openxmlformats.org/officeDocument/2006/relationships/hyperlink" Target="http://www.rfcafe.com/business/paypal_shopping_cart_software.htm" TargetMode="External"/><Relationship Id="rId1" Type="http://schemas.openxmlformats.org/officeDocument/2006/relationships/hyperlink" Target="http://www.rfcafe.com/business/software/rf_cafe_calculator/rf_cafe_calculator.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noise_calc_ss.ht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electrical/path_loss_1-way.htm"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electrical/path_loss_2-way.htm"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propagation_speed_ss.htm"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radar_blind_speed_ss.htm"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cavity_resonant_freq_calc_ss.htm"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electrical/vswr_mismatch.htm" TargetMode="External"/><Relationship Id="rId4"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voltage_divider_calc_ss.htm" TargetMode="External"/><Relationship Id="rId4"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rfcafe@earthlink.net?subject=RF%20Cafe%20Calculator%20Workbook" TargetMode="External"/><Relationship Id="rId2" Type="http://schemas.openxmlformats.org/officeDocument/2006/relationships/hyperlink" Target="http://www.rfcafe.com/business/paypal_shopping_cart_software.htm" TargetMode="External"/><Relationship Id="rId1" Type="http://schemas.openxmlformats.org/officeDocument/2006/relationships/hyperlink" Target="http://www.rfcafe.com/business/software/rf_cafe_calculator/rf_cafe_calculator.htm" TargetMode="External"/><Relationship Id="rId4"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rfcafe.com/references/_spreadsheets/atten_calc_ss.htm" TargetMode="External"/><Relationship Id="rId1" Type="http://schemas.openxmlformats.org/officeDocument/2006/relationships/hyperlink" Target="http://www.rfcafe.com/business/software/rf_cafe_calculator/rf_cafe_calculator.ht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rfcafe.com/references/_spreadsheets/bp_cheby_plot_ss.htm" TargetMode="External"/><Relationship Id="rId7" Type="http://schemas.openxmlformats.org/officeDocument/2006/relationships/comments" Target="../comments2.xml"/><Relationship Id="rId2" Type="http://schemas.openxmlformats.org/officeDocument/2006/relationships/hyperlink" Target="http://www.rfcafe.com/references/_spreadsheets/bp_butter_plot_ss.htm" TargetMode="External"/><Relationship Id="rId1" Type="http://schemas.openxmlformats.org/officeDocument/2006/relationships/hyperlink" Target="http://www.rfcafe.com/business/software/rf_cafe_calculator/rf_cafe_calculator.htm"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rfcafe.com/references/_spreadsheets/cascade_calc_ss.htm" TargetMode="External"/><Relationship Id="rId1" Type="http://schemas.openxmlformats.org/officeDocument/2006/relationships/hyperlink" Target="http://www.rfcafe.com/business/software/rf_cafe_calculator/rf_cafe_calculator.ht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www.rfcafe.com/business/software/rf_cafe_calculator/rf_cafe_calculator.htm" TargetMode="External"/><Relationship Id="rId2" Type="http://schemas.openxmlformats.org/officeDocument/2006/relationships/hyperlink" Target="http://www.rfcafe.com/references/_spreadsheets/inductor_calc_ss.htm" TargetMode="External"/><Relationship Id="rId1" Type="http://schemas.openxmlformats.org/officeDocument/2006/relationships/hyperlink" Target="http://www.rfcafe.com/references/electrical/wire_cu.htm"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rfcafe.com/references/_spreadsheets/coupler_calc_ss.htm" TargetMode="External"/><Relationship Id="rId1" Type="http://schemas.openxmlformats.org/officeDocument/2006/relationships/hyperlink" Target="http://www.rfcafe.com/business/software/rf_cafe_calculator/rf_cafe_calculator.htm"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hyperlink" Target="http://www.rfcafe.com/references/_spreadsheets/hp_cheby_plot_ss.htm" TargetMode="External"/><Relationship Id="rId7" Type="http://schemas.openxmlformats.org/officeDocument/2006/relationships/comments" Target="../comments5.xml"/><Relationship Id="rId2" Type="http://schemas.openxmlformats.org/officeDocument/2006/relationships/hyperlink" Target="http://www.rfcafe.com/references/_spreadsheets/hp_butter_plot_ss.htm" TargetMode="External"/><Relationship Id="rId1" Type="http://schemas.openxmlformats.org/officeDocument/2006/relationships/hyperlink" Target="http://www.rfcafe.com/business/software/rf_cafe_calculator/rf_cafe_calculator.htm" TargetMode="External"/><Relationship Id="rId6" Type="http://schemas.openxmlformats.org/officeDocument/2006/relationships/vmlDrawing" Target="../drawings/vmlDrawing5.vm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rfcafe.com/references/_spreadsheets/lp_cheby_plot_ss.htm" TargetMode="External"/><Relationship Id="rId7" Type="http://schemas.openxmlformats.org/officeDocument/2006/relationships/comments" Target="../comments6.xml"/><Relationship Id="rId2" Type="http://schemas.openxmlformats.org/officeDocument/2006/relationships/hyperlink" Target="http://www.rfcafe.com/references/_spreadsheets/lp_butter_plot_ss.htm" TargetMode="External"/><Relationship Id="rId1" Type="http://schemas.openxmlformats.org/officeDocument/2006/relationships/hyperlink" Target="http://www.rfcafe.com/business/software/rf_cafe_calculator/rf_cafe_calculator.htm" TargetMode="External"/><Relationship Id="rId6" Type="http://schemas.openxmlformats.org/officeDocument/2006/relationships/vmlDrawing" Target="../drawings/vmlDrawing6.vml"/><Relationship Id="rId5" Type="http://schemas.openxmlformats.org/officeDocument/2006/relationships/drawing" Target="../drawings/drawing7.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hyperlink" Target="http://www.rfcafe.com/business/software/rf_cafe_calculator/rf_cafe_calculator.htm" TargetMode="External"/><Relationship Id="rId1" Type="http://schemas.openxmlformats.org/officeDocument/2006/relationships/hyperlink" Target="http://www.rfcafe.com/references/_spreadsheets/frequency_conversion_calculator.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L32"/>
  <sheetViews>
    <sheetView showGridLines="0" showRowColHeaders="0" workbookViewId="0">
      <selection activeCell="K15" sqref="K15"/>
    </sheetView>
  </sheetViews>
  <sheetFormatPr defaultColWidth="0" defaultRowHeight="12" zeroHeight="1" x14ac:dyDescent="0.2"/>
  <cols>
    <col min="1" max="1" width="0.5703125" customWidth="1"/>
    <col min="2" max="2" width="1.140625" customWidth="1"/>
    <col min="3" max="3" width="4.7109375" customWidth="1"/>
    <col min="4" max="9" width="9.140625" customWidth="1"/>
    <col min="10" max="10" width="4.7109375" customWidth="1"/>
    <col min="11" max="11" width="20.7109375" customWidth="1"/>
    <col min="12" max="12" width="1.140625" customWidth="1"/>
    <col min="13" max="13" width="0.5703125" customWidth="1"/>
  </cols>
  <sheetData>
    <row r="1" spans="2:12" ht="3" customHeight="1" thickBot="1" x14ac:dyDescent="0.25"/>
    <row r="2" spans="2:12" ht="6" customHeight="1" thickTop="1" x14ac:dyDescent="0.2">
      <c r="B2" s="41"/>
      <c r="C2" s="42"/>
      <c r="D2" s="42"/>
      <c r="E2" s="42"/>
      <c r="F2" s="42"/>
      <c r="G2" s="42"/>
      <c r="H2" s="42"/>
      <c r="I2" s="42"/>
      <c r="J2" s="42"/>
      <c r="K2" s="42"/>
      <c r="L2" s="43"/>
    </row>
    <row r="3" spans="2:12" x14ac:dyDescent="0.2">
      <c r="B3" s="44"/>
      <c r="C3" s="40"/>
      <c r="D3" s="40"/>
      <c r="E3" s="40"/>
      <c r="F3" s="40"/>
      <c r="G3" s="40"/>
      <c r="H3" s="40"/>
      <c r="I3" s="40"/>
      <c r="J3" s="40"/>
      <c r="K3" s="40"/>
      <c r="L3" s="45"/>
    </row>
    <row r="4" spans="2:12" ht="12.75" thickBot="1" x14ac:dyDescent="0.25">
      <c r="B4" s="44"/>
      <c r="C4" s="40"/>
      <c r="D4" s="40"/>
      <c r="E4" s="40"/>
      <c r="F4" s="40"/>
      <c r="G4" s="40"/>
      <c r="H4" s="40"/>
      <c r="I4" s="40"/>
      <c r="J4" s="40"/>
      <c r="K4" s="272" t="s">
        <v>145</v>
      </c>
      <c r="L4" s="45"/>
    </row>
    <row r="5" spans="2:12" ht="12.75" thickTop="1" x14ac:dyDescent="0.2">
      <c r="B5" s="44"/>
      <c r="C5" s="40"/>
      <c r="D5" s="40"/>
      <c r="E5" s="40"/>
      <c r="F5" s="40"/>
      <c r="G5" s="40"/>
      <c r="H5" s="40"/>
      <c r="I5" s="40"/>
      <c r="J5" s="40"/>
      <c r="K5" s="273" t="s">
        <v>146</v>
      </c>
      <c r="L5" s="45"/>
    </row>
    <row r="6" spans="2:12" x14ac:dyDescent="0.2">
      <c r="B6" s="44"/>
      <c r="C6" s="40"/>
      <c r="D6" s="40"/>
      <c r="E6" s="40"/>
      <c r="F6" s="40"/>
      <c r="G6" s="40"/>
      <c r="H6" s="40"/>
      <c r="I6" s="40"/>
      <c r="J6" s="40"/>
      <c r="K6" s="273" t="s">
        <v>147</v>
      </c>
      <c r="L6" s="45"/>
    </row>
    <row r="7" spans="2:12" x14ac:dyDescent="0.2">
      <c r="B7" s="44"/>
      <c r="C7" s="40"/>
      <c r="D7" s="426" t="s">
        <v>140</v>
      </c>
      <c r="E7" s="426"/>
      <c r="F7" s="426"/>
      <c r="G7" s="426"/>
      <c r="H7" s="426"/>
      <c r="I7" s="426"/>
      <c r="J7" s="271"/>
      <c r="K7" s="305" t="s">
        <v>208</v>
      </c>
      <c r="L7" s="45"/>
    </row>
    <row r="8" spans="2:12" x14ac:dyDescent="0.2">
      <c r="B8" s="44"/>
      <c r="C8" s="255"/>
      <c r="D8" s="427" t="s">
        <v>275</v>
      </c>
      <c r="E8" s="427"/>
      <c r="F8" s="427"/>
      <c r="G8" s="427"/>
      <c r="H8" s="427"/>
      <c r="I8" s="427"/>
      <c r="J8" s="262"/>
      <c r="K8" s="305" t="s">
        <v>277</v>
      </c>
      <c r="L8" s="45"/>
    </row>
    <row r="9" spans="2:12" x14ac:dyDescent="0.2">
      <c r="B9" s="44"/>
      <c r="C9" s="40"/>
      <c r="D9" s="428" t="str">
        <f>"by RF Cafe"</f>
        <v>by RF Cafe</v>
      </c>
      <c r="E9" s="428"/>
      <c r="F9" s="428"/>
      <c r="G9" s="428"/>
      <c r="H9" s="428"/>
      <c r="I9" s="428"/>
      <c r="J9" s="177"/>
      <c r="K9" s="305" t="s">
        <v>222</v>
      </c>
      <c r="L9" s="45"/>
    </row>
    <row r="10" spans="2:12" x14ac:dyDescent="0.2">
      <c r="B10" s="44"/>
      <c r="C10" s="40"/>
      <c r="D10" s="177"/>
      <c r="E10" s="177"/>
      <c r="F10" s="177"/>
      <c r="G10" s="177"/>
      <c r="H10" s="177"/>
      <c r="I10" s="177"/>
      <c r="J10" s="177"/>
      <c r="K10" s="273" t="s">
        <v>148</v>
      </c>
      <c r="L10" s="45"/>
    </row>
    <row r="11" spans="2:12" x14ac:dyDescent="0.2">
      <c r="B11" s="44"/>
      <c r="C11" s="40"/>
      <c r="D11" s="177"/>
      <c r="E11" s="177"/>
      <c r="F11" s="177"/>
      <c r="G11" s="177"/>
      <c r="H11" s="177"/>
      <c r="I11" s="177"/>
      <c r="J11" s="177"/>
      <c r="K11" s="273" t="s">
        <v>149</v>
      </c>
      <c r="L11" s="45"/>
    </row>
    <row r="12" spans="2:12" x14ac:dyDescent="0.2">
      <c r="B12" s="44"/>
      <c r="C12" s="40"/>
      <c r="D12" s="177"/>
      <c r="E12" s="177"/>
      <c r="F12" s="177"/>
      <c r="G12" s="177"/>
      <c r="H12" s="177"/>
      <c r="I12" s="177"/>
      <c r="J12" s="177"/>
      <c r="K12" s="305" t="s">
        <v>218</v>
      </c>
      <c r="L12" s="45"/>
    </row>
    <row r="13" spans="2:12" ht="12" customHeight="1" x14ac:dyDescent="0.2">
      <c r="B13" s="44"/>
      <c r="C13" s="40"/>
      <c r="D13" s="40"/>
      <c r="E13" s="40"/>
      <c r="F13" s="40"/>
      <c r="G13" s="40"/>
      <c r="H13" s="40"/>
      <c r="I13" s="40"/>
      <c r="J13" s="40"/>
      <c r="K13" s="273" t="s">
        <v>152</v>
      </c>
      <c r="L13" s="45"/>
    </row>
    <row r="14" spans="2:12" ht="12" customHeight="1" x14ac:dyDescent="0.2">
      <c r="B14" s="44"/>
      <c r="C14" s="40"/>
      <c r="D14" s="429"/>
      <c r="E14" s="429"/>
      <c r="F14" s="429"/>
      <c r="G14" s="429"/>
      <c r="H14" s="429"/>
      <c r="I14" s="429"/>
      <c r="J14" s="154"/>
      <c r="K14" s="273" t="s">
        <v>150</v>
      </c>
      <c r="L14" s="45"/>
    </row>
    <row r="15" spans="2:12" ht="12" customHeight="1" x14ac:dyDescent="0.2">
      <c r="B15" s="44"/>
      <c r="C15" s="40"/>
      <c r="D15" s="154"/>
      <c r="E15" s="154"/>
      <c r="F15" s="154"/>
      <c r="G15" s="154"/>
      <c r="H15" s="154"/>
      <c r="I15" s="154"/>
      <c r="J15" s="154"/>
      <c r="K15" s="273" t="s">
        <v>151</v>
      </c>
      <c r="L15" s="45"/>
    </row>
    <row r="16" spans="2:12" x14ac:dyDescent="0.2">
      <c r="B16" s="44"/>
      <c r="C16" s="40"/>
      <c r="D16" s="258" t="s">
        <v>136</v>
      </c>
      <c r="F16" s="256"/>
      <c r="G16" s="256"/>
      <c r="I16" s="257" t="s">
        <v>132</v>
      </c>
      <c r="J16" s="257"/>
      <c r="K16" s="305" t="s">
        <v>232</v>
      </c>
      <c r="L16" s="45"/>
    </row>
    <row r="17" spans="2:12" x14ac:dyDescent="0.2">
      <c r="B17" s="44"/>
      <c r="C17" s="40"/>
      <c r="D17" s="40"/>
      <c r="E17" s="40"/>
      <c r="F17" s="40"/>
      <c r="G17" s="40"/>
      <c r="H17" s="40"/>
      <c r="I17" s="40"/>
      <c r="J17" s="40"/>
      <c r="K17" s="273" t="s">
        <v>92</v>
      </c>
      <c r="L17" s="45"/>
    </row>
    <row r="18" spans="2:12" x14ac:dyDescent="0.2">
      <c r="B18" s="44"/>
      <c r="C18" s="40"/>
      <c r="D18" s="40"/>
      <c r="E18" s="40"/>
      <c r="F18" s="40"/>
      <c r="G18" s="40"/>
      <c r="H18" s="40"/>
      <c r="I18" s="40"/>
      <c r="J18" s="40"/>
      <c r="K18" s="273" t="s">
        <v>160</v>
      </c>
      <c r="L18" s="45"/>
    </row>
    <row r="19" spans="2:12" ht="12" customHeight="1" x14ac:dyDescent="0.2">
      <c r="B19" s="44"/>
      <c r="C19" s="40"/>
      <c r="D19" s="425"/>
      <c r="E19" s="425"/>
      <c r="F19" s="425"/>
      <c r="G19" s="425"/>
      <c r="H19" s="425"/>
      <c r="I19" s="425"/>
      <c r="J19" s="259"/>
      <c r="K19" s="273" t="s">
        <v>153</v>
      </c>
      <c r="L19" s="45"/>
    </row>
    <row r="20" spans="2:12" ht="12" customHeight="1" x14ac:dyDescent="0.2">
      <c r="B20" s="44"/>
      <c r="C20" s="40"/>
      <c r="D20" s="259"/>
      <c r="E20" s="259"/>
      <c r="F20" s="259"/>
      <c r="G20" s="259"/>
      <c r="H20" s="259"/>
      <c r="I20" s="259"/>
      <c r="J20" s="259"/>
      <c r="K20" s="273" t="s">
        <v>154</v>
      </c>
      <c r="L20" s="45"/>
    </row>
    <row r="21" spans="2:12" ht="12" customHeight="1" x14ac:dyDescent="0.2">
      <c r="B21" s="44"/>
      <c r="C21" s="40"/>
      <c r="D21" s="259"/>
      <c r="E21" s="259"/>
      <c r="F21" s="259"/>
      <c r="G21" s="259"/>
      <c r="H21" s="259"/>
      <c r="I21" s="259"/>
      <c r="J21" s="259"/>
      <c r="K21" s="273"/>
      <c r="L21" s="45"/>
    </row>
    <row r="22" spans="2:12" ht="12" customHeight="1" x14ac:dyDescent="0.2">
      <c r="B22" s="44"/>
      <c r="C22" s="40"/>
      <c r="D22" s="259"/>
      <c r="E22" s="259"/>
      <c r="F22" s="259"/>
      <c r="G22" s="259"/>
      <c r="H22" s="259"/>
      <c r="I22" s="259"/>
      <c r="J22" s="259"/>
      <c r="K22" s="273"/>
      <c r="L22" s="45"/>
    </row>
    <row r="23" spans="2:12" x14ac:dyDescent="0.2">
      <c r="B23" s="44"/>
      <c r="C23" s="40"/>
      <c r="D23" s="260" t="s">
        <v>138</v>
      </c>
      <c r="E23" s="260"/>
      <c r="F23" s="260"/>
      <c r="G23" s="261" t="s">
        <v>139</v>
      </c>
      <c r="H23" s="260"/>
      <c r="I23" s="268" t="s">
        <v>141</v>
      </c>
      <c r="J23" s="268"/>
      <c r="K23" s="274"/>
      <c r="L23" s="45"/>
    </row>
    <row r="24" spans="2:12" ht="6" customHeight="1" thickBot="1" x14ac:dyDescent="0.25">
      <c r="B24" s="46"/>
      <c r="C24" s="47"/>
      <c r="D24" s="47"/>
      <c r="E24" s="47"/>
      <c r="F24" s="47"/>
      <c r="G24" s="47"/>
      <c r="H24" s="47"/>
      <c r="I24" s="47"/>
      <c r="J24" s="47"/>
      <c r="K24" s="47"/>
      <c r="L24" s="48"/>
    </row>
    <row r="25" spans="2:12" ht="3" customHeight="1" thickTop="1" x14ac:dyDescent="0.2"/>
    <row r="26" spans="2:12" hidden="1" x14ac:dyDescent="0.2"/>
    <row r="27" spans="2:12" hidden="1" x14ac:dyDescent="0.2"/>
    <row r="28" spans="2:12" hidden="1" x14ac:dyDescent="0.2"/>
    <row r="29" spans="2:12" hidden="1" x14ac:dyDescent="0.2"/>
    <row r="30" spans="2:12" hidden="1" x14ac:dyDescent="0.2"/>
    <row r="31" spans="2:12" hidden="1" x14ac:dyDescent="0.2"/>
    <row r="32" spans="2:12" hidden="1" x14ac:dyDescent="0.2"/>
  </sheetData>
  <sheetProtection password="F39F" sheet="1" objects="1" scenarios="1"/>
  <mergeCells count="5">
    <mergeCell ref="D19:I19"/>
    <mergeCell ref="D7:I7"/>
    <mergeCell ref="D8:I8"/>
    <mergeCell ref="D9:I9"/>
    <mergeCell ref="D14:I14"/>
  </mergeCells>
  <phoneticPr fontId="2" type="noConversion"/>
  <hyperlinks>
    <hyperlink ref="I16" r:id="rId1" tooltip="Click here to check for updates to this calculator"/>
    <hyperlink ref="D16" r:id="rId2" tooltip="Click here to check for updates to this calculator"/>
    <hyperlink ref="G23" r:id="rId3" tooltip="Please click here to send an e-mail"/>
    <hyperlink ref="I23" location="Revisions!A1" display="Revision History"/>
    <hyperlink ref="K5" location="Attenuators!A1" display="Attenuators"/>
    <hyperlink ref="K6" location="BPF!A1" display="Bandpass Filters"/>
    <hyperlink ref="K10" location="HPF!A1" display="Highpass Filters"/>
    <hyperlink ref="K11" location="LPF!A1" display="Lowpass Filters"/>
    <hyperlink ref="K13" location="'NF-NT'!A1" display="Noise Figure↔Temp"/>
    <hyperlink ref="K14" location="'Path Loss 1-Way'!A1" display="Path Loss, 1-Way"/>
    <hyperlink ref="K15" location="'Path Loss 2-Way'!A1" display="Path Loss, 2-Way"/>
    <hyperlink ref="K17" location="'Radar Blind Speed'!A1" display="Radar Blind Speed"/>
    <hyperlink ref="K19" location="'VSWR-RL'!A1" display="VSWR↔RL↔Gamma"/>
    <hyperlink ref="K20" location="'Voltage Divider'!A1" display="Voltage Divider"/>
    <hyperlink ref="K18" location="'Rectangular Cavity'!A1" display="Rectangular Cavity"/>
    <hyperlink ref="K8" location="Coils!A1" display="Coils"/>
    <hyperlink ref="K7" location="Cascade!A1" display="Cascaded Compoents"/>
    <hyperlink ref="K12" location="Mixer!A1" display="Mixer Frequency Conversion"/>
    <hyperlink ref="K9" location="Coupler!A1" display="Directional Couplers"/>
    <hyperlink ref="K16" location="'Prop Time'!A1" display="Propagation Time"/>
  </hyperlinks>
  <pageMargins left="0.5" right="0.5" top="0.5" bottom="0.5" header="0.5" footer="0.5"/>
  <pageSetup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B1:K12"/>
  <sheetViews>
    <sheetView showGridLines="0" showRowColHeaders="0" workbookViewId="0">
      <selection activeCell="J10" sqref="J10"/>
    </sheetView>
  </sheetViews>
  <sheetFormatPr defaultColWidth="0" defaultRowHeight="12" zeroHeight="1" x14ac:dyDescent="0.2"/>
  <cols>
    <col min="1" max="1" width="0.5703125" style="144" customWidth="1"/>
    <col min="2" max="2" width="1.140625" style="144" customWidth="1"/>
    <col min="3" max="3" width="8.7109375" style="144" customWidth="1"/>
    <col min="4" max="5" width="9.140625" style="144" customWidth="1"/>
    <col min="6" max="6" width="3.7109375" style="144" customWidth="1"/>
    <col min="7" max="9" width="9.140625" style="144" customWidth="1"/>
    <col min="10" max="10" width="3.7109375" style="144" customWidth="1"/>
    <col min="11" max="11" width="1.140625" style="144" customWidth="1"/>
    <col min="12" max="12" width="0.5703125" style="144" customWidth="1"/>
    <col min="13" max="16384" width="0" style="144" hidden="1"/>
  </cols>
  <sheetData>
    <row r="1" spans="2:11" ht="3" customHeight="1" thickBot="1" x14ac:dyDescent="0.25"/>
    <row r="2" spans="2:11" ht="6" customHeight="1" thickTop="1" x14ac:dyDescent="0.2">
      <c r="B2" s="145"/>
      <c r="C2" s="146"/>
      <c r="D2" s="146"/>
      <c r="E2" s="146"/>
      <c r="F2" s="146"/>
      <c r="G2" s="146"/>
      <c r="H2" s="146"/>
      <c r="I2" s="146"/>
      <c r="J2" s="146"/>
      <c r="K2" s="147"/>
    </row>
    <row r="3" spans="2:11" x14ac:dyDescent="0.2">
      <c r="B3" s="148"/>
      <c r="C3" s="439" t="s">
        <v>130</v>
      </c>
      <c r="D3" s="439"/>
      <c r="E3" s="439"/>
      <c r="F3" s="439"/>
      <c r="G3" s="439"/>
      <c r="H3" s="439"/>
      <c r="I3" s="439"/>
      <c r="J3" s="439"/>
      <c r="K3" s="149"/>
    </row>
    <row r="4" spans="2:11" ht="12.75" x14ac:dyDescent="0.2">
      <c r="B4" s="148"/>
      <c r="C4" s="258" t="s">
        <v>131</v>
      </c>
      <c r="E4" s="176"/>
      <c r="F4" s="176"/>
      <c r="G4" s="176"/>
      <c r="J4" s="257" t="s">
        <v>132</v>
      </c>
      <c r="K4" s="149"/>
    </row>
    <row r="5" spans="2:11" x14ac:dyDescent="0.2">
      <c r="B5" s="148"/>
      <c r="C5" s="150"/>
      <c r="D5" s="92"/>
      <c r="E5" s="92"/>
      <c r="F5" s="92"/>
      <c r="G5" s="92"/>
      <c r="H5" s="92"/>
      <c r="I5" s="92"/>
      <c r="J5" s="92"/>
      <c r="K5" s="149"/>
    </row>
    <row r="6" spans="2:11" x14ac:dyDescent="0.2">
      <c r="B6" s="148"/>
      <c r="C6" s="150"/>
      <c r="D6" s="138" t="s">
        <v>10</v>
      </c>
      <c r="E6" s="139">
        <v>3.01</v>
      </c>
      <c r="F6" s="140" t="s">
        <v>0</v>
      </c>
      <c r="G6" s="140"/>
      <c r="H6" s="138" t="s">
        <v>11</v>
      </c>
      <c r="I6" s="62">
        <f>290*(10^(E6/10)-1)</f>
        <v>289.95994219349581</v>
      </c>
      <c r="J6" s="140" t="s">
        <v>12</v>
      </c>
      <c r="K6" s="149"/>
    </row>
    <row r="7" spans="2:11" x14ac:dyDescent="0.2">
      <c r="B7" s="148"/>
      <c r="C7" s="150"/>
      <c r="D7" s="92"/>
      <c r="E7" s="92"/>
      <c r="F7" s="92"/>
      <c r="G7" s="92"/>
      <c r="H7" s="92"/>
      <c r="I7" s="92"/>
      <c r="J7" s="92"/>
      <c r="K7" s="149"/>
    </row>
    <row r="8" spans="2:11" x14ac:dyDescent="0.2">
      <c r="B8" s="148"/>
      <c r="C8" s="150"/>
      <c r="D8" s="138" t="s">
        <v>11</v>
      </c>
      <c r="E8" s="139">
        <v>289.95999999999998</v>
      </c>
      <c r="F8" s="140" t="s">
        <v>12</v>
      </c>
      <c r="G8" s="140"/>
      <c r="H8" s="138" t="s">
        <v>10</v>
      </c>
      <c r="I8" s="62">
        <f>10*LOG(E8/290+1)</f>
        <v>3.0100004328754921</v>
      </c>
      <c r="J8" s="140" t="s">
        <v>0</v>
      </c>
      <c r="K8" s="149"/>
    </row>
    <row r="9" spans="2:11" x14ac:dyDescent="0.2">
      <c r="B9" s="148"/>
      <c r="C9" s="150"/>
      <c r="D9" s="141"/>
      <c r="E9" s="92"/>
      <c r="F9" s="140"/>
      <c r="G9" s="140"/>
      <c r="H9" s="141"/>
      <c r="I9" s="62"/>
      <c r="J9" s="140"/>
      <c r="K9" s="149"/>
    </row>
    <row r="10" spans="2:11" x14ac:dyDescent="0.2">
      <c r="B10" s="148"/>
      <c r="C10" s="108" t="str">
        <f>Home!$D$7&amp;", "&amp;Home!$D$8&amp;", "&amp;Home!$D$9</f>
        <v>RF Cafe Calculator Workbook, v5.1, by RF Cafe</v>
      </c>
      <c r="D10" s="92"/>
      <c r="E10" s="92"/>
      <c r="F10" s="92"/>
      <c r="G10" s="92"/>
      <c r="H10" s="142"/>
      <c r="I10" s="92"/>
      <c r="J10" s="304" t="s">
        <v>198</v>
      </c>
      <c r="K10" s="149"/>
    </row>
    <row r="11" spans="2:11" ht="6" customHeight="1" thickBot="1" x14ac:dyDescent="0.25">
      <c r="B11" s="151"/>
      <c r="C11" s="152"/>
      <c r="D11" s="37"/>
      <c r="E11" s="37"/>
      <c r="F11" s="37"/>
      <c r="G11" s="37"/>
      <c r="H11" s="37"/>
      <c r="I11" s="37"/>
      <c r="J11" s="152"/>
      <c r="K11" s="153"/>
    </row>
    <row r="12" spans="2:11" ht="3" customHeight="1" thickTop="1" x14ac:dyDescent="0.2"/>
  </sheetData>
  <sheetProtection password="F39F" sheet="1" objects="1" scenarios="1"/>
  <mergeCells count="1">
    <mergeCell ref="C3:J3"/>
  </mergeCells>
  <phoneticPr fontId="2" type="noConversion"/>
  <hyperlinks>
    <hyperlink ref="C4" r:id="rId1"/>
    <hyperlink ref="J4" r:id="rId2" tooltip="Click here to check for updates to this calculator"/>
    <hyperlink ref="J10" location="Home!A1" tooltip="Click to return to title page with calculator list" display="Home"/>
  </hyperlinks>
  <pageMargins left="0.5" right="0.5" top="0.5" bottom="0.5" header="0.5" footer="0.5"/>
  <pageSetup orientation="portrait" r:id="rId3"/>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B1:K46"/>
  <sheetViews>
    <sheetView showGridLines="0" showRowColHeaders="0" workbookViewId="0">
      <selection activeCell="J23" sqref="J23"/>
    </sheetView>
  </sheetViews>
  <sheetFormatPr defaultColWidth="0" defaultRowHeight="12" zeroHeight="1" x14ac:dyDescent="0.2"/>
  <cols>
    <col min="1" max="1" width="0.5703125" style="158" customWidth="1"/>
    <col min="2" max="2" width="1.140625" style="158" customWidth="1"/>
    <col min="3" max="3" width="9.140625" style="158" customWidth="1"/>
    <col min="4" max="5" width="5.7109375" style="158" customWidth="1"/>
    <col min="6" max="6" width="10" style="158" bestFit="1" customWidth="1"/>
    <col min="7" max="8" width="5.7109375" style="158" customWidth="1"/>
    <col min="9" max="9" width="9.140625" style="158" customWidth="1"/>
    <col min="10" max="10" width="5.7109375" style="158" customWidth="1"/>
    <col min="11" max="11" width="1.140625" style="158" customWidth="1"/>
    <col min="12" max="12" width="0.5703125" style="158" customWidth="1"/>
    <col min="13" max="16384" width="0" style="158" hidden="1"/>
  </cols>
  <sheetData>
    <row r="1" spans="2:11" ht="3" customHeight="1" thickBot="1" x14ac:dyDescent="0.25"/>
    <row r="2" spans="2:11" ht="6" customHeight="1" thickTop="1" x14ac:dyDescent="0.2">
      <c r="B2" s="159"/>
      <c r="C2" s="160"/>
      <c r="D2" s="160"/>
      <c r="E2" s="160"/>
      <c r="F2" s="160"/>
      <c r="G2" s="160"/>
      <c r="H2" s="160"/>
      <c r="I2" s="160"/>
      <c r="J2" s="160"/>
      <c r="K2" s="161"/>
    </row>
    <row r="3" spans="2:11" ht="12" customHeight="1" x14ac:dyDescent="0.2">
      <c r="B3" s="162"/>
      <c r="C3" s="443" t="s">
        <v>83</v>
      </c>
      <c r="D3" s="443"/>
      <c r="E3" s="443"/>
      <c r="F3" s="443"/>
      <c r="G3" s="443"/>
      <c r="H3" s="443"/>
      <c r="I3" s="443"/>
      <c r="J3" s="443"/>
      <c r="K3" s="163"/>
    </row>
    <row r="4" spans="2:11" ht="12" customHeight="1" x14ac:dyDescent="0.2">
      <c r="B4" s="162"/>
      <c r="C4" s="258" t="s">
        <v>131</v>
      </c>
      <c r="E4" s="176"/>
      <c r="F4" s="176"/>
      <c r="G4" s="176"/>
      <c r="H4" s="176"/>
      <c r="J4" s="257" t="s">
        <v>132</v>
      </c>
      <c r="K4" s="163"/>
    </row>
    <row r="5" spans="2:11" x14ac:dyDescent="0.2">
      <c r="B5" s="162"/>
      <c r="C5" s="2"/>
      <c r="D5" s="2"/>
      <c r="E5" s="2"/>
      <c r="F5" s="2"/>
      <c r="G5" s="2"/>
      <c r="I5" s="2"/>
      <c r="J5" s="2"/>
      <c r="K5" s="163"/>
    </row>
    <row r="6" spans="2:11" ht="12.75" thickBot="1" x14ac:dyDescent="0.25">
      <c r="B6" s="162"/>
      <c r="C6" s="461" t="s">
        <v>28</v>
      </c>
      <c r="D6" s="461"/>
      <c r="E6" s="101"/>
      <c r="F6" s="461" t="s">
        <v>29</v>
      </c>
      <c r="G6" s="461"/>
      <c r="H6" s="202"/>
      <c r="I6" s="461" t="s">
        <v>30</v>
      </c>
      <c r="J6" s="461"/>
      <c r="K6" s="163"/>
    </row>
    <row r="7" spans="2:11" x14ac:dyDescent="0.2">
      <c r="B7" s="162"/>
      <c r="C7" s="460" t="s">
        <v>31</v>
      </c>
      <c r="D7" s="460"/>
      <c r="E7" s="2"/>
      <c r="F7" s="460" t="s">
        <v>32</v>
      </c>
      <c r="G7" s="460"/>
      <c r="I7" s="460" t="s">
        <v>33</v>
      </c>
      <c r="J7" s="460"/>
      <c r="K7" s="163"/>
    </row>
    <row r="8" spans="2:11" x14ac:dyDescent="0.2">
      <c r="B8" s="162"/>
      <c r="C8" s="73">
        <v>10</v>
      </c>
      <c r="D8" s="73" t="s">
        <v>67</v>
      </c>
      <c r="E8" s="2"/>
      <c r="F8" s="73">
        <v>31</v>
      </c>
      <c r="G8" s="73" t="s">
        <v>40</v>
      </c>
      <c r="I8" s="2">
        <f>I34</f>
        <v>-26.254417185289213</v>
      </c>
      <c r="J8" s="73" t="s">
        <v>5</v>
      </c>
      <c r="K8" s="163"/>
    </row>
    <row r="9" spans="2:11" x14ac:dyDescent="0.2">
      <c r="B9" s="162"/>
      <c r="C9" s="460" t="s">
        <v>34</v>
      </c>
      <c r="D9" s="460"/>
      <c r="E9" s="2"/>
      <c r="F9" s="460" t="s">
        <v>35</v>
      </c>
      <c r="G9" s="460"/>
      <c r="I9" s="4"/>
      <c r="J9" s="2"/>
      <c r="K9" s="163"/>
    </row>
    <row r="10" spans="2:11" x14ac:dyDescent="0.2">
      <c r="B10" s="162"/>
      <c r="C10" s="73">
        <v>40</v>
      </c>
      <c r="D10" s="3" t="s">
        <v>36</v>
      </c>
      <c r="E10" s="2"/>
      <c r="F10" s="4">
        <f>IF(G8="N/A",0,20*LOG(4*PI()*F34/E45))</f>
        <v>136.25441718528921</v>
      </c>
      <c r="G10" s="2" t="s">
        <v>0</v>
      </c>
      <c r="I10" s="460" t="s">
        <v>34</v>
      </c>
      <c r="J10" s="460"/>
      <c r="K10" s="163"/>
    </row>
    <row r="11" spans="2:11" x14ac:dyDescent="0.2">
      <c r="B11" s="162"/>
      <c r="C11" s="460" t="s">
        <v>33</v>
      </c>
      <c r="D11" s="460"/>
      <c r="E11" s="2"/>
      <c r="F11" s="2"/>
      <c r="G11" s="2"/>
      <c r="I11" s="73">
        <v>45</v>
      </c>
      <c r="J11" s="2" t="s">
        <v>36</v>
      </c>
      <c r="K11" s="163"/>
    </row>
    <row r="12" spans="2:11" x14ac:dyDescent="0.2">
      <c r="B12" s="162"/>
      <c r="C12" s="3">
        <f>IF(ISERROR(C37),0,C37)</f>
        <v>100000</v>
      </c>
      <c r="D12" s="3" t="str">
        <f>D8</f>
        <v>kW</v>
      </c>
      <c r="E12" s="2"/>
      <c r="F12" s="2"/>
      <c r="G12" s="2"/>
      <c r="I12" s="460" t="s">
        <v>38</v>
      </c>
      <c r="J12" s="460"/>
      <c r="K12" s="163"/>
    </row>
    <row r="13" spans="2:11" x14ac:dyDescent="0.2">
      <c r="B13" s="162"/>
      <c r="C13" s="460" t="s">
        <v>8</v>
      </c>
      <c r="D13" s="460"/>
      <c r="E13" s="2"/>
      <c r="F13" s="2"/>
      <c r="G13" s="2"/>
      <c r="I13" s="73">
        <v>-5</v>
      </c>
      <c r="J13" s="2" t="s">
        <v>0</v>
      </c>
      <c r="K13" s="163"/>
    </row>
    <row r="14" spans="2:11" x14ac:dyDescent="0.2">
      <c r="B14" s="162"/>
      <c r="C14" s="74">
        <v>5</v>
      </c>
      <c r="D14" s="74" t="s">
        <v>46</v>
      </c>
      <c r="E14" s="2"/>
      <c r="F14" s="164"/>
      <c r="G14" s="164"/>
      <c r="I14" s="460" t="s">
        <v>39</v>
      </c>
      <c r="J14" s="460"/>
      <c r="K14" s="163"/>
    </row>
    <row r="15" spans="2:11" x14ac:dyDescent="0.2">
      <c r="B15" s="162"/>
      <c r="C15" s="460" t="s">
        <v>27</v>
      </c>
      <c r="D15" s="460"/>
      <c r="E15" s="2"/>
      <c r="F15" s="2"/>
      <c r="G15" s="2"/>
      <c r="I15" s="2">
        <f>I40</f>
        <v>13.745582814710787</v>
      </c>
      <c r="J15" s="2" t="str">
        <f>J8</f>
        <v>dBm</v>
      </c>
      <c r="K15" s="163"/>
    </row>
    <row r="16" spans="2:11" x14ac:dyDescent="0.2">
      <c r="B16" s="162"/>
      <c r="C16" s="2">
        <f>C45</f>
        <v>5.9958491599999997E-2</v>
      </c>
      <c r="D16" s="73" t="s">
        <v>9</v>
      </c>
      <c r="E16" s="2"/>
      <c r="F16" s="2"/>
      <c r="G16" s="2"/>
      <c r="I16" s="2"/>
      <c r="J16" s="2"/>
      <c r="K16" s="163"/>
    </row>
    <row r="17" spans="2:11" x14ac:dyDescent="0.2">
      <c r="B17" s="162"/>
      <c r="C17" s="2"/>
      <c r="E17" s="2"/>
      <c r="F17" s="2"/>
      <c r="G17" s="2"/>
      <c r="I17" s="2"/>
      <c r="J17" s="2"/>
      <c r="K17" s="163"/>
    </row>
    <row r="18" spans="2:11" x14ac:dyDescent="0.2">
      <c r="B18" s="162"/>
      <c r="C18" s="84" t="str">
        <f>Home!$D$7&amp;", "&amp;Home!$D$8&amp;", "&amp;Home!$D$9</f>
        <v>RF Cafe Calculator Workbook, v5.1, by RF Cafe</v>
      </c>
      <c r="D18" s="2"/>
      <c r="E18" s="164"/>
      <c r="F18" s="164"/>
      <c r="G18" s="164"/>
      <c r="I18" s="164"/>
      <c r="J18" s="304" t="s">
        <v>198</v>
      </c>
      <c r="K18" s="163"/>
    </row>
    <row r="19" spans="2:11" s="182" customFormat="1" ht="6" customHeight="1" thickBot="1" x14ac:dyDescent="0.25">
      <c r="B19" s="179"/>
      <c r="C19" s="77"/>
      <c r="D19" s="77"/>
      <c r="E19" s="168"/>
      <c r="F19" s="180"/>
      <c r="G19" s="168"/>
      <c r="H19" s="168"/>
      <c r="I19" s="168"/>
      <c r="J19" s="168"/>
      <c r="K19" s="181"/>
    </row>
    <row r="20" spans="2:11" s="182" customFormat="1" ht="3" customHeight="1" thickTop="1" x14ac:dyDescent="0.2">
      <c r="E20" s="158"/>
      <c r="G20" s="158"/>
      <c r="H20" s="158"/>
      <c r="I20" s="158"/>
    </row>
    <row r="21" spans="2:11" s="182" customFormat="1" ht="12" hidden="1" customHeight="1" x14ac:dyDescent="0.2">
      <c r="E21" s="158"/>
      <c r="G21" s="158"/>
      <c r="H21" s="158"/>
      <c r="I21" s="158"/>
    </row>
    <row r="22" spans="2:11" s="182" customFormat="1" ht="12" hidden="1" customHeight="1" x14ac:dyDescent="0.2">
      <c r="E22" s="158"/>
      <c r="G22" s="158"/>
      <c r="H22" s="158"/>
      <c r="I22" s="158"/>
    </row>
    <row r="23" spans="2:11" s="182" customFormat="1" hidden="1" x14ac:dyDescent="0.2">
      <c r="C23" s="182" t="s">
        <v>46</v>
      </c>
      <c r="D23" s="182" t="s">
        <v>66</v>
      </c>
      <c r="E23" s="182" t="s">
        <v>86</v>
      </c>
      <c r="F23" s="182" t="s">
        <v>0</v>
      </c>
      <c r="H23" s="158"/>
      <c r="I23" s="158"/>
      <c r="J23" s="158"/>
    </row>
    <row r="24" spans="2:11" s="182" customFormat="1" hidden="1" x14ac:dyDescent="0.2">
      <c r="C24" s="182" t="s">
        <v>37</v>
      </c>
      <c r="D24" s="182" t="s">
        <v>67</v>
      </c>
      <c r="E24" s="182" t="s">
        <v>70</v>
      </c>
      <c r="F24" s="182" t="s">
        <v>86</v>
      </c>
      <c r="H24" s="158"/>
      <c r="I24" s="158"/>
      <c r="J24" s="158"/>
    </row>
    <row r="25" spans="2:11" s="182" customFormat="1" hidden="1" x14ac:dyDescent="0.2">
      <c r="C25" s="182" t="s">
        <v>47</v>
      </c>
      <c r="D25" s="182" t="s">
        <v>2</v>
      </c>
      <c r="E25" s="182" t="s">
        <v>71</v>
      </c>
      <c r="H25" s="158"/>
    </row>
    <row r="26" spans="2:11" s="182" customFormat="1" hidden="1" x14ac:dyDescent="0.2">
      <c r="C26" s="182" t="s">
        <v>65</v>
      </c>
      <c r="D26" s="182" t="s">
        <v>14</v>
      </c>
      <c r="E26" s="182" t="s">
        <v>41</v>
      </c>
      <c r="H26" s="158"/>
    </row>
    <row r="27" spans="2:11" s="182" customFormat="1" hidden="1" x14ac:dyDescent="0.2">
      <c r="D27" s="182" t="s">
        <v>68</v>
      </c>
      <c r="E27" s="182" t="s">
        <v>72</v>
      </c>
      <c r="H27" s="158"/>
    </row>
    <row r="28" spans="2:11" s="182" customFormat="1" hidden="1" x14ac:dyDescent="0.2">
      <c r="D28" s="182" t="s">
        <v>5</v>
      </c>
      <c r="E28" s="182" t="s">
        <v>73</v>
      </c>
      <c r="F28" s="183" t="s">
        <v>84</v>
      </c>
      <c r="H28" s="158"/>
    </row>
    <row r="29" spans="2:11" s="182" customFormat="1" hidden="1" x14ac:dyDescent="0.2">
      <c r="E29" s="182" t="s">
        <v>40</v>
      </c>
      <c r="F29" s="185" t="s">
        <v>85</v>
      </c>
      <c r="H29" s="158"/>
    </row>
    <row r="30" spans="2:11" s="182" customFormat="1" hidden="1" x14ac:dyDescent="0.2">
      <c r="E30" s="182" t="s">
        <v>9</v>
      </c>
      <c r="H30" s="158"/>
    </row>
    <row r="31" spans="2:11" s="182" customFormat="1" hidden="1" x14ac:dyDescent="0.2">
      <c r="E31" s="182" t="s">
        <v>74</v>
      </c>
      <c r="H31" s="158"/>
    </row>
    <row r="32" spans="2:11" s="182" customFormat="1" hidden="1" x14ac:dyDescent="0.2">
      <c r="E32" s="182" t="s">
        <v>69</v>
      </c>
      <c r="H32" s="158"/>
    </row>
    <row r="33" spans="3:10" s="182" customFormat="1" hidden="1" x14ac:dyDescent="0.2">
      <c r="C33" s="203" t="s">
        <v>75</v>
      </c>
      <c r="D33" s="204" t="s">
        <v>80</v>
      </c>
      <c r="E33" s="200"/>
      <c r="F33" s="205" t="s">
        <v>79</v>
      </c>
      <c r="G33" s="200"/>
      <c r="H33" s="158"/>
      <c r="I33" s="203" t="str">
        <f>"("&amp;J8&amp;")"</f>
        <v>(dBm)</v>
      </c>
      <c r="J33" s="204" t="s">
        <v>80</v>
      </c>
    </row>
    <row r="34" spans="3:10" s="182" customFormat="1" hidden="1" x14ac:dyDescent="0.2">
      <c r="C34" s="206">
        <f>IF(EXACT(D8,"MW"),C8*1000000,IF(D8="kW",C8*1000,IF(D8="W",C8*1,IF(EXACT(D8,"mW"),C8*0.001,IF(D8="dBW",10^(C8/10),10^(C8/10)/1000)))))</f>
        <v>10000</v>
      </c>
      <c r="D34" s="207">
        <f>10*LOG(C34)</f>
        <v>40</v>
      </c>
      <c r="E34" s="200"/>
      <c r="F34" s="208">
        <f>IF(G8="smi",F8/0.0006213711922,IF(G8="nmi",F8/0.0005399568035,IF(G8="ft",F8/3.280839895,IF(G8="in",F8/39.37007874,IF(G8="mil",F8/0.03937007874,IF(G8="km",F8*1000,IF(G8="m",F8,IF(G8="cm",F8/100,F8/1000))))))))</f>
        <v>31000</v>
      </c>
      <c r="G34" s="200"/>
      <c r="H34" s="158"/>
      <c r="I34" s="209">
        <f>IF(EXACT(J8,"MW"),I36/1000000,IF(J8="kW",I36/1000,IF(J8="W",I36*1,IF(EXACT(J8,"mW"),I36*1000,IF(J8="dBW",J34,J34+30)))))</f>
        <v>-26.254417185289213</v>
      </c>
      <c r="J34" s="210">
        <f>D37-F10</f>
        <v>-56.254417185289213</v>
      </c>
    </row>
    <row r="35" spans="3:10" s="182" customFormat="1" hidden="1" x14ac:dyDescent="0.2">
      <c r="C35" s="211"/>
      <c r="D35" s="211"/>
      <c r="E35" s="200"/>
      <c r="F35" s="200"/>
      <c r="G35" s="200"/>
      <c r="H35" s="158"/>
      <c r="I35" s="212" t="s">
        <v>76</v>
      </c>
      <c r="J35" s="213"/>
    </row>
    <row r="36" spans="3:10" s="182" customFormat="1" hidden="1" x14ac:dyDescent="0.2">
      <c r="C36" s="203" t="str">
        <f>"Ant Pwr ("&amp;D8&amp;")"</f>
        <v>Ant Pwr (kW)</v>
      </c>
      <c r="D36" s="204" t="s">
        <v>80</v>
      </c>
      <c r="E36" s="200"/>
      <c r="F36" s="200"/>
      <c r="G36" s="200"/>
      <c r="H36" s="158"/>
      <c r="I36" s="214">
        <f>10^(J34/10)</f>
        <v>2.3689630206632401E-6</v>
      </c>
      <c r="J36" s="215"/>
    </row>
    <row r="37" spans="3:10" s="182" customFormat="1" hidden="1" x14ac:dyDescent="0.2">
      <c r="C37" s="209">
        <f>IF(EXACT(D8,"MW"),C39/1000000,IF(D8="kW",C39/1000,IF(D8="W",C39*1,IF(EXACT(D8,"mW"),C39*1000,IF(D8="dBW",D37,D37+30)))))</f>
        <v>100000</v>
      </c>
      <c r="D37" s="216">
        <f>D34+C10</f>
        <v>80</v>
      </c>
      <c r="E37" s="200"/>
      <c r="F37" s="200"/>
      <c r="H37" s="158"/>
      <c r="I37" s="200"/>
      <c r="J37" s="200"/>
    </row>
    <row r="38" spans="3:10" s="182" customFormat="1" hidden="1" x14ac:dyDescent="0.2">
      <c r="C38" s="212" t="s">
        <v>82</v>
      </c>
      <c r="D38" s="213"/>
      <c r="E38" s="200"/>
      <c r="F38" s="200"/>
      <c r="H38" s="158"/>
      <c r="I38" s="200"/>
      <c r="J38" s="200"/>
    </row>
    <row r="39" spans="3:10" hidden="1" x14ac:dyDescent="0.2">
      <c r="C39" s="217">
        <f>10^(D37/10)</f>
        <v>100000000</v>
      </c>
      <c r="D39" s="218"/>
      <c r="E39" s="200"/>
      <c r="F39" s="200"/>
      <c r="I39" s="203" t="str">
        <f>"("&amp;J15&amp;")"</f>
        <v>(dBm)</v>
      </c>
      <c r="J39" s="204" t="s">
        <v>80</v>
      </c>
    </row>
    <row r="40" spans="3:10" hidden="1" x14ac:dyDescent="0.2">
      <c r="C40" s="200"/>
      <c r="D40" s="200"/>
      <c r="E40" s="200"/>
      <c r="F40" s="200"/>
      <c r="I40" s="209">
        <f>IF(EXACT(J15,"MW"),I42/1000000,IF(J15="kW",I42/1000,IF(J15="W",I42*1,IF(EXACT(J15,"mW"),I42*0.001,IF(J15="dBW",J40,J40+30)))))</f>
        <v>13.745582814710787</v>
      </c>
      <c r="J40" s="210">
        <f>J34+I11+I13</f>
        <v>-16.254417185289213</v>
      </c>
    </row>
    <row r="41" spans="3:10" hidden="1" x14ac:dyDescent="0.2">
      <c r="C41" s="205" t="s">
        <v>77</v>
      </c>
      <c r="D41" s="200"/>
      <c r="E41" s="164"/>
      <c r="F41" s="164"/>
      <c r="G41" s="164"/>
      <c r="I41" s="219" t="s">
        <v>81</v>
      </c>
      <c r="J41" s="220"/>
    </row>
    <row r="42" spans="3:10" hidden="1" x14ac:dyDescent="0.2">
      <c r="C42" s="221">
        <f>IF(D14="GHz",C14*1000000000,IF(D14="MHz",C14*1000000,IF(D14="kHz",C14*1000,C14)))</f>
        <v>5000000000</v>
      </c>
      <c r="D42" s="200"/>
      <c r="E42" s="164"/>
      <c r="F42" s="164"/>
      <c r="G42" s="164"/>
      <c r="I42" s="222">
        <f>10^(J40/10)</f>
        <v>2.3689630206632402E-2</v>
      </c>
      <c r="J42" s="218"/>
    </row>
    <row r="43" spans="3:10" hidden="1" x14ac:dyDescent="0.2">
      <c r="C43" s="164"/>
      <c r="D43" s="164"/>
      <c r="E43" s="164"/>
      <c r="F43" s="164"/>
      <c r="G43" s="164"/>
      <c r="I43" s="200"/>
      <c r="J43" s="200"/>
    </row>
    <row r="44" spans="3:10" hidden="1" x14ac:dyDescent="0.2">
      <c r="C44" s="203" t="str">
        <f>"Wavelength ("&amp;D16&amp;")"</f>
        <v>Wavelength (m)</v>
      </c>
      <c r="D44" s="223"/>
      <c r="E44" s="204" t="s">
        <v>78</v>
      </c>
      <c r="F44" s="164"/>
      <c r="G44" s="164"/>
      <c r="I44" s="200"/>
      <c r="J44" s="200"/>
    </row>
    <row r="45" spans="3:10" hidden="1" x14ac:dyDescent="0.2">
      <c r="C45" s="224">
        <f>IF(D16="smi",E45*0.0006213711922,IF(D16="nmi",E45*0.0005399568035,IF(D16="ft",E45*3.280839895,IF(D16="in",E45*39.37007874,IF(D16="mil",E45*0.03937007874,IF(D16="km",E45/1000,IF(D16="m",E45,IF(D16="cm",E45*100,E45*1000))))))))</f>
        <v>5.9958491599999997E-2</v>
      </c>
      <c r="D45" s="225"/>
      <c r="E45" s="226">
        <f>2.99792458*10^8/C42</f>
        <v>5.9958491599999997E-2</v>
      </c>
      <c r="I45" s="182"/>
      <c r="J45" s="182"/>
    </row>
    <row r="46" spans="3:10" hidden="1" x14ac:dyDescent="0.2"/>
  </sheetData>
  <sheetProtection password="F39F" sheet="1" objects="1" scenarios="1"/>
  <mergeCells count="15">
    <mergeCell ref="C11:D11"/>
    <mergeCell ref="F9:G9"/>
    <mergeCell ref="C15:D15"/>
    <mergeCell ref="C13:D13"/>
    <mergeCell ref="C9:D9"/>
    <mergeCell ref="C3:J3"/>
    <mergeCell ref="I14:J14"/>
    <mergeCell ref="I6:J6"/>
    <mergeCell ref="I7:J7"/>
    <mergeCell ref="I10:J10"/>
    <mergeCell ref="I12:J12"/>
    <mergeCell ref="F6:G6"/>
    <mergeCell ref="C7:D7"/>
    <mergeCell ref="F7:G7"/>
    <mergeCell ref="C6:D6"/>
  </mergeCells>
  <phoneticPr fontId="2" type="noConversion"/>
  <conditionalFormatting sqref="C8">
    <cfRule type="expression" dxfId="10" priority="1" stopIfTrue="1">
      <formula>AND($C$8&lt;=0,OR(D8="mW",D8="W",D8="kW",D8="MW"))</formula>
    </cfRule>
  </conditionalFormatting>
  <conditionalFormatting sqref="C12">
    <cfRule type="expression" dxfId="9" priority="2" stopIfTrue="1">
      <formula>AND($C$8&lt;=0,OR(D8="mW",D8="W",D8="kW",D8="MW"))</formula>
    </cfRule>
  </conditionalFormatting>
  <conditionalFormatting sqref="F10">
    <cfRule type="cellIs" dxfId="8" priority="3" stopIfTrue="1" operator="lessThan">
      <formula>-0.001</formula>
    </cfRule>
  </conditionalFormatting>
  <conditionalFormatting sqref="I8">
    <cfRule type="expression" dxfId="7" priority="4" stopIfTrue="1">
      <formula>ISERROR($I$8)</formula>
    </cfRule>
  </conditionalFormatting>
  <conditionalFormatting sqref="I15">
    <cfRule type="expression" dxfId="6" priority="5" stopIfTrue="1">
      <formula>ISERROR($I$15)</formula>
    </cfRule>
  </conditionalFormatting>
  <dataValidations count="9">
    <dataValidation type="custom" showInputMessage="1" showErrorMessage="1" error="Power in watts must be greater &gt;= 0" sqref="C8">
      <formula1>OR(D8="dBm",D8="dBW",AND($C$8&gt;0,OR(D8="mW",D8="W",D8="kW",D8="MW")))</formula1>
    </dataValidation>
    <dataValidation type="list" showInputMessage="1" showErrorMessage="1" sqref="D14">
      <formula1>$C$23:$C$26</formula1>
    </dataValidation>
    <dataValidation showInputMessage="1" showErrorMessage="1" error="Please choose from dropdown list" sqref="J15:J17"/>
    <dataValidation type="list" showInputMessage="1" showErrorMessage="1" error="Please choose from dropdown list" sqref="D8 J8">
      <formula1>$D$23:$D$28</formula1>
    </dataValidation>
    <dataValidation type="list" showInputMessage="1" showErrorMessage="1" error="Please choose from dropdown list" sqref="D16">
      <formula1>$E$23:$E$31</formula1>
    </dataValidation>
    <dataValidation type="whole" operator="greaterThanOrEqual" allowBlank="1" showInputMessage="1" showErrorMessage="1" error="Invalid distance - use minimum of 1/10 wavelength" sqref="F10">
      <formula1>0</formula1>
    </dataValidation>
    <dataValidation type="list" showInputMessage="1" showErrorMessage="1" error="Please choose from dropdown list" sqref="G8">
      <formula1>$E$23:$E$32</formula1>
    </dataValidation>
    <dataValidation operator="greaterThanOrEqual" showInputMessage="1" showErrorMessage="1" error="Must be &gt;= 0" sqref="I13 I11"/>
    <dataValidation type="decimal" operator="greaterThan" allowBlank="1" showInputMessage="1" showErrorMessage="1" sqref="C14">
      <formula1>0</formula1>
    </dataValidation>
  </dataValidations>
  <hyperlinks>
    <hyperlink ref="C4" r:id="rId1"/>
    <hyperlink ref="J4" r:id="rId2" tooltip="Click here to check for updates to this calculator"/>
    <hyperlink ref="J18" location="Home!A1" tooltip="Click to return to title page with calculator list" display="Home"/>
  </hyperlinks>
  <pageMargins left="0.5" right="0.5" top="0.5" bottom="0.5" header="0.5" footer="0.5"/>
  <pageSetup orientation="portrait" r:id="rId3"/>
  <headerFooter alignWithMargins="0"/>
  <drawing r:id="rId4"/>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B1:N52"/>
  <sheetViews>
    <sheetView showGridLines="0" showRowColHeaders="0" tabSelected="1" workbookViewId="0">
      <selection activeCell="F9" sqref="F9:G9"/>
    </sheetView>
  </sheetViews>
  <sheetFormatPr defaultColWidth="0" defaultRowHeight="12" zeroHeight="1" x14ac:dyDescent="0.2"/>
  <cols>
    <col min="1" max="1" width="0.5703125" style="158" customWidth="1"/>
    <col min="2" max="2" width="1.140625" style="158" customWidth="1"/>
    <col min="3" max="3" width="9.140625" style="158" customWidth="1"/>
    <col min="4" max="5" width="5.7109375" style="158" customWidth="1"/>
    <col min="6" max="6" width="10" style="158" bestFit="1" customWidth="1"/>
    <col min="7" max="8" width="5.7109375" style="158" customWidth="1"/>
    <col min="9" max="9" width="9.140625" style="158" customWidth="1"/>
    <col min="10" max="11" width="5.7109375" style="158" customWidth="1"/>
    <col min="12" max="12" width="9.140625" style="158" customWidth="1"/>
    <col min="13" max="13" width="5.7109375" style="158" customWidth="1"/>
    <col min="14" max="14" width="1.140625" style="158" customWidth="1"/>
    <col min="15" max="15" width="0.5703125" style="158" customWidth="1"/>
    <col min="16" max="16384" width="0" style="158" hidden="1"/>
  </cols>
  <sheetData>
    <row r="1" spans="2:14" ht="3" customHeight="1" thickBot="1" x14ac:dyDescent="0.25"/>
    <row r="2" spans="2:14" ht="6" customHeight="1" thickTop="1" x14ac:dyDescent="0.2">
      <c r="B2" s="159"/>
      <c r="C2" s="160"/>
      <c r="D2" s="160"/>
      <c r="E2" s="160"/>
      <c r="F2" s="160"/>
      <c r="G2" s="160"/>
      <c r="H2" s="160"/>
      <c r="I2" s="160"/>
      <c r="J2" s="160"/>
      <c r="K2" s="160"/>
      <c r="L2" s="160"/>
      <c r="M2" s="160"/>
      <c r="N2" s="161"/>
    </row>
    <row r="3" spans="2:14" ht="12" customHeight="1" x14ac:dyDescent="0.2">
      <c r="B3" s="162"/>
      <c r="C3" s="443" t="s">
        <v>90</v>
      </c>
      <c r="D3" s="443"/>
      <c r="E3" s="443"/>
      <c r="F3" s="443"/>
      <c r="G3" s="443"/>
      <c r="H3" s="443"/>
      <c r="I3" s="443"/>
      <c r="J3" s="443"/>
      <c r="K3" s="443"/>
      <c r="L3" s="443"/>
      <c r="M3" s="443"/>
      <c r="N3" s="163"/>
    </row>
    <row r="4" spans="2:14" ht="12" customHeight="1" x14ac:dyDescent="0.2">
      <c r="B4" s="162"/>
      <c r="C4" s="258" t="s">
        <v>131</v>
      </c>
      <c r="D4" s="176"/>
      <c r="F4" s="176"/>
      <c r="G4" s="176"/>
      <c r="H4" s="176"/>
      <c r="I4" s="176"/>
      <c r="L4" s="176"/>
      <c r="M4" s="257" t="s">
        <v>132</v>
      </c>
      <c r="N4" s="163"/>
    </row>
    <row r="5" spans="2:14" x14ac:dyDescent="0.2">
      <c r="B5" s="162"/>
      <c r="C5" s="5"/>
      <c r="D5" s="5"/>
      <c r="E5" s="5"/>
      <c r="F5" s="5"/>
      <c r="G5" s="5"/>
      <c r="H5" s="5"/>
      <c r="I5" s="5"/>
      <c r="J5" s="5"/>
      <c r="K5" s="5"/>
      <c r="L5" s="164"/>
      <c r="M5" s="164"/>
      <c r="N5" s="163"/>
    </row>
    <row r="6" spans="2:14" s="229" customFormat="1" ht="12.75" thickBot="1" x14ac:dyDescent="0.25">
      <c r="B6" s="227"/>
      <c r="C6" s="462" t="s">
        <v>28</v>
      </c>
      <c r="D6" s="462"/>
      <c r="E6" s="100"/>
      <c r="F6" s="462" t="s">
        <v>29</v>
      </c>
      <c r="G6" s="462"/>
      <c r="H6" s="100"/>
      <c r="I6" s="462" t="s">
        <v>43</v>
      </c>
      <c r="J6" s="462"/>
      <c r="K6" s="102"/>
      <c r="L6" s="462" t="s">
        <v>30</v>
      </c>
      <c r="M6" s="462"/>
      <c r="N6" s="228"/>
    </row>
    <row r="7" spans="2:14" x14ac:dyDescent="0.2">
      <c r="B7" s="162"/>
      <c r="C7" s="460" t="s">
        <v>31</v>
      </c>
      <c r="D7" s="460"/>
      <c r="E7" s="5"/>
      <c r="F7" s="460" t="s">
        <v>42</v>
      </c>
      <c r="G7" s="460"/>
      <c r="H7" s="5"/>
      <c r="I7" s="460" t="s">
        <v>44</v>
      </c>
      <c r="J7" s="460"/>
      <c r="K7" s="78"/>
      <c r="L7" s="460" t="s">
        <v>33</v>
      </c>
      <c r="M7" s="460"/>
      <c r="N7" s="163"/>
    </row>
    <row r="8" spans="2:14" x14ac:dyDescent="0.2">
      <c r="B8" s="162"/>
      <c r="C8" s="79">
        <v>20</v>
      </c>
      <c r="D8" s="79" t="s">
        <v>5</v>
      </c>
      <c r="E8" s="5"/>
      <c r="F8" s="79">
        <v>1</v>
      </c>
      <c r="G8" s="79" t="s">
        <v>9</v>
      </c>
      <c r="H8" s="5"/>
      <c r="I8" s="5">
        <f>I34</f>
        <v>-10.67620510321234</v>
      </c>
      <c r="J8" s="79" t="s">
        <v>5</v>
      </c>
      <c r="K8" s="5"/>
      <c r="L8" s="5">
        <f>L34</f>
        <v>-12.125878649040054</v>
      </c>
      <c r="M8" s="79" t="s">
        <v>5</v>
      </c>
      <c r="N8" s="163"/>
    </row>
    <row r="9" spans="2:14" x14ac:dyDescent="0.2">
      <c r="B9" s="162"/>
      <c r="C9" s="460" t="s">
        <v>34</v>
      </c>
      <c r="D9" s="460"/>
      <c r="E9" s="5"/>
      <c r="F9" s="460" t="s">
        <v>35</v>
      </c>
      <c r="G9" s="460"/>
      <c r="H9" s="5"/>
      <c r="I9" s="80"/>
      <c r="J9" s="5"/>
      <c r="K9" s="5"/>
      <c r="L9" s="80"/>
      <c r="M9" s="5"/>
      <c r="N9" s="163"/>
    </row>
    <row r="10" spans="2:14" ht="12.75" x14ac:dyDescent="0.25">
      <c r="B10" s="162"/>
      <c r="C10" s="79">
        <v>1</v>
      </c>
      <c r="D10" s="3" t="s">
        <v>36</v>
      </c>
      <c r="E10" s="5"/>
      <c r="F10" s="460" t="s">
        <v>91</v>
      </c>
      <c r="G10" s="460"/>
      <c r="H10" s="5"/>
      <c r="I10" s="463" t="s">
        <v>45</v>
      </c>
      <c r="J10" s="463"/>
      <c r="K10" s="78"/>
      <c r="L10" s="460" t="s">
        <v>34</v>
      </c>
      <c r="M10" s="460"/>
      <c r="N10" s="163"/>
    </row>
    <row r="11" spans="2:14" ht="13.5" x14ac:dyDescent="0.2">
      <c r="B11" s="162"/>
      <c r="C11" s="460" t="s">
        <v>33</v>
      </c>
      <c r="D11" s="460"/>
      <c r="E11" s="5"/>
      <c r="F11" s="80">
        <f>IF(G8="N/A",0,20*LOG(4*PI()*F34/E45))</f>
        <v>31.67620510321234</v>
      </c>
      <c r="G11" s="5" t="s">
        <v>0</v>
      </c>
      <c r="H11" s="5"/>
      <c r="I11" s="79">
        <v>9</v>
      </c>
      <c r="J11" s="5" t="s">
        <v>87</v>
      </c>
      <c r="K11" s="5"/>
      <c r="L11" s="79">
        <v>1</v>
      </c>
      <c r="M11" s="5" t="s">
        <v>36</v>
      </c>
      <c r="N11" s="163"/>
    </row>
    <row r="12" spans="2:14" x14ac:dyDescent="0.2">
      <c r="B12" s="162"/>
      <c r="C12" s="3">
        <f>IF(ISERROR(C37),0,C37)</f>
        <v>21</v>
      </c>
      <c r="D12" s="3" t="str">
        <f>D8</f>
        <v>dBm</v>
      </c>
      <c r="E12" s="5"/>
      <c r="F12" s="5"/>
      <c r="G12" s="5"/>
      <c r="H12" s="5"/>
      <c r="I12" s="460" t="s">
        <v>88</v>
      </c>
      <c r="J12" s="460"/>
      <c r="K12" s="78"/>
      <c r="L12" s="460" t="s">
        <v>38</v>
      </c>
      <c r="M12" s="460"/>
      <c r="N12" s="163"/>
    </row>
    <row r="13" spans="2:14" x14ac:dyDescent="0.2">
      <c r="B13" s="162"/>
      <c r="C13" s="460" t="s">
        <v>8</v>
      </c>
      <c r="D13" s="460"/>
      <c r="E13" s="5"/>
      <c r="F13" s="5"/>
      <c r="G13" s="5"/>
      <c r="H13" s="5"/>
      <c r="I13" s="80">
        <f>10*LOG(4*PI()*I11/E45^2)</f>
        <v>30.226531557384625</v>
      </c>
      <c r="J13" s="5" t="s">
        <v>0</v>
      </c>
      <c r="K13" s="5"/>
      <c r="L13" s="79">
        <v>-5</v>
      </c>
      <c r="M13" s="5" t="s">
        <v>0</v>
      </c>
      <c r="N13" s="163"/>
    </row>
    <row r="14" spans="2:14" x14ac:dyDescent="0.2">
      <c r="B14" s="162"/>
      <c r="C14" s="74">
        <v>915</v>
      </c>
      <c r="D14" s="74" t="s">
        <v>37</v>
      </c>
      <c r="E14" s="5"/>
      <c r="F14" s="164"/>
      <c r="G14" s="164"/>
      <c r="H14" s="5"/>
      <c r="I14" s="5"/>
      <c r="J14" s="5"/>
      <c r="K14" s="78"/>
      <c r="L14" s="460" t="s">
        <v>39</v>
      </c>
      <c r="M14" s="460"/>
      <c r="N14" s="163"/>
    </row>
    <row r="15" spans="2:14" x14ac:dyDescent="0.2">
      <c r="B15" s="162"/>
      <c r="C15" s="460" t="s">
        <v>27</v>
      </c>
      <c r="D15" s="460"/>
      <c r="E15" s="5"/>
      <c r="F15" s="5"/>
      <c r="G15" s="5"/>
      <c r="H15" s="5"/>
      <c r="I15" s="5"/>
      <c r="J15" s="5"/>
      <c r="K15" s="5"/>
      <c r="L15" s="80">
        <f>L40</f>
        <v>-16.125878649040054</v>
      </c>
      <c r="M15" s="5" t="str">
        <f>M8</f>
        <v>dBm</v>
      </c>
      <c r="N15" s="163"/>
    </row>
    <row r="16" spans="2:14" x14ac:dyDescent="0.2">
      <c r="B16" s="162"/>
      <c r="C16" s="5">
        <f>C45</f>
        <v>0.32764203060109287</v>
      </c>
      <c r="D16" s="79" t="s">
        <v>9</v>
      </c>
      <c r="E16" s="5"/>
      <c r="F16" s="5"/>
      <c r="G16" s="5"/>
      <c r="H16" s="5"/>
      <c r="I16" s="5"/>
      <c r="J16" s="5"/>
      <c r="K16" s="5"/>
      <c r="L16" s="164"/>
      <c r="M16" s="164"/>
      <c r="N16" s="163"/>
    </row>
    <row r="17" spans="2:14" x14ac:dyDescent="0.2">
      <c r="B17" s="162"/>
      <c r="C17" s="5"/>
      <c r="E17" s="5"/>
      <c r="F17" s="5"/>
      <c r="G17" s="5"/>
      <c r="H17" s="5"/>
      <c r="I17" s="5"/>
      <c r="J17" s="5"/>
      <c r="K17" s="5"/>
      <c r="L17" s="164"/>
      <c r="M17" s="72"/>
      <c r="N17" s="163"/>
    </row>
    <row r="18" spans="2:14" x14ac:dyDescent="0.2">
      <c r="B18" s="162"/>
      <c r="C18" s="84" t="str">
        <f>Home!$D$7&amp;", "&amp;Home!$D$8&amp;", "&amp;Home!$D$9</f>
        <v>RF Cafe Calculator Workbook, v5.1, by RF Cafe</v>
      </c>
      <c r="D18" s="2"/>
      <c r="E18" s="164"/>
      <c r="F18" s="164"/>
      <c r="G18" s="164"/>
      <c r="L18" s="164"/>
      <c r="M18" s="304" t="s">
        <v>198</v>
      </c>
      <c r="N18" s="163"/>
    </row>
    <row r="19" spans="2:14" s="182" customFormat="1" ht="6" customHeight="1" thickBot="1" x14ac:dyDescent="0.25">
      <c r="B19" s="179"/>
      <c r="C19" s="77"/>
      <c r="D19" s="77"/>
      <c r="E19" s="168"/>
      <c r="F19" s="180"/>
      <c r="G19" s="168"/>
      <c r="H19" s="180"/>
      <c r="I19" s="168"/>
      <c r="J19" s="168"/>
      <c r="K19" s="168"/>
      <c r="L19" s="180"/>
      <c r="M19" s="180"/>
      <c r="N19" s="181"/>
    </row>
    <row r="20" spans="2:14" s="182" customFormat="1" ht="3" customHeight="1" thickTop="1" x14ac:dyDescent="0.2">
      <c r="E20" s="158"/>
      <c r="G20" s="158"/>
      <c r="I20" s="158"/>
    </row>
    <row r="21" spans="2:14" s="182" customFormat="1" ht="12" hidden="1" customHeight="1" x14ac:dyDescent="0.2">
      <c r="E21" s="158"/>
      <c r="G21" s="158"/>
      <c r="I21" s="158"/>
    </row>
    <row r="22" spans="2:14" s="182" customFormat="1" ht="12" hidden="1" customHeight="1" x14ac:dyDescent="0.2">
      <c r="E22" s="158"/>
      <c r="G22" s="158"/>
      <c r="I22" s="158"/>
    </row>
    <row r="23" spans="2:14" s="182" customFormat="1" hidden="1" x14ac:dyDescent="0.2">
      <c r="C23" s="182" t="s">
        <v>46</v>
      </c>
      <c r="D23" s="182" t="s">
        <v>66</v>
      </c>
      <c r="E23" s="182" t="s">
        <v>86</v>
      </c>
      <c r="F23" s="182" t="s">
        <v>0</v>
      </c>
      <c r="I23" s="158"/>
      <c r="J23" s="158"/>
      <c r="K23" s="158"/>
    </row>
    <row r="24" spans="2:14" s="182" customFormat="1" hidden="1" x14ac:dyDescent="0.2">
      <c r="C24" s="182" t="s">
        <v>37</v>
      </c>
      <c r="D24" s="182" t="s">
        <v>67</v>
      </c>
      <c r="E24" s="182" t="s">
        <v>70</v>
      </c>
      <c r="F24" s="182" t="s">
        <v>86</v>
      </c>
      <c r="I24" s="158"/>
      <c r="J24" s="158"/>
      <c r="K24" s="158"/>
    </row>
    <row r="25" spans="2:14" s="182" customFormat="1" ht="11.25" hidden="1" x14ac:dyDescent="0.2">
      <c r="C25" s="182" t="s">
        <v>47</v>
      </c>
      <c r="D25" s="182" t="s">
        <v>2</v>
      </c>
      <c r="E25" s="182" t="s">
        <v>71</v>
      </c>
    </row>
    <row r="26" spans="2:14" s="182" customFormat="1" ht="11.25" hidden="1" x14ac:dyDescent="0.2">
      <c r="C26" s="182" t="s">
        <v>65</v>
      </c>
      <c r="D26" s="182" t="s">
        <v>14</v>
      </c>
      <c r="E26" s="182" t="s">
        <v>41</v>
      </c>
    </row>
    <row r="27" spans="2:14" s="182" customFormat="1" ht="11.25" hidden="1" x14ac:dyDescent="0.2">
      <c r="D27" s="182" t="s">
        <v>68</v>
      </c>
      <c r="E27" s="182" t="s">
        <v>72</v>
      </c>
    </row>
    <row r="28" spans="2:14" s="182" customFormat="1" ht="11.25" hidden="1" x14ac:dyDescent="0.2">
      <c r="D28" s="182" t="s">
        <v>5</v>
      </c>
      <c r="E28" s="182" t="s">
        <v>73</v>
      </c>
      <c r="F28" s="183" t="s">
        <v>84</v>
      </c>
    </row>
    <row r="29" spans="2:14" s="182" customFormat="1" ht="11.25" hidden="1" x14ac:dyDescent="0.2">
      <c r="E29" s="182" t="s">
        <v>40</v>
      </c>
      <c r="F29" s="185" t="s">
        <v>85</v>
      </c>
    </row>
    <row r="30" spans="2:14" s="182" customFormat="1" ht="11.25" hidden="1" x14ac:dyDescent="0.2">
      <c r="E30" s="182" t="s">
        <v>9</v>
      </c>
    </row>
    <row r="31" spans="2:14" s="182" customFormat="1" ht="11.25" hidden="1" x14ac:dyDescent="0.2">
      <c r="E31" s="182" t="s">
        <v>74</v>
      </c>
    </row>
    <row r="32" spans="2:14" s="182" customFormat="1" ht="11.25" hidden="1" x14ac:dyDescent="0.2">
      <c r="E32" s="182" t="s">
        <v>69</v>
      </c>
    </row>
    <row r="33" spans="3:13" s="184" customFormat="1" ht="11.25" hidden="1" x14ac:dyDescent="0.2">
      <c r="C33" s="230" t="s">
        <v>75</v>
      </c>
      <c r="D33" s="231" t="s">
        <v>80</v>
      </c>
      <c r="E33" s="232"/>
      <c r="F33" s="233" t="s">
        <v>79</v>
      </c>
      <c r="G33" s="232"/>
      <c r="H33" s="232"/>
      <c r="I33" s="230" t="str">
        <f>"("&amp;J8&amp;")"</f>
        <v>(dBm)</v>
      </c>
      <c r="J33" s="231" t="s">
        <v>80</v>
      </c>
      <c r="K33" s="234"/>
      <c r="L33" s="230" t="str">
        <f>"("&amp;M8&amp;")"</f>
        <v>(dBm)</v>
      </c>
      <c r="M33" s="231" t="s">
        <v>80</v>
      </c>
    </row>
    <row r="34" spans="3:13" s="184" customFormat="1" ht="11.25" hidden="1" x14ac:dyDescent="0.2">
      <c r="C34" s="235">
        <f>IF(EXACT(D8,"MW"),C8*1000000,IF(D8="kW",C8*1000,IF(D8="W",C8*1,IF(EXACT(D8,"mW"),C8/1000,IF(D8="dBW",10^(C8/10),10^(C8/10)/1000)))))</f>
        <v>0.1</v>
      </c>
      <c r="D34" s="236">
        <f>10*LOG(C34)</f>
        <v>-10</v>
      </c>
      <c r="E34" s="232"/>
      <c r="F34" s="237">
        <f>IF(G8="smi",F8/0.0006213711922,IF(G8="nmi",F8/0.0005399568035,IF(G8="ft",F8/3.280839895,IF(G8="in",F8/39.37007874,IF(G8="mil",F8/0.03937007874,IF(G8="km",F8*1000,IF(G8="m",F8,IF(G8="cm",F8/100,F8/1000))))))))</f>
        <v>1</v>
      </c>
      <c r="G34" s="232"/>
      <c r="H34" s="232"/>
      <c r="I34" s="238">
        <f>IF(EXACT(J8,"MW"),I36/1000000,IF(J8="kW",I36/1000,IF(J8="W",I36*1,IF(EXACT(J8,"mW"),I36*0.001,IF(J8="dBW",J34,J34+30)))))</f>
        <v>-10.67620510321234</v>
      </c>
      <c r="J34" s="239">
        <f>D37-F11</f>
        <v>-40.67620510321234</v>
      </c>
      <c r="K34" s="240"/>
      <c r="L34" s="238">
        <f>IF(EXACT(M8,"MW"),L36/1000000,IF(M8="kW",L36/1000,IF(M8="W",L36*1,IF(EXACT(M8,"mW"),L36*1000,IF(M8="dBW",M34,M34+30)))))</f>
        <v>-12.125878649040054</v>
      </c>
      <c r="M34" s="241">
        <f>J34+I13-F11</f>
        <v>-42.125878649040054</v>
      </c>
    </row>
    <row r="35" spans="3:13" s="184" customFormat="1" ht="11.25" hidden="1" x14ac:dyDescent="0.2">
      <c r="C35" s="242"/>
      <c r="D35" s="242"/>
      <c r="E35" s="232"/>
      <c r="F35" s="232"/>
      <c r="G35" s="232"/>
      <c r="H35" s="232"/>
      <c r="I35" s="243" t="s">
        <v>89</v>
      </c>
      <c r="J35" s="244"/>
      <c r="K35" s="245"/>
      <c r="L35" s="243" t="s">
        <v>89</v>
      </c>
      <c r="M35" s="244"/>
    </row>
    <row r="36" spans="3:13" s="184" customFormat="1" ht="11.25" hidden="1" x14ac:dyDescent="0.2">
      <c r="C36" s="230" t="str">
        <f>"Ant Pwr ("&amp;D8&amp;")"</f>
        <v>Ant Pwr (dBm)</v>
      </c>
      <c r="D36" s="231" t="s">
        <v>80</v>
      </c>
      <c r="E36" s="232"/>
      <c r="F36" s="232"/>
      <c r="G36" s="232"/>
      <c r="H36" s="232"/>
      <c r="I36" s="246">
        <f>10^(J34/10)</f>
        <v>8.5581420293451497E-5</v>
      </c>
      <c r="J36" s="247"/>
      <c r="K36" s="245"/>
      <c r="L36" s="246">
        <f>10^(M34/10)</f>
        <v>6.1293177344375307E-5</v>
      </c>
      <c r="M36" s="247"/>
    </row>
    <row r="37" spans="3:13" s="184" customFormat="1" ht="11.25" hidden="1" x14ac:dyDescent="0.2">
      <c r="C37" s="238">
        <f>IF(EXACT(D8,"MW"),C39/1000000,IF(D8="kW",C39/1000,IF(D8="W",C39*1,IF(EXACT(D8,"mW"),C39*1000,IF(D8="dBW",D37,D37+30)))))</f>
        <v>21</v>
      </c>
      <c r="D37" s="248">
        <f>D34+C10</f>
        <v>-9</v>
      </c>
      <c r="E37" s="232"/>
      <c r="F37" s="232"/>
      <c r="H37" s="232"/>
      <c r="I37" s="232"/>
      <c r="J37" s="232"/>
      <c r="K37" s="245"/>
    </row>
    <row r="38" spans="3:13" s="184" customFormat="1" ht="11.25" hidden="1" x14ac:dyDescent="0.2">
      <c r="C38" s="243" t="s">
        <v>82</v>
      </c>
      <c r="D38" s="244"/>
      <c r="E38" s="232"/>
      <c r="F38" s="232"/>
      <c r="H38" s="232"/>
      <c r="I38" s="232"/>
      <c r="J38" s="232"/>
      <c r="K38" s="245"/>
    </row>
    <row r="39" spans="3:13" s="184" customFormat="1" ht="11.25" hidden="1" x14ac:dyDescent="0.2">
      <c r="C39" s="249">
        <f>10^(D37/10)</f>
        <v>0.12589254117941667</v>
      </c>
      <c r="D39" s="247"/>
      <c r="E39" s="232"/>
      <c r="F39" s="232"/>
      <c r="H39" s="232"/>
      <c r="K39" s="234"/>
      <c r="L39" s="230" t="str">
        <f>"("&amp;M15&amp;")"</f>
        <v>(dBm)</v>
      </c>
      <c r="M39" s="231" t="s">
        <v>80</v>
      </c>
    </row>
    <row r="40" spans="3:13" s="184" customFormat="1" ht="11.25" hidden="1" x14ac:dyDescent="0.2">
      <c r="C40" s="232"/>
      <c r="D40" s="232"/>
      <c r="E40" s="232"/>
      <c r="F40" s="232"/>
      <c r="H40" s="232"/>
      <c r="K40" s="240"/>
      <c r="L40" s="238">
        <f>IF(EXACT(M15,"MW"),L42/1000000,IF(M15="kW",L42/1000,IF(M15="W",L42*1,IF(EXACT(M15,"mW"),L42*0.001,IF(M15="dBW",M40,M40+30)))))</f>
        <v>-16.125878649040054</v>
      </c>
      <c r="M40" s="239">
        <f>M34+L11+L13</f>
        <v>-46.125878649040054</v>
      </c>
    </row>
    <row r="41" spans="3:13" s="184" customFormat="1" ht="11.25" hidden="1" x14ac:dyDescent="0.2">
      <c r="C41" s="233" t="s">
        <v>77</v>
      </c>
      <c r="D41" s="232"/>
      <c r="E41" s="232"/>
      <c r="F41" s="232"/>
      <c r="G41" s="232"/>
      <c r="H41" s="232"/>
      <c r="K41" s="232"/>
      <c r="L41" s="250" t="s">
        <v>81</v>
      </c>
      <c r="M41" s="244"/>
    </row>
    <row r="42" spans="3:13" s="184" customFormat="1" ht="11.25" hidden="1" x14ac:dyDescent="0.2">
      <c r="C42" s="251">
        <f>IF(D14="GHz",C14*1000000000,IF(D14="MHz",C14*1000000,IF(D14="kHz",C14*1000,C14)))</f>
        <v>915000000</v>
      </c>
      <c r="D42" s="232"/>
      <c r="E42" s="232"/>
      <c r="F42" s="232"/>
      <c r="G42" s="232"/>
      <c r="H42" s="232"/>
      <c r="K42" s="232"/>
      <c r="L42" s="252">
        <f>10^(M40/10)</f>
        <v>2.440125340680298E-5</v>
      </c>
      <c r="M42" s="247"/>
    </row>
    <row r="43" spans="3:13" s="184" customFormat="1" ht="11.25" hidden="1" x14ac:dyDescent="0.2">
      <c r="C43" s="232"/>
      <c r="D43" s="232"/>
      <c r="E43" s="232"/>
      <c r="F43" s="232"/>
      <c r="G43" s="232"/>
      <c r="H43" s="232"/>
      <c r="I43" s="232"/>
      <c r="J43" s="232"/>
      <c r="K43" s="232"/>
    </row>
    <row r="44" spans="3:13" s="184" customFormat="1" ht="11.25" hidden="1" x14ac:dyDescent="0.2">
      <c r="C44" s="230" t="str">
        <f>"Wavelength ("&amp;D16&amp;")"</f>
        <v>Wavelength (m)</v>
      </c>
      <c r="D44" s="253"/>
      <c r="E44" s="231" t="s">
        <v>78</v>
      </c>
      <c r="F44" s="232"/>
      <c r="G44" s="232"/>
      <c r="H44" s="232"/>
      <c r="I44" s="232"/>
      <c r="J44" s="232"/>
      <c r="K44" s="232"/>
    </row>
    <row r="45" spans="3:13" s="184" customFormat="1" ht="11.25" hidden="1" x14ac:dyDescent="0.2">
      <c r="C45" s="235">
        <f>IF(D16="smi",E45*0.0006213711922,IF(D16="nmi",E45*0.0005399568035,IF(D16="ft",E45*3.280839895,IF(D16="in",E45*39.37007874,IF(D16="mil",E45*0.03937007874,IF(D16="km",E45/1000,IF(D16="m",E45,IF(D16="cm",E45*100,E45*1000))))))))</f>
        <v>0.32764203060109287</v>
      </c>
      <c r="D45" s="254"/>
      <c r="E45" s="236">
        <f>2.99792458*10^8/C42</f>
        <v>0.32764203060109287</v>
      </c>
    </row>
    <row r="46" spans="3:13" s="182" customFormat="1" ht="11.25" hidden="1" x14ac:dyDescent="0.2"/>
    <row r="47" spans="3:13" hidden="1" x14ac:dyDescent="0.2"/>
    <row r="48" spans="3:13" hidden="1" x14ac:dyDescent="0.2"/>
    <row r="49" hidden="1" x14ac:dyDescent="0.2"/>
    <row r="50" hidden="1" x14ac:dyDescent="0.2"/>
    <row r="51" hidden="1" x14ac:dyDescent="0.2"/>
    <row r="52" hidden="1" x14ac:dyDescent="0.2"/>
  </sheetData>
  <sheetProtection password="F39F" sheet="1" objects="1" scenarios="1"/>
  <mergeCells count="20">
    <mergeCell ref="L14:M14"/>
    <mergeCell ref="I6:J6"/>
    <mergeCell ref="I7:J7"/>
    <mergeCell ref="L10:M10"/>
    <mergeCell ref="L12:M12"/>
    <mergeCell ref="I10:J10"/>
    <mergeCell ref="I12:J12"/>
    <mergeCell ref="C15:D15"/>
    <mergeCell ref="C13:D13"/>
    <mergeCell ref="C9:D9"/>
    <mergeCell ref="C6:D6"/>
    <mergeCell ref="C11:D11"/>
    <mergeCell ref="C7:D7"/>
    <mergeCell ref="F9:G9"/>
    <mergeCell ref="F10:G10"/>
    <mergeCell ref="C3:M3"/>
    <mergeCell ref="L6:M6"/>
    <mergeCell ref="L7:M7"/>
    <mergeCell ref="F6:G6"/>
    <mergeCell ref="F7:G7"/>
  </mergeCells>
  <phoneticPr fontId="2" type="noConversion"/>
  <conditionalFormatting sqref="C8">
    <cfRule type="expression" dxfId="5" priority="1" stopIfTrue="1">
      <formula>AND($C$8&lt;=0,OR(D8="mW",D8="W",D8="kW",D8="MW"))</formula>
    </cfRule>
  </conditionalFormatting>
  <conditionalFormatting sqref="C12">
    <cfRule type="expression" dxfId="4" priority="2" stopIfTrue="1">
      <formula>AND($C$8&lt;=0,OR(D8="mW",D8="W",D8="kW",D8="MW"))</formula>
    </cfRule>
  </conditionalFormatting>
  <conditionalFormatting sqref="F11">
    <cfRule type="cellIs" dxfId="3" priority="3" stopIfTrue="1" operator="lessThan">
      <formula>-0.001</formula>
    </cfRule>
  </conditionalFormatting>
  <conditionalFormatting sqref="L8">
    <cfRule type="expression" dxfId="2" priority="4" stopIfTrue="1">
      <formula>"iserror($L$8)"</formula>
    </cfRule>
  </conditionalFormatting>
  <conditionalFormatting sqref="L15">
    <cfRule type="expression" dxfId="1" priority="5" stopIfTrue="1">
      <formula>ISERROR($L$15)</formula>
    </cfRule>
  </conditionalFormatting>
  <conditionalFormatting sqref="I8">
    <cfRule type="expression" dxfId="0" priority="6" stopIfTrue="1">
      <formula>ISERROR($I$8)</formula>
    </cfRule>
  </conditionalFormatting>
  <dataValidations count="10">
    <dataValidation type="custom" showInputMessage="1" showErrorMessage="1" error="Power in watts must be greater &gt;= 0" sqref="C8">
      <formula1>OR(D8="dBm",D8="dBW",AND($C$8&gt;0,OR(D8="mW",D8="W",D8="kW",D8="MW")))</formula1>
    </dataValidation>
    <dataValidation type="whole" operator="greaterThanOrEqual" allowBlank="1" showInputMessage="1" showErrorMessage="1" error="Invalid distance - use minimum of 1/10 wavelength" sqref="F11">
      <formula1>0</formula1>
    </dataValidation>
    <dataValidation type="decimal" operator="greaterThanOrEqual" showInputMessage="1" showErrorMessage="1" error="Must be &gt;= 0" sqref="I11">
      <formula1>0</formula1>
    </dataValidation>
    <dataValidation type="list" showInputMessage="1" showErrorMessage="1" sqref="D14">
      <formula1>$C$23:$C$26</formula1>
    </dataValidation>
    <dataValidation showInputMessage="1" showErrorMessage="1" error="Please choose from dropdown list" sqref="K15:K17 J13:J17 M15"/>
    <dataValidation type="list" showInputMessage="1" showErrorMessage="1" error="Please choose from dropdown list" sqref="D8 J8:K8 M8">
      <formula1>$D$23:$D$28</formula1>
    </dataValidation>
    <dataValidation type="list" showInputMessage="1" showErrorMessage="1" error="Please choose from dropdown list" sqref="D16">
      <formula1>$E$23:$E$31</formula1>
    </dataValidation>
    <dataValidation type="list" showInputMessage="1" showErrorMessage="1" error="Please choose from dropdown list" sqref="G8">
      <formula1>$E$23:$E$32</formula1>
    </dataValidation>
    <dataValidation operator="greaterThanOrEqual" showInputMessage="1" showErrorMessage="1" error="Must be &gt;= 0" sqref="L11 L13"/>
    <dataValidation type="decimal" operator="greaterThan" allowBlank="1" showInputMessage="1" showErrorMessage="1" sqref="C14">
      <formula1>0</formula1>
    </dataValidation>
  </dataValidations>
  <hyperlinks>
    <hyperlink ref="C4" r:id="rId1"/>
    <hyperlink ref="M4" r:id="rId2" tooltip="Click here to check for updates to this calculator"/>
    <hyperlink ref="M18" location="Home!A1" tooltip="Click to return to title page with calculator list" display="Home"/>
  </hyperlinks>
  <pageMargins left="0.5" right="0.5" top="0.5" bottom="0.5" header="0.5" footer="0.5"/>
  <pageSetup orientation="portrait" r:id="rId3"/>
  <headerFooter alignWithMargins="0"/>
  <drawing r:id="rId4"/>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pageSetUpPr fitToPage="1"/>
  </sheetPr>
  <dimension ref="A1:IU67"/>
  <sheetViews>
    <sheetView showGridLines="0" showRowColHeaders="0" workbookViewId="0">
      <selection activeCell="G7" sqref="G7"/>
    </sheetView>
  </sheetViews>
  <sheetFormatPr defaultColWidth="0" defaultRowHeight="12" zeroHeight="1" x14ac:dyDescent="0.2"/>
  <cols>
    <col min="1" max="1" width="0.5703125" style="383" customWidth="1"/>
    <col min="2" max="2" width="1.140625" style="383" customWidth="1"/>
    <col min="3" max="3" width="9.7109375" style="383" customWidth="1"/>
    <col min="4" max="5" width="5.7109375" style="383" customWidth="1"/>
    <col min="6" max="6" width="11.7109375" style="383" customWidth="1"/>
    <col min="7" max="8" width="5.7109375" style="383" customWidth="1"/>
    <col min="9" max="9" width="9.7109375" style="383" customWidth="1"/>
    <col min="10" max="10" width="5.7109375" style="383" customWidth="1"/>
    <col min="11" max="11" width="1.140625" style="383" customWidth="1"/>
    <col min="12" max="12" width="0.5703125" style="383" customWidth="1"/>
    <col min="13" max="16384" width="0" style="383" hidden="1"/>
  </cols>
  <sheetData>
    <row r="1" spans="2:11" ht="3" customHeight="1" thickBot="1" x14ac:dyDescent="0.25"/>
    <row r="2" spans="2:11" ht="6" customHeight="1" thickTop="1" x14ac:dyDescent="0.2">
      <c r="B2" s="386"/>
      <c r="C2" s="387"/>
      <c r="D2" s="387"/>
      <c r="E2" s="387"/>
      <c r="F2" s="387"/>
      <c r="G2" s="387"/>
      <c r="H2" s="387"/>
      <c r="I2" s="387"/>
      <c r="J2" s="387"/>
      <c r="K2" s="388"/>
    </row>
    <row r="3" spans="2:11" ht="12.75" x14ac:dyDescent="0.2">
      <c r="B3" s="389"/>
      <c r="C3" s="464" t="s">
        <v>233</v>
      </c>
      <c r="D3" s="464"/>
      <c r="E3" s="464"/>
      <c r="F3" s="464"/>
      <c r="G3" s="464"/>
      <c r="H3" s="464"/>
      <c r="I3" s="464"/>
      <c r="J3" s="464"/>
      <c r="K3" s="390"/>
    </row>
    <row r="4" spans="2:11" ht="12.75" x14ac:dyDescent="0.2">
      <c r="B4" s="389"/>
      <c r="C4" s="422" t="s">
        <v>131</v>
      </c>
      <c r="E4" s="391"/>
      <c r="F4" s="391"/>
      <c r="G4" s="391"/>
      <c r="H4" s="391"/>
      <c r="J4" s="423" t="s">
        <v>132</v>
      </c>
      <c r="K4" s="390"/>
    </row>
    <row r="5" spans="2:11" x14ac:dyDescent="0.2">
      <c r="B5" s="389"/>
      <c r="C5" s="5"/>
      <c r="D5" s="5"/>
      <c r="E5" s="5"/>
      <c r="F5" s="5"/>
      <c r="G5" s="5"/>
      <c r="H5" s="5"/>
      <c r="J5" s="5"/>
      <c r="K5" s="390"/>
    </row>
    <row r="6" spans="2:11" x14ac:dyDescent="0.2">
      <c r="B6" s="389"/>
      <c r="C6" s="465" t="s">
        <v>32</v>
      </c>
      <c r="D6" s="465"/>
      <c r="E6" s="78"/>
      <c r="F6" s="466" t="s">
        <v>234</v>
      </c>
      <c r="G6" s="466"/>
      <c r="I6" s="466" t="s">
        <v>8</v>
      </c>
      <c r="J6" s="466"/>
      <c r="K6" s="390"/>
    </row>
    <row r="7" spans="2:11" x14ac:dyDescent="0.2">
      <c r="B7" s="389"/>
      <c r="C7" s="74">
        <v>5</v>
      </c>
      <c r="D7" s="79" t="s">
        <v>9</v>
      </c>
      <c r="F7" s="5">
        <f>H20</f>
        <v>11802852677.165356</v>
      </c>
      <c r="G7" s="359" t="s">
        <v>261</v>
      </c>
      <c r="I7" s="74">
        <v>915</v>
      </c>
      <c r="J7" s="74" t="s">
        <v>37</v>
      </c>
      <c r="K7" s="390"/>
    </row>
    <row r="8" spans="2:11" x14ac:dyDescent="0.2">
      <c r="B8" s="389"/>
      <c r="C8" s="465" t="s">
        <v>235</v>
      </c>
      <c r="D8" s="465"/>
      <c r="F8" s="466" t="s">
        <v>232</v>
      </c>
      <c r="G8" s="466"/>
      <c r="I8" s="467" t="s">
        <v>27</v>
      </c>
      <c r="J8" s="467"/>
      <c r="K8" s="390"/>
    </row>
    <row r="9" spans="2:11" x14ac:dyDescent="0.2">
      <c r="B9" s="389"/>
      <c r="C9" s="74">
        <v>1</v>
      </c>
      <c r="F9" s="5">
        <f>H37</f>
        <v>1.6678204759907604E-2</v>
      </c>
      <c r="G9" s="359" t="s">
        <v>241</v>
      </c>
      <c r="I9" s="5">
        <f>D48</f>
        <v>0.32764203060109287</v>
      </c>
      <c r="J9" s="79" t="s">
        <v>9</v>
      </c>
      <c r="K9" s="390"/>
    </row>
    <row r="10" spans="2:11" x14ac:dyDescent="0.2">
      <c r="B10" s="389"/>
      <c r="E10" s="82"/>
      <c r="I10" s="460" t="s">
        <v>236</v>
      </c>
      <c r="J10" s="460"/>
      <c r="K10" s="390"/>
    </row>
    <row r="11" spans="2:11" x14ac:dyDescent="0.2">
      <c r="B11" s="389"/>
      <c r="I11" s="5">
        <f>D30/D46</f>
        <v>15.260557355315457</v>
      </c>
      <c r="K11" s="390"/>
    </row>
    <row r="12" spans="2:11" x14ac:dyDescent="0.2">
      <c r="B12" s="389"/>
      <c r="C12" s="5"/>
      <c r="F12" s="5"/>
      <c r="K12" s="390"/>
    </row>
    <row r="13" spans="2:11" x14ac:dyDescent="0.2">
      <c r="B13" s="389"/>
      <c r="C13" s="392" t="str">
        <f>Home!$D$7&amp;", "&amp;Home!$D$8&amp;", "&amp;Home!$D$9</f>
        <v>RF Cafe Calculator Workbook, v5.1, by RF Cafe</v>
      </c>
      <c r="F13" s="5"/>
      <c r="G13" s="5"/>
      <c r="H13" s="5"/>
      <c r="J13" s="393" t="s">
        <v>198</v>
      </c>
      <c r="K13" s="390"/>
    </row>
    <row r="14" spans="2:11" s="361" customFormat="1" ht="6" customHeight="1" thickBot="1" x14ac:dyDescent="0.25">
      <c r="B14" s="394"/>
      <c r="C14" s="77"/>
      <c r="D14" s="77"/>
      <c r="E14" s="77"/>
      <c r="F14" s="395"/>
      <c r="G14" s="396"/>
      <c r="H14" s="395"/>
      <c r="I14" s="395"/>
      <c r="J14" s="395"/>
      <c r="K14" s="397"/>
    </row>
    <row r="15" spans="2:11" s="361" customFormat="1" ht="3" customHeight="1" thickTop="1" x14ac:dyDescent="0.2">
      <c r="F15" s="383"/>
      <c r="H15" s="383"/>
      <c r="I15" s="383"/>
      <c r="J15" s="383"/>
    </row>
    <row r="16" spans="2:11" s="361" customFormat="1" ht="11.25" hidden="1" x14ac:dyDescent="0.2">
      <c r="F16" s="362"/>
      <c r="H16" s="362"/>
      <c r="I16" s="362"/>
      <c r="J16" s="362"/>
    </row>
    <row r="17" spans="1:255" s="364" customFormat="1" ht="12.75" hidden="1" x14ac:dyDescent="0.25">
      <c r="A17" s="363"/>
      <c r="B17" s="363"/>
      <c r="C17" s="365" t="s">
        <v>257</v>
      </c>
      <c r="D17" s="366"/>
      <c r="E17" s="372"/>
      <c r="G17" s="399" t="s">
        <v>259</v>
      </c>
      <c r="H17" s="376"/>
      <c r="I17" s="370"/>
      <c r="J17" s="370"/>
      <c r="K17" s="363"/>
      <c r="L17" s="363"/>
      <c r="M17" s="363"/>
      <c r="N17" s="363"/>
      <c r="O17" s="363"/>
      <c r="P17" s="363"/>
      <c r="Q17" s="363"/>
      <c r="R17" s="363"/>
      <c r="S17" s="363"/>
      <c r="T17" s="363"/>
      <c r="U17" s="363"/>
      <c r="V17" s="363"/>
      <c r="W17" s="363"/>
      <c r="X17" s="363"/>
      <c r="Y17" s="363"/>
      <c r="Z17" s="363"/>
      <c r="AA17" s="363"/>
      <c r="AB17" s="363"/>
      <c r="AC17" s="363"/>
      <c r="AD17" s="363"/>
      <c r="AE17" s="363"/>
      <c r="AF17" s="363"/>
      <c r="AG17" s="363"/>
      <c r="AH17" s="363"/>
      <c r="AI17" s="363"/>
      <c r="AJ17" s="363"/>
      <c r="AK17" s="363"/>
      <c r="AL17" s="363"/>
      <c r="AM17" s="363"/>
      <c r="AN17" s="363"/>
      <c r="AO17" s="363"/>
      <c r="AP17" s="363"/>
      <c r="AQ17" s="363"/>
      <c r="AR17" s="363"/>
      <c r="AS17" s="363"/>
      <c r="AT17" s="363"/>
      <c r="AU17" s="363"/>
      <c r="AV17" s="363"/>
      <c r="AW17" s="363"/>
      <c r="AX17" s="363"/>
      <c r="AY17" s="363"/>
      <c r="AZ17" s="363"/>
      <c r="BA17" s="363"/>
      <c r="BB17" s="363"/>
      <c r="BC17" s="363"/>
      <c r="BD17" s="363"/>
      <c r="BE17" s="363"/>
      <c r="BF17" s="363"/>
      <c r="BG17" s="363"/>
      <c r="BH17" s="363"/>
      <c r="BI17" s="363"/>
      <c r="BJ17" s="363"/>
      <c r="BK17" s="363"/>
      <c r="BL17" s="363"/>
      <c r="BM17" s="363"/>
      <c r="BN17" s="363"/>
      <c r="BO17" s="363"/>
      <c r="BP17" s="363"/>
      <c r="BQ17" s="363"/>
      <c r="BR17" s="363"/>
      <c r="BS17" s="363"/>
      <c r="BT17" s="363"/>
      <c r="BU17" s="363"/>
      <c r="BV17" s="363"/>
      <c r="BW17" s="363"/>
      <c r="BX17" s="363"/>
      <c r="BY17" s="363"/>
      <c r="BZ17" s="363"/>
      <c r="CA17" s="363"/>
      <c r="CB17" s="363"/>
      <c r="CC17" s="363"/>
      <c r="CD17" s="363"/>
      <c r="CE17" s="363"/>
      <c r="CF17" s="363"/>
      <c r="CG17" s="363"/>
      <c r="CH17" s="363"/>
      <c r="CI17" s="363"/>
      <c r="CJ17" s="363"/>
      <c r="CK17" s="363"/>
      <c r="CL17" s="363"/>
      <c r="CM17" s="363"/>
      <c r="CN17" s="363"/>
      <c r="CO17" s="363"/>
      <c r="CP17" s="363"/>
      <c r="CQ17" s="363"/>
      <c r="CR17" s="363"/>
      <c r="CS17" s="363"/>
      <c r="CT17" s="363"/>
      <c r="CU17" s="363"/>
      <c r="CV17" s="363"/>
      <c r="CW17" s="363"/>
      <c r="CX17" s="363"/>
      <c r="CY17" s="363"/>
      <c r="CZ17" s="363"/>
      <c r="DA17" s="363"/>
      <c r="DB17" s="363"/>
      <c r="DC17" s="363"/>
      <c r="DD17" s="363"/>
      <c r="DE17" s="363"/>
      <c r="DF17" s="363"/>
      <c r="DG17" s="363"/>
      <c r="DH17" s="363"/>
      <c r="DI17" s="363"/>
      <c r="DJ17" s="363"/>
      <c r="DK17" s="363"/>
      <c r="DL17" s="363"/>
      <c r="DM17" s="363"/>
      <c r="DN17" s="363"/>
      <c r="DO17" s="363"/>
      <c r="DP17" s="363"/>
      <c r="DQ17" s="363"/>
      <c r="DR17" s="363"/>
      <c r="DS17" s="363"/>
      <c r="DT17" s="363"/>
      <c r="DU17" s="363"/>
      <c r="DV17" s="363"/>
      <c r="DW17" s="363"/>
      <c r="DX17" s="363"/>
      <c r="DY17" s="363"/>
      <c r="DZ17" s="363"/>
      <c r="EA17" s="363"/>
      <c r="EB17" s="363"/>
      <c r="EC17" s="363"/>
      <c r="ED17" s="363"/>
      <c r="EE17" s="363"/>
      <c r="EF17" s="363"/>
      <c r="EG17" s="363"/>
      <c r="EH17" s="363"/>
      <c r="EI17" s="363"/>
      <c r="EJ17" s="363"/>
      <c r="EK17" s="363"/>
      <c r="EL17" s="363"/>
      <c r="EM17" s="363"/>
      <c r="EN17" s="363"/>
      <c r="EO17" s="363"/>
      <c r="EP17" s="363"/>
      <c r="EQ17" s="363"/>
      <c r="ER17" s="363"/>
      <c r="ES17" s="363"/>
      <c r="ET17" s="363"/>
      <c r="EU17" s="363"/>
      <c r="EV17" s="363"/>
      <c r="EW17" s="363"/>
      <c r="EX17" s="363"/>
      <c r="EY17" s="363"/>
      <c r="EZ17" s="363"/>
      <c r="FA17" s="363"/>
      <c r="FB17" s="363"/>
      <c r="FC17" s="363"/>
      <c r="FD17" s="363"/>
      <c r="FE17" s="363"/>
      <c r="FF17" s="363"/>
      <c r="FG17" s="363"/>
      <c r="FH17" s="363"/>
      <c r="FI17" s="363"/>
      <c r="FJ17" s="363"/>
      <c r="FK17" s="363"/>
      <c r="FL17" s="363"/>
      <c r="FM17" s="363"/>
      <c r="FN17" s="363"/>
      <c r="FO17" s="363"/>
      <c r="FP17" s="363"/>
      <c r="FQ17" s="363"/>
      <c r="FR17" s="363"/>
      <c r="FS17" s="363"/>
      <c r="FT17" s="363"/>
      <c r="FU17" s="363"/>
      <c r="FV17" s="363"/>
      <c r="FW17" s="363"/>
      <c r="FX17" s="363"/>
      <c r="FY17" s="363"/>
      <c r="FZ17" s="363"/>
      <c r="GA17" s="363"/>
      <c r="GB17" s="363"/>
      <c r="GC17" s="363"/>
      <c r="GD17" s="363"/>
      <c r="GE17" s="363"/>
      <c r="GF17" s="363"/>
      <c r="GG17" s="363"/>
      <c r="GH17" s="363"/>
      <c r="GI17" s="363"/>
      <c r="GJ17" s="363"/>
      <c r="GK17" s="363"/>
      <c r="GL17" s="363"/>
      <c r="GM17" s="363"/>
      <c r="GN17" s="363"/>
      <c r="GO17" s="363"/>
      <c r="GP17" s="363"/>
      <c r="GQ17" s="363"/>
      <c r="GR17" s="363"/>
      <c r="GS17" s="363"/>
      <c r="GT17" s="363"/>
      <c r="GU17" s="363"/>
      <c r="GV17" s="363"/>
      <c r="GW17" s="363"/>
      <c r="GX17" s="363"/>
      <c r="GY17" s="363"/>
      <c r="GZ17" s="363"/>
      <c r="HA17" s="363"/>
      <c r="HB17" s="363"/>
      <c r="HC17" s="363"/>
      <c r="HD17" s="363"/>
      <c r="HE17" s="363"/>
      <c r="HF17" s="363"/>
      <c r="HG17" s="363"/>
      <c r="HH17" s="363"/>
      <c r="HI17" s="363"/>
      <c r="HJ17" s="363"/>
      <c r="HK17" s="363"/>
      <c r="HL17" s="363"/>
      <c r="HM17" s="363"/>
      <c r="HN17" s="363"/>
      <c r="HO17" s="363"/>
      <c r="HP17" s="363"/>
      <c r="HQ17" s="363"/>
      <c r="HR17" s="363"/>
      <c r="HS17" s="363"/>
      <c r="HT17" s="363"/>
      <c r="HU17" s="363"/>
      <c r="HV17" s="363"/>
      <c r="HW17" s="363"/>
      <c r="HX17" s="363"/>
      <c r="HY17" s="363"/>
      <c r="HZ17" s="363"/>
      <c r="IA17" s="363"/>
      <c r="IB17" s="363"/>
      <c r="IC17" s="363"/>
      <c r="ID17" s="363"/>
      <c r="IE17" s="363"/>
      <c r="IF17" s="363"/>
      <c r="IG17" s="363"/>
      <c r="IH17" s="363"/>
      <c r="II17" s="363"/>
      <c r="IJ17" s="363"/>
      <c r="IK17" s="363"/>
      <c r="IL17" s="363"/>
      <c r="IM17" s="363"/>
      <c r="IN17" s="363"/>
      <c r="IO17" s="363"/>
      <c r="IP17" s="363"/>
      <c r="IQ17" s="363"/>
      <c r="IR17" s="363"/>
      <c r="IS17" s="363"/>
      <c r="IT17" s="363"/>
      <c r="IU17" s="363"/>
    </row>
    <row r="18" spans="1:255" s="364" customFormat="1" ht="12.75" hidden="1" x14ac:dyDescent="0.25">
      <c r="A18" s="363"/>
      <c r="B18" s="363"/>
      <c r="C18" s="367" t="s">
        <v>250</v>
      </c>
      <c r="D18" s="400" t="str">
        <f>J7</f>
        <v>MHz</v>
      </c>
      <c r="E18" s="372"/>
      <c r="G18" s="367" t="s">
        <v>265</v>
      </c>
      <c r="H18" s="368">
        <v>299792458</v>
      </c>
      <c r="I18" s="370"/>
      <c r="J18" s="370"/>
      <c r="K18" s="363"/>
      <c r="L18" s="363"/>
      <c r="M18" s="363"/>
      <c r="N18" s="363"/>
      <c r="O18" s="363"/>
      <c r="P18" s="363"/>
      <c r="Q18" s="363"/>
      <c r="R18" s="363"/>
      <c r="S18" s="363"/>
      <c r="T18" s="363"/>
      <c r="U18" s="363"/>
      <c r="V18" s="363"/>
      <c r="W18" s="363"/>
      <c r="X18" s="363"/>
      <c r="Y18" s="363"/>
      <c r="Z18" s="363"/>
      <c r="AA18" s="363"/>
      <c r="AB18" s="363"/>
      <c r="AC18" s="363"/>
      <c r="AD18" s="363"/>
      <c r="AE18" s="363"/>
      <c r="AF18" s="363"/>
      <c r="AG18" s="363"/>
      <c r="AH18" s="363"/>
      <c r="AI18" s="363"/>
      <c r="AJ18" s="363"/>
      <c r="AK18" s="363"/>
      <c r="AL18" s="363"/>
      <c r="AM18" s="363"/>
      <c r="AN18" s="363"/>
      <c r="AO18" s="363"/>
      <c r="AP18" s="363"/>
      <c r="AQ18" s="363"/>
      <c r="AR18" s="363"/>
      <c r="AS18" s="363"/>
      <c r="AT18" s="363"/>
      <c r="AU18" s="363"/>
      <c r="AV18" s="363"/>
      <c r="AW18" s="363"/>
      <c r="AX18" s="363"/>
      <c r="AY18" s="363"/>
      <c r="AZ18" s="363"/>
      <c r="BA18" s="363"/>
      <c r="BB18" s="363"/>
      <c r="BC18" s="363"/>
      <c r="BD18" s="363"/>
      <c r="BE18" s="363"/>
      <c r="BF18" s="363"/>
      <c r="BG18" s="363"/>
      <c r="BH18" s="363"/>
      <c r="BI18" s="363"/>
      <c r="BJ18" s="363"/>
      <c r="BK18" s="363"/>
      <c r="BL18" s="363"/>
      <c r="BM18" s="363"/>
      <c r="BN18" s="363"/>
      <c r="BO18" s="363"/>
      <c r="BP18" s="363"/>
      <c r="BQ18" s="363"/>
      <c r="BR18" s="363"/>
      <c r="BS18" s="363"/>
      <c r="BT18" s="363"/>
      <c r="BU18" s="363"/>
      <c r="BV18" s="363"/>
      <c r="BW18" s="363"/>
      <c r="BX18" s="363"/>
      <c r="BY18" s="363"/>
      <c r="BZ18" s="363"/>
      <c r="CA18" s="363"/>
      <c r="CB18" s="363"/>
      <c r="CC18" s="363"/>
      <c r="CD18" s="363"/>
      <c r="CE18" s="363"/>
      <c r="CF18" s="363"/>
      <c r="CG18" s="363"/>
      <c r="CH18" s="363"/>
      <c r="CI18" s="363"/>
      <c r="CJ18" s="363"/>
      <c r="CK18" s="363"/>
      <c r="CL18" s="363"/>
      <c r="CM18" s="363"/>
      <c r="CN18" s="363"/>
      <c r="CO18" s="363"/>
      <c r="CP18" s="363"/>
      <c r="CQ18" s="363"/>
      <c r="CR18" s="363"/>
      <c r="CS18" s="363"/>
      <c r="CT18" s="363"/>
      <c r="CU18" s="363"/>
      <c r="CV18" s="363"/>
      <c r="CW18" s="363"/>
      <c r="CX18" s="363"/>
      <c r="CY18" s="363"/>
      <c r="CZ18" s="363"/>
      <c r="DA18" s="363"/>
      <c r="DB18" s="363"/>
      <c r="DC18" s="363"/>
      <c r="DD18" s="363"/>
      <c r="DE18" s="363"/>
      <c r="DF18" s="363"/>
      <c r="DG18" s="363"/>
      <c r="DH18" s="363"/>
      <c r="DI18" s="363"/>
      <c r="DJ18" s="363"/>
      <c r="DK18" s="363"/>
      <c r="DL18" s="363"/>
      <c r="DM18" s="363"/>
      <c r="DN18" s="363"/>
      <c r="DO18" s="363"/>
      <c r="DP18" s="363"/>
      <c r="DQ18" s="363"/>
      <c r="DR18" s="363"/>
      <c r="DS18" s="363"/>
      <c r="DT18" s="363"/>
      <c r="DU18" s="363"/>
      <c r="DV18" s="363"/>
      <c r="DW18" s="363"/>
      <c r="DX18" s="363"/>
      <c r="DY18" s="363"/>
      <c r="DZ18" s="363"/>
      <c r="EA18" s="363"/>
      <c r="EB18" s="363"/>
      <c r="EC18" s="363"/>
      <c r="ED18" s="363"/>
      <c r="EE18" s="363"/>
      <c r="EF18" s="363"/>
      <c r="EG18" s="363"/>
      <c r="EH18" s="363"/>
      <c r="EI18" s="363"/>
      <c r="EJ18" s="363"/>
      <c r="EK18" s="363"/>
      <c r="EL18" s="363"/>
      <c r="EM18" s="363"/>
      <c r="EN18" s="363"/>
      <c r="EO18" s="363"/>
      <c r="EP18" s="363"/>
      <c r="EQ18" s="363"/>
      <c r="ER18" s="363"/>
      <c r="ES18" s="363"/>
      <c r="ET18" s="363"/>
      <c r="EU18" s="363"/>
      <c r="EV18" s="363"/>
      <c r="EW18" s="363"/>
      <c r="EX18" s="363"/>
      <c r="EY18" s="363"/>
      <c r="EZ18" s="363"/>
      <c r="FA18" s="363"/>
      <c r="FB18" s="363"/>
      <c r="FC18" s="363"/>
      <c r="FD18" s="363"/>
      <c r="FE18" s="363"/>
      <c r="FF18" s="363"/>
      <c r="FG18" s="363"/>
      <c r="FH18" s="363"/>
      <c r="FI18" s="363"/>
      <c r="FJ18" s="363"/>
      <c r="FK18" s="363"/>
      <c r="FL18" s="363"/>
      <c r="FM18" s="363"/>
      <c r="FN18" s="363"/>
      <c r="FO18" s="363"/>
      <c r="FP18" s="363"/>
      <c r="FQ18" s="363"/>
      <c r="FR18" s="363"/>
      <c r="FS18" s="363"/>
      <c r="FT18" s="363"/>
      <c r="FU18" s="363"/>
      <c r="FV18" s="363"/>
      <c r="FW18" s="363"/>
      <c r="FX18" s="363"/>
      <c r="FY18" s="363"/>
      <c r="FZ18" s="363"/>
      <c r="GA18" s="363"/>
      <c r="GB18" s="363"/>
      <c r="GC18" s="363"/>
      <c r="GD18" s="363"/>
      <c r="GE18" s="363"/>
      <c r="GF18" s="363"/>
      <c r="GG18" s="363"/>
      <c r="GH18" s="363"/>
      <c r="GI18" s="363"/>
      <c r="GJ18" s="363"/>
      <c r="GK18" s="363"/>
      <c r="GL18" s="363"/>
      <c r="GM18" s="363"/>
      <c r="GN18" s="363"/>
      <c r="GO18" s="363"/>
      <c r="GP18" s="363"/>
      <c r="GQ18" s="363"/>
      <c r="GR18" s="363"/>
      <c r="GS18" s="363"/>
      <c r="GT18" s="363"/>
      <c r="GU18" s="363"/>
      <c r="GV18" s="363"/>
      <c r="GW18" s="363"/>
      <c r="GX18" s="363"/>
      <c r="GY18" s="363"/>
      <c r="GZ18" s="363"/>
      <c r="HA18" s="363"/>
      <c r="HB18" s="363"/>
      <c r="HC18" s="363"/>
      <c r="HD18" s="363"/>
      <c r="HE18" s="363"/>
      <c r="HF18" s="363"/>
      <c r="HG18" s="363"/>
      <c r="HH18" s="363"/>
      <c r="HI18" s="363"/>
      <c r="HJ18" s="363"/>
      <c r="HK18" s="363"/>
      <c r="HL18" s="363"/>
      <c r="HM18" s="363"/>
      <c r="HN18" s="363"/>
      <c r="HO18" s="363"/>
      <c r="HP18" s="363"/>
      <c r="HQ18" s="363"/>
      <c r="HR18" s="363"/>
      <c r="HS18" s="363"/>
      <c r="HT18" s="363"/>
      <c r="HU18" s="363"/>
      <c r="HV18" s="363"/>
      <c r="HW18" s="363"/>
      <c r="HX18" s="363"/>
      <c r="HY18" s="363"/>
      <c r="HZ18" s="363"/>
      <c r="IA18" s="363"/>
      <c r="IB18" s="363"/>
      <c r="IC18" s="363"/>
      <c r="ID18" s="363"/>
      <c r="IE18" s="363"/>
      <c r="IF18" s="363"/>
      <c r="IG18" s="363"/>
      <c r="IH18" s="363"/>
      <c r="II18" s="363"/>
      <c r="IJ18" s="363"/>
      <c r="IK18" s="363"/>
      <c r="IL18" s="363"/>
      <c r="IM18" s="363"/>
      <c r="IN18" s="363"/>
      <c r="IO18" s="363"/>
      <c r="IP18" s="363"/>
      <c r="IQ18" s="363"/>
      <c r="IR18" s="363"/>
      <c r="IS18" s="363"/>
      <c r="IT18" s="363"/>
      <c r="IU18" s="363"/>
    </row>
    <row r="19" spans="1:255" s="364" customFormat="1" ht="12.75" hidden="1" x14ac:dyDescent="0.25">
      <c r="A19" s="363"/>
      <c r="B19" s="363"/>
      <c r="C19" s="369" t="s">
        <v>251</v>
      </c>
      <c r="D19" s="400">
        <f>I7</f>
        <v>915</v>
      </c>
      <c r="E19" s="372"/>
      <c r="G19" s="367" t="s">
        <v>266</v>
      </c>
      <c r="H19" s="409">
        <f>H18/SQRT(C9)</f>
        <v>299792458</v>
      </c>
      <c r="I19" s="370"/>
      <c r="J19" s="370"/>
      <c r="K19" s="363"/>
      <c r="L19" s="363"/>
      <c r="M19" s="363"/>
      <c r="N19" s="363"/>
      <c r="O19" s="363"/>
      <c r="P19" s="363"/>
      <c r="Q19" s="363"/>
      <c r="R19" s="363"/>
      <c r="S19" s="363"/>
      <c r="T19" s="363"/>
      <c r="U19" s="363"/>
      <c r="V19" s="363"/>
      <c r="W19" s="363"/>
      <c r="X19" s="363"/>
      <c r="Y19" s="363"/>
      <c r="Z19" s="363"/>
      <c r="AA19" s="363"/>
      <c r="AB19" s="363"/>
      <c r="AC19" s="363"/>
      <c r="AD19" s="363"/>
      <c r="AE19" s="363"/>
      <c r="AF19" s="363"/>
      <c r="AG19" s="363"/>
      <c r="AH19" s="363"/>
      <c r="AI19" s="363"/>
      <c r="AJ19" s="363"/>
      <c r="AK19" s="363"/>
      <c r="AL19" s="363"/>
      <c r="AM19" s="363"/>
      <c r="AN19" s="363"/>
      <c r="AO19" s="363"/>
      <c r="AP19" s="363"/>
      <c r="AQ19" s="363"/>
      <c r="AR19" s="363"/>
      <c r="AS19" s="363"/>
      <c r="AT19" s="363"/>
      <c r="AU19" s="363"/>
      <c r="AV19" s="363"/>
      <c r="AW19" s="363"/>
      <c r="AX19" s="363"/>
      <c r="AY19" s="363"/>
      <c r="AZ19" s="363"/>
      <c r="BA19" s="363"/>
      <c r="BB19" s="363"/>
      <c r="BC19" s="363"/>
      <c r="BD19" s="363"/>
      <c r="BE19" s="363"/>
      <c r="BF19" s="363"/>
      <c r="BG19" s="363"/>
      <c r="BH19" s="363"/>
      <c r="BI19" s="363"/>
      <c r="BJ19" s="363"/>
      <c r="BK19" s="363"/>
      <c r="BL19" s="363"/>
      <c r="BM19" s="363"/>
      <c r="BN19" s="363"/>
      <c r="BO19" s="363"/>
      <c r="BP19" s="363"/>
      <c r="BQ19" s="363"/>
      <c r="BR19" s="363"/>
      <c r="BS19" s="363"/>
      <c r="BT19" s="363"/>
      <c r="BU19" s="363"/>
      <c r="BV19" s="363"/>
      <c r="BW19" s="363"/>
      <c r="BX19" s="363"/>
      <c r="BY19" s="363"/>
      <c r="BZ19" s="363"/>
      <c r="CA19" s="363"/>
      <c r="CB19" s="363"/>
      <c r="CC19" s="363"/>
      <c r="CD19" s="363"/>
      <c r="CE19" s="363"/>
      <c r="CF19" s="363"/>
      <c r="CG19" s="363"/>
      <c r="CH19" s="363"/>
      <c r="CI19" s="363"/>
      <c r="CJ19" s="363"/>
      <c r="CK19" s="363"/>
      <c r="CL19" s="363"/>
      <c r="CM19" s="363"/>
      <c r="CN19" s="363"/>
      <c r="CO19" s="363"/>
      <c r="CP19" s="363"/>
      <c r="CQ19" s="363"/>
      <c r="CR19" s="363"/>
      <c r="CS19" s="363"/>
      <c r="CT19" s="363"/>
      <c r="CU19" s="363"/>
      <c r="CV19" s="363"/>
      <c r="CW19" s="363"/>
      <c r="CX19" s="363"/>
      <c r="CY19" s="363"/>
      <c r="CZ19" s="363"/>
      <c r="DA19" s="363"/>
      <c r="DB19" s="363"/>
      <c r="DC19" s="363"/>
      <c r="DD19" s="363"/>
      <c r="DE19" s="363"/>
      <c r="DF19" s="363"/>
      <c r="DG19" s="363"/>
      <c r="DH19" s="363"/>
      <c r="DI19" s="363"/>
      <c r="DJ19" s="363"/>
      <c r="DK19" s="363"/>
      <c r="DL19" s="363"/>
      <c r="DM19" s="363"/>
      <c r="DN19" s="363"/>
      <c r="DO19" s="363"/>
      <c r="DP19" s="363"/>
      <c r="DQ19" s="363"/>
      <c r="DR19" s="363"/>
      <c r="DS19" s="363"/>
      <c r="DT19" s="363"/>
      <c r="DU19" s="363"/>
      <c r="DV19" s="363"/>
      <c r="DW19" s="363"/>
      <c r="DX19" s="363"/>
      <c r="DY19" s="363"/>
      <c r="DZ19" s="363"/>
      <c r="EA19" s="363"/>
      <c r="EB19" s="363"/>
      <c r="EC19" s="363"/>
      <c r="ED19" s="363"/>
      <c r="EE19" s="363"/>
      <c r="EF19" s="363"/>
      <c r="EG19" s="363"/>
      <c r="EH19" s="363"/>
      <c r="EI19" s="363"/>
      <c r="EJ19" s="363"/>
      <c r="EK19" s="363"/>
      <c r="EL19" s="363"/>
      <c r="EM19" s="363"/>
      <c r="EN19" s="363"/>
      <c r="EO19" s="363"/>
      <c r="EP19" s="363"/>
      <c r="EQ19" s="363"/>
      <c r="ER19" s="363"/>
      <c r="ES19" s="363"/>
      <c r="ET19" s="363"/>
      <c r="EU19" s="363"/>
      <c r="EV19" s="363"/>
      <c r="EW19" s="363"/>
      <c r="EX19" s="363"/>
      <c r="EY19" s="363"/>
      <c r="EZ19" s="363"/>
      <c r="FA19" s="363"/>
      <c r="FB19" s="363"/>
      <c r="FC19" s="363"/>
      <c r="FD19" s="363"/>
      <c r="FE19" s="363"/>
      <c r="FF19" s="363"/>
      <c r="FG19" s="363"/>
      <c r="FH19" s="363"/>
      <c r="FI19" s="363"/>
      <c r="FJ19" s="363"/>
      <c r="FK19" s="363"/>
      <c r="FL19" s="363"/>
      <c r="FM19" s="363"/>
      <c r="FN19" s="363"/>
      <c r="FO19" s="363"/>
      <c r="FP19" s="363"/>
      <c r="FQ19" s="363"/>
      <c r="FR19" s="363"/>
      <c r="FS19" s="363"/>
      <c r="FT19" s="363"/>
      <c r="FU19" s="363"/>
      <c r="FV19" s="363"/>
      <c r="FW19" s="363"/>
      <c r="FX19" s="363"/>
      <c r="FY19" s="363"/>
      <c r="FZ19" s="363"/>
      <c r="GA19" s="363"/>
      <c r="GB19" s="363"/>
      <c r="GC19" s="363"/>
      <c r="GD19" s="363"/>
      <c r="GE19" s="363"/>
      <c r="GF19" s="363"/>
      <c r="GG19" s="363"/>
      <c r="GH19" s="363"/>
      <c r="GI19" s="363"/>
      <c r="GJ19" s="363"/>
      <c r="GK19" s="363"/>
      <c r="GL19" s="363"/>
      <c r="GM19" s="363"/>
      <c r="GN19" s="363"/>
      <c r="GO19" s="363"/>
      <c r="GP19" s="363"/>
      <c r="GQ19" s="363"/>
      <c r="GR19" s="363"/>
      <c r="GS19" s="363"/>
      <c r="GT19" s="363"/>
      <c r="GU19" s="363"/>
      <c r="GV19" s="363"/>
      <c r="GW19" s="363"/>
      <c r="GX19" s="363"/>
      <c r="GY19" s="363"/>
      <c r="GZ19" s="363"/>
      <c r="HA19" s="363"/>
      <c r="HB19" s="363"/>
      <c r="HC19" s="363"/>
      <c r="HD19" s="363"/>
      <c r="HE19" s="363"/>
      <c r="HF19" s="363"/>
      <c r="HG19" s="363"/>
      <c r="HH19" s="363"/>
      <c r="HI19" s="363"/>
      <c r="HJ19" s="363"/>
      <c r="HK19" s="363"/>
      <c r="HL19" s="363"/>
      <c r="HM19" s="363"/>
      <c r="HN19" s="363"/>
      <c r="HO19" s="363"/>
      <c r="HP19" s="363"/>
      <c r="HQ19" s="363"/>
      <c r="HR19" s="363"/>
      <c r="HS19" s="363"/>
      <c r="HT19" s="363"/>
      <c r="HU19" s="363"/>
      <c r="HV19" s="363"/>
      <c r="HW19" s="363"/>
      <c r="HX19" s="363"/>
      <c r="HY19" s="363"/>
      <c r="HZ19" s="363"/>
      <c r="IA19" s="363"/>
      <c r="IB19" s="363"/>
      <c r="IC19" s="363"/>
      <c r="ID19" s="363"/>
      <c r="IE19" s="363"/>
      <c r="IF19" s="363"/>
      <c r="IG19" s="363"/>
      <c r="IH19" s="363"/>
      <c r="II19" s="363"/>
      <c r="IJ19" s="363"/>
      <c r="IK19" s="363"/>
      <c r="IL19" s="363"/>
      <c r="IM19" s="363"/>
      <c r="IN19" s="363"/>
      <c r="IO19" s="363"/>
      <c r="IP19" s="363"/>
      <c r="IQ19" s="363"/>
      <c r="IR19" s="363"/>
      <c r="IS19" s="363"/>
      <c r="IT19" s="363"/>
      <c r="IU19" s="363"/>
    </row>
    <row r="20" spans="1:255" s="364" customFormat="1" ht="12.75" hidden="1" x14ac:dyDescent="0.25">
      <c r="A20" s="363"/>
      <c r="B20" s="363"/>
      <c r="C20" s="367" t="s">
        <v>256</v>
      </c>
      <c r="D20" s="400">
        <f>IF(J7="GHz",D21,IF(J7="MHz",D22,IF(J7="kHz",D23,D24)))</f>
        <v>915000000</v>
      </c>
      <c r="E20" s="372"/>
      <c r="G20" s="367" t="s">
        <v>264</v>
      </c>
      <c r="H20" s="409">
        <f>IF(G7="ft/s",H19/H23,IF(G7="in/s",H19/H24,IF(G7="km/s",H19/H25,IF(G7="mi/s",H19/H26,IF(G7="km/hr",H19/H27,IF(G7="mi/hr",H19/H28,IF(G7="kt",H19/H29,H19)))))))</f>
        <v>11802852677.165356</v>
      </c>
      <c r="I20" s="370"/>
      <c r="J20" s="370"/>
      <c r="K20" s="363"/>
      <c r="L20" s="363"/>
      <c r="M20" s="363"/>
      <c r="N20" s="363"/>
      <c r="O20" s="363"/>
      <c r="P20" s="363"/>
      <c r="Q20" s="363"/>
      <c r="R20" s="363"/>
      <c r="S20" s="363"/>
      <c r="T20" s="363"/>
      <c r="U20" s="363"/>
      <c r="V20" s="363"/>
      <c r="W20" s="363"/>
      <c r="X20" s="363"/>
      <c r="Y20" s="363"/>
      <c r="Z20" s="363"/>
      <c r="AA20" s="363"/>
      <c r="AB20" s="363"/>
      <c r="AC20" s="363"/>
      <c r="AD20" s="363"/>
      <c r="AE20" s="363"/>
      <c r="AF20" s="363"/>
      <c r="AG20" s="363"/>
      <c r="AH20" s="363"/>
      <c r="AI20" s="363"/>
      <c r="AJ20" s="363"/>
      <c r="AK20" s="363"/>
      <c r="AL20" s="363"/>
      <c r="AM20" s="363"/>
      <c r="AN20" s="363"/>
      <c r="AO20" s="363"/>
      <c r="AP20" s="363"/>
      <c r="AQ20" s="363"/>
      <c r="AR20" s="363"/>
      <c r="AS20" s="363"/>
      <c r="AT20" s="363"/>
      <c r="AU20" s="363"/>
      <c r="AV20" s="363"/>
      <c r="AW20" s="363"/>
      <c r="AX20" s="363"/>
      <c r="AY20" s="363"/>
      <c r="AZ20" s="363"/>
      <c r="BA20" s="363"/>
      <c r="BB20" s="363"/>
      <c r="BC20" s="363"/>
      <c r="BD20" s="363"/>
      <c r="BE20" s="363"/>
      <c r="BF20" s="363"/>
      <c r="BG20" s="363"/>
      <c r="BH20" s="363"/>
      <c r="BI20" s="363"/>
      <c r="BJ20" s="363"/>
      <c r="BK20" s="363"/>
      <c r="BL20" s="363"/>
      <c r="BM20" s="363"/>
      <c r="BN20" s="363"/>
      <c r="BO20" s="363"/>
      <c r="BP20" s="363"/>
      <c r="BQ20" s="363"/>
      <c r="BR20" s="363"/>
      <c r="BS20" s="363"/>
      <c r="BT20" s="363"/>
      <c r="BU20" s="363"/>
      <c r="BV20" s="363"/>
      <c r="BW20" s="363"/>
      <c r="BX20" s="363"/>
      <c r="BY20" s="363"/>
      <c r="BZ20" s="363"/>
      <c r="CA20" s="363"/>
      <c r="CB20" s="363"/>
      <c r="CC20" s="363"/>
      <c r="CD20" s="363"/>
      <c r="CE20" s="363"/>
      <c r="CF20" s="363"/>
      <c r="CG20" s="363"/>
      <c r="CH20" s="363"/>
      <c r="CI20" s="363"/>
      <c r="CJ20" s="363"/>
      <c r="CK20" s="363"/>
      <c r="CL20" s="363"/>
      <c r="CM20" s="363"/>
      <c r="CN20" s="363"/>
      <c r="CO20" s="363"/>
      <c r="CP20" s="363"/>
      <c r="CQ20" s="363"/>
      <c r="CR20" s="363"/>
      <c r="CS20" s="363"/>
      <c r="CT20" s="363"/>
      <c r="CU20" s="363"/>
      <c r="CV20" s="363"/>
      <c r="CW20" s="363"/>
      <c r="CX20" s="363"/>
      <c r="CY20" s="363"/>
      <c r="CZ20" s="363"/>
      <c r="DA20" s="363"/>
      <c r="DB20" s="363"/>
      <c r="DC20" s="363"/>
      <c r="DD20" s="363"/>
      <c r="DE20" s="363"/>
      <c r="DF20" s="363"/>
      <c r="DG20" s="363"/>
      <c r="DH20" s="363"/>
      <c r="DI20" s="363"/>
      <c r="DJ20" s="363"/>
      <c r="DK20" s="363"/>
      <c r="DL20" s="363"/>
      <c r="DM20" s="363"/>
      <c r="DN20" s="363"/>
      <c r="DO20" s="363"/>
      <c r="DP20" s="363"/>
      <c r="DQ20" s="363"/>
      <c r="DR20" s="363"/>
      <c r="DS20" s="363"/>
      <c r="DT20" s="363"/>
      <c r="DU20" s="363"/>
      <c r="DV20" s="363"/>
      <c r="DW20" s="363"/>
      <c r="DX20" s="363"/>
      <c r="DY20" s="363"/>
      <c r="DZ20" s="363"/>
      <c r="EA20" s="363"/>
      <c r="EB20" s="363"/>
      <c r="EC20" s="363"/>
      <c r="ED20" s="363"/>
      <c r="EE20" s="363"/>
      <c r="EF20" s="363"/>
      <c r="EG20" s="363"/>
      <c r="EH20" s="363"/>
      <c r="EI20" s="363"/>
      <c r="EJ20" s="363"/>
      <c r="EK20" s="363"/>
      <c r="EL20" s="363"/>
      <c r="EM20" s="363"/>
      <c r="EN20" s="363"/>
      <c r="EO20" s="363"/>
      <c r="EP20" s="363"/>
      <c r="EQ20" s="363"/>
      <c r="ER20" s="363"/>
      <c r="ES20" s="363"/>
      <c r="ET20" s="363"/>
      <c r="EU20" s="363"/>
      <c r="EV20" s="363"/>
      <c r="EW20" s="363"/>
      <c r="EX20" s="363"/>
      <c r="EY20" s="363"/>
      <c r="EZ20" s="363"/>
      <c r="FA20" s="363"/>
      <c r="FB20" s="363"/>
      <c r="FC20" s="363"/>
      <c r="FD20" s="363"/>
      <c r="FE20" s="363"/>
      <c r="FF20" s="363"/>
      <c r="FG20" s="363"/>
      <c r="FH20" s="363"/>
      <c r="FI20" s="363"/>
      <c r="FJ20" s="363"/>
      <c r="FK20" s="363"/>
      <c r="FL20" s="363"/>
      <c r="FM20" s="363"/>
      <c r="FN20" s="363"/>
      <c r="FO20" s="363"/>
      <c r="FP20" s="363"/>
      <c r="FQ20" s="363"/>
      <c r="FR20" s="363"/>
      <c r="FS20" s="363"/>
      <c r="FT20" s="363"/>
      <c r="FU20" s="363"/>
      <c r="FV20" s="363"/>
      <c r="FW20" s="363"/>
      <c r="FX20" s="363"/>
      <c r="FY20" s="363"/>
      <c r="FZ20" s="363"/>
      <c r="GA20" s="363"/>
      <c r="GB20" s="363"/>
      <c r="GC20" s="363"/>
      <c r="GD20" s="363"/>
      <c r="GE20" s="363"/>
      <c r="GF20" s="363"/>
      <c r="GG20" s="363"/>
      <c r="GH20" s="363"/>
      <c r="GI20" s="363"/>
      <c r="GJ20" s="363"/>
      <c r="GK20" s="363"/>
      <c r="GL20" s="363"/>
      <c r="GM20" s="363"/>
      <c r="GN20" s="363"/>
      <c r="GO20" s="363"/>
      <c r="GP20" s="363"/>
      <c r="GQ20" s="363"/>
      <c r="GR20" s="363"/>
      <c r="GS20" s="363"/>
      <c r="GT20" s="363"/>
      <c r="GU20" s="363"/>
      <c r="GV20" s="363"/>
      <c r="GW20" s="363"/>
      <c r="GX20" s="363"/>
      <c r="GY20" s="363"/>
      <c r="GZ20" s="363"/>
      <c r="HA20" s="363"/>
      <c r="HB20" s="363"/>
      <c r="HC20" s="363"/>
      <c r="HD20" s="363"/>
      <c r="HE20" s="363"/>
      <c r="HF20" s="363"/>
      <c r="HG20" s="363"/>
      <c r="HH20" s="363"/>
      <c r="HI20" s="363"/>
      <c r="HJ20" s="363"/>
      <c r="HK20" s="363"/>
      <c r="HL20" s="363"/>
      <c r="HM20" s="363"/>
      <c r="HN20" s="363"/>
      <c r="HO20" s="363"/>
      <c r="HP20" s="363"/>
      <c r="HQ20" s="363"/>
      <c r="HR20" s="363"/>
      <c r="HS20" s="363"/>
      <c r="HT20" s="363"/>
      <c r="HU20" s="363"/>
      <c r="HV20" s="363"/>
      <c r="HW20" s="363"/>
      <c r="HX20" s="363"/>
      <c r="HY20" s="363"/>
      <c r="HZ20" s="363"/>
      <c r="IA20" s="363"/>
      <c r="IB20" s="363"/>
      <c r="IC20" s="363"/>
      <c r="ID20" s="363"/>
      <c r="IE20" s="363"/>
      <c r="IF20" s="363"/>
      <c r="IG20" s="363"/>
      <c r="IH20" s="363"/>
      <c r="II20" s="363"/>
      <c r="IJ20" s="363"/>
      <c r="IK20" s="363"/>
      <c r="IL20" s="363"/>
      <c r="IM20" s="363"/>
      <c r="IN20" s="363"/>
      <c r="IO20" s="363"/>
      <c r="IP20" s="363"/>
      <c r="IQ20" s="363"/>
      <c r="IR20" s="363"/>
      <c r="IS20" s="363"/>
      <c r="IT20" s="363"/>
      <c r="IU20" s="363"/>
    </row>
    <row r="21" spans="1:255" s="364" customFormat="1" ht="12.75" hidden="1" x14ac:dyDescent="0.25">
      <c r="A21" s="363"/>
      <c r="B21" s="363"/>
      <c r="C21" s="406" t="s">
        <v>46</v>
      </c>
      <c r="D21" s="368">
        <f>D19*1000000000</f>
        <v>915000000000</v>
      </c>
      <c r="E21" s="372"/>
      <c r="G21" s="415" t="s">
        <v>17</v>
      </c>
      <c r="H21" s="409"/>
      <c r="I21" s="370"/>
      <c r="J21" s="370"/>
      <c r="K21" s="363"/>
      <c r="L21" s="363"/>
      <c r="M21" s="363"/>
      <c r="N21" s="363"/>
      <c r="O21" s="363"/>
      <c r="P21" s="363"/>
      <c r="Q21" s="363"/>
      <c r="R21" s="363"/>
      <c r="S21" s="363"/>
      <c r="T21" s="363"/>
      <c r="U21" s="363"/>
      <c r="V21" s="363"/>
      <c r="W21" s="363"/>
      <c r="X21" s="363"/>
      <c r="Y21" s="363"/>
      <c r="Z21" s="363"/>
      <c r="AA21" s="363"/>
      <c r="AB21" s="363"/>
      <c r="AC21" s="363"/>
      <c r="AD21" s="363"/>
      <c r="AE21" s="363"/>
      <c r="AF21" s="363"/>
      <c r="AG21" s="363"/>
      <c r="AH21" s="363"/>
      <c r="AI21" s="363"/>
      <c r="AJ21" s="363"/>
      <c r="AK21" s="363"/>
      <c r="AL21" s="363"/>
      <c r="AM21" s="363"/>
      <c r="AN21" s="363"/>
      <c r="AO21" s="363"/>
      <c r="AP21" s="363"/>
      <c r="AQ21" s="363"/>
      <c r="AR21" s="363"/>
      <c r="AS21" s="363"/>
      <c r="AT21" s="363"/>
      <c r="AU21" s="363"/>
      <c r="AV21" s="363"/>
      <c r="AW21" s="363"/>
      <c r="AX21" s="363"/>
      <c r="AY21" s="363"/>
      <c r="AZ21" s="363"/>
      <c r="BA21" s="363"/>
      <c r="BB21" s="363"/>
      <c r="BC21" s="363"/>
      <c r="BD21" s="363"/>
      <c r="BE21" s="363"/>
      <c r="BF21" s="363"/>
      <c r="BG21" s="363"/>
      <c r="BH21" s="363"/>
      <c r="BI21" s="363"/>
      <c r="BJ21" s="363"/>
      <c r="BK21" s="363"/>
      <c r="BL21" s="363"/>
      <c r="BM21" s="363"/>
      <c r="BN21" s="363"/>
      <c r="BO21" s="363"/>
      <c r="BP21" s="363"/>
      <c r="BQ21" s="363"/>
      <c r="BR21" s="363"/>
      <c r="BS21" s="363"/>
      <c r="BT21" s="363"/>
      <c r="BU21" s="363"/>
      <c r="BV21" s="363"/>
      <c r="BW21" s="363"/>
      <c r="BX21" s="363"/>
      <c r="BY21" s="363"/>
      <c r="BZ21" s="363"/>
      <c r="CA21" s="363"/>
      <c r="CB21" s="363"/>
      <c r="CC21" s="363"/>
      <c r="CD21" s="363"/>
      <c r="CE21" s="363"/>
      <c r="CF21" s="363"/>
      <c r="CG21" s="363"/>
      <c r="CH21" s="363"/>
      <c r="CI21" s="363"/>
      <c r="CJ21" s="363"/>
      <c r="CK21" s="363"/>
      <c r="CL21" s="363"/>
      <c r="CM21" s="363"/>
      <c r="CN21" s="363"/>
      <c r="CO21" s="363"/>
      <c r="CP21" s="363"/>
      <c r="CQ21" s="363"/>
      <c r="CR21" s="363"/>
      <c r="CS21" s="363"/>
      <c r="CT21" s="363"/>
      <c r="CU21" s="363"/>
      <c r="CV21" s="363"/>
      <c r="CW21" s="363"/>
      <c r="CX21" s="363"/>
      <c r="CY21" s="363"/>
      <c r="CZ21" s="363"/>
      <c r="DA21" s="363"/>
      <c r="DB21" s="363"/>
      <c r="DC21" s="363"/>
      <c r="DD21" s="363"/>
      <c r="DE21" s="363"/>
      <c r="DF21" s="363"/>
      <c r="DG21" s="363"/>
      <c r="DH21" s="363"/>
      <c r="DI21" s="363"/>
      <c r="DJ21" s="363"/>
      <c r="DK21" s="363"/>
      <c r="DL21" s="363"/>
      <c r="DM21" s="363"/>
      <c r="DN21" s="363"/>
      <c r="DO21" s="363"/>
      <c r="DP21" s="363"/>
      <c r="DQ21" s="363"/>
      <c r="DR21" s="363"/>
      <c r="DS21" s="363"/>
      <c r="DT21" s="363"/>
      <c r="DU21" s="363"/>
      <c r="DV21" s="363"/>
      <c r="DW21" s="363"/>
      <c r="DX21" s="363"/>
      <c r="DY21" s="363"/>
      <c r="DZ21" s="363"/>
      <c r="EA21" s="363"/>
      <c r="EB21" s="363"/>
      <c r="EC21" s="363"/>
      <c r="ED21" s="363"/>
      <c r="EE21" s="363"/>
      <c r="EF21" s="363"/>
      <c r="EG21" s="363"/>
      <c r="EH21" s="363"/>
      <c r="EI21" s="363"/>
      <c r="EJ21" s="363"/>
      <c r="EK21" s="363"/>
      <c r="EL21" s="363"/>
      <c r="EM21" s="363"/>
      <c r="EN21" s="363"/>
      <c r="EO21" s="363"/>
      <c r="EP21" s="363"/>
      <c r="EQ21" s="363"/>
      <c r="ER21" s="363"/>
      <c r="ES21" s="363"/>
      <c r="ET21" s="363"/>
      <c r="EU21" s="363"/>
      <c r="EV21" s="363"/>
      <c r="EW21" s="363"/>
      <c r="EX21" s="363"/>
      <c r="EY21" s="363"/>
      <c r="EZ21" s="363"/>
      <c r="FA21" s="363"/>
      <c r="FB21" s="363"/>
      <c r="FC21" s="363"/>
      <c r="FD21" s="363"/>
      <c r="FE21" s="363"/>
      <c r="FF21" s="363"/>
      <c r="FG21" s="363"/>
      <c r="FH21" s="363"/>
      <c r="FI21" s="363"/>
      <c r="FJ21" s="363"/>
      <c r="FK21" s="363"/>
      <c r="FL21" s="363"/>
      <c r="FM21" s="363"/>
      <c r="FN21" s="363"/>
      <c r="FO21" s="363"/>
      <c r="FP21" s="363"/>
      <c r="FQ21" s="363"/>
      <c r="FR21" s="363"/>
      <c r="FS21" s="363"/>
      <c r="FT21" s="363"/>
      <c r="FU21" s="363"/>
      <c r="FV21" s="363"/>
      <c r="FW21" s="363"/>
      <c r="FX21" s="363"/>
      <c r="FY21" s="363"/>
      <c r="FZ21" s="363"/>
      <c r="GA21" s="363"/>
      <c r="GB21" s="363"/>
      <c r="GC21" s="363"/>
      <c r="GD21" s="363"/>
      <c r="GE21" s="363"/>
      <c r="GF21" s="363"/>
      <c r="GG21" s="363"/>
      <c r="GH21" s="363"/>
      <c r="GI21" s="363"/>
      <c r="GJ21" s="363"/>
      <c r="GK21" s="363"/>
      <c r="GL21" s="363"/>
      <c r="GM21" s="363"/>
      <c r="GN21" s="363"/>
      <c r="GO21" s="363"/>
      <c r="GP21" s="363"/>
      <c r="GQ21" s="363"/>
      <c r="GR21" s="363"/>
      <c r="GS21" s="363"/>
      <c r="GT21" s="363"/>
      <c r="GU21" s="363"/>
      <c r="GV21" s="363"/>
      <c r="GW21" s="363"/>
      <c r="GX21" s="363"/>
      <c r="GY21" s="363"/>
      <c r="GZ21" s="363"/>
      <c r="HA21" s="363"/>
      <c r="HB21" s="363"/>
      <c r="HC21" s="363"/>
      <c r="HD21" s="363"/>
      <c r="HE21" s="363"/>
      <c r="HF21" s="363"/>
      <c r="HG21" s="363"/>
      <c r="HH21" s="363"/>
      <c r="HI21" s="363"/>
      <c r="HJ21" s="363"/>
      <c r="HK21" s="363"/>
      <c r="HL21" s="363"/>
      <c r="HM21" s="363"/>
      <c r="HN21" s="363"/>
      <c r="HO21" s="363"/>
      <c r="HP21" s="363"/>
      <c r="HQ21" s="363"/>
      <c r="HR21" s="363"/>
      <c r="HS21" s="363"/>
      <c r="HT21" s="363"/>
      <c r="HU21" s="363"/>
      <c r="HV21" s="363"/>
      <c r="HW21" s="363"/>
      <c r="HX21" s="363"/>
      <c r="HY21" s="363"/>
      <c r="HZ21" s="363"/>
      <c r="IA21" s="363"/>
      <c r="IB21" s="363"/>
      <c r="IC21" s="363"/>
      <c r="ID21" s="363"/>
      <c r="IE21" s="363"/>
      <c r="IF21" s="363"/>
      <c r="IG21" s="363"/>
      <c r="IH21" s="363"/>
      <c r="II21" s="363"/>
      <c r="IJ21" s="363"/>
      <c r="IK21" s="363"/>
      <c r="IL21" s="363"/>
      <c r="IM21" s="363"/>
      <c r="IN21" s="363"/>
      <c r="IO21" s="363"/>
      <c r="IP21" s="363"/>
      <c r="IQ21" s="363"/>
      <c r="IR21" s="363"/>
      <c r="IS21" s="363"/>
      <c r="IT21" s="363"/>
      <c r="IU21" s="363"/>
    </row>
    <row r="22" spans="1:255" s="370" customFormat="1" ht="13.5" hidden="1" customHeight="1" x14ac:dyDescent="0.25">
      <c r="C22" s="406" t="s">
        <v>37</v>
      </c>
      <c r="D22" s="368">
        <f>D19*1000000</f>
        <v>915000000</v>
      </c>
      <c r="E22" s="372"/>
      <c r="G22" s="410"/>
      <c r="H22" s="411" t="s">
        <v>107</v>
      </c>
    </row>
    <row r="23" spans="1:255" s="370" customFormat="1" ht="13.5" hidden="1" customHeight="1" x14ac:dyDescent="0.25">
      <c r="C23" s="406" t="s">
        <v>47</v>
      </c>
      <c r="D23" s="368">
        <f>D19*1000</f>
        <v>915000</v>
      </c>
      <c r="E23" s="372"/>
      <c r="G23" s="412" t="s">
        <v>107</v>
      </c>
      <c r="H23" s="380">
        <v>1</v>
      </c>
    </row>
    <row r="24" spans="1:255" s="370" customFormat="1" ht="13.5" hidden="1" customHeight="1" x14ac:dyDescent="0.25">
      <c r="C24" s="407" t="s">
        <v>65</v>
      </c>
      <c r="D24" s="374">
        <f>D19</f>
        <v>915</v>
      </c>
      <c r="E24" s="372"/>
      <c r="G24" s="412" t="s">
        <v>106</v>
      </c>
      <c r="H24" s="380">
        <v>0.30480000000000002</v>
      </c>
    </row>
    <row r="25" spans="1:255" s="370" customFormat="1" ht="13.5" hidden="1" customHeight="1" x14ac:dyDescent="0.25">
      <c r="E25" s="372"/>
      <c r="G25" s="412" t="s">
        <v>260</v>
      </c>
      <c r="H25" s="380">
        <v>2.5399999999999999E-2</v>
      </c>
    </row>
    <row r="26" spans="1:255" s="370" customFormat="1" ht="13.5" hidden="1" customHeight="1" x14ac:dyDescent="0.25">
      <c r="C26" s="375" t="s">
        <v>255</v>
      </c>
      <c r="D26" s="376"/>
      <c r="E26" s="372"/>
      <c r="G26" s="412" t="s">
        <v>261</v>
      </c>
      <c r="H26" s="380">
        <v>1000</v>
      </c>
    </row>
    <row r="27" spans="1:255" s="370" customFormat="1" ht="12.75" hidden="1" x14ac:dyDescent="0.25">
      <c r="C27" s="377" t="s">
        <v>250</v>
      </c>
      <c r="D27" s="418" t="str">
        <f>D7</f>
        <v>m</v>
      </c>
      <c r="E27" s="385"/>
      <c r="F27" s="402"/>
      <c r="G27" s="408" t="s">
        <v>262</v>
      </c>
      <c r="H27" s="368">
        <v>1609.3440000000001</v>
      </c>
    </row>
    <row r="28" spans="1:255" s="370" customFormat="1" ht="12.75" hidden="1" x14ac:dyDescent="0.25">
      <c r="C28" s="377" t="s">
        <v>251</v>
      </c>
      <c r="D28" s="418">
        <f>C7</f>
        <v>5</v>
      </c>
      <c r="E28" s="385"/>
      <c r="F28" s="402"/>
      <c r="G28" s="406" t="s">
        <v>100</v>
      </c>
      <c r="H28" s="380">
        <v>0.27777777799999998</v>
      </c>
      <c r="I28" s="363"/>
      <c r="J28" s="363"/>
    </row>
    <row r="29" spans="1:255" s="370" customFormat="1" ht="12.75" hidden="1" x14ac:dyDescent="0.25">
      <c r="C29" s="377" t="s">
        <v>252</v>
      </c>
      <c r="D29" s="401">
        <f>IF(D27="in",D36,IF(D27="ft",D35,IF(D27="cm",D33,IF(D27="mm",D34,IF(D27="yd",D37,IF(D27="mi",D38,IF(D27="nmi",D39,IF(D27="km",D31,D32))))))))</f>
        <v>5</v>
      </c>
      <c r="E29" s="385"/>
      <c r="F29" s="385"/>
      <c r="G29" s="413" t="s">
        <v>99</v>
      </c>
      <c r="H29" s="380">
        <v>0.44703999999999999</v>
      </c>
      <c r="I29" s="379"/>
      <c r="J29" s="383"/>
    </row>
    <row r="30" spans="1:255" s="370" customFormat="1" ht="12.75" hidden="1" x14ac:dyDescent="0.25">
      <c r="C30" s="377" t="s">
        <v>268</v>
      </c>
      <c r="D30" s="418">
        <f>IF(D27="au",D40,IF(D27="ly",D41,D29))</f>
        <v>5</v>
      </c>
      <c r="E30" s="372"/>
      <c r="F30" s="405"/>
      <c r="G30" s="414" t="s">
        <v>93</v>
      </c>
      <c r="H30" s="382">
        <v>0.514444444</v>
      </c>
      <c r="I30" s="379"/>
      <c r="J30" s="383"/>
    </row>
    <row r="31" spans="1:255" s="370" customFormat="1" ht="12.75" hidden="1" x14ac:dyDescent="0.25">
      <c r="C31" s="406" t="s">
        <v>40</v>
      </c>
      <c r="D31" s="404">
        <f>D28*1000</f>
        <v>5000</v>
      </c>
      <c r="E31" s="398"/>
      <c r="F31" s="405"/>
      <c r="G31" s="403"/>
      <c r="I31" s="379"/>
      <c r="J31" s="363"/>
    </row>
    <row r="32" spans="1:255" s="370" customFormat="1" ht="12.75" hidden="1" x14ac:dyDescent="0.25">
      <c r="C32" s="406" t="s">
        <v>9</v>
      </c>
      <c r="D32" s="404">
        <f>D28</f>
        <v>5</v>
      </c>
      <c r="E32" s="398"/>
      <c r="F32" s="405"/>
      <c r="G32" s="402"/>
      <c r="H32" s="363"/>
      <c r="I32" s="379"/>
      <c r="J32" s="363"/>
    </row>
    <row r="33" spans="3:11" s="370" customFormat="1" ht="12.75" hidden="1" x14ac:dyDescent="0.25">
      <c r="C33" s="406" t="s">
        <v>74</v>
      </c>
      <c r="D33" s="404">
        <f>D28*0.01</f>
        <v>0.05</v>
      </c>
      <c r="E33" s="398"/>
      <c r="F33" s="378"/>
      <c r="G33" s="420" t="s">
        <v>263</v>
      </c>
      <c r="H33" s="421"/>
      <c r="I33" s="379"/>
      <c r="J33" s="363"/>
    </row>
    <row r="34" spans="3:11" s="363" customFormat="1" ht="12.75" hidden="1" x14ac:dyDescent="0.25">
      <c r="C34" s="406" t="s">
        <v>69</v>
      </c>
      <c r="D34" s="380">
        <f>D28*0.001</f>
        <v>5.0000000000000001E-3</v>
      </c>
      <c r="E34" s="379"/>
      <c r="F34" s="372"/>
      <c r="G34" s="367" t="s">
        <v>270</v>
      </c>
      <c r="H34" s="401">
        <f>D30/299792458</f>
        <v>1.6678204759907603E-8</v>
      </c>
      <c r="I34" s="379"/>
    </row>
    <row r="35" spans="3:11" s="363" customFormat="1" ht="12.75" hidden="1" x14ac:dyDescent="0.25">
      <c r="C35" s="406" t="s">
        <v>41</v>
      </c>
      <c r="D35" s="380">
        <f>D28*0.3048</f>
        <v>1.524</v>
      </c>
      <c r="E35" s="379"/>
      <c r="F35" s="372"/>
      <c r="G35" s="367" t="s">
        <v>271</v>
      </c>
      <c r="H35" s="404">
        <f>H34*SQRT(C9)</f>
        <v>1.6678204759907603E-8</v>
      </c>
      <c r="I35" s="379"/>
      <c r="K35" s="370"/>
    </row>
    <row r="36" spans="3:11" s="363" customFormat="1" ht="12.75" hidden="1" x14ac:dyDescent="0.25">
      <c r="C36" s="406" t="s">
        <v>72</v>
      </c>
      <c r="D36" s="380">
        <f>D28*0.0254</f>
        <v>0.127</v>
      </c>
      <c r="E36" s="379"/>
      <c r="F36" s="370"/>
      <c r="G36" s="367" t="s">
        <v>269</v>
      </c>
      <c r="H36" s="404">
        <f>IF(G9="yr",H35*H40,IF(G9="mo",H35*H41,IF(G9="wk",H35*H42,IF(G9="day",H35*H43,IF(G9="hr",H35*H44,IF(G9="min",H35*H45,H35))))))</f>
        <v>1.6678204759907603E-8</v>
      </c>
      <c r="I36" s="379"/>
      <c r="K36" s="370"/>
    </row>
    <row r="37" spans="3:11" s="363" customFormat="1" ht="12.75" hidden="1" x14ac:dyDescent="0.25">
      <c r="C37" s="408" t="s">
        <v>246</v>
      </c>
      <c r="D37" s="380">
        <f>D28*0.9144</f>
        <v>4.5720000000000001</v>
      </c>
      <c r="E37" s="379"/>
      <c r="G37" s="367" t="s">
        <v>268</v>
      </c>
      <c r="H37" s="404">
        <f>IF(G9="ms",H35*H47,IF(G9="us",H35*H48,IF(G9="ns",H35*H49,IF(G9="ps",H35*H50,IF(G9="fs",H35*H51,H36)))))</f>
        <v>1.6678204759907604E-2</v>
      </c>
      <c r="I37" s="379"/>
    </row>
    <row r="38" spans="3:11" s="363" customFormat="1" ht="12.75" hidden="1" x14ac:dyDescent="0.25">
      <c r="C38" s="408" t="s">
        <v>245</v>
      </c>
      <c r="D38" s="380">
        <f>D28*1609.344</f>
        <v>8046.72</v>
      </c>
      <c r="E38" s="379"/>
      <c r="G38" s="415" t="s">
        <v>17</v>
      </c>
      <c r="H38" s="404"/>
      <c r="I38" s="379"/>
    </row>
    <row r="39" spans="3:11" s="363" customFormat="1" ht="12.75" hidden="1" x14ac:dyDescent="0.25">
      <c r="C39" s="408" t="s">
        <v>71</v>
      </c>
      <c r="D39" s="380">
        <f>D28*1852</f>
        <v>9260</v>
      </c>
      <c r="E39" s="379"/>
      <c r="G39" s="416"/>
      <c r="H39" s="417" t="s">
        <v>239</v>
      </c>
      <c r="I39" s="379"/>
    </row>
    <row r="40" spans="3:11" s="363" customFormat="1" ht="12.75" hidden="1" x14ac:dyDescent="0.25">
      <c r="C40" s="406" t="s">
        <v>253</v>
      </c>
      <c r="D40" s="380">
        <f>D28*149598000000</f>
        <v>747990000000</v>
      </c>
      <c r="E40" s="379"/>
      <c r="G40" s="371" t="s">
        <v>247</v>
      </c>
      <c r="H40" s="380">
        <v>3.1688764600000001E-8</v>
      </c>
      <c r="I40" s="379"/>
    </row>
    <row r="41" spans="3:11" s="363" customFormat="1" ht="12.75" hidden="1" x14ac:dyDescent="0.25">
      <c r="C41" s="407" t="s">
        <v>254</v>
      </c>
      <c r="D41" s="382">
        <f>D28*9460528400000000</f>
        <v>4.7302642E+16</v>
      </c>
      <c r="E41" s="379"/>
      <c r="G41" s="371" t="s">
        <v>248</v>
      </c>
      <c r="H41" s="380">
        <v>3.8026517599999997E-7</v>
      </c>
      <c r="I41" s="379"/>
      <c r="J41" s="383"/>
    </row>
    <row r="42" spans="3:11" s="363" customFormat="1" ht="12.75" hidden="1" x14ac:dyDescent="0.25">
      <c r="G42" s="371" t="s">
        <v>249</v>
      </c>
      <c r="H42" s="380">
        <v>1.6534391500000001E-6</v>
      </c>
      <c r="I42" s="379"/>
      <c r="J42" s="383"/>
    </row>
    <row r="43" spans="3:11" s="363" customFormat="1" ht="12.75" hidden="1" x14ac:dyDescent="0.25">
      <c r="D43" s="383"/>
      <c r="E43" s="383"/>
      <c r="G43" s="371" t="s">
        <v>237</v>
      </c>
      <c r="H43" s="380">
        <v>1.15740741E-5</v>
      </c>
      <c r="I43" s="383"/>
      <c r="J43" s="383"/>
    </row>
    <row r="44" spans="3:11" s="363" customFormat="1" ht="12.75" hidden="1" x14ac:dyDescent="0.25">
      <c r="C44" s="419" t="s">
        <v>27</v>
      </c>
      <c r="D44" s="366"/>
      <c r="E44" s="372"/>
      <c r="G44" s="371" t="s">
        <v>238</v>
      </c>
      <c r="H44" s="380">
        <v>2.7777777799999997E-4</v>
      </c>
      <c r="I44" s="383"/>
      <c r="J44" s="383"/>
    </row>
    <row r="45" spans="3:11" s="363" customFormat="1" ht="12.75" hidden="1" x14ac:dyDescent="0.25">
      <c r="C45" s="377" t="s">
        <v>250</v>
      </c>
      <c r="D45" s="418" t="str">
        <f>J9</f>
        <v>m</v>
      </c>
      <c r="E45" s="372"/>
      <c r="G45" s="371" t="s">
        <v>267</v>
      </c>
      <c r="H45" s="380">
        <v>1.6666666699999999E-2</v>
      </c>
      <c r="I45" s="383"/>
      <c r="J45" s="383"/>
    </row>
    <row r="46" spans="3:11" s="363" customFormat="1" ht="12.75" hidden="1" x14ac:dyDescent="0.25">
      <c r="C46" s="377" t="s">
        <v>258</v>
      </c>
      <c r="D46" s="401">
        <f>299792458/D20/SQRT(C9)</f>
        <v>0.32764203060109287</v>
      </c>
      <c r="E46" s="372"/>
      <c r="G46" s="371" t="s">
        <v>239</v>
      </c>
      <c r="H46" s="380">
        <v>1</v>
      </c>
      <c r="I46" s="383"/>
      <c r="J46" s="383"/>
    </row>
    <row r="47" spans="3:11" ht="12.75" hidden="1" x14ac:dyDescent="0.25">
      <c r="C47" s="377" t="s">
        <v>272</v>
      </c>
      <c r="D47" s="368">
        <f>IF(J9="km",D51,IF(J9="cm",D53,IF(J9="mm",D54,IF(J9="mi",D55,IF(J9="yd",D56,IF(J9="ft",D57,IF(J9="in",D58,IF(DJ9="nmi",D59,D52))))))))</f>
        <v>0.32764203060109287</v>
      </c>
      <c r="E47" s="379"/>
      <c r="G47" s="371" t="s">
        <v>240</v>
      </c>
      <c r="H47" s="380">
        <v>1000</v>
      </c>
    </row>
    <row r="48" spans="3:11" ht="12.75" hidden="1" x14ac:dyDescent="0.25">
      <c r="C48" s="377" t="s">
        <v>268</v>
      </c>
      <c r="D48" s="401">
        <f>IF(J9="au",D60,IF(J9="ly",D61,D47))</f>
        <v>0.32764203060109287</v>
      </c>
      <c r="E48" s="379"/>
      <c r="G48" s="371" t="s">
        <v>241</v>
      </c>
      <c r="H48" s="380">
        <v>1000000</v>
      </c>
    </row>
    <row r="49" spans="3:8" ht="12.75" hidden="1" x14ac:dyDescent="0.25">
      <c r="C49" s="415" t="s">
        <v>17</v>
      </c>
      <c r="D49" s="401"/>
      <c r="E49" s="379"/>
      <c r="G49" s="381" t="s">
        <v>242</v>
      </c>
      <c r="H49" s="380">
        <v>1000000000</v>
      </c>
    </row>
    <row r="50" spans="3:8" ht="12.75" hidden="1" x14ac:dyDescent="0.25">
      <c r="C50" s="377"/>
      <c r="D50" s="401" t="s">
        <v>9</v>
      </c>
      <c r="E50" s="379"/>
      <c r="G50" s="371" t="s">
        <v>243</v>
      </c>
      <c r="H50" s="380">
        <v>1000000000000</v>
      </c>
    </row>
    <row r="51" spans="3:8" ht="12.75" hidden="1" x14ac:dyDescent="0.25">
      <c r="C51" s="406" t="s">
        <v>40</v>
      </c>
      <c r="D51" s="380">
        <f>D46/1000</f>
        <v>3.2764203060109285E-4</v>
      </c>
      <c r="E51" s="379"/>
      <c r="G51" s="373" t="s">
        <v>244</v>
      </c>
      <c r="H51" s="382">
        <v>1000000000000000</v>
      </c>
    </row>
    <row r="52" spans="3:8" ht="12.75" hidden="1" x14ac:dyDescent="0.25">
      <c r="C52" s="406" t="s">
        <v>9</v>
      </c>
      <c r="D52" s="380">
        <f>D46</f>
        <v>0.32764203060109287</v>
      </c>
      <c r="E52" s="379"/>
    </row>
    <row r="53" spans="3:8" ht="12.75" hidden="1" x14ac:dyDescent="0.25">
      <c r="C53" s="406" t="s">
        <v>74</v>
      </c>
      <c r="D53" s="380">
        <f>D46/0.01</f>
        <v>32.764203060109288</v>
      </c>
      <c r="E53" s="379"/>
    </row>
    <row r="54" spans="3:8" ht="12.75" hidden="1" x14ac:dyDescent="0.25">
      <c r="C54" s="406" t="s">
        <v>69</v>
      </c>
      <c r="D54" s="380">
        <f>D46/0.001</f>
        <v>327.64203060109287</v>
      </c>
      <c r="E54" s="379"/>
    </row>
    <row r="55" spans="3:8" ht="12.75" hidden="1" x14ac:dyDescent="0.25">
      <c r="C55" s="408" t="s">
        <v>245</v>
      </c>
      <c r="D55" s="380">
        <f>D46/1609.344</f>
        <v>2.0358731918166214E-4</v>
      </c>
      <c r="E55" s="379"/>
    </row>
    <row r="56" spans="3:8" ht="12.75" hidden="1" x14ac:dyDescent="0.25">
      <c r="C56" s="408" t="s">
        <v>246</v>
      </c>
      <c r="D56" s="380">
        <f>D46/0.9144</f>
        <v>0.35831368175972539</v>
      </c>
      <c r="E56" s="379"/>
    </row>
    <row r="57" spans="3:8" ht="12.75" hidden="1" x14ac:dyDescent="0.25">
      <c r="C57" s="406" t="s">
        <v>41</v>
      </c>
      <c r="D57" s="380">
        <f>D46/0.3048</f>
        <v>1.0749410452791761</v>
      </c>
      <c r="E57" s="379"/>
    </row>
    <row r="58" spans="3:8" ht="12.75" hidden="1" x14ac:dyDescent="0.25">
      <c r="C58" s="406" t="s">
        <v>72</v>
      </c>
      <c r="D58" s="380">
        <f>D46/0.0254</f>
        <v>12.899292543350114</v>
      </c>
      <c r="E58" s="379"/>
    </row>
    <row r="59" spans="3:8" ht="12.75" hidden="1" x14ac:dyDescent="0.25">
      <c r="C59" s="408" t="s">
        <v>71</v>
      </c>
      <c r="D59" s="380">
        <f>D46/1852</f>
        <v>1.7691254352110845E-4</v>
      </c>
      <c r="E59" s="384"/>
    </row>
    <row r="60" spans="3:8" ht="12.75" hidden="1" x14ac:dyDescent="0.25">
      <c r="C60" s="406" t="s">
        <v>253</v>
      </c>
      <c r="D60" s="380">
        <f>D46/149598000000</f>
        <v>2.1901498054859884E-12</v>
      </c>
    </row>
    <row r="61" spans="3:8" ht="12.75" hidden="1" x14ac:dyDescent="0.25">
      <c r="C61" s="407" t="s">
        <v>254</v>
      </c>
      <c r="D61" s="382">
        <f>D46/9460528400000000</f>
        <v>3.4632529679958769E-17</v>
      </c>
    </row>
    <row r="62" spans="3:8" hidden="1" x14ac:dyDescent="0.2"/>
    <row r="63" spans="3:8" hidden="1" x14ac:dyDescent="0.2"/>
    <row r="64" spans="3:8" ht="12.75" hidden="1" x14ac:dyDescent="0.25">
      <c r="C64" s="398"/>
    </row>
    <row r="65" spans="3:3" ht="12.75" hidden="1" x14ac:dyDescent="0.25">
      <c r="C65" s="398"/>
    </row>
    <row r="66" spans="3:3" ht="12.75" hidden="1" x14ac:dyDescent="0.25">
      <c r="C66" s="398"/>
    </row>
    <row r="67" spans="3:3" ht="12.75" hidden="1" x14ac:dyDescent="0.25">
      <c r="C67" s="398"/>
    </row>
  </sheetData>
  <sheetProtection password="F39F" sheet="1" objects="1" scenarios="1"/>
  <mergeCells count="8">
    <mergeCell ref="C3:J3"/>
    <mergeCell ref="C6:D6"/>
    <mergeCell ref="C8:D8"/>
    <mergeCell ref="I10:J10"/>
    <mergeCell ref="F8:G8"/>
    <mergeCell ref="F6:G6"/>
    <mergeCell ref="I8:J8"/>
    <mergeCell ref="I6:J6"/>
  </mergeCells>
  <phoneticPr fontId="2" type="noConversion"/>
  <dataValidations count="8">
    <dataValidation type="list" showInputMessage="1" showErrorMessage="1" sqref="J7">
      <formula1>$C$21:$C$24</formula1>
    </dataValidation>
    <dataValidation type="decimal" operator="greaterThan" allowBlank="1" showInputMessage="1" showErrorMessage="1" sqref="I7">
      <formula1>0</formula1>
    </dataValidation>
    <dataValidation type="decimal" operator="greaterThan" showInputMessage="1" showErrorMessage="1" sqref="C7">
      <formula1>0</formula1>
    </dataValidation>
    <dataValidation type="decimal" allowBlank="1" showInputMessage="1" showErrorMessage="1" sqref="C9">
      <formula1>0.01</formula1>
      <formula2>100</formula2>
    </dataValidation>
    <dataValidation type="list" showInputMessage="1" showErrorMessage="1" error="Please choose from dropdown list" sqref="D7">
      <formula1>$C$31:$C$41</formula1>
    </dataValidation>
    <dataValidation type="list" showInputMessage="1" showErrorMessage="1" error="Please choose from dropdown list" sqref="G7">
      <formula1>$G$23:$G$30</formula1>
    </dataValidation>
    <dataValidation type="list" showInputMessage="1" showErrorMessage="1" error="Please choose from dropdown list" sqref="G9">
      <formula1>$G$40:$G$51</formula1>
    </dataValidation>
    <dataValidation type="list" showInputMessage="1" showErrorMessage="1" error="Please choose from dropdown list" sqref="J9">
      <formula1>$C$51:$C$61</formula1>
    </dataValidation>
  </dataValidations>
  <hyperlinks>
    <hyperlink ref="C4" r:id="rId1"/>
    <hyperlink ref="J4" r:id="rId2" tooltip="Click here to check for updates to this calculator"/>
    <hyperlink ref="J13" location="Home!A1" tooltip="Click to return to title page with calculator list" display="Home"/>
  </hyperlinks>
  <pageMargins left="0.5" right="0.5" top="0.5" bottom="0.5" header="0.5" footer="0.5"/>
  <pageSetup orientation="portrait" r:id="rId3"/>
  <headerFooter alignWithMargins="0"/>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7"/>
  <sheetViews>
    <sheetView showGridLines="0" showRowColHeaders="0" workbookViewId="0">
      <selection activeCell="K14" sqref="K14"/>
    </sheetView>
  </sheetViews>
  <sheetFormatPr defaultColWidth="0" defaultRowHeight="12" zeroHeight="1" x14ac:dyDescent="0.2"/>
  <cols>
    <col min="1" max="1" width="0.5703125" style="158" customWidth="1"/>
    <col min="2" max="2" width="1.140625" style="158" customWidth="1"/>
    <col min="3" max="3" width="9.140625" style="158" customWidth="1"/>
    <col min="4" max="6" width="5.7109375" style="158" customWidth="1"/>
    <col min="7" max="7" width="10" style="158" bestFit="1" customWidth="1"/>
    <col min="8" max="9" width="5.7109375" style="158" customWidth="1"/>
    <col min="10" max="10" width="9.140625" style="158" customWidth="1"/>
    <col min="11" max="11" width="5.7109375" style="158" customWidth="1"/>
    <col min="12" max="12" width="1.140625" style="158" customWidth="1"/>
    <col min="13" max="13" width="0.5703125" style="158" customWidth="1"/>
    <col min="14" max="16384" width="0" style="158" hidden="1"/>
  </cols>
  <sheetData>
    <row r="1" spans="2:12" ht="3" customHeight="1" thickBot="1" x14ac:dyDescent="0.25"/>
    <row r="2" spans="2:12" ht="6" customHeight="1" thickTop="1" x14ac:dyDescent="0.2">
      <c r="B2" s="159"/>
      <c r="C2" s="160"/>
      <c r="D2" s="160"/>
      <c r="E2" s="160"/>
      <c r="F2" s="160"/>
      <c r="G2" s="160"/>
      <c r="H2" s="160"/>
      <c r="I2" s="160"/>
      <c r="J2" s="160"/>
      <c r="K2" s="160"/>
      <c r="L2" s="161"/>
    </row>
    <row r="3" spans="2:12" ht="12.75" x14ac:dyDescent="0.2">
      <c r="B3" s="162"/>
      <c r="C3" s="443" t="s">
        <v>92</v>
      </c>
      <c r="D3" s="443"/>
      <c r="E3" s="443"/>
      <c r="F3" s="443"/>
      <c r="G3" s="443"/>
      <c r="H3" s="443"/>
      <c r="I3" s="443"/>
      <c r="J3" s="443"/>
      <c r="K3" s="443"/>
      <c r="L3" s="163"/>
    </row>
    <row r="4" spans="2:12" ht="12.75" x14ac:dyDescent="0.2">
      <c r="B4" s="162"/>
      <c r="C4" s="258" t="s">
        <v>131</v>
      </c>
      <c r="E4" s="176"/>
      <c r="F4" s="176"/>
      <c r="G4" s="176"/>
      <c r="H4" s="176"/>
      <c r="J4" s="176"/>
      <c r="K4" s="257" t="s">
        <v>132</v>
      </c>
      <c r="L4" s="163"/>
    </row>
    <row r="5" spans="2:12" x14ac:dyDescent="0.2">
      <c r="B5" s="162"/>
      <c r="C5" s="5"/>
      <c r="D5" s="5"/>
      <c r="E5" s="5"/>
      <c r="F5" s="5"/>
      <c r="G5" s="5"/>
      <c r="H5" s="5"/>
      <c r="J5" s="5"/>
      <c r="K5" s="5"/>
      <c r="L5" s="163"/>
    </row>
    <row r="6" spans="2:12" ht="12.75" thickBot="1" x14ac:dyDescent="0.25">
      <c r="B6" s="162"/>
      <c r="C6" s="461" t="s">
        <v>28</v>
      </c>
      <c r="D6" s="461"/>
      <c r="E6" s="81"/>
      <c r="F6" s="461" t="s">
        <v>43</v>
      </c>
      <c r="G6" s="461"/>
      <c r="H6" s="461"/>
      <c r="I6" s="158" t="s">
        <v>6</v>
      </c>
      <c r="L6" s="163"/>
    </row>
    <row r="7" spans="2:12" x14ac:dyDescent="0.2">
      <c r="B7" s="162"/>
      <c r="C7" s="460" t="s">
        <v>8</v>
      </c>
      <c r="D7" s="460"/>
      <c r="E7" s="78"/>
      <c r="F7" s="5"/>
      <c r="G7" s="86" t="s">
        <v>94</v>
      </c>
      <c r="H7" s="86"/>
      <c r="L7" s="163"/>
    </row>
    <row r="8" spans="2:12" x14ac:dyDescent="0.2">
      <c r="B8" s="162"/>
      <c r="C8" s="74">
        <v>3</v>
      </c>
      <c r="D8" s="74" t="s">
        <v>46</v>
      </c>
      <c r="F8" s="70" t="s">
        <v>101</v>
      </c>
      <c r="G8" s="83">
        <f>G28</f>
        <v>53.276765556436068</v>
      </c>
      <c r="H8" s="79" t="s">
        <v>106</v>
      </c>
      <c r="L8" s="163"/>
    </row>
    <row r="9" spans="2:12" x14ac:dyDescent="0.2">
      <c r="B9" s="162"/>
      <c r="C9" s="460" t="s">
        <v>27</v>
      </c>
      <c r="D9" s="460"/>
      <c r="F9" s="70" t="s">
        <v>102</v>
      </c>
      <c r="G9" s="83">
        <f>2*G8</f>
        <v>106.55353111287214</v>
      </c>
      <c r="H9" s="158" t="str">
        <f>H8</f>
        <v>ft/s</v>
      </c>
      <c r="L9" s="163"/>
    </row>
    <row r="10" spans="2:12" x14ac:dyDescent="0.2">
      <c r="B10" s="162"/>
      <c r="C10" s="5">
        <f>C28</f>
        <v>0.32785701880883733</v>
      </c>
      <c r="D10" s="79" t="s">
        <v>41</v>
      </c>
      <c r="F10" s="70" t="s">
        <v>103</v>
      </c>
      <c r="G10" s="83">
        <f>3*G8</f>
        <v>159.83029666930821</v>
      </c>
      <c r="H10" s="158" t="str">
        <f>H8</f>
        <v>ft/s</v>
      </c>
      <c r="L10" s="163"/>
    </row>
    <row r="11" spans="2:12" x14ac:dyDescent="0.2">
      <c r="B11" s="162"/>
      <c r="C11" s="465" t="s">
        <v>95</v>
      </c>
      <c r="D11" s="465"/>
      <c r="E11" s="82"/>
      <c r="F11" s="70" t="s">
        <v>104</v>
      </c>
      <c r="G11" s="83">
        <f>4*G8</f>
        <v>213.10706222574427</v>
      </c>
      <c r="H11" s="158" t="str">
        <f>H8</f>
        <v>ft/s</v>
      </c>
      <c r="L11" s="163"/>
    </row>
    <row r="12" spans="2:12" x14ac:dyDescent="0.2">
      <c r="B12" s="162"/>
      <c r="C12" s="74">
        <v>325</v>
      </c>
      <c r="D12" s="158" t="s">
        <v>96</v>
      </c>
      <c r="F12" s="70" t="s">
        <v>105</v>
      </c>
      <c r="G12" s="83">
        <f>5*G8</f>
        <v>266.38382778218033</v>
      </c>
      <c r="H12" s="5" t="str">
        <f>H8</f>
        <v>ft/s</v>
      </c>
      <c r="L12" s="163"/>
    </row>
    <row r="13" spans="2:12" x14ac:dyDescent="0.2">
      <c r="B13" s="162"/>
      <c r="C13" s="5"/>
      <c r="F13" s="5"/>
      <c r="L13" s="163"/>
    </row>
    <row r="14" spans="2:12" x14ac:dyDescent="0.2">
      <c r="B14" s="162"/>
      <c r="C14" s="178" t="str">
        <f>Home!$D$7&amp;", "&amp;Home!$D$8&amp;", "&amp;Home!$D$9</f>
        <v>RF Cafe Calculator Workbook, v5.1, by RF Cafe</v>
      </c>
      <c r="F14" s="5"/>
      <c r="G14" s="5"/>
      <c r="H14" s="5"/>
      <c r="K14" s="304" t="s">
        <v>198</v>
      </c>
      <c r="L14" s="163"/>
    </row>
    <row r="15" spans="2:12" s="182" customFormat="1" ht="6" customHeight="1" thickBot="1" x14ac:dyDescent="0.25">
      <c r="B15" s="179"/>
      <c r="C15" s="77"/>
      <c r="D15" s="77"/>
      <c r="E15" s="77"/>
      <c r="F15" s="168"/>
      <c r="G15" s="180"/>
      <c r="H15" s="168"/>
      <c r="I15" s="168"/>
      <c r="J15" s="168"/>
      <c r="K15" s="168"/>
      <c r="L15" s="181"/>
    </row>
    <row r="16" spans="2:12" s="182" customFormat="1" ht="3" customHeight="1" thickTop="1" x14ac:dyDescent="0.2">
      <c r="F16" s="158"/>
      <c r="H16" s="158"/>
      <c r="I16" s="158"/>
      <c r="J16" s="158"/>
    </row>
    <row r="17" spans="1:256" s="182" customFormat="1" hidden="1" x14ac:dyDescent="0.2">
      <c r="F17" s="158"/>
      <c r="H17" s="158"/>
      <c r="I17" s="158"/>
      <c r="J17" s="158"/>
    </row>
    <row r="18" spans="1:256" s="184" customFormat="1" hidden="1" x14ac:dyDescent="0.2">
      <c r="A18" s="182"/>
      <c r="B18" s="182"/>
      <c r="C18" s="182" t="s">
        <v>46</v>
      </c>
      <c r="D18" s="182" t="s">
        <v>72</v>
      </c>
      <c r="E18" s="182"/>
      <c r="F18" s="182" t="s">
        <v>99</v>
      </c>
      <c r="G18" s="183" t="s">
        <v>84</v>
      </c>
      <c r="H18" s="182"/>
      <c r="I18" s="158"/>
      <c r="J18" s="182"/>
      <c r="K18" s="158"/>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2"/>
      <c r="AW18" s="182"/>
      <c r="AX18" s="182"/>
      <c r="AY18" s="182"/>
      <c r="AZ18" s="182"/>
      <c r="BA18" s="182"/>
      <c r="BB18" s="182"/>
      <c r="BC18" s="182"/>
      <c r="BD18" s="182"/>
      <c r="BE18" s="182"/>
      <c r="BF18" s="182"/>
      <c r="BG18" s="182"/>
      <c r="BH18" s="182"/>
      <c r="BI18" s="182"/>
      <c r="BJ18" s="182"/>
      <c r="BK18" s="182"/>
      <c r="BL18" s="182"/>
      <c r="BM18" s="182"/>
      <c r="BN18" s="182"/>
      <c r="BO18" s="182"/>
      <c r="BP18" s="182"/>
      <c r="BQ18" s="182"/>
      <c r="BR18" s="182"/>
      <c r="BS18" s="182"/>
      <c r="BT18" s="182"/>
      <c r="BU18" s="182"/>
      <c r="BV18" s="182"/>
      <c r="BW18" s="182"/>
      <c r="BX18" s="182"/>
      <c r="BY18" s="182"/>
      <c r="BZ18" s="182"/>
      <c r="CA18" s="182"/>
      <c r="CB18" s="182"/>
      <c r="CC18" s="182"/>
      <c r="CD18" s="182"/>
      <c r="CE18" s="182"/>
      <c r="CF18" s="182"/>
      <c r="CG18" s="182"/>
      <c r="CH18" s="182"/>
      <c r="CI18" s="182"/>
      <c r="CJ18" s="182"/>
      <c r="CK18" s="182"/>
      <c r="CL18" s="182"/>
      <c r="CM18" s="182"/>
      <c r="CN18" s="182"/>
      <c r="CO18" s="182"/>
      <c r="CP18" s="182"/>
      <c r="CQ18" s="182"/>
      <c r="CR18" s="182"/>
      <c r="CS18" s="182"/>
      <c r="CT18" s="182"/>
      <c r="CU18" s="182"/>
      <c r="CV18" s="182"/>
      <c r="CW18" s="182"/>
      <c r="CX18" s="182"/>
      <c r="CY18" s="182"/>
      <c r="CZ18" s="182"/>
      <c r="DA18" s="182"/>
      <c r="DB18" s="182"/>
      <c r="DC18" s="182"/>
      <c r="DD18" s="182"/>
      <c r="DE18" s="182"/>
      <c r="DF18" s="182"/>
      <c r="DG18" s="182"/>
      <c r="DH18" s="182"/>
      <c r="DI18" s="182"/>
      <c r="DJ18" s="182"/>
      <c r="DK18" s="182"/>
      <c r="DL18" s="182"/>
      <c r="DM18" s="182"/>
      <c r="DN18" s="182"/>
      <c r="DO18" s="182"/>
      <c r="DP18" s="182"/>
      <c r="DQ18" s="182"/>
      <c r="DR18" s="182"/>
      <c r="DS18" s="182"/>
      <c r="DT18" s="182"/>
      <c r="DU18" s="182"/>
      <c r="DV18" s="182"/>
      <c r="DW18" s="182"/>
      <c r="DX18" s="182"/>
      <c r="DY18" s="182"/>
      <c r="DZ18" s="182"/>
      <c r="EA18" s="182"/>
      <c r="EB18" s="182"/>
      <c r="EC18" s="182"/>
      <c r="ED18" s="182"/>
      <c r="EE18" s="182"/>
      <c r="EF18" s="182"/>
      <c r="EG18" s="182"/>
      <c r="EH18" s="182"/>
      <c r="EI18" s="182"/>
      <c r="EJ18" s="182"/>
      <c r="EK18" s="182"/>
      <c r="EL18" s="182"/>
      <c r="EM18" s="182"/>
      <c r="EN18" s="182"/>
      <c r="EO18" s="182"/>
      <c r="EP18" s="182"/>
      <c r="EQ18" s="182"/>
      <c r="ER18" s="182"/>
      <c r="ES18" s="182"/>
      <c r="ET18" s="182"/>
      <c r="EU18" s="182"/>
      <c r="EV18" s="182"/>
      <c r="EW18" s="182"/>
      <c r="EX18" s="182"/>
      <c r="EY18" s="182"/>
      <c r="EZ18" s="182"/>
      <c r="FA18" s="182"/>
      <c r="FB18" s="182"/>
      <c r="FC18" s="182"/>
      <c r="FD18" s="182"/>
      <c r="FE18" s="182"/>
      <c r="FF18" s="182"/>
      <c r="FG18" s="182"/>
      <c r="FH18" s="182"/>
      <c r="FI18" s="182"/>
      <c r="FJ18" s="182"/>
      <c r="FK18" s="182"/>
      <c r="FL18" s="182"/>
      <c r="FM18" s="182"/>
      <c r="FN18" s="182"/>
      <c r="FO18" s="182"/>
      <c r="FP18" s="182"/>
      <c r="FQ18" s="182"/>
      <c r="FR18" s="182"/>
      <c r="FS18" s="182"/>
      <c r="FT18" s="182"/>
      <c r="FU18" s="182"/>
      <c r="FV18" s="182"/>
      <c r="FW18" s="182"/>
      <c r="FX18" s="182"/>
      <c r="FY18" s="182"/>
      <c r="FZ18" s="182"/>
      <c r="GA18" s="182"/>
      <c r="GB18" s="182"/>
      <c r="GC18" s="182"/>
      <c r="GD18" s="182"/>
      <c r="GE18" s="182"/>
      <c r="GF18" s="182"/>
      <c r="GG18" s="182"/>
      <c r="GH18" s="182"/>
      <c r="GI18" s="182"/>
      <c r="GJ18" s="182"/>
      <c r="GK18" s="182"/>
      <c r="GL18" s="182"/>
      <c r="GM18" s="182"/>
      <c r="GN18" s="182"/>
      <c r="GO18" s="182"/>
      <c r="GP18" s="182"/>
      <c r="GQ18" s="182"/>
      <c r="GR18" s="182"/>
      <c r="GS18" s="182"/>
      <c r="GT18" s="182"/>
      <c r="GU18" s="182"/>
      <c r="GV18" s="182"/>
      <c r="GW18" s="182"/>
      <c r="GX18" s="182"/>
      <c r="GY18" s="182"/>
      <c r="GZ18" s="182"/>
      <c r="HA18" s="182"/>
      <c r="HB18" s="182"/>
      <c r="HC18" s="182"/>
      <c r="HD18" s="182"/>
      <c r="HE18" s="182"/>
      <c r="HF18" s="182"/>
      <c r="HG18" s="182"/>
      <c r="HH18" s="182"/>
      <c r="HI18" s="182"/>
      <c r="HJ18" s="182"/>
      <c r="HK18" s="182"/>
      <c r="HL18" s="182"/>
      <c r="HM18" s="182"/>
      <c r="HN18" s="182"/>
      <c r="HO18" s="182"/>
      <c r="HP18" s="182"/>
      <c r="HQ18" s="182"/>
      <c r="HR18" s="182"/>
      <c r="HS18" s="182"/>
      <c r="HT18" s="182"/>
      <c r="HU18" s="182"/>
      <c r="HV18" s="182"/>
      <c r="HW18" s="182"/>
      <c r="HX18" s="182"/>
      <c r="HY18" s="182"/>
      <c r="HZ18" s="182"/>
      <c r="IA18" s="182"/>
      <c r="IB18" s="182"/>
      <c r="IC18" s="182"/>
      <c r="ID18" s="182"/>
      <c r="IE18" s="182"/>
      <c r="IF18" s="182"/>
      <c r="IG18" s="182"/>
      <c r="IH18" s="182"/>
      <c r="II18" s="182"/>
      <c r="IJ18" s="182"/>
      <c r="IK18" s="182"/>
      <c r="IL18" s="182"/>
      <c r="IM18" s="182"/>
      <c r="IN18" s="182"/>
      <c r="IO18" s="182"/>
      <c r="IP18" s="182"/>
      <c r="IQ18" s="182"/>
      <c r="IR18" s="182"/>
      <c r="IS18" s="182"/>
      <c r="IT18" s="182"/>
      <c r="IU18" s="182"/>
      <c r="IV18" s="182"/>
    </row>
    <row r="19" spans="1:256" s="184" customFormat="1" hidden="1" x14ac:dyDescent="0.2">
      <c r="A19" s="182"/>
      <c r="B19" s="182"/>
      <c r="C19" s="182" t="s">
        <v>37</v>
      </c>
      <c r="D19" s="182" t="s">
        <v>41</v>
      </c>
      <c r="E19" s="182"/>
      <c r="F19" s="182" t="s">
        <v>93</v>
      </c>
      <c r="G19" s="185" t="s">
        <v>85</v>
      </c>
      <c r="H19" s="182"/>
      <c r="I19" s="158"/>
      <c r="J19" s="182"/>
      <c r="K19" s="158"/>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2"/>
      <c r="BO19" s="182"/>
      <c r="BP19" s="182"/>
      <c r="BQ19" s="182"/>
      <c r="BR19" s="182"/>
      <c r="BS19" s="182"/>
      <c r="BT19" s="182"/>
      <c r="BU19" s="182"/>
      <c r="BV19" s="182"/>
      <c r="BW19" s="182"/>
      <c r="BX19" s="182"/>
      <c r="BY19" s="182"/>
      <c r="BZ19" s="182"/>
      <c r="CA19" s="182"/>
      <c r="CB19" s="182"/>
      <c r="CC19" s="182"/>
      <c r="CD19" s="182"/>
      <c r="CE19" s="182"/>
      <c r="CF19" s="182"/>
      <c r="CG19" s="182"/>
      <c r="CH19" s="182"/>
      <c r="CI19" s="182"/>
      <c r="CJ19" s="182"/>
      <c r="CK19" s="182"/>
      <c r="CL19" s="182"/>
      <c r="CM19" s="182"/>
      <c r="CN19" s="182"/>
      <c r="CO19" s="182"/>
      <c r="CP19" s="182"/>
      <c r="CQ19" s="182"/>
      <c r="CR19" s="182"/>
      <c r="CS19" s="182"/>
      <c r="CT19" s="182"/>
      <c r="CU19" s="182"/>
      <c r="CV19" s="182"/>
      <c r="CW19" s="182"/>
      <c r="CX19" s="182"/>
      <c r="CY19" s="182"/>
      <c r="CZ19" s="182"/>
      <c r="DA19" s="182"/>
      <c r="DB19" s="182"/>
      <c r="DC19" s="182"/>
      <c r="DD19" s="182"/>
      <c r="DE19" s="182"/>
      <c r="DF19" s="182"/>
      <c r="DG19" s="182"/>
      <c r="DH19" s="182"/>
      <c r="DI19" s="182"/>
      <c r="DJ19" s="182"/>
      <c r="DK19" s="182"/>
      <c r="DL19" s="182"/>
      <c r="DM19" s="182"/>
      <c r="DN19" s="182"/>
      <c r="DO19" s="182"/>
      <c r="DP19" s="182"/>
      <c r="DQ19" s="182"/>
      <c r="DR19" s="182"/>
      <c r="DS19" s="182"/>
      <c r="DT19" s="182"/>
      <c r="DU19" s="182"/>
      <c r="DV19" s="182"/>
      <c r="DW19" s="182"/>
      <c r="DX19" s="182"/>
      <c r="DY19" s="182"/>
      <c r="DZ19" s="182"/>
      <c r="EA19" s="182"/>
      <c r="EB19" s="182"/>
      <c r="EC19" s="182"/>
      <c r="ED19" s="182"/>
      <c r="EE19" s="182"/>
      <c r="EF19" s="182"/>
      <c r="EG19" s="182"/>
      <c r="EH19" s="182"/>
      <c r="EI19" s="182"/>
      <c r="EJ19" s="182"/>
      <c r="EK19" s="182"/>
      <c r="EL19" s="182"/>
      <c r="EM19" s="182"/>
      <c r="EN19" s="182"/>
      <c r="EO19" s="182"/>
      <c r="EP19" s="182"/>
      <c r="EQ19" s="182"/>
      <c r="ER19" s="182"/>
      <c r="ES19" s="182"/>
      <c r="ET19" s="182"/>
      <c r="EU19" s="182"/>
      <c r="EV19" s="182"/>
      <c r="EW19" s="182"/>
      <c r="EX19" s="182"/>
      <c r="EY19" s="182"/>
      <c r="EZ19" s="182"/>
      <c r="FA19" s="182"/>
      <c r="FB19" s="182"/>
      <c r="FC19" s="182"/>
      <c r="FD19" s="182"/>
      <c r="FE19" s="182"/>
      <c r="FF19" s="182"/>
      <c r="FG19" s="182"/>
      <c r="FH19" s="182"/>
      <c r="FI19" s="182"/>
      <c r="FJ19" s="182"/>
      <c r="FK19" s="182"/>
      <c r="FL19" s="182"/>
      <c r="FM19" s="182"/>
      <c r="FN19" s="182"/>
      <c r="FO19" s="182"/>
      <c r="FP19" s="182"/>
      <c r="FQ19" s="182"/>
      <c r="FR19" s="182"/>
      <c r="FS19" s="182"/>
      <c r="FT19" s="182"/>
      <c r="FU19" s="182"/>
      <c r="FV19" s="182"/>
      <c r="FW19" s="182"/>
      <c r="FX19" s="182"/>
      <c r="FY19" s="182"/>
      <c r="FZ19" s="182"/>
      <c r="GA19" s="182"/>
      <c r="GB19" s="182"/>
      <c r="GC19" s="182"/>
      <c r="GD19" s="182"/>
      <c r="GE19" s="182"/>
      <c r="GF19" s="182"/>
      <c r="GG19" s="182"/>
      <c r="GH19" s="182"/>
      <c r="GI19" s="182"/>
      <c r="GJ19" s="182"/>
      <c r="GK19" s="182"/>
      <c r="GL19" s="182"/>
      <c r="GM19" s="182"/>
      <c r="GN19" s="182"/>
      <c r="GO19" s="182"/>
      <c r="GP19" s="182"/>
      <c r="GQ19" s="182"/>
      <c r="GR19" s="182"/>
      <c r="GS19" s="182"/>
      <c r="GT19" s="182"/>
      <c r="GU19" s="182"/>
      <c r="GV19" s="182"/>
      <c r="GW19" s="182"/>
      <c r="GX19" s="182"/>
      <c r="GY19" s="182"/>
      <c r="GZ19" s="182"/>
      <c r="HA19" s="182"/>
      <c r="HB19" s="182"/>
      <c r="HC19" s="182"/>
      <c r="HD19" s="182"/>
      <c r="HE19" s="182"/>
      <c r="HF19" s="182"/>
      <c r="HG19" s="182"/>
      <c r="HH19" s="182"/>
      <c r="HI19" s="182"/>
      <c r="HJ19" s="182"/>
      <c r="HK19" s="182"/>
      <c r="HL19" s="182"/>
      <c r="HM19" s="182"/>
      <c r="HN19" s="182"/>
      <c r="HO19" s="182"/>
      <c r="HP19" s="182"/>
      <c r="HQ19" s="182"/>
      <c r="HR19" s="182"/>
      <c r="HS19" s="182"/>
      <c r="HT19" s="182"/>
      <c r="HU19" s="182"/>
      <c r="HV19" s="182"/>
      <c r="HW19" s="182"/>
      <c r="HX19" s="182"/>
      <c r="HY19" s="182"/>
      <c r="HZ19" s="182"/>
      <c r="IA19" s="182"/>
      <c r="IB19" s="182"/>
      <c r="IC19" s="182"/>
      <c r="ID19" s="182"/>
      <c r="IE19" s="182"/>
      <c r="IF19" s="182"/>
      <c r="IG19" s="182"/>
      <c r="IH19" s="182"/>
      <c r="II19" s="182"/>
      <c r="IJ19" s="182"/>
      <c r="IK19" s="182"/>
      <c r="IL19" s="182"/>
      <c r="IM19" s="182"/>
      <c r="IN19" s="182"/>
      <c r="IO19" s="182"/>
      <c r="IP19" s="182"/>
      <c r="IQ19" s="182"/>
      <c r="IR19" s="182"/>
      <c r="IS19" s="182"/>
      <c r="IT19" s="182"/>
      <c r="IU19" s="182"/>
      <c r="IV19" s="182"/>
    </row>
    <row r="20" spans="1:256" s="184" customFormat="1" hidden="1" x14ac:dyDescent="0.2">
      <c r="A20" s="182"/>
      <c r="B20" s="182"/>
      <c r="C20" s="182" t="s">
        <v>47</v>
      </c>
      <c r="D20" s="182" t="s">
        <v>9</v>
      </c>
      <c r="E20" s="182"/>
      <c r="F20" s="182" t="s">
        <v>100</v>
      </c>
      <c r="G20" s="182"/>
      <c r="H20" s="182"/>
      <c r="I20" s="158"/>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2"/>
      <c r="CE20" s="182"/>
      <c r="CF20" s="182"/>
      <c r="CG20" s="182"/>
      <c r="CH20" s="182"/>
      <c r="CI20" s="182"/>
      <c r="CJ20" s="182"/>
      <c r="CK20" s="182"/>
      <c r="CL20" s="182"/>
      <c r="CM20" s="182"/>
      <c r="CN20" s="182"/>
      <c r="CO20" s="182"/>
      <c r="CP20" s="182"/>
      <c r="CQ20" s="182"/>
      <c r="CR20" s="182"/>
      <c r="CS20" s="182"/>
      <c r="CT20" s="182"/>
      <c r="CU20" s="182"/>
      <c r="CV20" s="182"/>
      <c r="CW20" s="182"/>
      <c r="CX20" s="182"/>
      <c r="CY20" s="182"/>
      <c r="CZ20" s="182"/>
      <c r="DA20" s="182"/>
      <c r="DB20" s="182"/>
      <c r="DC20" s="182"/>
      <c r="DD20" s="182"/>
      <c r="DE20" s="182"/>
      <c r="DF20" s="182"/>
      <c r="DG20" s="182"/>
      <c r="DH20" s="182"/>
      <c r="DI20" s="182"/>
      <c r="DJ20" s="182"/>
      <c r="DK20" s="182"/>
      <c r="DL20" s="182"/>
      <c r="DM20" s="182"/>
      <c r="DN20" s="182"/>
      <c r="DO20" s="182"/>
      <c r="DP20" s="182"/>
      <c r="DQ20" s="182"/>
      <c r="DR20" s="182"/>
      <c r="DS20" s="182"/>
      <c r="DT20" s="182"/>
      <c r="DU20" s="182"/>
      <c r="DV20" s="182"/>
      <c r="DW20" s="182"/>
      <c r="DX20" s="182"/>
      <c r="DY20" s="182"/>
      <c r="DZ20" s="182"/>
      <c r="EA20" s="182"/>
      <c r="EB20" s="182"/>
      <c r="EC20" s="182"/>
      <c r="ED20" s="182"/>
      <c r="EE20" s="182"/>
      <c r="EF20" s="182"/>
      <c r="EG20" s="182"/>
      <c r="EH20" s="182"/>
      <c r="EI20" s="182"/>
      <c r="EJ20" s="182"/>
      <c r="EK20" s="182"/>
      <c r="EL20" s="182"/>
      <c r="EM20" s="182"/>
      <c r="EN20" s="182"/>
      <c r="EO20" s="182"/>
      <c r="EP20" s="182"/>
      <c r="EQ20" s="182"/>
      <c r="ER20" s="182"/>
      <c r="ES20" s="182"/>
      <c r="ET20" s="182"/>
      <c r="EU20" s="182"/>
      <c r="EV20" s="182"/>
      <c r="EW20" s="182"/>
      <c r="EX20" s="182"/>
      <c r="EY20" s="182"/>
      <c r="EZ20" s="182"/>
      <c r="FA20" s="182"/>
      <c r="FB20" s="182"/>
      <c r="FC20" s="182"/>
      <c r="FD20" s="182"/>
      <c r="FE20" s="182"/>
      <c r="FF20" s="182"/>
      <c r="FG20" s="182"/>
      <c r="FH20" s="182"/>
      <c r="FI20" s="182"/>
      <c r="FJ20" s="182"/>
      <c r="FK20" s="182"/>
      <c r="FL20" s="182"/>
      <c r="FM20" s="182"/>
      <c r="FN20" s="182"/>
      <c r="FO20" s="182"/>
      <c r="FP20" s="182"/>
      <c r="FQ20" s="182"/>
      <c r="FR20" s="182"/>
      <c r="FS20" s="182"/>
      <c r="FT20" s="182"/>
      <c r="FU20" s="182"/>
      <c r="FV20" s="182"/>
      <c r="FW20" s="182"/>
      <c r="FX20" s="182"/>
      <c r="FY20" s="182"/>
      <c r="FZ20" s="182"/>
      <c r="GA20" s="182"/>
      <c r="GB20" s="182"/>
      <c r="GC20" s="182"/>
      <c r="GD20" s="182"/>
      <c r="GE20" s="182"/>
      <c r="GF20" s="182"/>
      <c r="GG20" s="182"/>
      <c r="GH20" s="182"/>
      <c r="GI20" s="182"/>
      <c r="GJ20" s="182"/>
      <c r="GK20" s="182"/>
      <c r="GL20" s="182"/>
      <c r="GM20" s="182"/>
      <c r="GN20" s="182"/>
      <c r="GO20" s="182"/>
      <c r="GP20" s="182"/>
      <c r="GQ20" s="182"/>
      <c r="GR20" s="182"/>
      <c r="GS20" s="182"/>
      <c r="GT20" s="182"/>
      <c r="GU20" s="182"/>
      <c r="GV20" s="182"/>
      <c r="GW20" s="182"/>
      <c r="GX20" s="182"/>
      <c r="GY20" s="182"/>
      <c r="GZ20" s="182"/>
      <c r="HA20" s="182"/>
      <c r="HB20" s="182"/>
      <c r="HC20" s="182"/>
      <c r="HD20" s="182"/>
      <c r="HE20" s="182"/>
      <c r="HF20" s="182"/>
      <c r="HG20" s="182"/>
      <c r="HH20" s="182"/>
      <c r="HI20" s="182"/>
      <c r="HJ20" s="182"/>
      <c r="HK20" s="182"/>
      <c r="HL20" s="182"/>
      <c r="HM20" s="182"/>
      <c r="HN20" s="182"/>
      <c r="HO20" s="182"/>
      <c r="HP20" s="182"/>
      <c r="HQ20" s="182"/>
      <c r="HR20" s="182"/>
      <c r="HS20" s="182"/>
      <c r="HT20" s="182"/>
      <c r="HU20" s="182"/>
      <c r="HV20" s="182"/>
      <c r="HW20" s="182"/>
      <c r="HX20" s="182"/>
      <c r="HY20" s="182"/>
      <c r="HZ20" s="182"/>
      <c r="IA20" s="182"/>
      <c r="IB20" s="182"/>
      <c r="IC20" s="182"/>
      <c r="ID20" s="182"/>
      <c r="IE20" s="182"/>
      <c r="IF20" s="182"/>
      <c r="IG20" s="182"/>
      <c r="IH20" s="182"/>
      <c r="II20" s="182"/>
      <c r="IJ20" s="182"/>
      <c r="IK20" s="182"/>
      <c r="IL20" s="182"/>
      <c r="IM20" s="182"/>
      <c r="IN20" s="182"/>
      <c r="IO20" s="182"/>
      <c r="IP20" s="182"/>
      <c r="IQ20" s="182"/>
      <c r="IR20" s="182"/>
      <c r="IS20" s="182"/>
      <c r="IT20" s="182"/>
      <c r="IU20" s="182"/>
      <c r="IV20" s="182"/>
    </row>
    <row r="21" spans="1:256" s="184" customFormat="1" hidden="1" x14ac:dyDescent="0.2">
      <c r="A21" s="182"/>
      <c r="B21" s="182"/>
      <c r="C21" s="182" t="s">
        <v>65</v>
      </c>
      <c r="D21" s="182" t="s">
        <v>74</v>
      </c>
      <c r="E21" s="182"/>
      <c r="F21" s="184" t="s">
        <v>106</v>
      </c>
      <c r="G21" s="182"/>
      <c r="H21" s="182"/>
      <c r="I21" s="158"/>
      <c r="J21" s="158"/>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2"/>
      <c r="CE21" s="182"/>
      <c r="CF21" s="182"/>
      <c r="CG21" s="182"/>
      <c r="CH21" s="182"/>
      <c r="CI21" s="182"/>
      <c r="CJ21" s="182"/>
      <c r="CK21" s="182"/>
      <c r="CL21" s="182"/>
      <c r="CM21" s="182"/>
      <c r="CN21" s="182"/>
      <c r="CO21" s="182"/>
      <c r="CP21" s="182"/>
      <c r="CQ21" s="182"/>
      <c r="CR21" s="182"/>
      <c r="CS21" s="182"/>
      <c r="CT21" s="182"/>
      <c r="CU21" s="182"/>
      <c r="CV21" s="182"/>
      <c r="CW21" s="182"/>
      <c r="CX21" s="182"/>
      <c r="CY21" s="182"/>
      <c r="CZ21" s="182"/>
      <c r="DA21" s="182"/>
      <c r="DB21" s="182"/>
      <c r="DC21" s="182"/>
      <c r="DD21" s="182"/>
      <c r="DE21" s="182"/>
      <c r="DF21" s="182"/>
      <c r="DG21" s="182"/>
      <c r="DH21" s="182"/>
      <c r="DI21" s="182"/>
      <c r="DJ21" s="182"/>
      <c r="DK21" s="182"/>
      <c r="DL21" s="182"/>
      <c r="DM21" s="182"/>
      <c r="DN21" s="182"/>
      <c r="DO21" s="182"/>
      <c r="DP21" s="182"/>
      <c r="DQ21" s="182"/>
      <c r="DR21" s="182"/>
      <c r="DS21" s="182"/>
      <c r="DT21" s="182"/>
      <c r="DU21" s="182"/>
      <c r="DV21" s="182"/>
      <c r="DW21" s="182"/>
      <c r="DX21" s="182"/>
      <c r="DY21" s="182"/>
      <c r="DZ21" s="182"/>
      <c r="EA21" s="182"/>
      <c r="EB21" s="182"/>
      <c r="EC21" s="182"/>
      <c r="ED21" s="182"/>
      <c r="EE21" s="182"/>
      <c r="EF21" s="182"/>
      <c r="EG21" s="182"/>
      <c r="EH21" s="182"/>
      <c r="EI21" s="182"/>
      <c r="EJ21" s="182"/>
      <c r="EK21" s="182"/>
      <c r="EL21" s="182"/>
      <c r="EM21" s="182"/>
      <c r="EN21" s="182"/>
      <c r="EO21" s="182"/>
      <c r="EP21" s="182"/>
      <c r="EQ21" s="182"/>
      <c r="ER21" s="182"/>
      <c r="ES21" s="182"/>
      <c r="ET21" s="182"/>
      <c r="EU21" s="182"/>
      <c r="EV21" s="182"/>
      <c r="EW21" s="182"/>
      <c r="EX21" s="182"/>
      <c r="EY21" s="182"/>
      <c r="EZ21" s="182"/>
      <c r="FA21" s="182"/>
      <c r="FB21" s="182"/>
      <c r="FC21" s="182"/>
      <c r="FD21" s="182"/>
      <c r="FE21" s="182"/>
      <c r="FF21" s="182"/>
      <c r="FG21" s="182"/>
      <c r="FH21" s="182"/>
      <c r="FI21" s="182"/>
      <c r="FJ21" s="182"/>
      <c r="FK21" s="182"/>
      <c r="FL21" s="182"/>
      <c r="FM21" s="182"/>
      <c r="FN21" s="182"/>
      <c r="FO21" s="182"/>
      <c r="FP21" s="182"/>
      <c r="FQ21" s="182"/>
      <c r="FR21" s="182"/>
      <c r="FS21" s="182"/>
      <c r="FT21" s="182"/>
      <c r="FU21" s="182"/>
      <c r="FV21" s="182"/>
      <c r="FW21" s="182"/>
      <c r="FX21" s="182"/>
      <c r="FY21" s="182"/>
      <c r="FZ21" s="182"/>
      <c r="GA21" s="182"/>
      <c r="GB21" s="182"/>
      <c r="GC21" s="182"/>
      <c r="GD21" s="182"/>
      <c r="GE21" s="182"/>
      <c r="GF21" s="182"/>
      <c r="GG21" s="182"/>
      <c r="GH21" s="182"/>
      <c r="GI21" s="182"/>
      <c r="GJ21" s="182"/>
      <c r="GK21" s="182"/>
      <c r="GL21" s="182"/>
      <c r="GM21" s="182"/>
      <c r="GN21" s="182"/>
      <c r="GO21" s="182"/>
      <c r="GP21" s="182"/>
      <c r="GQ21" s="182"/>
      <c r="GR21" s="182"/>
      <c r="GS21" s="182"/>
      <c r="GT21" s="182"/>
      <c r="GU21" s="182"/>
      <c r="GV21" s="182"/>
      <c r="GW21" s="182"/>
      <c r="GX21" s="182"/>
      <c r="GY21" s="182"/>
      <c r="GZ21" s="182"/>
      <c r="HA21" s="182"/>
      <c r="HB21" s="182"/>
      <c r="HC21" s="182"/>
      <c r="HD21" s="182"/>
      <c r="HE21" s="182"/>
      <c r="HF21" s="182"/>
      <c r="HG21" s="182"/>
      <c r="HH21" s="182"/>
      <c r="HI21" s="182"/>
      <c r="HJ21" s="182"/>
      <c r="HK21" s="182"/>
      <c r="HL21" s="182"/>
      <c r="HM21" s="182"/>
      <c r="HN21" s="182"/>
      <c r="HO21" s="182"/>
      <c r="HP21" s="182"/>
      <c r="HQ21" s="182"/>
      <c r="HR21" s="182"/>
      <c r="HS21" s="182"/>
      <c r="HT21" s="182"/>
      <c r="HU21" s="182"/>
      <c r="HV21" s="182"/>
      <c r="HW21" s="182"/>
      <c r="HX21" s="182"/>
      <c r="HY21" s="182"/>
      <c r="HZ21" s="182"/>
      <c r="IA21" s="182"/>
      <c r="IB21" s="182"/>
      <c r="IC21" s="182"/>
      <c r="ID21" s="182"/>
      <c r="IE21" s="182"/>
      <c r="IF21" s="182"/>
      <c r="IG21" s="182"/>
      <c r="IH21" s="182"/>
      <c r="II21" s="182"/>
      <c r="IJ21" s="182"/>
      <c r="IK21" s="182"/>
      <c r="IL21" s="182"/>
      <c r="IM21" s="182"/>
      <c r="IN21" s="182"/>
      <c r="IO21" s="182"/>
      <c r="IP21" s="182"/>
      <c r="IQ21" s="182"/>
      <c r="IR21" s="182"/>
      <c r="IS21" s="182"/>
      <c r="IT21" s="182"/>
      <c r="IU21" s="182"/>
      <c r="IV21" s="182"/>
    </row>
    <row r="22" spans="1:256" s="184" customFormat="1" hidden="1" x14ac:dyDescent="0.2">
      <c r="A22" s="182"/>
      <c r="B22" s="182"/>
      <c r="C22" s="182"/>
      <c r="D22" s="182" t="s">
        <v>69</v>
      </c>
      <c r="E22" s="182"/>
      <c r="F22" s="184" t="s">
        <v>107</v>
      </c>
      <c r="G22" s="182"/>
      <c r="H22" s="182"/>
      <c r="I22" s="158"/>
      <c r="J22" s="158"/>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2"/>
      <c r="CE22" s="182"/>
      <c r="CF22" s="182"/>
      <c r="CG22" s="182"/>
      <c r="CH22" s="182"/>
      <c r="CI22" s="182"/>
      <c r="CJ22" s="182"/>
      <c r="CK22" s="182"/>
      <c r="CL22" s="182"/>
      <c r="CM22" s="182"/>
      <c r="CN22" s="182"/>
      <c r="CO22" s="182"/>
      <c r="CP22" s="182"/>
      <c r="CQ22" s="182"/>
      <c r="CR22" s="182"/>
      <c r="CS22" s="182"/>
      <c r="CT22" s="182"/>
      <c r="CU22" s="182"/>
      <c r="CV22" s="182"/>
      <c r="CW22" s="182"/>
      <c r="CX22" s="182"/>
      <c r="CY22" s="182"/>
      <c r="CZ22" s="182"/>
      <c r="DA22" s="182"/>
      <c r="DB22" s="182"/>
      <c r="DC22" s="182"/>
      <c r="DD22" s="182"/>
      <c r="DE22" s="182"/>
      <c r="DF22" s="182"/>
      <c r="DG22" s="182"/>
      <c r="DH22" s="182"/>
      <c r="DI22" s="182"/>
      <c r="DJ22" s="182"/>
      <c r="DK22" s="182"/>
      <c r="DL22" s="182"/>
      <c r="DM22" s="182"/>
      <c r="DN22" s="182"/>
      <c r="DO22" s="182"/>
      <c r="DP22" s="182"/>
      <c r="DQ22" s="182"/>
      <c r="DR22" s="182"/>
      <c r="DS22" s="182"/>
      <c r="DT22" s="182"/>
      <c r="DU22" s="182"/>
      <c r="DV22" s="182"/>
      <c r="DW22" s="182"/>
      <c r="DX22" s="182"/>
      <c r="DY22" s="182"/>
      <c r="DZ22" s="182"/>
      <c r="EA22" s="182"/>
      <c r="EB22" s="182"/>
      <c r="EC22" s="182"/>
      <c r="ED22" s="182"/>
      <c r="EE22" s="182"/>
      <c r="EF22" s="182"/>
      <c r="EG22" s="182"/>
      <c r="EH22" s="182"/>
      <c r="EI22" s="182"/>
      <c r="EJ22" s="182"/>
      <c r="EK22" s="182"/>
      <c r="EL22" s="182"/>
      <c r="EM22" s="182"/>
      <c r="EN22" s="182"/>
      <c r="EO22" s="182"/>
      <c r="EP22" s="182"/>
      <c r="EQ22" s="182"/>
      <c r="ER22" s="182"/>
      <c r="ES22" s="182"/>
      <c r="ET22" s="182"/>
      <c r="EU22" s="182"/>
      <c r="EV22" s="182"/>
      <c r="EW22" s="182"/>
      <c r="EX22" s="182"/>
      <c r="EY22" s="182"/>
      <c r="EZ22" s="182"/>
      <c r="FA22" s="182"/>
      <c r="FB22" s="182"/>
      <c r="FC22" s="182"/>
      <c r="FD22" s="182"/>
      <c r="FE22" s="182"/>
      <c r="FF22" s="182"/>
      <c r="FG22" s="182"/>
      <c r="FH22" s="182"/>
      <c r="FI22" s="182"/>
      <c r="FJ22" s="182"/>
      <c r="FK22" s="182"/>
      <c r="FL22" s="182"/>
      <c r="FM22" s="182"/>
      <c r="FN22" s="182"/>
      <c r="FO22" s="182"/>
      <c r="FP22" s="182"/>
      <c r="FQ22" s="182"/>
      <c r="FR22" s="182"/>
      <c r="FS22" s="182"/>
      <c r="FT22" s="182"/>
      <c r="FU22" s="182"/>
      <c r="FV22" s="182"/>
      <c r="FW22" s="182"/>
      <c r="FX22" s="182"/>
      <c r="FY22" s="182"/>
      <c r="FZ22" s="182"/>
      <c r="GA22" s="182"/>
      <c r="GB22" s="182"/>
      <c r="GC22" s="182"/>
      <c r="GD22" s="182"/>
      <c r="GE22" s="182"/>
      <c r="GF22" s="182"/>
      <c r="GG22" s="182"/>
      <c r="GH22" s="182"/>
      <c r="GI22" s="182"/>
      <c r="GJ22" s="182"/>
      <c r="GK22" s="182"/>
      <c r="GL22" s="182"/>
      <c r="GM22" s="182"/>
      <c r="GN22" s="182"/>
      <c r="GO22" s="182"/>
      <c r="GP22" s="182"/>
      <c r="GQ22" s="182"/>
      <c r="GR22" s="182"/>
      <c r="GS22" s="182"/>
      <c r="GT22" s="182"/>
      <c r="GU22" s="182"/>
      <c r="GV22" s="182"/>
      <c r="GW22" s="182"/>
      <c r="GX22" s="182"/>
      <c r="GY22" s="182"/>
      <c r="GZ22" s="182"/>
      <c r="HA22" s="182"/>
      <c r="HB22" s="182"/>
      <c r="HC22" s="182"/>
      <c r="HD22" s="182"/>
      <c r="HE22" s="182"/>
      <c r="HF22" s="182"/>
      <c r="HG22" s="182"/>
      <c r="HH22" s="182"/>
      <c r="HI22" s="182"/>
      <c r="HJ22" s="182"/>
      <c r="HK22" s="182"/>
      <c r="HL22" s="182"/>
      <c r="HM22" s="182"/>
      <c r="HN22" s="182"/>
      <c r="HO22" s="182"/>
      <c r="HP22" s="182"/>
      <c r="HQ22" s="182"/>
      <c r="HR22" s="182"/>
      <c r="HS22" s="182"/>
      <c r="HT22" s="182"/>
      <c r="HU22" s="182"/>
      <c r="HV22" s="182"/>
      <c r="HW22" s="182"/>
      <c r="HX22" s="182"/>
      <c r="HY22" s="182"/>
      <c r="HZ22" s="182"/>
      <c r="IA22" s="182"/>
      <c r="IB22" s="182"/>
      <c r="IC22" s="182"/>
      <c r="ID22" s="182"/>
      <c r="IE22" s="182"/>
      <c r="IF22" s="182"/>
      <c r="IG22" s="182"/>
      <c r="IH22" s="182"/>
      <c r="II22" s="182"/>
      <c r="IJ22" s="182"/>
      <c r="IK22" s="182"/>
      <c r="IL22" s="182"/>
      <c r="IM22" s="182"/>
      <c r="IN22" s="182"/>
      <c r="IO22" s="182"/>
      <c r="IP22" s="182"/>
      <c r="IQ22" s="182"/>
      <c r="IR22" s="182"/>
      <c r="IS22" s="182"/>
      <c r="IT22" s="182"/>
      <c r="IU22" s="182"/>
      <c r="IV22" s="182"/>
    </row>
    <row r="23" spans="1:256" s="186" customFormat="1" ht="8.25" hidden="1" x14ac:dyDescent="0.15">
      <c r="C23" s="187"/>
      <c r="D23" s="187"/>
      <c r="E23" s="187"/>
      <c r="G23" s="187"/>
    </row>
    <row r="24" spans="1:256" s="188" customFormat="1" ht="12.75" hidden="1" x14ac:dyDescent="0.25">
      <c r="C24" s="189" t="s">
        <v>77</v>
      </c>
      <c r="D24" s="190"/>
      <c r="E24" s="190"/>
      <c r="F24" s="182"/>
      <c r="G24" s="189" t="s">
        <v>98</v>
      </c>
      <c r="H24" s="190"/>
    </row>
    <row r="25" spans="1:256" s="188" customFormat="1" ht="12.75" hidden="1" x14ac:dyDescent="0.25">
      <c r="C25" s="191">
        <f>IF(D8="GHz",C8*1000000000,IF(D8="MHz",C8*1000000,IF(D8="kHz",C8*1000,C8)))</f>
        <v>3000000000</v>
      </c>
      <c r="D25" s="190"/>
      <c r="E25" s="190"/>
      <c r="F25" s="182"/>
      <c r="G25" s="192">
        <f>C12*D28/2*3600/1000</f>
        <v>58.459529310000008</v>
      </c>
      <c r="H25" s="190"/>
    </row>
    <row r="26" spans="1:256" s="188" customFormat="1" ht="12.75" hidden="1" x14ac:dyDescent="0.25">
      <c r="C26" s="190"/>
      <c r="D26" s="190"/>
      <c r="E26" s="190"/>
      <c r="F26" s="187"/>
      <c r="G26" s="193"/>
      <c r="H26" s="190"/>
    </row>
    <row r="27" spans="1:256" s="188" customFormat="1" ht="12.75" hidden="1" x14ac:dyDescent="0.25">
      <c r="C27" s="194" t="str">
        <f>"λ"&amp;" ("&amp;D10&amp;")"</f>
        <v>λ (ft)</v>
      </c>
      <c r="D27" s="195" t="s">
        <v>97</v>
      </c>
      <c r="F27" s="158"/>
      <c r="G27" s="196" t="str">
        <f>"1st sB ("&amp;H8&amp;")"</f>
        <v>1st sB (ft/s)</v>
      </c>
    </row>
    <row r="28" spans="1:256" s="188" customFormat="1" ht="12.75" hidden="1" x14ac:dyDescent="0.25">
      <c r="C28" s="197">
        <f>IF(D10="smi",D28*0.0006213711922,IF(D10="nmi",D28*0.0005399568035,IF(D10="ft",D28*3.280839895,IF(D10="in",D28*39.37007874,IF(D10="mil",D28*0.03937007874,IF(D10="km",D28/1000,IF(D10="m",D28,IF(D10="cm",D28*100,D28*1000))))))))</f>
        <v>0.32785701880883733</v>
      </c>
      <c r="D28" s="198">
        <f>2.99792458*10^8/C25</f>
        <v>9.9930819333333337E-2</v>
      </c>
      <c r="F28" s="158"/>
      <c r="G28" s="199">
        <f>IF(H8="mi/hr",G25*0.621371192,IF(H8="kt",G25*0.539956803,IF(H8="m/s",G25*1000/3600,IF(H8="ft/s",G25*3280.839895/3600,G25))))</f>
        <v>53.276765556436068</v>
      </c>
    </row>
    <row r="29" spans="1:256" ht="12.75" hidden="1" x14ac:dyDescent="0.25">
      <c r="F29" s="190"/>
    </row>
    <row r="30" spans="1:256" ht="12.75" hidden="1" x14ac:dyDescent="0.25">
      <c r="F30" s="190"/>
    </row>
    <row r="31" spans="1:256" ht="12.75" hidden="1" x14ac:dyDescent="0.25">
      <c r="F31" s="188"/>
    </row>
    <row r="32" spans="1:256" hidden="1" x14ac:dyDescent="0.2">
      <c r="K32" s="200"/>
    </row>
    <row r="33" spans="3:11" hidden="1" x14ac:dyDescent="0.2">
      <c r="K33" s="182"/>
    </row>
    <row r="34" spans="3:11" hidden="1" x14ac:dyDescent="0.2"/>
    <row r="35" spans="3:11" hidden="1" x14ac:dyDescent="0.2"/>
    <row r="36" spans="3:11" hidden="1" x14ac:dyDescent="0.2">
      <c r="C36" s="201"/>
    </row>
    <row r="37" spans="3:11" hidden="1" x14ac:dyDescent="0.2"/>
    <row r="38" spans="3:11" hidden="1" x14ac:dyDescent="0.2"/>
    <row r="39" spans="3:11" hidden="1" x14ac:dyDescent="0.2"/>
    <row r="40" spans="3:11" hidden="1" x14ac:dyDescent="0.2"/>
    <row r="41" spans="3:11" hidden="1" x14ac:dyDescent="0.2"/>
    <row r="42" spans="3:11" hidden="1" x14ac:dyDescent="0.2"/>
    <row r="43" spans="3:11" hidden="1" x14ac:dyDescent="0.2"/>
    <row r="44" spans="3:11" hidden="1" x14ac:dyDescent="0.2"/>
    <row r="45" spans="3:11" hidden="1" x14ac:dyDescent="0.2"/>
    <row r="46" spans="3:11" hidden="1" x14ac:dyDescent="0.2"/>
    <row r="47" spans="3:11" hidden="1" x14ac:dyDescent="0.2"/>
    <row r="48" spans="3:11"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sheetData>
  <sheetProtection password="F39F" sheet="1" objects="1" scenarios="1"/>
  <mergeCells count="6">
    <mergeCell ref="C3:K3"/>
    <mergeCell ref="C6:D6"/>
    <mergeCell ref="C11:D11"/>
    <mergeCell ref="C9:D9"/>
    <mergeCell ref="C7:D7"/>
    <mergeCell ref="F6:H6"/>
  </mergeCells>
  <phoneticPr fontId="2" type="noConversion"/>
  <dataValidations count="5">
    <dataValidation type="list" showInputMessage="1" showErrorMessage="1" sqref="D8">
      <formula1>$C$18:$C$21</formula1>
    </dataValidation>
    <dataValidation type="decimal" operator="greaterThan" allowBlank="1" showInputMessage="1" showErrorMessage="1" sqref="C8">
      <formula1>0</formula1>
    </dataValidation>
    <dataValidation type="list" showInputMessage="1" showErrorMessage="1" error="Please choose from dropdown list" sqref="H8">
      <formula1>$F$18:$F$22</formula1>
    </dataValidation>
    <dataValidation type="list" showInputMessage="1" showErrorMessage="1" error="Please choose from dropdown list" sqref="D10">
      <formula1>$D$18:$D$22</formula1>
    </dataValidation>
    <dataValidation type="decimal" operator="greaterThan" showInputMessage="1" showErrorMessage="1" sqref="C12">
      <formula1>0</formula1>
    </dataValidation>
  </dataValidations>
  <hyperlinks>
    <hyperlink ref="C4" r:id="rId1"/>
    <hyperlink ref="K4" r:id="rId2" tooltip="Click here to check for updates to this calculator"/>
    <hyperlink ref="K14" location="Home!A1" tooltip="Click to return to title page with calculator list" display="Home"/>
  </hyperlinks>
  <pageMargins left="0.5" right="0.5" top="0.5" bottom="0.5" header="0.5" footer="0.5"/>
  <pageSetup orientation="portrait" r:id="rId3"/>
  <headerFooter alignWithMargins="0"/>
  <drawing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fitToPage="1"/>
  </sheetPr>
  <dimension ref="B1:P34"/>
  <sheetViews>
    <sheetView showGridLines="0" showRowColHeaders="0" workbookViewId="0">
      <selection activeCell="K21" sqref="K21"/>
    </sheetView>
  </sheetViews>
  <sheetFormatPr defaultColWidth="0" defaultRowHeight="12" zeroHeight="1" x14ac:dyDescent="0.2"/>
  <cols>
    <col min="1" max="1" width="0.5703125" style="269" customWidth="1"/>
    <col min="2" max="2" width="1.140625" style="269" customWidth="1"/>
    <col min="3" max="5" width="5.7109375" style="269" customWidth="1"/>
    <col min="6" max="6" width="12.7109375" style="269" customWidth="1"/>
    <col min="7" max="7" width="5.7109375" style="269" customWidth="1"/>
    <col min="8" max="8" width="7.7109375" style="269" customWidth="1"/>
    <col min="9" max="9" width="5.7109375" style="269" customWidth="1"/>
    <col min="10" max="10" width="11.7109375" style="269" customWidth="1"/>
    <col min="11" max="11" width="4.7109375" style="269" customWidth="1"/>
    <col min="12" max="12" width="1.140625" style="269" customWidth="1"/>
    <col min="13" max="13" width="0.5703125" style="269" customWidth="1"/>
    <col min="14" max="16384" width="0" style="269" hidden="1"/>
  </cols>
  <sheetData>
    <row r="1" spans="2:16" ht="3" customHeight="1" thickBot="1" x14ac:dyDescent="0.25"/>
    <row r="2" spans="2:16" ht="6" customHeight="1" thickTop="1" x14ac:dyDescent="0.2">
      <c r="B2" s="270"/>
      <c r="C2" s="263"/>
      <c r="D2" s="263"/>
      <c r="E2" s="263"/>
      <c r="F2" s="263"/>
      <c r="G2" s="263"/>
      <c r="H2" s="263"/>
      <c r="I2" s="263"/>
      <c r="J2" s="263"/>
      <c r="K2" s="263"/>
      <c r="L2" s="264"/>
    </row>
    <row r="3" spans="2:16" ht="12.75" x14ac:dyDescent="0.2">
      <c r="B3" s="275"/>
      <c r="C3" s="443" t="s">
        <v>161</v>
      </c>
      <c r="D3" s="443"/>
      <c r="E3" s="443"/>
      <c r="F3" s="443"/>
      <c r="G3" s="443"/>
      <c r="H3" s="443"/>
      <c r="I3" s="443"/>
      <c r="J3" s="443"/>
      <c r="K3" s="443"/>
      <c r="L3" s="128"/>
      <c r="M3" s="63"/>
      <c r="N3" s="63"/>
      <c r="O3" s="63"/>
      <c r="P3" s="63"/>
    </row>
    <row r="4" spans="2:16" ht="12.75" x14ac:dyDescent="0.2">
      <c r="B4" s="275"/>
      <c r="C4" s="258" t="s">
        <v>131</v>
      </c>
      <c r="F4" s="176"/>
      <c r="G4" s="176"/>
      <c r="H4" s="176"/>
      <c r="I4" s="176"/>
      <c r="K4" s="257" t="s">
        <v>132</v>
      </c>
      <c r="L4" s="128"/>
      <c r="M4" s="63"/>
      <c r="N4" s="63"/>
      <c r="O4" s="63"/>
      <c r="P4" s="63"/>
    </row>
    <row r="5" spans="2:16" x14ac:dyDescent="0.2">
      <c r="B5" s="275"/>
      <c r="C5" s="276"/>
      <c r="D5" s="276"/>
      <c r="E5" s="276"/>
      <c r="F5" s="276"/>
      <c r="G5" s="276"/>
      <c r="H5" s="276"/>
      <c r="I5" s="276"/>
      <c r="J5" s="276"/>
      <c r="K5" s="276"/>
      <c r="L5" s="277"/>
    </row>
    <row r="6" spans="2:16" x14ac:dyDescent="0.2">
      <c r="B6" s="275"/>
      <c r="C6" s="468" t="s">
        <v>155</v>
      </c>
      <c r="D6" s="468"/>
      <c r="E6" s="468"/>
      <c r="G6" s="284"/>
      <c r="H6" s="9"/>
      <c r="I6" s="9"/>
      <c r="J6" s="9"/>
      <c r="K6" s="144"/>
      <c r="L6" s="277"/>
    </row>
    <row r="7" spans="2:16" ht="13.5" x14ac:dyDescent="0.25">
      <c r="B7" s="134"/>
      <c r="C7" s="468" t="s">
        <v>170</v>
      </c>
      <c r="D7" s="468"/>
      <c r="E7" s="468"/>
      <c r="F7" s="284" t="s">
        <v>156</v>
      </c>
      <c r="G7" s="284"/>
      <c r="H7" s="9"/>
      <c r="I7" s="9"/>
      <c r="J7" s="9"/>
      <c r="K7" s="144"/>
      <c r="L7" s="277"/>
    </row>
    <row r="8" spans="2:16" ht="13.5" thickBot="1" x14ac:dyDescent="0.25">
      <c r="B8" s="134"/>
      <c r="C8" s="281" t="s">
        <v>9</v>
      </c>
      <c r="D8" s="281" t="s">
        <v>157</v>
      </c>
      <c r="E8" s="281" t="s">
        <v>158</v>
      </c>
      <c r="F8" s="265" t="s">
        <v>8</v>
      </c>
      <c r="G8" s="292"/>
      <c r="H8" s="9"/>
      <c r="I8" s="289"/>
      <c r="J8" s="265" t="s">
        <v>169</v>
      </c>
      <c r="K8" s="288"/>
      <c r="L8" s="277"/>
    </row>
    <row r="9" spans="2:16" x14ac:dyDescent="0.2">
      <c r="B9" s="275"/>
      <c r="C9" s="18">
        <v>0</v>
      </c>
      <c r="D9" s="18">
        <v>1</v>
      </c>
      <c r="E9" s="18">
        <v>1</v>
      </c>
      <c r="F9" s="94">
        <f>0.5/SQRT($J$12*$J$13)*SQRT((C9/$J$9*$J$34)^2+(D9/$J$10*$J$34)^2+(E9/$J$11*$J$34)^2)/$E$32</f>
        <v>7.5041265033357716</v>
      </c>
      <c r="G9" s="283" t="s">
        <v>46</v>
      </c>
      <c r="H9" s="18"/>
      <c r="I9" s="282" t="s">
        <v>168</v>
      </c>
      <c r="J9" s="285">
        <v>1.3</v>
      </c>
      <c r="K9" s="293" t="s">
        <v>74</v>
      </c>
      <c r="L9" s="277"/>
    </row>
    <row r="10" spans="2:16" ht="12.75" x14ac:dyDescent="0.2">
      <c r="B10" s="134"/>
      <c r="C10" s="18">
        <v>1</v>
      </c>
      <c r="D10" s="18">
        <v>0</v>
      </c>
      <c r="E10" s="18">
        <v>1</v>
      </c>
      <c r="F10" s="94">
        <f t="shared" ref="F10:F19" si="0">0.5/SQRT($J$12*$J$13)*SQRT((C10/$J$9*$J$34)^2+(D10/$J$10*$J$34)^2+(E10/$J$11*$J$34)^2)/$E$32</f>
        <v>12.036647885296466</v>
      </c>
      <c r="G10" s="94" t="str">
        <f>$G$9</f>
        <v>GHz</v>
      </c>
      <c r="H10" s="18"/>
      <c r="I10" s="282" t="s">
        <v>167</v>
      </c>
      <c r="J10" s="283">
        <v>2.25</v>
      </c>
      <c r="K10" s="144" t="str">
        <f>K9</f>
        <v>cm</v>
      </c>
      <c r="L10" s="277"/>
    </row>
    <row r="11" spans="2:16" ht="12.75" x14ac:dyDescent="0.2">
      <c r="B11" s="134"/>
      <c r="C11" s="18">
        <v>1</v>
      </c>
      <c r="D11" s="18">
        <v>1</v>
      </c>
      <c r="E11" s="18">
        <v>0</v>
      </c>
      <c r="F11" s="94">
        <f t="shared" si="0"/>
        <v>13.31671586106151</v>
      </c>
      <c r="G11" s="94" t="str">
        <f t="shared" ref="G11:G19" si="1">$G$9</f>
        <v>GHz</v>
      </c>
      <c r="H11" s="18"/>
      <c r="I11" s="282" t="s">
        <v>166</v>
      </c>
      <c r="J11" s="283">
        <v>4.34</v>
      </c>
      <c r="K11" s="144" t="str">
        <f>K9</f>
        <v>cm</v>
      </c>
      <c r="L11" s="277"/>
    </row>
    <row r="12" spans="2:16" ht="12.75" x14ac:dyDescent="0.2">
      <c r="B12" s="134"/>
      <c r="C12" s="18">
        <v>1</v>
      </c>
      <c r="D12" s="18">
        <v>1</v>
      </c>
      <c r="E12" s="18">
        <v>1</v>
      </c>
      <c r="F12" s="94">
        <f t="shared" si="0"/>
        <v>13.757320382562249</v>
      </c>
      <c r="G12" s="94" t="str">
        <f t="shared" si="1"/>
        <v>GHz</v>
      </c>
      <c r="H12" s="9"/>
      <c r="I12" s="286" t="s">
        <v>162</v>
      </c>
      <c r="J12" s="287">
        <v>8.8541878170000005E-12</v>
      </c>
      <c r="K12" s="34" t="s">
        <v>165</v>
      </c>
      <c r="L12" s="277"/>
    </row>
    <row r="13" spans="2:16" ht="12.75" x14ac:dyDescent="0.2">
      <c r="B13" s="275"/>
      <c r="C13" s="18">
        <v>0</v>
      </c>
      <c r="D13" s="18">
        <v>1</v>
      </c>
      <c r="E13" s="18">
        <v>2</v>
      </c>
      <c r="F13" s="94">
        <f t="shared" si="0"/>
        <v>9.5968089973028494</v>
      </c>
      <c r="G13" s="94" t="str">
        <f t="shared" si="1"/>
        <v>GHz</v>
      </c>
      <c r="H13" s="9"/>
      <c r="I13" s="286" t="s">
        <v>163</v>
      </c>
      <c r="J13" s="287">
        <v>1.2566370613999999E-6</v>
      </c>
      <c r="K13" s="34" t="s">
        <v>164</v>
      </c>
      <c r="L13" s="277"/>
    </row>
    <row r="14" spans="2:16" ht="12.75" x14ac:dyDescent="0.2">
      <c r="B14" s="134"/>
      <c r="C14" s="18">
        <v>1</v>
      </c>
      <c r="D14" s="18">
        <v>0</v>
      </c>
      <c r="E14" s="18">
        <v>2</v>
      </c>
      <c r="F14" s="94">
        <f t="shared" si="0"/>
        <v>13.441269310123149</v>
      </c>
      <c r="G14" s="94" t="str">
        <f t="shared" si="1"/>
        <v>GHz</v>
      </c>
      <c r="H14" s="9"/>
      <c r="I14" s="9"/>
      <c r="J14" s="9"/>
      <c r="K14" s="144"/>
      <c r="L14" s="277"/>
    </row>
    <row r="15" spans="2:16" ht="12.75" x14ac:dyDescent="0.2">
      <c r="B15" s="134"/>
      <c r="C15" s="18">
        <v>1</v>
      </c>
      <c r="D15" s="18">
        <v>1</v>
      </c>
      <c r="E15" s="18">
        <v>2</v>
      </c>
      <c r="F15" s="94">
        <f t="shared" si="0"/>
        <v>15.001689653539339</v>
      </c>
      <c r="G15" s="94" t="str">
        <f t="shared" si="1"/>
        <v>GHz</v>
      </c>
      <c r="H15" s="9"/>
      <c r="I15" s="9"/>
      <c r="J15" s="9"/>
      <c r="K15" s="144"/>
      <c r="L15" s="277"/>
    </row>
    <row r="16" spans="2:16" ht="12.75" x14ac:dyDescent="0.2">
      <c r="B16" s="134"/>
      <c r="C16" s="18">
        <v>0</v>
      </c>
      <c r="D16" s="18">
        <v>2</v>
      </c>
      <c r="E16" s="18">
        <v>2</v>
      </c>
      <c r="F16" s="94">
        <f t="shared" si="0"/>
        <v>15.008253006671543</v>
      </c>
      <c r="G16" s="94" t="str">
        <f t="shared" si="1"/>
        <v>GHz</v>
      </c>
      <c r="H16" s="9"/>
      <c r="I16" s="9"/>
      <c r="J16" s="9"/>
      <c r="K16" s="144"/>
      <c r="L16" s="277"/>
    </row>
    <row r="17" spans="2:12" x14ac:dyDescent="0.2">
      <c r="B17" s="275"/>
      <c r="C17" s="18">
        <v>2</v>
      </c>
      <c r="D17" s="18">
        <v>0</v>
      </c>
      <c r="E17" s="18">
        <v>2</v>
      </c>
      <c r="F17" s="94">
        <f t="shared" si="0"/>
        <v>24.073295770592932</v>
      </c>
      <c r="G17" s="94" t="str">
        <f t="shared" si="1"/>
        <v>GHz</v>
      </c>
      <c r="H17" s="9"/>
      <c r="I17" s="9"/>
      <c r="J17" s="9"/>
      <c r="K17" s="144"/>
      <c r="L17" s="277"/>
    </row>
    <row r="18" spans="2:12" x14ac:dyDescent="0.2">
      <c r="B18" s="275"/>
      <c r="C18" s="18">
        <v>2</v>
      </c>
      <c r="D18" s="18">
        <v>2</v>
      </c>
      <c r="E18" s="18">
        <v>0</v>
      </c>
      <c r="F18" s="94">
        <f t="shared" si="0"/>
        <v>26.633431722123021</v>
      </c>
      <c r="G18" s="94" t="str">
        <f t="shared" si="1"/>
        <v>GHz</v>
      </c>
      <c r="H18" s="9"/>
      <c r="I18" s="9"/>
      <c r="J18" s="9"/>
      <c r="K18" s="34"/>
      <c r="L18" s="277"/>
    </row>
    <row r="19" spans="2:12" x14ac:dyDescent="0.2">
      <c r="B19" s="275"/>
      <c r="C19" s="18">
        <v>2</v>
      </c>
      <c r="D19" s="18">
        <v>2</v>
      </c>
      <c r="E19" s="18">
        <v>1</v>
      </c>
      <c r="F19" s="94">
        <f t="shared" si="0"/>
        <v>26.856444814628837</v>
      </c>
      <c r="G19" s="94" t="str">
        <f t="shared" si="1"/>
        <v>GHz</v>
      </c>
      <c r="H19" s="9"/>
      <c r="I19" s="144"/>
      <c r="J19" s="144"/>
      <c r="K19" s="34"/>
      <c r="L19" s="277"/>
    </row>
    <row r="20" spans="2:12" x14ac:dyDescent="0.2">
      <c r="B20" s="275"/>
      <c r="C20" s="18"/>
      <c r="D20" s="18"/>
      <c r="E20" s="18"/>
      <c r="F20" s="94"/>
      <c r="G20" s="94"/>
      <c r="H20" s="9"/>
      <c r="I20" s="144"/>
      <c r="J20" s="158"/>
      <c r="K20" s="34"/>
      <c r="L20" s="277"/>
    </row>
    <row r="21" spans="2:12" x14ac:dyDescent="0.2">
      <c r="B21" s="275"/>
      <c r="C21" s="178" t="str">
        <f>Home!$D$7&amp;", "&amp;Home!$D$8&amp;", "&amp;Home!$D$9</f>
        <v>RF Cafe Calculator Workbook, v5.1, by RF Cafe</v>
      </c>
      <c r="D21" s="18"/>
      <c r="E21" s="18"/>
      <c r="F21" s="94"/>
      <c r="G21" s="94"/>
      <c r="H21" s="9"/>
      <c r="I21" s="144"/>
      <c r="J21" s="144"/>
      <c r="K21" s="304" t="s">
        <v>198</v>
      </c>
      <c r="L21" s="277"/>
    </row>
    <row r="22" spans="2:12" ht="6" customHeight="1" thickBot="1" x14ac:dyDescent="0.25">
      <c r="B22" s="278"/>
      <c r="C22" s="279"/>
      <c r="D22" s="279"/>
      <c r="E22" s="279"/>
      <c r="F22" s="279"/>
      <c r="G22" s="279"/>
      <c r="H22" s="279"/>
      <c r="I22" s="279"/>
      <c r="J22" s="279"/>
      <c r="K22" s="279"/>
      <c r="L22" s="280"/>
    </row>
    <row r="23" spans="2:12" ht="3" customHeight="1" thickTop="1" x14ac:dyDescent="0.2"/>
    <row r="24" spans="2:12" hidden="1" x14ac:dyDescent="0.2"/>
    <row r="25" spans="2:12" hidden="1" x14ac:dyDescent="0.2"/>
    <row r="26" spans="2:12" ht="12.75" hidden="1" thickBot="1" x14ac:dyDescent="0.25">
      <c r="D26" s="469" t="s">
        <v>171</v>
      </c>
      <c r="E26" s="469"/>
      <c r="I26" s="469" t="s">
        <v>173</v>
      </c>
      <c r="J26" s="469"/>
    </row>
    <row r="27" spans="2:12" ht="12.75" hidden="1" thickTop="1" x14ac:dyDescent="0.2">
      <c r="D27" s="269" t="s">
        <v>172</v>
      </c>
      <c r="E27" s="290">
        <v>1000000000000</v>
      </c>
      <c r="I27" s="269" t="s">
        <v>9</v>
      </c>
      <c r="J27" s="269">
        <v>1</v>
      </c>
      <c r="K27" s="269">
        <f t="shared" ref="K27:K32" si="2">1/J27</f>
        <v>1</v>
      </c>
    </row>
    <row r="28" spans="2:12" hidden="1" x14ac:dyDescent="0.2">
      <c r="D28" s="269" t="s">
        <v>46</v>
      </c>
      <c r="E28" s="290">
        <v>1000000000</v>
      </c>
      <c r="I28" s="269" t="s">
        <v>74</v>
      </c>
      <c r="J28" s="269">
        <v>0.01</v>
      </c>
      <c r="K28" s="269">
        <f t="shared" si="2"/>
        <v>100</v>
      </c>
    </row>
    <row r="29" spans="2:12" hidden="1" x14ac:dyDescent="0.2">
      <c r="D29" s="269" t="s">
        <v>37</v>
      </c>
      <c r="E29" s="290">
        <v>1000000</v>
      </c>
      <c r="I29" s="269" t="s">
        <v>69</v>
      </c>
      <c r="J29" s="269">
        <v>1E-3</v>
      </c>
      <c r="K29" s="269">
        <f t="shared" si="2"/>
        <v>1000</v>
      </c>
    </row>
    <row r="30" spans="2:12" hidden="1" x14ac:dyDescent="0.2">
      <c r="D30" s="269" t="s">
        <v>47</v>
      </c>
      <c r="E30" s="290">
        <v>1000</v>
      </c>
      <c r="I30" s="269" t="s">
        <v>41</v>
      </c>
      <c r="J30" s="269">
        <f>1/3.280839895</f>
        <v>0.30480000000121921</v>
      </c>
      <c r="K30" s="269">
        <f t="shared" si="2"/>
        <v>3.2808398949999997</v>
      </c>
    </row>
    <row r="31" spans="2:12" hidden="1" x14ac:dyDescent="0.2">
      <c r="I31" s="269" t="s">
        <v>72</v>
      </c>
      <c r="J31" s="269">
        <f>J30/12</f>
        <v>2.5400000000101602E-2</v>
      </c>
      <c r="K31" s="269">
        <f t="shared" si="2"/>
        <v>39.370078739999997</v>
      </c>
    </row>
    <row r="32" spans="2:12" hidden="1" x14ac:dyDescent="0.2">
      <c r="E32" s="291">
        <f>IF(G9="THz",1000000000000,IF(G9="GHz",1000000000,IF(G9="MHz",1000000,1000)))</f>
        <v>1000000000</v>
      </c>
      <c r="I32" s="269" t="s">
        <v>73</v>
      </c>
      <c r="J32" s="269">
        <f>J31/1000</f>
        <v>2.5400000000101601E-5</v>
      </c>
      <c r="K32" s="269">
        <f t="shared" si="2"/>
        <v>39370.078739999997</v>
      </c>
    </row>
    <row r="33" spans="10:10" hidden="1" x14ac:dyDescent="0.2"/>
    <row r="34" spans="10:10" hidden="1" x14ac:dyDescent="0.2">
      <c r="J34" s="269">
        <f>IF(K9="m",K27,IF(K9="cm",K28,IF(K9="mm",K29,IF(K9="ft",K30,IF(K9="in",K31,K32)))))</f>
        <v>100</v>
      </c>
    </row>
  </sheetData>
  <sheetProtection password="F39F" sheet="1" objects="1" scenarios="1"/>
  <mergeCells count="5">
    <mergeCell ref="C3:K3"/>
    <mergeCell ref="C6:E6"/>
    <mergeCell ref="C7:E7"/>
    <mergeCell ref="D26:E26"/>
    <mergeCell ref="I26:J26"/>
  </mergeCells>
  <phoneticPr fontId="2" type="noConversion"/>
  <dataValidations count="3">
    <dataValidation type="decimal" operator="greaterThan" allowBlank="1" showInputMessage="1" showErrorMessage="1" sqref="J9:J13">
      <formula1>0</formula1>
    </dataValidation>
    <dataValidation type="list" allowBlank="1" showInputMessage="1" showErrorMessage="1" sqref="G9">
      <formula1>$D$27:$D$30</formula1>
    </dataValidation>
    <dataValidation type="list" allowBlank="1" showInputMessage="1" showErrorMessage="1" sqref="K9">
      <formula1>$I$27:$I$32</formula1>
    </dataValidation>
  </dataValidations>
  <hyperlinks>
    <hyperlink ref="C4" r:id="rId1"/>
    <hyperlink ref="K4" r:id="rId2" tooltip="Click here to check for updates to this calculator"/>
    <hyperlink ref="K21" location="Home!A1" tooltip="Click to return to title page with calculator list" display="Home"/>
  </hyperlinks>
  <pageMargins left="0.5" right="0.5" top="0.5" bottom="0.5" header="0.5" footer="0.5"/>
  <pageSetup orientation="portrait" r:id="rId3"/>
  <headerFooter alignWithMargins="0"/>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autoPageBreaks="0" fitToPage="1"/>
  </sheetPr>
  <dimension ref="B1:Q27"/>
  <sheetViews>
    <sheetView showGridLines="0" showRowColHeaders="0" workbookViewId="0">
      <selection activeCell="L24" sqref="L24"/>
    </sheetView>
  </sheetViews>
  <sheetFormatPr defaultColWidth="0" defaultRowHeight="12" zeroHeight="1" x14ac:dyDescent="0.2"/>
  <cols>
    <col min="1" max="1" width="0.5703125" style="29" customWidth="1"/>
    <col min="2" max="2" width="1.140625" style="29" customWidth="1"/>
    <col min="3" max="3" width="10.7109375" style="29" customWidth="1"/>
    <col min="4" max="4" width="9.140625" style="29" customWidth="1"/>
    <col min="5" max="6" width="3.7109375" style="29" customWidth="1"/>
    <col min="7" max="10" width="9.140625" style="29" customWidth="1"/>
    <col min="11" max="11" width="2.7109375" style="29" customWidth="1"/>
    <col min="12" max="12" width="3.7109375" style="29" customWidth="1"/>
    <col min="13" max="13" width="1.140625" style="29" customWidth="1"/>
    <col min="14" max="14" width="0.5703125" style="29" customWidth="1"/>
    <col min="15" max="16384" width="0" style="29" hidden="1"/>
  </cols>
  <sheetData>
    <row r="1" spans="2:17" ht="3" customHeight="1" thickBot="1" x14ac:dyDescent="0.25"/>
    <row r="2" spans="2:17" ht="6" customHeight="1" thickTop="1" x14ac:dyDescent="0.2">
      <c r="B2" s="30"/>
      <c r="C2" s="31"/>
      <c r="D2" s="31"/>
      <c r="E2" s="31"/>
      <c r="F2" s="31"/>
      <c r="G2" s="31"/>
      <c r="H2" s="31"/>
      <c r="I2" s="31"/>
      <c r="J2" s="31"/>
      <c r="K2" s="31"/>
      <c r="L2" s="31"/>
      <c r="M2" s="32"/>
    </row>
    <row r="3" spans="2:17" ht="12.75" x14ac:dyDescent="0.2">
      <c r="B3" s="33"/>
      <c r="C3" s="443" t="s">
        <v>109</v>
      </c>
      <c r="D3" s="443"/>
      <c r="E3" s="443"/>
      <c r="F3" s="443"/>
      <c r="G3" s="443"/>
      <c r="H3" s="443"/>
      <c r="I3" s="443"/>
      <c r="J3" s="443"/>
      <c r="K3" s="443"/>
      <c r="L3" s="443"/>
      <c r="M3" s="106"/>
      <c r="N3" s="64"/>
      <c r="O3" s="64"/>
      <c r="P3" s="64"/>
      <c r="Q3" s="64"/>
    </row>
    <row r="4" spans="2:17" ht="12.75" x14ac:dyDescent="0.2">
      <c r="B4" s="33"/>
      <c r="C4" s="258" t="s">
        <v>131</v>
      </c>
      <c r="E4" s="176"/>
      <c r="F4" s="176"/>
      <c r="G4" s="176"/>
      <c r="H4" s="176"/>
      <c r="K4" s="176"/>
      <c r="L4" s="257" t="s">
        <v>132</v>
      </c>
      <c r="M4" s="106"/>
      <c r="N4" s="64"/>
      <c r="O4" s="64"/>
      <c r="P4" s="64"/>
      <c r="Q4" s="64"/>
    </row>
    <row r="5" spans="2:17" x14ac:dyDescent="0.2">
      <c r="B5" s="33"/>
      <c r="C5" s="34"/>
      <c r="D5" s="34"/>
      <c r="E5" s="34"/>
      <c r="F5" s="34"/>
      <c r="G5" s="34"/>
      <c r="H5" s="34"/>
      <c r="I5" s="34"/>
      <c r="J5" s="34"/>
      <c r="K5" s="34"/>
      <c r="L5" s="34"/>
      <c r="M5" s="35"/>
    </row>
    <row r="6" spans="2:17" ht="12.75" thickBot="1" x14ac:dyDescent="0.25">
      <c r="B6" s="33"/>
      <c r="C6" s="461" t="s">
        <v>17</v>
      </c>
      <c r="D6" s="461"/>
      <c r="E6" s="461"/>
      <c r="F6" s="34"/>
      <c r="G6" s="461" t="s">
        <v>18</v>
      </c>
      <c r="H6" s="461"/>
      <c r="I6" s="461"/>
      <c r="J6" s="461"/>
      <c r="K6" s="461"/>
      <c r="L6" s="34"/>
      <c r="M6" s="35"/>
    </row>
    <row r="7" spans="2:17" x14ac:dyDescent="0.2">
      <c r="B7" s="33"/>
      <c r="C7" s="9"/>
      <c r="D7" s="9"/>
      <c r="E7" s="9"/>
      <c r="F7" s="9"/>
      <c r="G7" s="9"/>
      <c r="H7" s="9"/>
      <c r="I7" s="9"/>
      <c r="J7" s="9"/>
      <c r="K7" s="9"/>
      <c r="L7" s="34"/>
      <c r="M7" s="35"/>
    </row>
    <row r="8" spans="2:17" x14ac:dyDescent="0.2">
      <c r="B8" s="33"/>
      <c r="C8" s="95" t="s">
        <v>113</v>
      </c>
      <c r="D8" s="87">
        <v>1.2</v>
      </c>
      <c r="E8" s="94" t="s">
        <v>19</v>
      </c>
      <c r="F8" s="9"/>
      <c r="G8" s="82" t="s">
        <v>20</v>
      </c>
      <c r="H8" s="9"/>
      <c r="I8" s="9"/>
      <c r="J8" s="82" t="s">
        <v>21</v>
      </c>
      <c r="K8" s="9"/>
      <c r="L8" s="34"/>
      <c r="M8" s="35"/>
    </row>
    <row r="9" spans="2:17" x14ac:dyDescent="0.2">
      <c r="B9" s="33"/>
      <c r="C9" s="95" t="s">
        <v>114</v>
      </c>
      <c r="D9" s="54">
        <f>-20*LOG(D10)</f>
        <v>20.827853703164504</v>
      </c>
      <c r="E9" s="94" t="s">
        <v>0</v>
      </c>
      <c r="F9" s="9"/>
      <c r="G9" s="89">
        <v>2.5</v>
      </c>
      <c r="H9" s="88" t="s">
        <v>19</v>
      </c>
      <c r="I9" s="9"/>
      <c r="J9" s="89">
        <v>2</v>
      </c>
      <c r="K9" s="9" t="s">
        <v>19</v>
      </c>
      <c r="L9" s="34"/>
      <c r="M9" s="35"/>
    </row>
    <row r="10" spans="2:17" x14ac:dyDescent="0.2">
      <c r="B10" s="33"/>
      <c r="C10" s="103" t="s">
        <v>115</v>
      </c>
      <c r="D10" s="54">
        <f>ABS((1-D8)/(1+D8))</f>
        <v>9.0909090909090884E-2</v>
      </c>
      <c r="E10" s="94"/>
      <c r="F10" s="9"/>
      <c r="G10" s="90">
        <f>ABS((1-G9)/(1+G9))</f>
        <v>0.42857142857142855</v>
      </c>
      <c r="H10" s="90"/>
      <c r="I10" s="90"/>
      <c r="J10" s="90">
        <f>ABS((1-J9)/(1+J9))</f>
        <v>0.33333333333333331</v>
      </c>
      <c r="K10" s="9"/>
      <c r="L10" s="34"/>
      <c r="M10" s="35"/>
    </row>
    <row r="11" spans="2:17" x14ac:dyDescent="0.2">
      <c r="B11" s="33"/>
      <c r="C11" s="9"/>
      <c r="D11" s="54"/>
      <c r="E11" s="94"/>
      <c r="F11" s="9"/>
      <c r="G11" s="9"/>
      <c r="H11" s="95" t="s">
        <v>116</v>
      </c>
      <c r="I11" s="9" t="str">
        <f>"+"&amp;FIXED(20*LOG(1+ABS(G10*J10)),2)&amp;"  / "&amp;FIXED(20*LOG(1-ABS(G10*J10)),2)&amp;"  dB"</f>
        <v>+1.16  / -1.34  dB</v>
      </c>
      <c r="J11" s="9"/>
      <c r="K11" s="9"/>
      <c r="L11" s="34"/>
      <c r="M11" s="35"/>
    </row>
    <row r="12" spans="2:17" x14ac:dyDescent="0.2">
      <c r="B12" s="33"/>
      <c r="C12" s="95" t="s">
        <v>113</v>
      </c>
      <c r="D12" s="54">
        <f>(10^(D13/20)+1)/(10^(D13/20)-1)</f>
        <v>1.1999456457168092</v>
      </c>
      <c r="E12" s="94" t="s">
        <v>19</v>
      </c>
      <c r="F12" s="9"/>
      <c r="G12" s="9"/>
      <c r="H12" s="95" t="s">
        <v>117</v>
      </c>
      <c r="I12" s="94" t="str">
        <f>"± "&amp;FIXED(180/PI()*G10*J10,2)&amp;" °"</f>
        <v>± 8.19 °</v>
      </c>
      <c r="J12" s="9"/>
      <c r="K12" s="9"/>
      <c r="L12" s="34"/>
      <c r="M12" s="35"/>
    </row>
    <row r="13" spans="2:17" x14ac:dyDescent="0.2">
      <c r="B13" s="33"/>
      <c r="C13" s="95" t="s">
        <v>114</v>
      </c>
      <c r="D13" s="87">
        <v>20.83</v>
      </c>
      <c r="E13" s="94" t="s">
        <v>0</v>
      </c>
      <c r="F13" s="9"/>
      <c r="G13" s="9"/>
      <c r="H13" s="95" t="s">
        <v>118</v>
      </c>
      <c r="I13" s="91" t="str">
        <f>FIXED(G9*J9,2)&amp;" :1"</f>
        <v>5.00 :1</v>
      </c>
      <c r="J13" s="9"/>
      <c r="K13" s="9"/>
      <c r="L13" s="34"/>
      <c r="M13" s="35"/>
    </row>
    <row r="14" spans="2:17" x14ac:dyDescent="0.2">
      <c r="B14" s="33"/>
      <c r="C14" s="103" t="s">
        <v>115</v>
      </c>
      <c r="D14" s="54">
        <f>ABS((1-D12)/(1+D12))</f>
        <v>9.0886629906558797E-2</v>
      </c>
      <c r="E14" s="94"/>
      <c r="F14" s="9"/>
      <c r="G14" s="9"/>
      <c r="H14" s="95" t="s">
        <v>120</v>
      </c>
      <c r="I14" s="91" t="str">
        <f>FIXED(IF(G9&gt;J9,G9/J9,J9/G9),2)&amp;" :1"</f>
        <v>1.25 :1</v>
      </c>
      <c r="J14" s="9"/>
      <c r="K14" s="9"/>
      <c r="L14" s="34"/>
      <c r="M14" s="35"/>
    </row>
    <row r="15" spans="2:17" x14ac:dyDescent="0.2">
      <c r="B15" s="33"/>
      <c r="C15" s="9"/>
      <c r="D15" s="54"/>
      <c r="E15" s="94"/>
      <c r="F15" s="9"/>
      <c r="G15" s="9"/>
      <c r="H15" s="9"/>
      <c r="I15" s="9"/>
      <c r="J15" s="9"/>
      <c r="K15" s="9"/>
      <c r="L15" s="34"/>
      <c r="M15" s="35"/>
    </row>
    <row r="16" spans="2:17" ht="12.75" thickBot="1" x14ac:dyDescent="0.25">
      <c r="B16" s="33"/>
      <c r="C16" s="95" t="s">
        <v>113</v>
      </c>
      <c r="D16" s="54">
        <f>(10^(D17/20)+1)/(10^(D17/20)-1)</f>
        <v>1.1978021978021975</v>
      </c>
      <c r="E16" s="94" t="s">
        <v>19</v>
      </c>
      <c r="F16" s="34"/>
      <c r="G16" s="461" t="s">
        <v>22</v>
      </c>
      <c r="H16" s="461"/>
      <c r="I16" s="461"/>
      <c r="J16" s="461"/>
      <c r="K16" s="461"/>
      <c r="L16" s="34"/>
      <c r="M16" s="35"/>
    </row>
    <row r="17" spans="2:13" x14ac:dyDescent="0.2">
      <c r="B17" s="33"/>
      <c r="C17" s="95" t="s">
        <v>114</v>
      </c>
      <c r="D17" s="54">
        <f>-20*LOG(D18)</f>
        <v>20.915149811213503</v>
      </c>
      <c r="E17" s="94" t="s">
        <v>0</v>
      </c>
      <c r="F17" s="9"/>
      <c r="G17" s="92"/>
      <c r="H17" s="92"/>
      <c r="I17" s="92"/>
      <c r="J17" s="92"/>
      <c r="K17" s="9"/>
      <c r="L17" s="34"/>
      <c r="M17" s="35"/>
    </row>
    <row r="18" spans="2:13" x14ac:dyDescent="0.2">
      <c r="B18" s="33"/>
      <c r="C18" s="103" t="s">
        <v>115</v>
      </c>
      <c r="D18" s="87">
        <v>0.09</v>
      </c>
      <c r="E18" s="93"/>
      <c r="F18" s="9"/>
      <c r="G18" s="9"/>
      <c r="H18" s="82" t="s">
        <v>23</v>
      </c>
      <c r="I18" s="9"/>
      <c r="J18" s="465" t="s">
        <v>24</v>
      </c>
      <c r="K18" s="465"/>
      <c r="L18" s="34"/>
      <c r="M18" s="35"/>
    </row>
    <row r="19" spans="2:13" x14ac:dyDescent="0.2">
      <c r="B19" s="33"/>
      <c r="C19" s="107"/>
      <c r="D19" s="107"/>
      <c r="E19" s="107"/>
      <c r="F19" s="9"/>
      <c r="G19" s="18"/>
      <c r="H19" s="6">
        <v>3</v>
      </c>
      <c r="I19" s="9" t="s">
        <v>0</v>
      </c>
      <c r="J19" s="9">
        <v>2</v>
      </c>
      <c r="K19" s="9" t="s">
        <v>19</v>
      </c>
      <c r="L19" s="34"/>
      <c r="M19" s="35"/>
    </row>
    <row r="20" spans="2:13" x14ac:dyDescent="0.2">
      <c r="B20" s="33"/>
      <c r="C20" s="107"/>
      <c r="D20" s="107"/>
      <c r="E20" s="107"/>
      <c r="F20" s="9"/>
      <c r="G20" s="18"/>
      <c r="H20" s="90">
        <f>2*H19+J20</f>
        <v>15.542425094393248</v>
      </c>
      <c r="I20" s="90"/>
      <c r="J20" s="90">
        <f>20*LOG((J19+1)/(J19-1))</f>
        <v>9.5424250943932485</v>
      </c>
      <c r="K20" s="9"/>
      <c r="L20" s="34"/>
      <c r="M20" s="35"/>
    </row>
    <row r="21" spans="2:13" x14ac:dyDescent="0.2">
      <c r="B21" s="33"/>
      <c r="C21" s="107"/>
      <c r="D21" s="107"/>
      <c r="E21" s="107"/>
      <c r="F21" s="9"/>
      <c r="G21" s="98" t="s">
        <v>25</v>
      </c>
      <c r="H21" s="9"/>
      <c r="I21" s="17" t="s">
        <v>110</v>
      </c>
      <c r="J21" s="9"/>
      <c r="K21" s="9"/>
      <c r="L21" s="34"/>
      <c r="M21" s="35"/>
    </row>
    <row r="22" spans="2:13" x14ac:dyDescent="0.2">
      <c r="B22" s="33"/>
      <c r="C22" s="107"/>
      <c r="D22" s="107"/>
      <c r="E22" s="107"/>
      <c r="F22" s="9"/>
      <c r="G22" s="94">
        <f>(10^(H20/20)+1)/(10^(H20/20)-1)</f>
        <v>1.4011402857964383</v>
      </c>
      <c r="H22" s="9" t="s">
        <v>19</v>
      </c>
      <c r="I22" s="17" t="s">
        <v>111</v>
      </c>
      <c r="J22" s="9"/>
      <c r="K22" s="9"/>
      <c r="L22" s="34"/>
      <c r="M22" s="35"/>
    </row>
    <row r="23" spans="2:13" x14ac:dyDescent="0.2">
      <c r="B23" s="33"/>
      <c r="C23" s="107"/>
      <c r="D23" s="107"/>
      <c r="E23" s="107"/>
      <c r="F23" s="9"/>
      <c r="G23" s="9"/>
      <c r="H23" s="9"/>
      <c r="I23" s="17" t="s">
        <v>112</v>
      </c>
      <c r="J23" s="9"/>
      <c r="K23" s="9"/>
      <c r="L23" s="34"/>
      <c r="M23" s="35"/>
    </row>
    <row r="24" spans="2:13" x14ac:dyDescent="0.2">
      <c r="B24" s="33"/>
      <c r="C24" s="108" t="str">
        <f>Home!$D$7&amp;", "&amp;Home!$D$8&amp;", "&amp;Home!$D$9</f>
        <v>RF Cafe Calculator Workbook, v5.1, by RF Cafe</v>
      </c>
      <c r="D24" s="107"/>
      <c r="E24" s="107"/>
      <c r="F24" s="9"/>
      <c r="G24" s="9"/>
      <c r="H24" s="9"/>
      <c r="I24" s="17" t="s">
        <v>26</v>
      </c>
      <c r="J24" s="9"/>
      <c r="K24" s="9"/>
      <c r="L24" s="304" t="s">
        <v>198</v>
      </c>
      <c r="M24" s="35"/>
    </row>
    <row r="25" spans="2:13" ht="6" customHeight="1" thickBot="1" x14ac:dyDescent="0.25">
      <c r="B25" s="36"/>
      <c r="C25" s="37"/>
      <c r="D25" s="37"/>
      <c r="E25" s="37"/>
      <c r="F25" s="37"/>
      <c r="G25" s="37"/>
      <c r="H25" s="37"/>
      <c r="I25" s="37"/>
      <c r="J25" s="37"/>
      <c r="K25" s="37"/>
      <c r="L25" s="37"/>
      <c r="M25" s="38"/>
    </row>
    <row r="26" spans="2:13" ht="3" customHeight="1" thickTop="1" x14ac:dyDescent="0.2"/>
    <row r="27" spans="2:13" hidden="1" x14ac:dyDescent="0.2"/>
  </sheetData>
  <sheetProtection password="F39F" sheet="1" objects="1" scenarios="1"/>
  <mergeCells count="5">
    <mergeCell ref="J18:K18"/>
    <mergeCell ref="C6:E6"/>
    <mergeCell ref="G16:K16"/>
    <mergeCell ref="C3:L3"/>
    <mergeCell ref="G6:K6"/>
  </mergeCells>
  <phoneticPr fontId="2" type="noConversion"/>
  <hyperlinks>
    <hyperlink ref="C4" r:id="rId1"/>
    <hyperlink ref="L4" r:id="rId2" tooltip="Click here to check for updates to this calculator"/>
    <hyperlink ref="L24" location="Home!A1" tooltip="Click to return to title page with calculator list" display="Home"/>
  </hyperlinks>
  <pageMargins left="0.5" right="0.5" top="0.5" bottom="0.5" header="0.5" footer="0.5"/>
  <pageSetup orientation="portrait" r:id="rId3"/>
  <headerFooter alignWithMargins="0"/>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autoPageBreaks="0" fitToPage="1"/>
  </sheetPr>
  <dimension ref="B1:O21"/>
  <sheetViews>
    <sheetView showGridLines="0" showRowColHeaders="0" workbookViewId="0">
      <selection activeCell="J19" sqref="J19"/>
    </sheetView>
  </sheetViews>
  <sheetFormatPr defaultColWidth="0" defaultRowHeight="12" zeroHeight="1" x14ac:dyDescent="0.2"/>
  <cols>
    <col min="1" max="1" width="0.5703125" style="122" customWidth="1"/>
    <col min="2" max="2" width="1.140625" style="122" customWidth="1"/>
    <col min="3" max="3" width="4.7109375" style="122" customWidth="1"/>
    <col min="4" max="5" width="9.140625" style="122" customWidth="1"/>
    <col min="6" max="7" width="5.7109375" style="122" customWidth="1"/>
    <col min="8" max="9" width="9.140625" style="122" customWidth="1"/>
    <col min="10" max="10" width="4.7109375" style="122" customWidth="1"/>
    <col min="11" max="11" width="1.140625" style="122" customWidth="1"/>
    <col min="12" max="12" width="0.5703125" style="122" customWidth="1"/>
    <col min="13" max="16384" width="0" style="122" hidden="1"/>
  </cols>
  <sheetData>
    <row r="1" spans="2:15" ht="3" customHeight="1" thickBot="1" x14ac:dyDescent="0.25"/>
    <row r="2" spans="2:15" ht="6" customHeight="1" thickTop="1" x14ac:dyDescent="0.2">
      <c r="B2" s="124"/>
      <c r="C2" s="125"/>
      <c r="D2" s="125"/>
      <c r="E2" s="125"/>
      <c r="F2" s="125"/>
      <c r="G2" s="125"/>
      <c r="H2" s="125"/>
      <c r="I2" s="125"/>
      <c r="J2" s="125"/>
      <c r="K2" s="126"/>
    </row>
    <row r="3" spans="2:15" ht="12.75" x14ac:dyDescent="0.2">
      <c r="B3" s="127"/>
      <c r="C3" s="443" t="s">
        <v>129</v>
      </c>
      <c r="D3" s="443"/>
      <c r="E3" s="443"/>
      <c r="F3" s="443"/>
      <c r="G3" s="443"/>
      <c r="H3" s="443"/>
      <c r="I3" s="443"/>
      <c r="J3" s="443"/>
      <c r="K3" s="128"/>
      <c r="L3" s="63"/>
      <c r="M3" s="63"/>
      <c r="N3" s="63"/>
      <c r="O3" s="63"/>
    </row>
    <row r="4" spans="2:15" ht="12.75" x14ac:dyDescent="0.2">
      <c r="B4" s="127"/>
      <c r="C4" s="176"/>
      <c r="D4" s="156" t="s">
        <v>131</v>
      </c>
      <c r="E4" s="176"/>
      <c r="F4" s="176"/>
      <c r="G4" s="176"/>
      <c r="H4" s="176"/>
      <c r="I4" s="156" t="s">
        <v>132</v>
      </c>
      <c r="J4" s="176"/>
      <c r="K4" s="128"/>
      <c r="L4" s="63"/>
      <c r="M4" s="63"/>
      <c r="N4" s="63"/>
      <c r="O4" s="63"/>
    </row>
    <row r="5" spans="2:15" x14ac:dyDescent="0.2">
      <c r="B5" s="127"/>
      <c r="C5" s="129"/>
      <c r="D5" s="129"/>
      <c r="E5" s="129"/>
      <c r="F5" s="129"/>
      <c r="G5" s="129"/>
      <c r="H5" s="129"/>
      <c r="I5" s="129"/>
      <c r="J5" s="129"/>
      <c r="K5" s="130"/>
    </row>
    <row r="6" spans="2:15" s="123" customFormat="1" ht="12.75" x14ac:dyDescent="0.2">
      <c r="B6" s="131"/>
      <c r="C6" s="132"/>
      <c r="D6" s="95" t="s">
        <v>123</v>
      </c>
      <c r="E6" s="116">
        <v>10</v>
      </c>
      <c r="F6" s="118" t="s">
        <v>13</v>
      </c>
      <c r="G6" s="110"/>
      <c r="H6" s="110"/>
      <c r="I6" s="132"/>
      <c r="J6" s="132"/>
      <c r="K6" s="133"/>
    </row>
    <row r="7" spans="2:15" s="123" customFormat="1" ht="12.75" x14ac:dyDescent="0.2">
      <c r="B7" s="134"/>
      <c r="C7" s="113"/>
      <c r="D7" s="112"/>
      <c r="E7" s="111"/>
      <c r="F7" s="110"/>
      <c r="G7" s="110"/>
      <c r="H7" s="110"/>
      <c r="I7" s="132"/>
      <c r="J7" s="132"/>
      <c r="K7" s="133"/>
    </row>
    <row r="8" spans="2:15" s="123" customFormat="1" ht="12.75" x14ac:dyDescent="0.2">
      <c r="B8" s="134"/>
      <c r="C8" s="113"/>
      <c r="D8" s="112"/>
      <c r="E8" s="109"/>
      <c r="F8" s="110"/>
      <c r="G8" s="110"/>
      <c r="H8" s="110"/>
      <c r="I8" s="132"/>
      <c r="J8" s="132"/>
      <c r="K8" s="133"/>
    </row>
    <row r="9" spans="2:15" s="123" customFormat="1" ht="12.75" x14ac:dyDescent="0.2">
      <c r="B9" s="131"/>
      <c r="C9" s="114" t="s">
        <v>125</v>
      </c>
      <c r="D9" s="117">
        <v>500</v>
      </c>
      <c r="E9" s="118" t="s">
        <v>121</v>
      </c>
      <c r="F9" s="132"/>
      <c r="G9" s="110"/>
      <c r="H9" s="110"/>
      <c r="I9" s="132"/>
      <c r="J9" s="132"/>
      <c r="K9" s="133"/>
    </row>
    <row r="10" spans="2:15" s="123" customFormat="1" ht="12.75" x14ac:dyDescent="0.2">
      <c r="B10" s="134"/>
      <c r="C10" s="132"/>
      <c r="D10" s="119">
        <f>(I12/1000)^2*D9*1000</f>
        <v>50</v>
      </c>
      <c r="E10" s="118" t="s">
        <v>14</v>
      </c>
      <c r="F10" s="110"/>
      <c r="G10" s="110"/>
      <c r="H10" s="110"/>
      <c r="I10" s="132"/>
      <c r="J10" s="132"/>
      <c r="K10" s="133"/>
    </row>
    <row r="11" spans="2:15" s="123" customFormat="1" ht="12.75" x14ac:dyDescent="0.2">
      <c r="B11" s="134"/>
      <c r="C11" s="113"/>
      <c r="D11" s="112"/>
      <c r="E11" s="111"/>
      <c r="F11" s="132"/>
      <c r="G11" s="132"/>
      <c r="H11" s="115" t="s">
        <v>126</v>
      </c>
      <c r="I11" s="119">
        <f>E17+(E6-E17)*H17/(D9+H17)</f>
        <v>5</v>
      </c>
      <c r="J11" s="1" t="s">
        <v>15</v>
      </c>
      <c r="K11" s="133"/>
    </row>
    <row r="12" spans="2:15" s="123" customFormat="1" ht="12.75" x14ac:dyDescent="0.2">
      <c r="B12" s="134"/>
      <c r="C12" s="113"/>
      <c r="D12" s="112"/>
      <c r="E12" s="109"/>
      <c r="F12" s="132"/>
      <c r="G12" s="132"/>
      <c r="H12" s="115" t="s">
        <v>127</v>
      </c>
      <c r="I12" s="119">
        <f>I11/H17*1000</f>
        <v>10</v>
      </c>
      <c r="J12" s="1" t="s">
        <v>16</v>
      </c>
      <c r="K12" s="133"/>
    </row>
    <row r="13" spans="2:15" s="123" customFormat="1" ht="12.75" x14ac:dyDescent="0.2">
      <c r="B13" s="131"/>
      <c r="C13" s="114" t="s">
        <v>124</v>
      </c>
      <c r="D13" s="117">
        <v>1000</v>
      </c>
      <c r="E13" s="118" t="s">
        <v>121</v>
      </c>
      <c r="F13" s="132"/>
      <c r="G13" s="110"/>
      <c r="H13" s="110"/>
      <c r="I13" s="132"/>
      <c r="J13" s="132"/>
      <c r="K13" s="133"/>
    </row>
    <row r="14" spans="2:15" s="123" customFormat="1" ht="14.25" x14ac:dyDescent="0.25">
      <c r="B14" s="134"/>
      <c r="C14" s="132"/>
      <c r="D14" s="119">
        <f>(I12/1000)^2*D13*1000</f>
        <v>100</v>
      </c>
      <c r="E14" s="118" t="s">
        <v>14</v>
      </c>
      <c r="F14" s="132"/>
      <c r="G14" s="97" t="s">
        <v>128</v>
      </c>
      <c r="H14" s="117">
        <v>1000</v>
      </c>
      <c r="I14" s="118" t="s">
        <v>121</v>
      </c>
      <c r="J14" s="132"/>
      <c r="K14" s="133"/>
    </row>
    <row r="15" spans="2:15" s="123" customFormat="1" ht="12.75" x14ac:dyDescent="0.2">
      <c r="B15" s="134"/>
      <c r="C15" s="113"/>
      <c r="D15" s="112"/>
      <c r="E15" s="111"/>
      <c r="F15" s="110"/>
      <c r="G15" s="110"/>
      <c r="H15" s="119">
        <f>(I12/1000)^2*H14*1000</f>
        <v>100</v>
      </c>
      <c r="I15" s="118" t="s">
        <v>14</v>
      </c>
      <c r="J15" s="132"/>
      <c r="K15" s="133"/>
    </row>
    <row r="16" spans="2:15" s="123" customFormat="1" ht="12.75" x14ac:dyDescent="0.2">
      <c r="B16" s="134"/>
      <c r="C16" s="113"/>
      <c r="D16" s="112"/>
      <c r="E16" s="111"/>
      <c r="F16" s="110"/>
      <c r="G16" s="110"/>
      <c r="H16" s="110"/>
      <c r="I16" s="132"/>
      <c r="J16" s="132"/>
      <c r="K16" s="133"/>
    </row>
    <row r="17" spans="2:11" ht="12.75" x14ac:dyDescent="0.2">
      <c r="B17" s="127"/>
      <c r="C17" s="129"/>
      <c r="D17" s="95" t="s">
        <v>122</v>
      </c>
      <c r="E17" s="116">
        <v>0</v>
      </c>
      <c r="F17" s="118" t="s">
        <v>13</v>
      </c>
      <c r="G17" s="120"/>
      <c r="H17" s="121">
        <f>D13*H14/(D13+H14)</f>
        <v>500</v>
      </c>
      <c r="I17" s="129"/>
      <c r="J17" s="129"/>
      <c r="K17" s="130"/>
    </row>
    <row r="18" spans="2:11" x14ac:dyDescent="0.2">
      <c r="B18" s="127"/>
      <c r="C18" s="129"/>
      <c r="D18" s="129"/>
      <c r="E18" s="129"/>
      <c r="F18" s="129"/>
      <c r="G18" s="129"/>
      <c r="H18" s="129"/>
      <c r="I18" s="129"/>
      <c r="J18" s="129"/>
      <c r="K18" s="130"/>
    </row>
    <row r="19" spans="2:11" x14ac:dyDescent="0.2">
      <c r="B19" s="127"/>
      <c r="C19" s="108" t="str">
        <f>Home!$D$7&amp;", "&amp;Home!$D$8&amp;", "&amp;Home!$D$9</f>
        <v>RF Cafe Calculator Workbook, v5.1, by RF Cafe</v>
      </c>
      <c r="D19" s="129"/>
      <c r="E19" s="129"/>
      <c r="F19" s="129"/>
      <c r="G19" s="129"/>
      <c r="H19" s="129"/>
      <c r="I19" s="129"/>
      <c r="J19" s="304" t="s">
        <v>198</v>
      </c>
      <c r="K19" s="130"/>
    </row>
    <row r="20" spans="2:11" ht="6" customHeight="1" thickBot="1" x14ac:dyDescent="0.25">
      <c r="B20" s="135"/>
      <c r="C20" s="136"/>
      <c r="D20" s="136"/>
      <c r="E20" s="136"/>
      <c r="F20" s="136"/>
      <c r="G20" s="136"/>
      <c r="H20" s="136"/>
      <c r="I20" s="136"/>
      <c r="J20" s="136"/>
      <c r="K20" s="137"/>
    </row>
    <row r="21" spans="2:11" ht="3" customHeight="1" thickTop="1" x14ac:dyDescent="0.2"/>
  </sheetData>
  <sheetProtection password="F39F" sheet="1" objects="1" scenarios="1"/>
  <mergeCells count="1">
    <mergeCell ref="C3:J3"/>
  </mergeCells>
  <phoneticPr fontId="2" type="noConversion"/>
  <hyperlinks>
    <hyperlink ref="D4" r:id="rId1"/>
    <hyperlink ref="I4" r:id="rId2" tooltip="Click here to check for updates to this calculator"/>
    <hyperlink ref="J19" location="Home!A1" tooltip="Click to return to title page with calculator list" display="Home"/>
  </hyperlinks>
  <pageMargins left="0.5" right="0.5" top="0.5" bottom="0.5" header="0.5" footer="0.5"/>
  <pageSetup orientation="portrait" r:id="rId3"/>
  <headerFooter alignWithMargins="0"/>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K27"/>
  <sheetViews>
    <sheetView showGridLines="0" showRowColHeaders="0" workbookViewId="0">
      <selection activeCell="J18" sqref="J18"/>
    </sheetView>
  </sheetViews>
  <sheetFormatPr defaultColWidth="0" defaultRowHeight="12" zeroHeight="1" x14ac:dyDescent="0.2"/>
  <cols>
    <col min="1" max="1" width="0.5703125" customWidth="1"/>
    <col min="2" max="2" width="1.140625" customWidth="1"/>
    <col min="3" max="4" width="9.140625" customWidth="1"/>
    <col min="5" max="9" width="9.7109375" customWidth="1"/>
    <col min="10" max="10" width="9.140625" customWidth="1"/>
    <col min="11" max="11" width="1.140625" customWidth="1"/>
    <col min="12" max="12" width="0.5703125" customWidth="1"/>
  </cols>
  <sheetData>
    <row r="1" spans="2:11" ht="3" customHeight="1" thickBot="1" x14ac:dyDescent="0.25"/>
    <row r="2" spans="2:11" ht="6" customHeight="1" thickTop="1" x14ac:dyDescent="0.2">
      <c r="B2" s="41"/>
      <c r="C2" s="42"/>
      <c r="D2" s="42"/>
      <c r="E2" s="42"/>
      <c r="F2" s="42"/>
      <c r="G2" s="42"/>
      <c r="H2" s="42"/>
      <c r="I2" s="42"/>
      <c r="J2" s="42"/>
      <c r="K2" s="43"/>
    </row>
    <row r="3" spans="2:11" x14ac:dyDescent="0.2">
      <c r="B3" s="44"/>
      <c r="C3" s="40"/>
      <c r="D3" s="426" t="s">
        <v>140</v>
      </c>
      <c r="E3" s="426"/>
      <c r="F3" s="426"/>
      <c r="G3" s="426"/>
      <c r="H3" s="426"/>
      <c r="I3" s="426"/>
      <c r="J3" s="40"/>
      <c r="K3" s="45"/>
    </row>
    <row r="4" spans="2:11" x14ac:dyDescent="0.2">
      <c r="B4" s="44"/>
      <c r="C4" s="40"/>
      <c r="D4" s="428" t="s">
        <v>141</v>
      </c>
      <c r="E4" s="428"/>
      <c r="F4" s="428"/>
      <c r="G4" s="428"/>
      <c r="H4" s="428"/>
      <c r="I4" s="428"/>
      <c r="J4" s="40"/>
      <c r="K4" s="45"/>
    </row>
    <row r="5" spans="2:11" ht="12.75" thickBot="1" x14ac:dyDescent="0.25">
      <c r="B5" s="44"/>
      <c r="C5" s="40"/>
      <c r="D5" s="345" t="s">
        <v>142</v>
      </c>
      <c r="E5" s="474" t="s">
        <v>143</v>
      </c>
      <c r="F5" s="474"/>
      <c r="G5" s="474"/>
      <c r="H5" s="474"/>
      <c r="I5" s="474"/>
      <c r="J5" s="40"/>
      <c r="K5" s="45"/>
    </row>
    <row r="6" spans="2:11" ht="12.75" thickTop="1" x14ac:dyDescent="0.2">
      <c r="B6" s="44"/>
      <c r="C6" s="40"/>
      <c r="D6" s="343">
        <v>1</v>
      </c>
      <c r="E6" s="475" t="s">
        <v>144</v>
      </c>
      <c r="F6" s="476"/>
      <c r="G6" s="476"/>
      <c r="H6" s="476"/>
      <c r="I6" s="476"/>
      <c r="J6" s="40"/>
      <c r="K6" s="45"/>
    </row>
    <row r="7" spans="2:11" x14ac:dyDescent="0.2">
      <c r="B7" s="44"/>
      <c r="C7" s="40"/>
      <c r="D7" s="344">
        <v>2</v>
      </c>
      <c r="E7" s="470" t="s">
        <v>190</v>
      </c>
      <c r="F7" s="471"/>
      <c r="G7" s="471"/>
      <c r="H7" s="471"/>
      <c r="I7" s="471"/>
      <c r="J7" s="40"/>
      <c r="K7" s="45"/>
    </row>
    <row r="8" spans="2:11" x14ac:dyDescent="0.2">
      <c r="B8" s="44"/>
      <c r="C8" s="255"/>
      <c r="D8" s="344">
        <v>3</v>
      </c>
      <c r="E8" s="470" t="s">
        <v>221</v>
      </c>
      <c r="F8" s="471"/>
      <c r="G8" s="471"/>
      <c r="H8" s="471"/>
      <c r="I8" s="471"/>
      <c r="J8" s="40"/>
      <c r="K8" s="45"/>
    </row>
    <row r="9" spans="2:11" ht="12" customHeight="1" x14ac:dyDescent="0.2">
      <c r="B9" s="44"/>
      <c r="C9" s="40"/>
      <c r="D9" s="344">
        <v>4</v>
      </c>
      <c r="E9" s="470" t="s">
        <v>273</v>
      </c>
      <c r="F9" s="471"/>
      <c r="G9" s="471"/>
      <c r="H9" s="471"/>
      <c r="I9" s="471"/>
      <c r="J9" s="40"/>
      <c r="K9" s="45"/>
    </row>
    <row r="10" spans="2:11" ht="12" customHeight="1" x14ac:dyDescent="0.2">
      <c r="B10" s="44"/>
      <c r="C10" s="40"/>
      <c r="D10" s="344">
        <v>5</v>
      </c>
      <c r="E10" s="470" t="s">
        <v>274</v>
      </c>
      <c r="F10" s="471"/>
      <c r="G10" s="471"/>
      <c r="H10" s="471"/>
      <c r="I10" s="471"/>
      <c r="J10" s="40"/>
      <c r="K10" s="45"/>
    </row>
    <row r="11" spans="2:11" ht="12" customHeight="1" x14ac:dyDescent="0.2">
      <c r="B11" s="44"/>
      <c r="C11" s="40"/>
      <c r="D11" s="344">
        <v>5.0999999999999996</v>
      </c>
      <c r="E11" s="470" t="s">
        <v>276</v>
      </c>
      <c r="F11" s="471"/>
      <c r="G11" s="471"/>
      <c r="H11" s="471"/>
      <c r="I11" s="471"/>
      <c r="J11" s="40"/>
      <c r="K11" s="45"/>
    </row>
    <row r="12" spans="2:11" ht="12" customHeight="1" x14ac:dyDescent="0.2">
      <c r="B12" s="44"/>
      <c r="C12" s="40"/>
      <c r="D12" s="267"/>
      <c r="E12" s="472"/>
      <c r="F12" s="473"/>
      <c r="G12" s="473"/>
      <c r="H12" s="473"/>
      <c r="I12" s="473"/>
      <c r="J12" s="40"/>
      <c r="K12" s="45"/>
    </row>
    <row r="13" spans="2:11" ht="12" customHeight="1" x14ac:dyDescent="0.2">
      <c r="B13" s="44"/>
      <c r="C13" s="40"/>
      <c r="D13" s="154"/>
      <c r="E13" s="266"/>
      <c r="F13" s="266"/>
      <c r="G13" s="266"/>
      <c r="H13" s="266"/>
      <c r="I13" s="266"/>
      <c r="J13" s="40"/>
      <c r="K13" s="45"/>
    </row>
    <row r="14" spans="2:11" x14ac:dyDescent="0.2">
      <c r="B14" s="44"/>
      <c r="C14" s="40"/>
      <c r="D14" s="258" t="s">
        <v>136</v>
      </c>
      <c r="F14" s="256"/>
      <c r="G14" s="256"/>
      <c r="I14" s="257" t="s">
        <v>132</v>
      </c>
      <c r="J14" s="40"/>
      <c r="K14" s="45"/>
    </row>
    <row r="15" spans="2:11" x14ac:dyDescent="0.2">
      <c r="B15" s="44"/>
      <c r="C15" s="40"/>
      <c r="D15" s="40"/>
      <c r="E15" s="40"/>
      <c r="F15" s="40"/>
      <c r="G15" s="40"/>
      <c r="H15" s="40"/>
      <c r="I15" s="40"/>
      <c r="J15" s="40"/>
      <c r="K15" s="45"/>
    </row>
    <row r="16" spans="2:11" ht="30" customHeight="1" x14ac:dyDescent="0.2">
      <c r="B16" s="44"/>
      <c r="C16" s="40"/>
      <c r="D16" s="425" t="s">
        <v>137</v>
      </c>
      <c r="E16" s="425"/>
      <c r="F16" s="425"/>
      <c r="G16" s="425"/>
      <c r="H16" s="425"/>
      <c r="I16" s="425"/>
      <c r="J16" s="40"/>
      <c r="K16" s="45"/>
    </row>
    <row r="17" spans="2:11" ht="6" customHeight="1" x14ac:dyDescent="0.2">
      <c r="B17" s="44"/>
      <c r="C17" s="40"/>
      <c r="D17" s="259"/>
      <c r="E17" s="259"/>
      <c r="F17" s="259"/>
      <c r="G17" s="259"/>
      <c r="H17" s="259"/>
      <c r="I17" s="259"/>
      <c r="J17" s="40"/>
      <c r="K17" s="45"/>
    </row>
    <row r="18" spans="2:11" x14ac:dyDescent="0.2">
      <c r="B18" s="44"/>
      <c r="C18" s="40"/>
      <c r="D18" s="260" t="s">
        <v>138</v>
      </c>
      <c r="E18" s="260"/>
      <c r="F18" s="260"/>
      <c r="G18" s="261" t="s">
        <v>139</v>
      </c>
      <c r="H18" s="260"/>
      <c r="I18" s="260"/>
      <c r="J18" s="304" t="s">
        <v>198</v>
      </c>
      <c r="K18" s="45"/>
    </row>
    <row r="19" spans="2:11" ht="6" customHeight="1" thickBot="1" x14ac:dyDescent="0.25">
      <c r="B19" s="46"/>
      <c r="C19" s="47"/>
      <c r="D19" s="47"/>
      <c r="E19" s="47"/>
      <c r="F19" s="47"/>
      <c r="G19" s="47"/>
      <c r="H19" s="47"/>
      <c r="I19" s="47"/>
      <c r="J19" s="47"/>
      <c r="K19" s="48"/>
    </row>
    <row r="20" spans="2:11" ht="3" customHeight="1" thickTop="1" x14ac:dyDescent="0.2"/>
    <row r="21" spans="2:11" hidden="1" x14ac:dyDescent="0.2"/>
    <row r="22" spans="2:11" hidden="1" x14ac:dyDescent="0.2"/>
    <row r="23" spans="2:11" hidden="1" x14ac:dyDescent="0.2"/>
    <row r="24" spans="2:11" hidden="1" x14ac:dyDescent="0.2"/>
    <row r="25" spans="2:11" hidden="1" x14ac:dyDescent="0.2"/>
    <row r="26" spans="2:11" hidden="1" x14ac:dyDescent="0.2"/>
    <row r="27" spans="2:11" hidden="1" x14ac:dyDescent="0.2"/>
  </sheetData>
  <sheetProtection password="F39F" sheet="1" objects="1" scenarios="1"/>
  <mergeCells count="11">
    <mergeCell ref="D3:I3"/>
    <mergeCell ref="D4:I4"/>
    <mergeCell ref="E5:I5"/>
    <mergeCell ref="E6:I6"/>
    <mergeCell ref="E9:I9"/>
    <mergeCell ref="E10:I10"/>
    <mergeCell ref="E12:I12"/>
    <mergeCell ref="D16:I16"/>
    <mergeCell ref="E11:I11"/>
    <mergeCell ref="E7:I7"/>
    <mergeCell ref="E8:I8"/>
  </mergeCells>
  <phoneticPr fontId="2" type="noConversion"/>
  <hyperlinks>
    <hyperlink ref="I14" r:id="rId1" tooltip="Click here to check for updates to this calculator"/>
    <hyperlink ref="D14" r:id="rId2" tooltip="Click here to check for updates to this calculator"/>
    <hyperlink ref="G18" r:id="rId3" tooltip="Please click here to send an e-mail"/>
    <hyperlink ref="J18" location="Home!A1" tooltip="Click to return to title page with calculator list" display="Home"/>
  </hyperlinks>
  <pageMargins left="0.5" right="0.5" top="0.5" bottom="0.5" header="0.5" footer="0.5"/>
  <pageSetup orientation="portrait" r:id="rId4"/>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autoPageBreaks="0" fitToPage="1"/>
  </sheetPr>
  <dimension ref="B1:M40"/>
  <sheetViews>
    <sheetView showGridLines="0" showRowColHeaders="0" workbookViewId="0">
      <selection activeCell="K25" sqref="K25"/>
    </sheetView>
  </sheetViews>
  <sheetFormatPr defaultColWidth="0" defaultRowHeight="12" zeroHeight="1" x14ac:dyDescent="0.2"/>
  <cols>
    <col min="1" max="1" width="0.5703125" style="29" customWidth="1"/>
    <col min="2" max="2" width="1.140625" style="29" customWidth="1"/>
    <col min="3" max="3" width="8" style="29" customWidth="1"/>
    <col min="4" max="4" width="9.140625" style="29" customWidth="1"/>
    <col min="5" max="5" width="1.7109375" style="29" customWidth="1"/>
    <col min="6" max="8" width="9.140625" style="29" customWidth="1"/>
    <col min="9" max="9" width="1.7109375" style="29" customWidth="1"/>
    <col min="10" max="10" width="9.140625" style="29" customWidth="1"/>
    <col min="11" max="11" width="6.7109375" style="29" customWidth="1"/>
    <col min="12" max="12" width="1.140625" style="29" customWidth="1"/>
    <col min="13" max="13" width="0.5703125" style="29" customWidth="1"/>
    <col min="14" max="16384" width="0" style="29" hidden="1"/>
  </cols>
  <sheetData>
    <row r="1" spans="2:13" ht="3" customHeight="1" thickBot="1" x14ac:dyDescent="0.25"/>
    <row r="2" spans="2:13" ht="6" customHeight="1" thickTop="1" x14ac:dyDescent="0.2">
      <c r="B2" s="30"/>
      <c r="C2" s="31"/>
      <c r="D2" s="31"/>
      <c r="E2" s="31"/>
      <c r="F2" s="31"/>
      <c r="G2" s="31"/>
      <c r="H2" s="31"/>
      <c r="I2" s="31"/>
      <c r="J2" s="31"/>
      <c r="K2" s="31"/>
      <c r="L2" s="32"/>
    </row>
    <row r="3" spans="2:13" ht="12" customHeight="1" x14ac:dyDescent="0.2">
      <c r="B3" s="33"/>
      <c r="C3" s="431" t="s">
        <v>53</v>
      </c>
      <c r="D3" s="431"/>
      <c r="E3" s="431"/>
      <c r="F3" s="431"/>
      <c r="G3" s="431"/>
      <c r="H3" s="431"/>
      <c r="I3" s="431"/>
      <c r="J3" s="431"/>
      <c r="K3" s="431"/>
      <c r="L3" s="35"/>
    </row>
    <row r="4" spans="2:13" ht="12" customHeight="1" x14ac:dyDescent="0.2">
      <c r="B4" s="33"/>
      <c r="C4" s="258" t="s">
        <v>131</v>
      </c>
      <c r="E4" s="155"/>
      <c r="F4" s="155"/>
      <c r="G4" s="155"/>
      <c r="J4" s="155"/>
      <c r="K4" s="257" t="s">
        <v>132</v>
      </c>
      <c r="L4" s="35"/>
    </row>
    <row r="5" spans="2:13" x14ac:dyDescent="0.2">
      <c r="B5" s="33"/>
      <c r="C5" s="34"/>
      <c r="D5" s="34"/>
      <c r="E5" s="34"/>
      <c r="F5" s="34"/>
      <c r="G5" s="34"/>
      <c r="H5" s="34"/>
      <c r="I5" s="34"/>
      <c r="J5" s="34"/>
      <c r="K5" s="34"/>
      <c r="L5" s="35"/>
    </row>
    <row r="6" spans="2:13" x14ac:dyDescent="0.2">
      <c r="B6" s="33"/>
      <c r="C6" s="34"/>
      <c r="E6" s="95" t="s">
        <v>119</v>
      </c>
      <c r="F6" s="6">
        <v>3</v>
      </c>
      <c r="G6" s="20" t="s">
        <v>0</v>
      </c>
      <c r="H6" s="7" t="s">
        <v>1</v>
      </c>
      <c r="I6" s="7"/>
      <c r="J6" s="8" t="str">
        <f>FIXED(10^(F6/10),3)</f>
        <v>1.995</v>
      </c>
      <c r="K6" s="9"/>
      <c r="L6" s="26"/>
      <c r="M6" s="9"/>
    </row>
    <row r="7" spans="2:13" x14ac:dyDescent="0.2">
      <c r="B7" s="33"/>
      <c r="C7" s="34"/>
      <c r="D7" s="23"/>
      <c r="E7" s="23"/>
      <c r="F7" s="34"/>
      <c r="G7" s="34"/>
      <c r="H7" s="34"/>
      <c r="I7" s="34"/>
      <c r="J7" s="9"/>
      <c r="K7" s="9"/>
      <c r="L7" s="26"/>
      <c r="M7" s="9"/>
    </row>
    <row r="8" spans="2:13" ht="12.75" thickBot="1" x14ac:dyDescent="0.25">
      <c r="B8" s="33"/>
      <c r="C8" s="34"/>
      <c r="D8" s="430" t="s">
        <v>57</v>
      </c>
      <c r="E8" s="430"/>
      <c r="F8" s="430"/>
      <c r="G8" s="430"/>
      <c r="H8" s="430"/>
      <c r="I8" s="430"/>
      <c r="J8" s="430"/>
      <c r="K8" s="10"/>
      <c r="L8" s="26"/>
      <c r="M8" s="9"/>
    </row>
    <row r="9" spans="2:13" ht="6" customHeight="1" thickTop="1" thickBot="1" x14ac:dyDescent="0.25">
      <c r="B9" s="33"/>
      <c r="C9" s="34"/>
      <c r="D9" s="9"/>
      <c r="E9" s="9"/>
      <c r="F9" s="11"/>
      <c r="G9" s="12"/>
      <c r="H9" s="11"/>
      <c r="I9" s="11"/>
      <c r="J9" s="9"/>
      <c r="K9" s="10"/>
      <c r="L9" s="26"/>
      <c r="M9" s="9"/>
    </row>
    <row r="10" spans="2:13" ht="12.75" customHeight="1" thickBot="1" x14ac:dyDescent="0.25">
      <c r="B10" s="33"/>
      <c r="C10" s="34"/>
      <c r="D10" s="13"/>
      <c r="E10" s="13"/>
      <c r="F10" s="22">
        <f>(D12*(J6+1)-2*SQRT(J6*D12*J12))/(J6-1)</f>
        <v>8.5482724439644855</v>
      </c>
      <c r="G10" s="14"/>
      <c r="H10" s="22">
        <f>(J12*(J6+1)-2*SQRT(J6*D12*J12))/(J6-1)</f>
        <v>8.5482724439644855</v>
      </c>
      <c r="I10" s="19"/>
      <c r="J10" s="15"/>
      <c r="K10" s="16"/>
      <c r="L10" s="27"/>
      <c r="M10" s="17"/>
    </row>
    <row r="11" spans="2:13" ht="12.75" customHeight="1" thickBot="1" x14ac:dyDescent="0.25">
      <c r="B11" s="33"/>
      <c r="C11" s="34"/>
      <c r="D11" s="18"/>
      <c r="E11" s="18"/>
      <c r="F11" s="34"/>
      <c r="G11" s="18"/>
      <c r="H11" s="34"/>
      <c r="I11" s="34"/>
      <c r="J11" s="18"/>
      <c r="K11" s="17"/>
      <c r="L11" s="27"/>
      <c r="M11" s="17"/>
    </row>
    <row r="12" spans="2:13" ht="12.75" customHeight="1" thickBot="1" x14ac:dyDescent="0.25">
      <c r="B12" s="33"/>
      <c r="C12" s="97" t="s">
        <v>55</v>
      </c>
      <c r="D12" s="25">
        <v>50</v>
      </c>
      <c r="E12" s="18"/>
      <c r="F12" s="21"/>
      <c r="G12" s="22">
        <f>2*SQRT(J6*D12*J12)/(J6-1)</f>
        <v>141.95424011884955</v>
      </c>
      <c r="H12" s="21"/>
      <c r="I12" s="21"/>
      <c r="J12" s="25">
        <v>50</v>
      </c>
      <c r="K12" s="98" t="s">
        <v>54</v>
      </c>
      <c r="L12" s="27"/>
      <c r="M12" s="17"/>
    </row>
    <row r="13" spans="2:13" ht="12.75" customHeight="1" x14ac:dyDescent="0.2">
      <c r="B13" s="33"/>
      <c r="C13" s="34"/>
      <c r="D13" s="34"/>
      <c r="E13" s="34"/>
      <c r="F13" s="34"/>
      <c r="G13" s="34"/>
      <c r="H13" s="34"/>
      <c r="I13" s="34"/>
      <c r="J13" s="34"/>
      <c r="K13" s="34"/>
      <c r="L13" s="27"/>
      <c r="M13" s="17"/>
    </row>
    <row r="14" spans="2:13" ht="12.75" customHeight="1" x14ac:dyDescent="0.2">
      <c r="B14" s="33"/>
      <c r="C14" s="34"/>
      <c r="D14" s="18"/>
      <c r="E14" s="18"/>
      <c r="F14" s="18"/>
      <c r="G14" s="18"/>
      <c r="H14" s="18"/>
      <c r="I14" s="18"/>
      <c r="J14" s="18"/>
      <c r="K14" s="17"/>
      <c r="L14" s="27"/>
      <c r="M14" s="17"/>
    </row>
    <row r="15" spans="2:13" ht="6" customHeight="1" x14ac:dyDescent="0.2">
      <c r="B15" s="33"/>
      <c r="C15" s="34"/>
      <c r="D15" s="13"/>
      <c r="E15" s="13"/>
      <c r="F15" s="14"/>
      <c r="G15" s="14"/>
      <c r="H15" s="14"/>
      <c r="I15" s="14"/>
      <c r="J15" s="15"/>
      <c r="K15" s="17"/>
      <c r="L15" s="27"/>
      <c r="M15" s="17"/>
    </row>
    <row r="16" spans="2:13" x14ac:dyDescent="0.2">
      <c r="B16" s="33"/>
      <c r="C16" s="34"/>
      <c r="D16" s="9"/>
      <c r="E16" s="9"/>
      <c r="F16" s="9"/>
      <c r="G16" s="28" t="s">
        <v>56</v>
      </c>
      <c r="H16" s="9"/>
      <c r="I16" s="9"/>
      <c r="J16" s="9"/>
      <c r="K16" s="17"/>
      <c r="L16" s="27"/>
      <c r="M16" s="17"/>
    </row>
    <row r="17" spans="2:13" ht="6" customHeight="1" x14ac:dyDescent="0.2">
      <c r="B17" s="33"/>
      <c r="C17" s="34"/>
      <c r="D17" s="9"/>
      <c r="E17" s="9"/>
      <c r="F17" s="9"/>
      <c r="G17" s="24"/>
      <c r="H17" s="9"/>
      <c r="I17" s="9"/>
      <c r="J17" s="9"/>
      <c r="K17" s="17"/>
      <c r="L17" s="27"/>
      <c r="M17" s="17"/>
    </row>
    <row r="18" spans="2:13" ht="13.5" thickBot="1" x14ac:dyDescent="0.25">
      <c r="B18" s="33"/>
      <c r="C18" s="34"/>
      <c r="D18" s="430" t="s">
        <v>108</v>
      </c>
      <c r="E18" s="430"/>
      <c r="F18" s="430"/>
      <c r="G18" s="430"/>
      <c r="H18" s="430"/>
      <c r="I18" s="430"/>
      <c r="J18" s="430"/>
      <c r="K18" s="9"/>
      <c r="L18" s="26"/>
      <c r="M18" s="9"/>
    </row>
    <row r="19" spans="2:13" ht="6" customHeight="1" thickTop="1" thickBot="1" x14ac:dyDescent="0.25">
      <c r="B19" s="33"/>
      <c r="C19" s="34"/>
      <c r="D19" s="12"/>
      <c r="E19" s="12"/>
      <c r="F19" s="12"/>
      <c r="G19" s="12"/>
      <c r="H19" s="12"/>
      <c r="I19" s="12"/>
      <c r="J19" s="12"/>
      <c r="K19" s="9"/>
      <c r="L19" s="26"/>
      <c r="M19" s="9"/>
    </row>
    <row r="20" spans="2:13" ht="12.75" customHeight="1" thickBot="1" x14ac:dyDescent="0.25">
      <c r="B20" s="33"/>
      <c r="C20" s="34"/>
      <c r="D20" s="18"/>
      <c r="E20" s="18"/>
      <c r="F20" s="18"/>
      <c r="G20" s="22">
        <f>(J6-1)/2*SQRT(D22*J22/J6)</f>
        <v>17.61130909444412</v>
      </c>
      <c r="H20" s="18"/>
      <c r="I20" s="18"/>
      <c r="J20" s="18"/>
      <c r="K20" s="9"/>
      <c r="L20" s="26"/>
      <c r="M20" s="9"/>
    </row>
    <row r="21" spans="2:13" ht="12.75" customHeight="1" thickBot="1" x14ac:dyDescent="0.25">
      <c r="B21" s="33"/>
      <c r="C21" s="34"/>
      <c r="D21" s="18"/>
      <c r="E21" s="18"/>
      <c r="F21" s="18"/>
      <c r="G21" s="19"/>
      <c r="H21" s="18"/>
      <c r="I21" s="18"/>
      <c r="J21" s="18"/>
      <c r="K21" s="9"/>
      <c r="L21" s="26"/>
      <c r="M21" s="9"/>
    </row>
    <row r="22" spans="2:13" ht="12.75" customHeight="1" thickBot="1" x14ac:dyDescent="0.25">
      <c r="B22" s="33"/>
      <c r="C22" s="97" t="s">
        <v>55</v>
      </c>
      <c r="D22" s="39">
        <v>50</v>
      </c>
      <c r="E22" s="18"/>
      <c r="F22" s="22">
        <f>(J6-1)*D22*SQRT(J22)/((J6+1)*SQRT(J22)-2*SQRT(J6*D22))</f>
        <v>292.45675268166275</v>
      </c>
      <c r="G22" s="11"/>
      <c r="H22" s="22">
        <f>(J6-1)*J22*SQRT(D22)/((J6+1)*SQRT(D22)-2*SQRT(J6*J22))</f>
        <v>292.45675268166275</v>
      </c>
      <c r="I22" s="19"/>
      <c r="J22" s="39">
        <v>50</v>
      </c>
      <c r="K22" s="98" t="s">
        <v>54</v>
      </c>
      <c r="L22" s="26"/>
      <c r="M22" s="9"/>
    </row>
    <row r="23" spans="2:13" ht="12.75" customHeight="1" x14ac:dyDescent="0.2">
      <c r="B23" s="33"/>
      <c r="C23" s="34"/>
      <c r="D23" s="34"/>
      <c r="E23" s="34"/>
      <c r="F23" s="34"/>
      <c r="G23" s="34"/>
      <c r="H23" s="34"/>
      <c r="I23" s="34"/>
      <c r="J23" s="34"/>
      <c r="K23" s="34"/>
      <c r="L23" s="35"/>
    </row>
    <row r="24" spans="2:13" ht="12.75" customHeight="1" x14ac:dyDescent="0.2">
      <c r="B24" s="33"/>
      <c r="C24" s="34"/>
      <c r="D24" s="34"/>
      <c r="E24" s="34"/>
      <c r="F24" s="34"/>
      <c r="G24" s="34"/>
      <c r="H24" s="34"/>
      <c r="I24" s="34"/>
      <c r="J24" s="34"/>
      <c r="K24" s="34"/>
      <c r="L24" s="35"/>
    </row>
    <row r="25" spans="2:13" x14ac:dyDescent="0.2">
      <c r="B25" s="33"/>
      <c r="C25" s="85" t="str">
        <f>Home!$D$7&amp;", "&amp;Home!$D$8&amp;", "&amp;Home!$D$9</f>
        <v>RF Cafe Calculator Workbook, v5.1, by RF Cafe</v>
      </c>
      <c r="D25" s="34"/>
      <c r="E25" s="34"/>
      <c r="F25" s="34"/>
      <c r="G25" s="34"/>
      <c r="H25" s="34"/>
      <c r="I25" s="34"/>
      <c r="J25" s="34"/>
      <c r="K25" s="304" t="s">
        <v>198</v>
      </c>
      <c r="L25" s="35"/>
    </row>
    <row r="26" spans="2:13" ht="6" customHeight="1" thickBot="1" x14ac:dyDescent="0.25">
      <c r="B26" s="36"/>
      <c r="C26" s="37"/>
      <c r="D26" s="37"/>
      <c r="E26" s="37"/>
      <c r="F26" s="37"/>
      <c r="G26" s="37"/>
      <c r="H26" s="37"/>
      <c r="I26" s="37"/>
      <c r="J26" s="37"/>
      <c r="K26" s="37"/>
      <c r="L26" s="38"/>
    </row>
    <row r="27" spans="2:13" ht="3" customHeight="1" thickTop="1" x14ac:dyDescent="0.2"/>
    <row r="28" spans="2:13" hidden="1" x14ac:dyDescent="0.2"/>
    <row r="29" spans="2:13" hidden="1" x14ac:dyDescent="0.2"/>
    <row r="30" spans="2:13" hidden="1" x14ac:dyDescent="0.2"/>
    <row r="31" spans="2:13" hidden="1" x14ac:dyDescent="0.2"/>
    <row r="32" spans="2:13"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sheetData>
  <sheetProtection password="F39F" sheet="1" objects="1" scenarios="1"/>
  <mergeCells count="3">
    <mergeCell ref="D8:J8"/>
    <mergeCell ref="D18:J18"/>
    <mergeCell ref="C3:K3"/>
  </mergeCells>
  <phoneticPr fontId="2" type="noConversion"/>
  <conditionalFormatting sqref="G16">
    <cfRule type="expression" dxfId="12" priority="1" stopIfTrue="1">
      <formula>OR(F10&lt;0,G12&lt;0,H10&lt;0,F22&lt;0,G20&lt;0,H22&lt;0)</formula>
    </cfRule>
  </conditionalFormatting>
  <conditionalFormatting sqref="G12 F10 H10:I10 H22:I22 G20 F22">
    <cfRule type="cellIs" dxfId="11" priority="2" stopIfTrue="1" operator="lessThan">
      <formula>0</formula>
    </cfRule>
  </conditionalFormatting>
  <dataValidations count="2">
    <dataValidation type="decimal" operator="greaterThan" allowBlank="1" showInputMessage="1" showErrorMessage="1" error="Enter value &gt; 0" sqref="E12">
      <formula1>0</formula1>
    </dataValidation>
    <dataValidation type="decimal" operator="greaterThan" showInputMessage="1" showErrorMessage="1" error="Enter value &gt; 0" sqref="F6 J12 J22 D22 D12">
      <formula1>0</formula1>
    </dataValidation>
  </dataValidations>
  <hyperlinks>
    <hyperlink ref="K4" r:id="rId1" tooltip="Click here to check for updates to this calculator"/>
    <hyperlink ref="C4" r:id="rId2"/>
    <hyperlink ref="K25" location="Home!A1" tooltip="Click to return to title page with calculator list" display="Home"/>
  </hyperlinks>
  <pageMargins left="0.5" right="0.5" top="0.5" bottom="0.5" header="0.5" footer="0.5"/>
  <pageSetup orientation="portrait" r:id="rId3"/>
  <headerFooter alignWithMargins="0"/>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181"/>
  <sheetViews>
    <sheetView showGridLines="0" showRowColHeaders="0" zoomScale="90" workbookViewId="0">
      <selection activeCell="M24" sqref="M24"/>
    </sheetView>
  </sheetViews>
  <sheetFormatPr defaultColWidth="0" defaultRowHeight="12" zeroHeight="1" x14ac:dyDescent="0.2"/>
  <cols>
    <col min="1" max="1" width="0.5703125" style="157" customWidth="1"/>
    <col min="2" max="2" width="1.140625" style="158" customWidth="1"/>
    <col min="3" max="5" width="10.7109375" style="144" customWidth="1"/>
    <col min="6" max="6" width="2.7109375" style="158" customWidth="1"/>
    <col min="7" max="13" width="9.140625" style="158" customWidth="1"/>
    <col min="14" max="14" width="1.140625" style="158" customWidth="1"/>
    <col min="15" max="15" width="0.5703125" style="158" customWidth="1"/>
    <col min="16" max="16384" width="0" style="158" hidden="1"/>
  </cols>
  <sheetData>
    <row r="1" spans="2:14" ht="3" customHeight="1" thickBot="1" x14ac:dyDescent="0.25">
      <c r="C1" s="158"/>
      <c r="D1" s="158"/>
      <c r="E1" s="158"/>
    </row>
    <row r="2" spans="2:14" ht="6" customHeight="1" thickTop="1" x14ac:dyDescent="0.2">
      <c r="B2" s="159"/>
      <c r="C2" s="160"/>
      <c r="D2" s="160"/>
      <c r="E2" s="160"/>
      <c r="F2" s="160"/>
      <c r="G2" s="160"/>
      <c r="H2" s="160"/>
      <c r="I2" s="160"/>
      <c r="J2" s="160"/>
      <c r="K2" s="160"/>
      <c r="L2" s="160"/>
      <c r="M2" s="160"/>
      <c r="N2" s="161"/>
    </row>
    <row r="3" spans="2:14" ht="12.75" x14ac:dyDescent="0.2">
      <c r="B3" s="162"/>
      <c r="C3" s="431" t="s">
        <v>61</v>
      </c>
      <c r="D3" s="431"/>
      <c r="E3" s="431"/>
      <c r="F3" s="164"/>
      <c r="H3" s="156" t="s">
        <v>134</v>
      </c>
      <c r="I3" s="155"/>
      <c r="J3" s="155"/>
      <c r="K3" s="29"/>
      <c r="L3" s="156" t="s">
        <v>132</v>
      </c>
      <c r="M3" s="72"/>
      <c r="N3" s="163"/>
    </row>
    <row r="4" spans="2:14" x14ac:dyDescent="0.2">
      <c r="B4" s="162"/>
      <c r="C4" s="432"/>
      <c r="D4" s="432"/>
      <c r="E4" s="150"/>
      <c r="F4" s="164"/>
      <c r="G4" s="164"/>
      <c r="H4" s="156" t="s">
        <v>135</v>
      </c>
      <c r="I4" s="164"/>
      <c r="J4" s="164"/>
      <c r="K4" s="164"/>
      <c r="L4" s="164"/>
      <c r="M4" s="164"/>
      <c r="N4" s="163"/>
    </row>
    <row r="5" spans="2:14" x14ac:dyDescent="0.2">
      <c r="B5" s="162"/>
      <c r="C5" s="95" t="s">
        <v>3</v>
      </c>
      <c r="D5" s="49">
        <v>5</v>
      </c>
      <c r="E5" s="150"/>
      <c r="F5" s="164"/>
      <c r="G5" s="164"/>
      <c r="H5" s="164"/>
      <c r="I5" s="164"/>
      <c r="J5" s="164"/>
      <c r="K5" s="164"/>
      <c r="L5" s="164"/>
      <c r="M5" s="164"/>
      <c r="N5" s="163"/>
    </row>
    <row r="6" spans="2:14" x14ac:dyDescent="0.2">
      <c r="B6" s="162"/>
      <c r="C6" s="95" t="s">
        <v>48</v>
      </c>
      <c r="D6" s="49">
        <v>15</v>
      </c>
      <c r="E6" s="170" t="s">
        <v>37</v>
      </c>
      <c r="F6" s="164"/>
      <c r="G6" s="164"/>
      <c r="H6" s="164"/>
      <c r="I6" s="164"/>
      <c r="J6" s="164"/>
      <c r="K6" s="164"/>
      <c r="L6" s="164"/>
      <c r="M6" s="164"/>
      <c r="N6" s="163"/>
    </row>
    <row r="7" spans="2:14" x14ac:dyDescent="0.2">
      <c r="B7" s="162"/>
      <c r="C7" s="99" t="s">
        <v>49</v>
      </c>
      <c r="D7" s="49">
        <v>10</v>
      </c>
      <c r="E7" s="150" t="str">
        <f>E6</f>
        <v>MHz</v>
      </c>
      <c r="F7" s="164"/>
      <c r="G7" s="164"/>
      <c r="H7" s="164"/>
      <c r="I7" s="164"/>
      <c r="J7" s="164"/>
      <c r="K7" s="164"/>
      <c r="L7" s="164"/>
      <c r="M7" s="164"/>
      <c r="N7" s="163"/>
    </row>
    <row r="8" spans="2:14" x14ac:dyDescent="0.2">
      <c r="B8" s="162"/>
      <c r="C8" s="95" t="s">
        <v>58</v>
      </c>
      <c r="D8" s="49">
        <v>1</v>
      </c>
      <c r="E8" s="150" t="s">
        <v>133</v>
      </c>
      <c r="F8" s="164"/>
      <c r="G8" s="164"/>
      <c r="H8" s="164"/>
      <c r="I8" s="164"/>
      <c r="J8" s="164"/>
      <c r="K8" s="164"/>
      <c r="L8" s="164"/>
      <c r="M8" s="164"/>
      <c r="N8" s="163"/>
    </row>
    <row r="9" spans="2:14" ht="12.75" thickBot="1" x14ac:dyDescent="0.25">
      <c r="B9" s="162"/>
      <c r="C9" s="434" t="s">
        <v>4</v>
      </c>
      <c r="D9" s="434"/>
      <c r="E9" s="434"/>
      <c r="F9" s="164"/>
      <c r="G9" s="164"/>
      <c r="H9" s="164"/>
      <c r="I9" s="164"/>
      <c r="J9" s="164"/>
      <c r="K9" s="164"/>
      <c r="L9" s="164"/>
      <c r="M9" s="164"/>
      <c r="N9" s="163"/>
    </row>
    <row r="10" spans="2:14" x14ac:dyDescent="0.2">
      <c r="B10" s="162"/>
      <c r="C10" s="95" t="s">
        <v>51</v>
      </c>
      <c r="D10" s="104">
        <v>20</v>
      </c>
      <c r="E10" s="150" t="str">
        <f>E7</f>
        <v>MHz</v>
      </c>
      <c r="F10" s="164"/>
      <c r="G10" s="164"/>
      <c r="H10" s="164"/>
      <c r="I10" s="164"/>
      <c r="J10" s="164"/>
      <c r="K10" s="164"/>
      <c r="L10" s="164"/>
      <c r="M10" s="164"/>
      <c r="N10" s="163"/>
    </row>
    <row r="11" spans="2:14" x14ac:dyDescent="0.2">
      <c r="B11" s="162"/>
      <c r="C11" s="95" t="s">
        <v>50</v>
      </c>
      <c r="D11" s="49">
        <v>5</v>
      </c>
      <c r="E11" s="150" t="str">
        <f>E6</f>
        <v>MHz</v>
      </c>
      <c r="F11" s="164"/>
      <c r="G11" s="164"/>
      <c r="H11" s="164"/>
      <c r="I11" s="164"/>
      <c r="J11" s="164"/>
      <c r="K11" s="164"/>
      <c r="L11" s="164"/>
      <c r="M11" s="164"/>
      <c r="N11" s="163"/>
    </row>
    <row r="12" spans="2:14" ht="12.75" thickBot="1" x14ac:dyDescent="0.25">
      <c r="B12" s="162"/>
      <c r="C12" s="96" t="s">
        <v>52</v>
      </c>
      <c r="D12" s="50">
        <f>(D10-D11)/100</f>
        <v>0.15</v>
      </c>
      <c r="E12" s="165" t="str">
        <f>E6</f>
        <v>MHz</v>
      </c>
      <c r="F12" s="164"/>
      <c r="G12" s="164"/>
      <c r="H12" s="164"/>
      <c r="I12" s="164"/>
      <c r="J12" s="164"/>
      <c r="K12" s="164"/>
      <c r="L12" s="164"/>
      <c r="M12" s="164"/>
      <c r="N12" s="163"/>
    </row>
    <row r="13" spans="2:14" ht="12.75" thickTop="1" x14ac:dyDescent="0.2">
      <c r="B13" s="162"/>
      <c r="C13" s="75"/>
      <c r="D13" s="433" t="s">
        <v>7</v>
      </c>
      <c r="E13" s="433"/>
      <c r="F13" s="164"/>
      <c r="G13" s="164"/>
      <c r="H13" s="164"/>
      <c r="I13" s="164"/>
      <c r="J13" s="164"/>
      <c r="K13" s="164"/>
      <c r="L13" s="164"/>
      <c r="M13" s="164"/>
      <c r="N13" s="163"/>
    </row>
    <row r="14" spans="2:14" ht="12.75" thickBot="1" x14ac:dyDescent="0.25">
      <c r="B14" s="162"/>
      <c r="C14" s="51" t="str">
        <f>"Freq ("&amp;E6&amp;")"</f>
        <v>Freq (MHz)</v>
      </c>
      <c r="D14" s="51" t="s">
        <v>59</v>
      </c>
      <c r="E14" s="51" t="s">
        <v>60</v>
      </c>
      <c r="F14" s="164"/>
      <c r="G14" s="164"/>
      <c r="H14" s="164"/>
      <c r="I14" s="164"/>
      <c r="J14" s="164"/>
      <c r="K14" s="164"/>
      <c r="L14" s="164"/>
      <c r="M14" s="164"/>
      <c r="N14" s="163"/>
    </row>
    <row r="15" spans="2:14" x14ac:dyDescent="0.2">
      <c r="B15" s="162"/>
      <c r="C15" s="55">
        <f>D11</f>
        <v>5</v>
      </c>
      <c r="D15" s="56">
        <f t="shared" ref="D15:D46" si="0">-10*LOG(1+(ABS((C15/$D$123)-($D$123/C15))/$E$123)^(2*$D$5))</f>
        <v>-69.897000878319403</v>
      </c>
      <c r="E15" s="56">
        <f t="shared" ref="E15:E46" si="1">IF(C15/$D$7&lt;1,-10*LOG(1+$D$122*(COSH($D$5*ACOSH((ABS((C15/$D$123)-($D$123/C15))/$E$123))))^2),IF(C15/$D$6&lt;1,-10*LOG(1+$D$122*(COS($D$5*ACOS((ABS((C15/$D$123)-($D$123/C15))/$E$123))))^2),-10*LOG(1+$D$122*(COSH($D$5*ACOSH((ABS((C15/$D$123)-($D$123/C15))/$E$123)))^2))))</f>
        <v>-87.670189274374621</v>
      </c>
      <c r="F15" s="164"/>
      <c r="G15" s="164"/>
      <c r="H15" s="164"/>
      <c r="I15" s="164"/>
      <c r="J15" s="164"/>
      <c r="K15" s="164"/>
      <c r="L15" s="164"/>
      <c r="M15" s="164"/>
      <c r="N15" s="163"/>
    </row>
    <row r="16" spans="2:14" x14ac:dyDescent="0.2">
      <c r="B16" s="162"/>
      <c r="C16" s="55">
        <f t="shared" ref="C16:C47" si="2">C15+$D$12</f>
        <v>5.15</v>
      </c>
      <c r="D16" s="56">
        <f t="shared" si="0"/>
        <v>-68.081060128944998</v>
      </c>
      <c r="E16" s="56">
        <f t="shared" si="1"/>
        <v>-85.815138795290764</v>
      </c>
      <c r="F16" s="164"/>
      <c r="G16" s="164"/>
      <c r="H16" s="164"/>
      <c r="I16" s="164"/>
      <c r="J16" s="164"/>
      <c r="K16" s="164"/>
      <c r="L16" s="164"/>
      <c r="M16" s="164"/>
      <c r="N16" s="163"/>
    </row>
    <row r="17" spans="2:14" x14ac:dyDescent="0.2">
      <c r="B17" s="162"/>
      <c r="C17" s="55">
        <f t="shared" si="2"/>
        <v>5.3000000000000007</v>
      </c>
      <c r="D17" s="56">
        <f t="shared" si="0"/>
        <v>-66.279346756062012</v>
      </c>
      <c r="E17" s="56">
        <f t="shared" si="1"/>
        <v>-83.971131826166385</v>
      </c>
      <c r="F17" s="164"/>
      <c r="G17" s="164"/>
      <c r="H17" s="164"/>
      <c r="I17" s="164"/>
      <c r="J17" s="164"/>
      <c r="K17" s="164"/>
      <c r="L17" s="164"/>
      <c r="M17" s="164"/>
      <c r="N17" s="163"/>
    </row>
    <row r="18" spans="2:14" x14ac:dyDescent="0.2">
      <c r="B18" s="162"/>
      <c r="C18" s="55">
        <f t="shared" si="2"/>
        <v>5.4500000000000011</v>
      </c>
      <c r="D18" s="56">
        <f t="shared" si="0"/>
        <v>-64.489011084318577</v>
      </c>
      <c r="E18" s="56">
        <f t="shared" si="1"/>
        <v>-82.135005616848403</v>
      </c>
      <c r="F18" s="164"/>
      <c r="G18" s="164"/>
      <c r="H18" s="164"/>
      <c r="I18" s="164"/>
      <c r="J18" s="164"/>
      <c r="K18" s="164"/>
      <c r="L18" s="164"/>
      <c r="M18" s="164"/>
      <c r="N18" s="163"/>
    </row>
    <row r="19" spans="2:14" x14ac:dyDescent="0.2">
      <c r="B19" s="162"/>
      <c r="C19" s="55">
        <f t="shared" si="2"/>
        <v>5.6000000000000014</v>
      </c>
      <c r="D19" s="56">
        <f t="shared" si="0"/>
        <v>-62.707312996186701</v>
      </c>
      <c r="E19" s="56">
        <f t="shared" si="1"/>
        <v>-80.303666511408636</v>
      </c>
      <c r="F19" s="164"/>
      <c r="G19" s="164"/>
      <c r="H19" s="164"/>
      <c r="I19" s="164"/>
      <c r="J19" s="164"/>
      <c r="K19" s="164"/>
      <c r="L19" s="164"/>
      <c r="M19" s="164"/>
      <c r="N19" s="163"/>
    </row>
    <row r="20" spans="2:14" x14ac:dyDescent="0.2">
      <c r="B20" s="162"/>
      <c r="C20" s="55">
        <f t="shared" si="2"/>
        <v>5.7500000000000018</v>
      </c>
      <c r="D20" s="56">
        <f t="shared" si="0"/>
        <v>-60.931599086331573</v>
      </c>
      <c r="E20" s="56">
        <f t="shared" si="1"/>
        <v>-78.474060694437895</v>
      </c>
      <c r="F20" s="164"/>
      <c r="G20" s="164"/>
      <c r="H20" s="164"/>
      <c r="I20" s="164"/>
      <c r="J20" s="164"/>
      <c r="K20" s="164"/>
      <c r="L20" s="164"/>
      <c r="M20" s="164"/>
      <c r="N20" s="163"/>
    </row>
    <row r="21" spans="2:14" x14ac:dyDescent="0.2">
      <c r="B21" s="162"/>
      <c r="C21" s="55">
        <f t="shared" si="2"/>
        <v>5.9000000000000021</v>
      </c>
      <c r="D21" s="56">
        <f t="shared" si="0"/>
        <v>-59.159281500446923</v>
      </c>
      <c r="E21" s="56">
        <f t="shared" si="1"/>
        <v>-76.643145381467889</v>
      </c>
      <c r="F21" s="164"/>
      <c r="G21" s="164"/>
      <c r="H21" s="164"/>
      <c r="I21" s="164"/>
      <c r="J21" s="164"/>
      <c r="K21" s="164"/>
      <c r="L21" s="164"/>
      <c r="M21" s="164"/>
      <c r="N21" s="163"/>
    </row>
    <row r="22" spans="2:14" x14ac:dyDescent="0.2">
      <c r="B22" s="162"/>
      <c r="C22" s="55">
        <f t="shared" si="2"/>
        <v>6.0500000000000025</v>
      </c>
      <c r="D22" s="56">
        <f t="shared" si="0"/>
        <v>-57.387818032018345</v>
      </c>
      <c r="E22" s="56">
        <f t="shared" si="1"/>
        <v>-74.807859739332002</v>
      </c>
      <c r="F22" s="164"/>
      <c r="G22" s="164"/>
      <c r="H22" s="164"/>
      <c r="I22" s="164"/>
      <c r="J22" s="164"/>
      <c r="K22" s="164"/>
      <c r="L22" s="164"/>
      <c r="M22" s="164"/>
      <c r="N22" s="163"/>
    </row>
    <row r="23" spans="2:14" x14ac:dyDescent="0.2">
      <c r="B23" s="162"/>
      <c r="C23" s="55">
        <f t="shared" si="2"/>
        <v>6.2000000000000028</v>
      </c>
      <c r="D23" s="56">
        <f t="shared" si="0"/>
        <v>-55.614693097053788</v>
      </c>
      <c r="E23" s="56">
        <f t="shared" si="1"/>
        <v>-72.965094789530056</v>
      </c>
      <c r="F23" s="164"/>
      <c r="G23" s="164"/>
      <c r="H23" s="164"/>
      <c r="I23" s="164"/>
      <c r="J23" s="164"/>
      <c r="K23" s="164"/>
      <c r="L23" s="164"/>
      <c r="M23" s="164"/>
      <c r="N23" s="163"/>
    </row>
    <row r="24" spans="2:14" x14ac:dyDescent="0.2">
      <c r="B24" s="162"/>
      <c r="C24" s="55">
        <f t="shared" si="2"/>
        <v>6.3500000000000032</v>
      </c>
      <c r="D24" s="56">
        <f t="shared" si="0"/>
        <v>-53.837399240612569</v>
      </c>
      <c r="E24" s="56">
        <f t="shared" si="1"/>
        <v>-71.111661476300895</v>
      </c>
      <c r="F24" s="164"/>
      <c r="G24" s="164"/>
      <c r="H24" s="164"/>
      <c r="I24" s="164"/>
      <c r="J24" s="164"/>
      <c r="K24" s="164"/>
      <c r="L24" s="164"/>
      <c r="M24" s="304" t="s">
        <v>198</v>
      </c>
      <c r="N24" s="163"/>
    </row>
    <row r="25" spans="2:14" x14ac:dyDescent="0.2">
      <c r="B25" s="162"/>
      <c r="C25" s="55">
        <f t="shared" si="2"/>
        <v>6.5000000000000036</v>
      </c>
      <c r="D25" s="56">
        <f t="shared" si="0"/>
        <v>-52.053418852617327</v>
      </c>
      <c r="E25" s="56">
        <f t="shared" si="1"/>
        <v>-69.244255963892599</v>
      </c>
      <c r="F25" s="164"/>
      <c r="G25" s="164"/>
      <c r="H25" s="164"/>
      <c r="I25" s="164"/>
      <c r="J25" s="164"/>
      <c r="K25" s="164"/>
      <c r="L25" s="164"/>
      <c r="M25" s="164"/>
      <c r="N25" s="163"/>
    </row>
    <row r="26" spans="2:14" x14ac:dyDescent="0.2">
      <c r="B26" s="162"/>
      <c r="C26" s="55">
        <f t="shared" si="2"/>
        <v>6.6500000000000039</v>
      </c>
      <c r="D26" s="56">
        <f t="shared" si="0"/>
        <v>-50.260205786531962</v>
      </c>
      <c r="E26" s="56">
        <f t="shared" si="1"/>
        <v>-67.359421052733865</v>
      </c>
      <c r="F26" s="164"/>
      <c r="G26" s="164"/>
      <c r="I26" s="164"/>
      <c r="J26" s="164"/>
      <c r="K26" s="164"/>
      <c r="L26" s="164"/>
      <c r="M26" s="164"/>
      <c r="N26" s="163"/>
    </row>
    <row r="27" spans="2:14" x14ac:dyDescent="0.2">
      <c r="B27" s="162"/>
      <c r="C27" s="55">
        <f t="shared" si="2"/>
        <v>6.8000000000000043</v>
      </c>
      <c r="D27" s="56">
        <f t="shared" si="0"/>
        <v>-48.455166586114103</v>
      </c>
      <c r="E27" s="56">
        <f t="shared" si="1"/>
        <v>-65.453502353918424</v>
      </c>
      <c r="F27" s="164"/>
      <c r="G27" s="164"/>
      <c r="H27" s="164"/>
      <c r="I27" s="164"/>
      <c r="J27" s="164"/>
      <c r="K27" s="164"/>
      <c r="L27" s="164"/>
      <c r="M27" s="164"/>
      <c r="N27" s="163"/>
    </row>
    <row r="28" spans="2:14" x14ac:dyDescent="0.2">
      <c r="B28" s="162"/>
      <c r="C28" s="55">
        <f t="shared" si="2"/>
        <v>6.9500000000000046</v>
      </c>
      <c r="D28" s="56">
        <f t="shared" si="0"/>
        <v>-46.635641037069547</v>
      </c>
      <c r="E28" s="56">
        <f t="shared" si="1"/>
        <v>-63.522597508694851</v>
      </c>
      <c r="F28" s="164"/>
      <c r="G28" s="164"/>
      <c r="H28" s="164"/>
      <c r="I28" s="164"/>
      <c r="J28" s="164"/>
      <c r="K28" s="164"/>
      <c r="L28" s="164"/>
      <c r="M28" s="164"/>
      <c r="N28" s="163"/>
    </row>
    <row r="29" spans="2:14" x14ac:dyDescent="0.2">
      <c r="B29" s="162"/>
      <c r="C29" s="55">
        <f t="shared" si="2"/>
        <v>7.100000000000005</v>
      </c>
      <c r="D29" s="56">
        <f t="shared" si="0"/>
        <v>-44.798881779419986</v>
      </c>
      <c r="E29" s="56">
        <f t="shared" si="1"/>
        <v>-61.56249624417552</v>
      </c>
      <c r="F29" s="164"/>
      <c r="G29" s="164"/>
      <c r="H29" s="164"/>
      <c r="I29" s="164"/>
      <c r="J29" s="164"/>
      <c r="K29" s="164"/>
      <c r="L29" s="164"/>
      <c r="M29" s="164"/>
      <c r="N29" s="163"/>
    </row>
    <row r="30" spans="2:14" x14ac:dyDescent="0.2">
      <c r="B30" s="162"/>
      <c r="C30" s="55">
        <f t="shared" si="2"/>
        <v>7.2500000000000053</v>
      </c>
      <c r="D30" s="56">
        <f t="shared" si="0"/>
        <v>-42.94203275576222</v>
      </c>
      <c r="E30" s="56">
        <f t="shared" si="1"/>
        <v>-59.568608357358855</v>
      </c>
      <c r="F30" s="164"/>
      <c r="G30" s="164"/>
      <c r="H30" s="164"/>
      <c r="I30" s="164"/>
      <c r="J30" s="164"/>
      <c r="K30" s="164"/>
      <c r="L30" s="164"/>
      <c r="M30" s="164"/>
      <c r="N30" s="163"/>
    </row>
    <row r="31" spans="2:14" x14ac:dyDescent="0.2">
      <c r="B31" s="162"/>
      <c r="C31" s="55">
        <f t="shared" si="2"/>
        <v>7.4000000000000057</v>
      </c>
      <c r="D31" s="56">
        <f t="shared" si="0"/>
        <v>-41.06210635409289</v>
      </c>
      <c r="E31" s="56">
        <f t="shared" si="1"/>
        <v>-57.535875723751737</v>
      </c>
      <c r="F31" s="164"/>
      <c r="G31" s="164"/>
      <c r="H31" s="164"/>
      <c r="I31" s="164"/>
      <c r="J31" s="164"/>
      <c r="K31" s="164"/>
      <c r="L31" s="164"/>
      <c r="M31" s="164"/>
      <c r="N31" s="163"/>
    </row>
    <row r="32" spans="2:14" x14ac:dyDescent="0.2">
      <c r="B32" s="162"/>
      <c r="C32" s="55">
        <f t="shared" si="2"/>
        <v>7.550000000000006</v>
      </c>
      <c r="D32" s="56">
        <f t="shared" si="0"/>
        <v>-39.155959275536446</v>
      </c>
      <c r="E32" s="56">
        <f t="shared" si="1"/>
        <v>-55.458662989798533</v>
      </c>
      <c r="F32" s="164"/>
      <c r="G32" s="164"/>
      <c r="H32" s="164"/>
      <c r="I32" s="164"/>
      <c r="J32" s="164"/>
      <c r="K32" s="164"/>
      <c r="L32" s="164"/>
      <c r="M32" s="164"/>
      <c r="N32" s="163"/>
    </row>
    <row r="33" spans="2:14" x14ac:dyDescent="0.2">
      <c r="B33" s="162"/>
      <c r="C33" s="55">
        <f t="shared" si="2"/>
        <v>7.7000000000000064</v>
      </c>
      <c r="D33" s="56">
        <f t="shared" si="0"/>
        <v>-37.220267499797885</v>
      </c>
      <c r="E33" s="56">
        <f t="shared" si="1"/>
        <v>-53.330619500970116</v>
      </c>
      <c r="F33" s="164"/>
      <c r="G33" s="164"/>
      <c r="H33" s="164"/>
      <c r="I33" s="164"/>
      <c r="J33" s="164"/>
      <c r="K33" s="164"/>
      <c r="L33" s="164"/>
      <c r="M33" s="164"/>
      <c r="N33" s="163"/>
    </row>
    <row r="34" spans="2:14" x14ac:dyDescent="0.2">
      <c r="B34" s="162"/>
      <c r="C34" s="55">
        <f t="shared" si="2"/>
        <v>7.8500000000000068</v>
      </c>
      <c r="D34" s="56">
        <f t="shared" si="0"/>
        <v>-35.251501391300224</v>
      </c>
      <c r="E34" s="56">
        <f t="shared" si="1"/>
        <v>-51.144501869116297</v>
      </c>
      <c r="F34" s="164"/>
      <c r="G34" s="164"/>
      <c r="H34" s="164"/>
      <c r="I34" s="164"/>
      <c r="J34" s="164"/>
      <c r="K34" s="164"/>
      <c r="L34" s="164"/>
      <c r="M34" s="164"/>
      <c r="N34" s="163"/>
    </row>
    <row r="35" spans="2:14" x14ac:dyDescent="0.2">
      <c r="B35" s="162"/>
      <c r="C35" s="55">
        <f t="shared" si="2"/>
        <v>8.0000000000000071</v>
      </c>
      <c r="D35" s="56">
        <f t="shared" si="0"/>
        <v>-33.245903287852144</v>
      </c>
      <c r="E35" s="56">
        <f t="shared" si="1"/>
        <v>-48.891941779184506</v>
      </c>
      <c r="F35" s="164"/>
      <c r="G35" s="164"/>
      <c r="H35" s="164"/>
      <c r="I35" s="164"/>
      <c r="J35" s="164"/>
      <c r="K35" s="164"/>
      <c r="L35" s="164"/>
      <c r="M35" s="164"/>
      <c r="N35" s="163"/>
    </row>
    <row r="36" spans="2:14" x14ac:dyDescent="0.2">
      <c r="B36" s="162"/>
      <c r="C36" s="55">
        <f t="shared" si="2"/>
        <v>8.1500000000000075</v>
      </c>
      <c r="D36" s="56">
        <f t="shared" si="0"/>
        <v>-31.199472426707217</v>
      </c>
      <c r="E36" s="56">
        <f t="shared" si="1"/>
        <v>-46.563136131337821</v>
      </c>
      <c r="F36" s="164"/>
      <c r="G36" s="164"/>
      <c r="H36" s="164"/>
      <c r="I36" s="164"/>
      <c r="J36" s="164"/>
      <c r="K36" s="164"/>
      <c r="L36" s="164"/>
      <c r="M36" s="164"/>
      <c r="N36" s="163"/>
    </row>
    <row r="37" spans="2:14" x14ac:dyDescent="0.2">
      <c r="B37" s="162"/>
      <c r="C37" s="55">
        <f t="shared" si="2"/>
        <v>8.3000000000000078</v>
      </c>
      <c r="D37" s="56">
        <f t="shared" si="0"/>
        <v>-29.107966943072157</v>
      </c>
      <c r="E37" s="56">
        <f t="shared" si="1"/>
        <v>-44.146424580000925</v>
      </c>
      <c r="F37" s="164"/>
      <c r="G37" s="164"/>
      <c r="H37" s="164"/>
      <c r="I37" s="164"/>
      <c r="J37" s="164"/>
      <c r="K37" s="164"/>
      <c r="L37" s="164"/>
      <c r="M37" s="164"/>
      <c r="N37" s="163"/>
    </row>
    <row r="38" spans="2:14" x14ac:dyDescent="0.2">
      <c r="B38" s="162"/>
      <c r="C38" s="55">
        <f t="shared" si="2"/>
        <v>8.4500000000000082</v>
      </c>
      <c r="D38" s="56">
        <f t="shared" si="0"/>
        <v>-26.966942223552628</v>
      </c>
      <c r="E38" s="56">
        <f t="shared" si="1"/>
        <v>-41.627699664162911</v>
      </c>
      <c r="F38" s="164"/>
      <c r="G38" s="164"/>
      <c r="H38" s="164"/>
      <c r="I38" s="164"/>
      <c r="J38" s="164"/>
      <c r="K38" s="164"/>
      <c r="L38" s="164"/>
      <c r="M38" s="164"/>
      <c r="N38" s="163"/>
    </row>
    <row r="39" spans="2:14" x14ac:dyDescent="0.2">
      <c r="B39" s="162"/>
      <c r="C39" s="55">
        <f t="shared" si="2"/>
        <v>8.6000000000000085</v>
      </c>
      <c r="D39" s="56">
        <f t="shared" si="0"/>
        <v>-24.771863747570254</v>
      </c>
      <c r="E39" s="56">
        <f t="shared" si="1"/>
        <v>-38.989560870277003</v>
      </c>
      <c r="F39" s="164"/>
      <c r="G39" s="164"/>
      <c r="H39" s="164"/>
      <c r="I39" s="164"/>
      <c r="J39" s="164"/>
      <c r="K39" s="164"/>
      <c r="L39" s="164"/>
      <c r="M39" s="164"/>
      <c r="N39" s="163"/>
    </row>
    <row r="40" spans="2:14" x14ac:dyDescent="0.2">
      <c r="B40" s="162"/>
      <c r="C40" s="55">
        <f t="shared" si="2"/>
        <v>8.7500000000000089</v>
      </c>
      <c r="D40" s="56">
        <f t="shared" si="0"/>
        <v>-22.518370093125213</v>
      </c>
      <c r="E40" s="56">
        <f t="shared" si="1"/>
        <v>-36.210064292859883</v>
      </c>
      <c r="F40" s="164"/>
      <c r="G40" s="164"/>
      <c r="H40" s="164"/>
      <c r="I40" s="164"/>
      <c r="J40" s="164"/>
      <c r="K40" s="164"/>
      <c r="L40" s="164"/>
      <c r="M40" s="164"/>
      <c r="N40" s="163"/>
    </row>
    <row r="41" spans="2:14" x14ac:dyDescent="0.2">
      <c r="B41" s="162"/>
      <c r="C41" s="55">
        <f t="shared" si="2"/>
        <v>8.9000000000000092</v>
      </c>
      <c r="D41" s="56">
        <f t="shared" si="0"/>
        <v>-20.202836902006215</v>
      </c>
      <c r="E41" s="56">
        <f t="shared" si="1"/>
        <v>-33.260810638024232</v>
      </c>
      <c r="F41" s="164"/>
      <c r="G41" s="164"/>
      <c r="H41" s="164"/>
      <c r="I41" s="164"/>
      <c r="J41" s="164"/>
      <c r="K41" s="164"/>
      <c r="L41" s="164"/>
      <c r="M41" s="164"/>
      <c r="N41" s="163"/>
    </row>
    <row r="42" spans="2:14" x14ac:dyDescent="0.2">
      <c r="B42" s="162"/>
      <c r="C42" s="55">
        <f t="shared" si="2"/>
        <v>9.0500000000000096</v>
      </c>
      <c r="D42" s="56">
        <f t="shared" si="0"/>
        <v>-17.823541998466702</v>
      </c>
      <c r="E42" s="56">
        <f t="shared" si="1"/>
        <v>-30.103909200165369</v>
      </c>
      <c r="F42" s="164"/>
      <c r="G42" s="164"/>
      <c r="H42" s="164"/>
      <c r="I42" s="164"/>
      <c r="J42" s="164"/>
      <c r="K42" s="164"/>
      <c r="L42" s="164"/>
      <c r="M42" s="164"/>
      <c r="N42" s="163"/>
    </row>
    <row r="43" spans="2:14" x14ac:dyDescent="0.2">
      <c r="B43" s="162"/>
      <c r="C43" s="55">
        <f t="shared" si="2"/>
        <v>9.2000000000000099</v>
      </c>
      <c r="D43" s="56">
        <f t="shared" si="0"/>
        <v>-15.383019996524499</v>
      </c>
      <c r="E43" s="56">
        <f t="shared" si="1"/>
        <v>-26.686963471320212</v>
      </c>
      <c r="F43" s="164"/>
      <c r="G43" s="164"/>
      <c r="H43" s="164"/>
      <c r="I43" s="164"/>
      <c r="J43" s="164"/>
      <c r="K43" s="164"/>
      <c r="L43" s="164"/>
      <c r="M43" s="164"/>
      <c r="N43" s="163"/>
    </row>
    <row r="44" spans="2:14" x14ac:dyDescent="0.2">
      <c r="B44" s="162"/>
      <c r="C44" s="55">
        <f t="shared" si="2"/>
        <v>9.3500000000000103</v>
      </c>
      <c r="D44" s="56">
        <f t="shared" si="0"/>
        <v>-12.89270178826075</v>
      </c>
      <c r="E44" s="56">
        <f t="shared" si="1"/>
        <v>-22.934511745139027</v>
      </c>
      <c r="F44" s="164"/>
      <c r="G44" s="164"/>
      <c r="H44" s="164"/>
      <c r="I44" s="164"/>
      <c r="J44" s="164"/>
      <c r="K44" s="164"/>
      <c r="L44" s="164"/>
      <c r="M44" s="164"/>
      <c r="N44" s="163"/>
    </row>
    <row r="45" spans="2:14" x14ac:dyDescent="0.2">
      <c r="B45" s="162"/>
      <c r="C45" s="55">
        <f t="shared" si="2"/>
        <v>9.5000000000000107</v>
      </c>
      <c r="D45" s="56">
        <f t="shared" si="0"/>
        <v>-10.381602552823948</v>
      </c>
      <c r="E45" s="56">
        <f t="shared" si="1"/>
        <v>-18.733514483107943</v>
      </c>
      <c r="F45" s="164"/>
      <c r="G45" s="164"/>
      <c r="H45" s="164"/>
      <c r="I45" s="164"/>
      <c r="J45" s="164"/>
      <c r="K45" s="164"/>
      <c r="L45" s="164"/>
      <c r="M45" s="164"/>
      <c r="N45" s="163"/>
    </row>
    <row r="46" spans="2:14" x14ac:dyDescent="0.2">
      <c r="B46" s="162"/>
      <c r="C46" s="55">
        <f t="shared" si="2"/>
        <v>9.650000000000011</v>
      </c>
      <c r="D46" s="56">
        <f t="shared" si="0"/>
        <v>-7.9107401761417853</v>
      </c>
      <c r="E46" s="56">
        <f t="shared" si="1"/>
        <v>-13.914135544413124</v>
      </c>
      <c r="F46" s="164"/>
      <c r="G46" s="164"/>
      <c r="H46" s="164"/>
      <c r="I46" s="164"/>
      <c r="J46" s="164"/>
      <c r="K46" s="164"/>
      <c r="L46" s="164"/>
      <c r="M46" s="164"/>
      <c r="N46" s="163"/>
    </row>
    <row r="47" spans="2:14" x14ac:dyDescent="0.2">
      <c r="B47" s="162"/>
      <c r="C47" s="55">
        <f t="shared" si="2"/>
        <v>9.8000000000000114</v>
      </c>
      <c r="D47" s="56">
        <f t="shared" ref="D47:D78" si="3">-10*LOG(1+(ABS((C47/$D$123)-($D$123/C47))/$E$123)^(2*$D$5))</f>
        <v>-5.5903960601148448</v>
      </c>
      <c r="E47" s="56">
        <f t="shared" ref="E47:E78" si="4">IF(C47/$D$7&lt;1,-10*LOG(1+$D$122*(COSH($D$5*ACOSH((ABS((C47/$D$123)-($D$123/C47))/$E$123))))^2),IF(C47/$D$6&lt;1,-10*LOG(1+$D$122*(COS($D$5*ACOS((ABS((C47/$D$123)-($D$123/C47))/$E$123))))^2),-10*LOG(1+$D$122*(COSH($D$5*ACOSH((ABS((C47/$D$123)-($D$123/C47))/$E$123)))^2))))</f>
        <v>-8.2876650678989492</v>
      </c>
      <c r="F47" s="164"/>
      <c r="G47" s="164"/>
      <c r="H47" s="164"/>
      <c r="I47" s="164"/>
      <c r="J47" s="164"/>
      <c r="K47" s="164"/>
      <c r="L47" s="164"/>
      <c r="M47" s="164"/>
      <c r="N47" s="163"/>
    </row>
    <row r="48" spans="2:14" x14ac:dyDescent="0.2">
      <c r="B48" s="162"/>
      <c r="C48" s="55">
        <f t="shared" ref="C48:C79" si="5">C47+$D$12</f>
        <v>9.9500000000000117</v>
      </c>
      <c r="D48" s="56">
        <f t="shared" si="3"/>
        <v>-3.5813027549728558</v>
      </c>
      <c r="E48" s="56">
        <f t="shared" si="4"/>
        <v>-2.4086589906996503</v>
      </c>
      <c r="F48" s="164"/>
      <c r="G48" s="164"/>
      <c r="H48" s="164"/>
      <c r="I48" s="164"/>
      <c r="J48" s="164"/>
      <c r="K48" s="164"/>
      <c r="L48" s="164"/>
      <c r="M48" s="164"/>
      <c r="N48" s="163"/>
    </row>
    <row r="49" spans="2:14" x14ac:dyDescent="0.2">
      <c r="B49" s="162"/>
      <c r="C49" s="55">
        <f t="shared" si="5"/>
        <v>10.100000000000012</v>
      </c>
      <c r="D49" s="56">
        <f t="shared" si="3"/>
        <v>-2.0428596089565159</v>
      </c>
      <c r="E49" s="56">
        <f t="shared" si="4"/>
        <v>-1.6853054680135012E-4</v>
      </c>
      <c r="F49" s="164"/>
      <c r="G49" s="164"/>
      <c r="H49" s="164"/>
      <c r="I49" s="164"/>
      <c r="J49" s="164"/>
      <c r="K49" s="164"/>
      <c r="L49" s="164"/>
      <c r="M49" s="164"/>
      <c r="N49" s="163"/>
    </row>
    <row r="50" spans="2:14" x14ac:dyDescent="0.2">
      <c r="B50" s="162"/>
      <c r="C50" s="55">
        <f t="shared" si="5"/>
        <v>10.250000000000012</v>
      </c>
      <c r="D50" s="56">
        <f t="shared" si="3"/>
        <v>-1.0333410222739845</v>
      </c>
      <c r="E50" s="56">
        <f t="shared" si="4"/>
        <v>-0.67491029365787036</v>
      </c>
      <c r="F50" s="164"/>
      <c r="G50" s="164"/>
      <c r="H50" s="164"/>
      <c r="I50" s="164"/>
      <c r="J50" s="164"/>
      <c r="K50" s="164"/>
      <c r="L50" s="164"/>
      <c r="M50" s="164"/>
      <c r="N50" s="163"/>
    </row>
    <row r="51" spans="2:14" x14ac:dyDescent="0.2">
      <c r="B51" s="162"/>
      <c r="C51" s="55">
        <f t="shared" si="5"/>
        <v>10.400000000000013</v>
      </c>
      <c r="D51" s="56">
        <f t="shared" si="3"/>
        <v>-0.46780764042999246</v>
      </c>
      <c r="E51" s="56">
        <f t="shared" si="4"/>
        <v>-0.99876088483754333</v>
      </c>
      <c r="F51" s="164"/>
      <c r="G51" s="164"/>
      <c r="H51" s="164"/>
      <c r="I51" s="164"/>
      <c r="J51" s="164"/>
      <c r="K51" s="164"/>
      <c r="L51" s="164"/>
      <c r="M51" s="164"/>
      <c r="N51" s="163"/>
    </row>
    <row r="52" spans="2:14" x14ac:dyDescent="0.2">
      <c r="B52" s="162"/>
      <c r="C52" s="55">
        <f t="shared" si="5"/>
        <v>10.550000000000013</v>
      </c>
      <c r="D52" s="56">
        <f t="shared" si="3"/>
        <v>-0.19176322268848134</v>
      </c>
      <c r="E52" s="56">
        <f t="shared" si="4"/>
        <v>-0.7104726672542</v>
      </c>
      <c r="F52" s="164"/>
      <c r="G52" s="164"/>
      <c r="H52" s="164"/>
      <c r="I52" s="164"/>
      <c r="J52" s="164"/>
      <c r="K52" s="164"/>
      <c r="L52" s="164"/>
      <c r="M52" s="164"/>
      <c r="N52" s="163"/>
    </row>
    <row r="53" spans="2:14" x14ac:dyDescent="0.2">
      <c r="B53" s="162"/>
      <c r="C53" s="55">
        <f t="shared" si="5"/>
        <v>10.700000000000014</v>
      </c>
      <c r="D53" s="56">
        <f t="shared" si="3"/>
        <v>-7.1478329775766583E-2</v>
      </c>
      <c r="E53" s="56">
        <f t="shared" si="4"/>
        <v>-0.23992253042053299</v>
      </c>
      <c r="F53" s="164"/>
      <c r="G53" s="164"/>
      <c r="H53" s="164"/>
      <c r="I53" s="164"/>
      <c r="J53" s="164"/>
      <c r="K53" s="164"/>
      <c r="L53" s="164"/>
      <c r="M53" s="164"/>
      <c r="N53" s="163"/>
    </row>
    <row r="54" spans="2:14" x14ac:dyDescent="0.2">
      <c r="B54" s="162"/>
      <c r="C54" s="55">
        <f t="shared" si="5"/>
        <v>10.850000000000014</v>
      </c>
      <c r="D54" s="56">
        <f t="shared" si="3"/>
        <v>-2.4075839306720449E-2</v>
      </c>
      <c r="E54" s="56">
        <f t="shared" si="4"/>
        <v>-2.2339742968879662E-3</v>
      </c>
      <c r="F54" s="164"/>
      <c r="G54" s="164"/>
      <c r="H54" s="164"/>
      <c r="I54" s="164"/>
      <c r="J54" s="164"/>
      <c r="K54" s="164"/>
      <c r="L54" s="164"/>
      <c r="M54" s="164"/>
      <c r="N54" s="163"/>
    </row>
    <row r="55" spans="2:14" x14ac:dyDescent="0.2">
      <c r="B55" s="162"/>
      <c r="C55" s="55">
        <f t="shared" si="5"/>
        <v>11.000000000000014</v>
      </c>
      <c r="D55" s="56">
        <f t="shared" si="3"/>
        <v>-7.2073726412988388E-3</v>
      </c>
      <c r="E55" s="56">
        <f t="shared" si="4"/>
        <v>-0.14071209649993086</v>
      </c>
      <c r="F55" s="164"/>
      <c r="G55" s="164"/>
      <c r="H55" s="164"/>
      <c r="I55" s="164"/>
      <c r="J55" s="164"/>
      <c r="K55" s="164"/>
      <c r="L55" s="164"/>
      <c r="M55" s="164"/>
      <c r="N55" s="163"/>
    </row>
    <row r="56" spans="2:14" x14ac:dyDescent="0.2">
      <c r="B56" s="162"/>
      <c r="C56" s="55">
        <f t="shared" si="5"/>
        <v>11.150000000000015</v>
      </c>
      <c r="D56" s="56">
        <f t="shared" si="3"/>
        <v>-1.8653902401000845E-3</v>
      </c>
      <c r="E56" s="56">
        <f t="shared" si="4"/>
        <v>-0.49169346666635871</v>
      </c>
      <c r="F56" s="164"/>
      <c r="G56" s="164"/>
      <c r="H56" s="164"/>
      <c r="I56" s="164"/>
      <c r="J56" s="164"/>
      <c r="K56" s="164"/>
      <c r="L56" s="164"/>
      <c r="M56" s="164"/>
      <c r="N56" s="163"/>
    </row>
    <row r="57" spans="2:14" x14ac:dyDescent="0.2">
      <c r="B57" s="162"/>
      <c r="C57" s="55">
        <f t="shared" si="5"/>
        <v>11.300000000000015</v>
      </c>
      <c r="D57" s="56">
        <f t="shared" si="3"/>
        <v>-4.0019856391072708E-4</v>
      </c>
      <c r="E57" s="56">
        <f t="shared" si="4"/>
        <v>-0.82116036359191125</v>
      </c>
      <c r="F57" s="164"/>
      <c r="G57" s="164"/>
      <c r="H57" s="164"/>
      <c r="I57" s="164"/>
      <c r="J57" s="164"/>
      <c r="K57" s="164"/>
      <c r="L57" s="164"/>
      <c r="M57" s="164"/>
      <c r="N57" s="163"/>
    </row>
    <row r="58" spans="2:14" x14ac:dyDescent="0.2">
      <c r="B58" s="162"/>
      <c r="C58" s="55">
        <f t="shared" si="5"/>
        <v>11.450000000000015</v>
      </c>
      <c r="D58" s="56">
        <f t="shared" si="3"/>
        <v>-6.6691365053709296E-5</v>
      </c>
      <c r="E58" s="56">
        <f t="shared" si="4"/>
        <v>-0.98898955532177857</v>
      </c>
      <c r="F58" s="164"/>
      <c r="G58" s="164"/>
      <c r="H58" s="164"/>
      <c r="I58" s="164"/>
      <c r="J58" s="164"/>
      <c r="K58" s="164"/>
      <c r="L58" s="164"/>
      <c r="M58" s="164"/>
      <c r="N58" s="163"/>
    </row>
    <row r="59" spans="2:14" x14ac:dyDescent="0.2">
      <c r="B59" s="162"/>
      <c r="C59" s="55">
        <f t="shared" si="5"/>
        <v>11.600000000000016</v>
      </c>
      <c r="D59" s="56">
        <f t="shared" si="3"/>
        <v>-7.7620591441373275E-6</v>
      </c>
      <c r="E59" s="56">
        <f t="shared" si="4"/>
        <v>-0.9558896174899888</v>
      </c>
      <c r="F59" s="164"/>
      <c r="G59" s="164"/>
      <c r="H59" s="164"/>
      <c r="I59" s="164"/>
      <c r="J59" s="164"/>
      <c r="K59" s="164"/>
      <c r="L59" s="164"/>
      <c r="M59" s="164"/>
      <c r="N59" s="163"/>
    </row>
    <row r="60" spans="2:14" x14ac:dyDescent="0.2">
      <c r="B60" s="162"/>
      <c r="C60" s="55">
        <f t="shared" si="5"/>
        <v>11.750000000000016</v>
      </c>
      <c r="D60" s="56">
        <f t="shared" si="3"/>
        <v>-5.2100203799307725E-7</v>
      </c>
      <c r="E60" s="56">
        <f t="shared" si="4"/>
        <v>-0.75077086020750206</v>
      </c>
      <c r="F60" s="164"/>
      <c r="G60" s="164"/>
      <c r="H60" s="164"/>
      <c r="I60" s="164"/>
      <c r="J60" s="164"/>
      <c r="K60" s="164"/>
      <c r="L60" s="164"/>
      <c r="M60" s="164"/>
      <c r="N60" s="163"/>
    </row>
    <row r="61" spans="2:14" x14ac:dyDescent="0.2">
      <c r="B61" s="162"/>
      <c r="C61" s="55">
        <f t="shared" si="5"/>
        <v>11.900000000000016</v>
      </c>
      <c r="D61" s="56">
        <f t="shared" si="3"/>
        <v>-1.3496907530143357E-8</v>
      </c>
      <c r="E61" s="56">
        <f t="shared" si="4"/>
        <v>-0.45068082457490233</v>
      </c>
      <c r="F61" s="164"/>
      <c r="G61" s="164"/>
      <c r="H61" s="164"/>
      <c r="I61" s="164"/>
      <c r="J61" s="164"/>
      <c r="K61" s="164"/>
      <c r="L61" s="164"/>
      <c r="M61" s="164"/>
      <c r="N61" s="163"/>
    </row>
    <row r="62" spans="2:14" x14ac:dyDescent="0.2">
      <c r="B62" s="162"/>
      <c r="C62" s="55">
        <f t="shared" si="5"/>
        <v>12.050000000000017</v>
      </c>
      <c r="D62" s="56">
        <f t="shared" si="3"/>
        <v>-4.4500819598806549E-11</v>
      </c>
      <c r="E62" s="56">
        <f t="shared" si="4"/>
        <v>-0.16614333536745438</v>
      </c>
      <c r="F62" s="164"/>
      <c r="G62" s="164"/>
      <c r="H62" s="164"/>
      <c r="I62" s="164"/>
      <c r="J62" s="164"/>
      <c r="K62" s="164"/>
      <c r="L62" s="164"/>
      <c r="M62" s="164"/>
      <c r="N62" s="163"/>
    </row>
    <row r="63" spans="2:14" x14ac:dyDescent="0.2">
      <c r="B63" s="162"/>
      <c r="C63" s="55">
        <f t="shared" si="5"/>
        <v>12.200000000000017</v>
      </c>
      <c r="D63" s="56">
        <f t="shared" si="3"/>
        <v>0</v>
      </c>
      <c r="E63" s="56">
        <f t="shared" si="4"/>
        <v>-1.0124929452960335E-2</v>
      </c>
      <c r="F63" s="164"/>
      <c r="G63" s="164"/>
      <c r="H63" s="164"/>
      <c r="I63" s="164"/>
      <c r="J63" s="164"/>
      <c r="K63" s="164"/>
      <c r="L63" s="164"/>
      <c r="M63" s="164"/>
      <c r="N63" s="163"/>
    </row>
    <row r="64" spans="2:14" x14ac:dyDescent="0.2">
      <c r="B64" s="162"/>
      <c r="C64" s="55">
        <f t="shared" si="5"/>
        <v>12.350000000000017</v>
      </c>
      <c r="D64" s="56">
        <f t="shared" si="3"/>
        <v>-5.5930993060090292E-14</v>
      </c>
      <c r="E64" s="56">
        <f t="shared" si="4"/>
        <v>-4.604407429540109E-2</v>
      </c>
      <c r="F64" s="164"/>
      <c r="G64" s="164"/>
      <c r="H64" s="164"/>
      <c r="I64" s="164"/>
      <c r="J64" s="164"/>
      <c r="K64" s="164"/>
      <c r="L64" s="164"/>
      <c r="M64" s="164"/>
      <c r="N64" s="163"/>
    </row>
    <row r="65" spans="2:14" x14ac:dyDescent="0.2">
      <c r="B65" s="162"/>
      <c r="C65" s="55">
        <f t="shared" si="5"/>
        <v>12.500000000000018</v>
      </c>
      <c r="D65" s="56">
        <f t="shared" si="3"/>
        <v>-4.3429451781522366E-10</v>
      </c>
      <c r="E65" s="56">
        <f t="shared" si="4"/>
        <v>-0.25181373892583397</v>
      </c>
      <c r="F65" s="164"/>
      <c r="G65" s="164"/>
      <c r="H65" s="164"/>
      <c r="I65" s="164"/>
      <c r="J65" s="164"/>
      <c r="K65" s="164"/>
      <c r="L65" s="164"/>
      <c r="M65" s="164"/>
      <c r="N65" s="163"/>
    </row>
    <row r="66" spans="2:14" x14ac:dyDescent="0.2">
      <c r="B66" s="162"/>
      <c r="C66" s="55">
        <f t="shared" si="5"/>
        <v>12.650000000000018</v>
      </c>
      <c r="D66" s="56">
        <f t="shared" si="3"/>
        <v>-4.334506519944646E-8</v>
      </c>
      <c r="E66" s="56">
        <f t="shared" si="4"/>
        <v>-0.53890922013988818</v>
      </c>
      <c r="F66" s="164"/>
      <c r="G66" s="164"/>
      <c r="H66" s="164"/>
      <c r="I66" s="164"/>
      <c r="J66" s="164"/>
      <c r="K66" s="164"/>
      <c r="L66" s="164"/>
      <c r="M66" s="164"/>
      <c r="N66" s="163"/>
    </row>
    <row r="67" spans="2:14" x14ac:dyDescent="0.2">
      <c r="B67" s="162"/>
      <c r="C67" s="55">
        <f t="shared" si="5"/>
        <v>12.800000000000018</v>
      </c>
      <c r="D67" s="56">
        <f t="shared" si="3"/>
        <v>-9.7128218695610801E-7</v>
      </c>
      <c r="E67" s="56">
        <f t="shared" si="4"/>
        <v>-0.80450915942715462</v>
      </c>
      <c r="F67" s="164"/>
      <c r="G67" s="164"/>
      <c r="H67" s="164"/>
      <c r="I67" s="164"/>
      <c r="J67" s="164"/>
      <c r="K67" s="164"/>
      <c r="L67" s="164"/>
      <c r="M67" s="164"/>
      <c r="N67" s="163"/>
    </row>
    <row r="68" spans="2:14" x14ac:dyDescent="0.2">
      <c r="B68" s="162"/>
      <c r="C68" s="55">
        <f t="shared" si="5"/>
        <v>12.950000000000019</v>
      </c>
      <c r="D68" s="56">
        <f t="shared" si="3"/>
        <v>-1.0132861526291161E-5</v>
      </c>
      <c r="E68" s="56">
        <f t="shared" si="4"/>
        <v>-0.9692864506422485</v>
      </c>
      <c r="F68" s="164"/>
      <c r="G68" s="164"/>
      <c r="H68" s="164"/>
      <c r="I68" s="164"/>
      <c r="J68" s="164"/>
      <c r="K68" s="164"/>
      <c r="L68" s="164"/>
      <c r="M68" s="164"/>
      <c r="N68" s="163"/>
    </row>
    <row r="69" spans="2:14" x14ac:dyDescent="0.2">
      <c r="B69" s="162"/>
      <c r="C69" s="55">
        <f t="shared" si="5"/>
        <v>13.100000000000019</v>
      </c>
      <c r="D69" s="56">
        <f t="shared" si="3"/>
        <v>-6.6361418726552669E-5</v>
      </c>
      <c r="E69" s="56">
        <f t="shared" si="4"/>
        <v>-0.98916010588089798</v>
      </c>
      <c r="F69" s="164"/>
      <c r="G69" s="164"/>
      <c r="H69" s="164"/>
      <c r="I69" s="164"/>
      <c r="J69" s="164"/>
      <c r="K69" s="164"/>
      <c r="L69" s="164"/>
      <c r="M69" s="164"/>
      <c r="N69" s="163"/>
    </row>
    <row r="70" spans="2:14" x14ac:dyDescent="0.2">
      <c r="B70" s="162"/>
      <c r="C70" s="55">
        <f t="shared" si="5"/>
        <v>13.25000000000002</v>
      </c>
      <c r="D70" s="56">
        <f t="shared" si="3"/>
        <v>-3.1764560910342349E-4</v>
      </c>
      <c r="E70" s="56">
        <f t="shared" si="4"/>
        <v>-0.85581150576427223</v>
      </c>
      <c r="F70" s="164"/>
      <c r="G70" s="164"/>
      <c r="H70" s="164"/>
      <c r="I70" s="164"/>
      <c r="J70" s="164"/>
      <c r="K70" s="164"/>
      <c r="L70" s="164"/>
      <c r="M70" s="164"/>
      <c r="N70" s="163"/>
    </row>
    <row r="71" spans="2:14" x14ac:dyDescent="0.2">
      <c r="B71" s="162"/>
      <c r="C71" s="55">
        <f t="shared" si="5"/>
        <v>13.40000000000002</v>
      </c>
      <c r="D71" s="56">
        <f t="shared" si="3"/>
        <v>-1.2134444729952453E-3</v>
      </c>
      <c r="E71" s="56">
        <f t="shared" si="4"/>
        <v>-0.59913826627095668</v>
      </c>
      <c r="F71" s="164"/>
      <c r="G71" s="164"/>
      <c r="H71" s="164"/>
      <c r="I71" s="164"/>
      <c r="J71" s="164"/>
      <c r="K71" s="164"/>
      <c r="L71" s="164"/>
      <c r="M71" s="164"/>
      <c r="N71" s="163"/>
    </row>
    <row r="72" spans="2:14" x14ac:dyDescent="0.2">
      <c r="B72" s="162"/>
      <c r="C72" s="55">
        <f t="shared" si="5"/>
        <v>13.55000000000002</v>
      </c>
      <c r="D72" s="56">
        <f t="shared" si="3"/>
        <v>-3.9103144524883157E-3</v>
      </c>
      <c r="E72" s="56">
        <f t="shared" si="4"/>
        <v>-0.29383506082013949</v>
      </c>
      <c r="F72" s="164"/>
      <c r="G72" s="164"/>
      <c r="H72" s="164"/>
      <c r="I72" s="164"/>
      <c r="J72" s="164"/>
      <c r="K72" s="164"/>
      <c r="L72" s="164"/>
      <c r="M72" s="164"/>
      <c r="N72" s="163"/>
    </row>
    <row r="73" spans="2:14" x14ac:dyDescent="0.2">
      <c r="B73" s="162"/>
      <c r="C73" s="55">
        <f t="shared" si="5"/>
        <v>13.700000000000021</v>
      </c>
      <c r="D73" s="56">
        <f t="shared" si="3"/>
        <v>-1.1030325738477852E-2</v>
      </c>
      <c r="E73" s="56">
        <f t="shared" si="4"/>
        <v>-5.7298542076158886E-2</v>
      </c>
      <c r="F73" s="164"/>
      <c r="G73" s="164"/>
      <c r="H73" s="164"/>
      <c r="I73" s="164"/>
      <c r="J73" s="164"/>
      <c r="K73" s="164"/>
      <c r="L73" s="164"/>
      <c r="M73" s="164"/>
      <c r="N73" s="163"/>
    </row>
    <row r="74" spans="2:14" x14ac:dyDescent="0.2">
      <c r="B74" s="162"/>
      <c r="C74" s="55">
        <f t="shared" si="5"/>
        <v>13.850000000000021</v>
      </c>
      <c r="D74" s="56">
        <f t="shared" si="3"/>
        <v>-2.7943994258074499E-2</v>
      </c>
      <c r="E74" s="56">
        <f t="shared" si="4"/>
        <v>-1.1316538776248769E-2</v>
      </c>
      <c r="F74" s="164"/>
      <c r="G74" s="164"/>
      <c r="H74" s="164"/>
      <c r="I74" s="164"/>
      <c r="J74" s="164"/>
      <c r="K74" s="164"/>
      <c r="L74" s="164"/>
      <c r="M74" s="164"/>
      <c r="N74" s="163"/>
    </row>
    <row r="75" spans="2:14" x14ac:dyDescent="0.2">
      <c r="B75" s="162"/>
      <c r="C75" s="55">
        <f t="shared" si="5"/>
        <v>14.000000000000021</v>
      </c>
      <c r="D75" s="56">
        <f t="shared" si="3"/>
        <v>-6.473534104880678E-2</v>
      </c>
      <c r="E75" s="56">
        <f t="shared" si="4"/>
        <v>-0.20228380987999564</v>
      </c>
      <c r="F75" s="164"/>
      <c r="G75" s="164"/>
      <c r="H75" s="164"/>
      <c r="I75" s="164"/>
      <c r="J75" s="164"/>
      <c r="K75" s="164"/>
      <c r="L75" s="164"/>
      <c r="M75" s="164"/>
      <c r="N75" s="163"/>
    </row>
    <row r="76" spans="2:14" x14ac:dyDescent="0.2">
      <c r="B76" s="162"/>
      <c r="C76" s="55">
        <f t="shared" si="5"/>
        <v>14.150000000000022</v>
      </c>
      <c r="D76" s="56">
        <f t="shared" si="3"/>
        <v>-0.13884882412859595</v>
      </c>
      <c r="E76" s="56">
        <f t="shared" si="4"/>
        <v>-0.54808188294930638</v>
      </c>
      <c r="F76" s="164"/>
      <c r="G76" s="164"/>
      <c r="H76" s="164"/>
      <c r="I76" s="164"/>
      <c r="J76" s="164"/>
      <c r="K76" s="164"/>
      <c r="L76" s="164"/>
      <c r="M76" s="164"/>
      <c r="N76" s="163"/>
    </row>
    <row r="77" spans="2:14" x14ac:dyDescent="0.2">
      <c r="B77" s="162"/>
      <c r="C77" s="55">
        <f t="shared" si="5"/>
        <v>14.300000000000022</v>
      </c>
      <c r="D77" s="56">
        <f t="shared" si="3"/>
        <v>-0.27792128276755029</v>
      </c>
      <c r="E77" s="56">
        <f t="shared" si="4"/>
        <v>-0.87555618127138968</v>
      </c>
      <c r="F77" s="164"/>
      <c r="G77" s="164"/>
      <c r="H77" s="164"/>
      <c r="I77" s="164"/>
      <c r="J77" s="164"/>
      <c r="K77" s="164"/>
      <c r="L77" s="164"/>
      <c r="M77" s="164"/>
      <c r="N77" s="163"/>
    </row>
    <row r="78" spans="2:14" x14ac:dyDescent="0.2">
      <c r="B78" s="162"/>
      <c r="C78" s="55">
        <f t="shared" si="5"/>
        <v>14.450000000000022</v>
      </c>
      <c r="D78" s="56">
        <f t="shared" si="3"/>
        <v>-0.52124377148592904</v>
      </c>
      <c r="E78" s="56">
        <f t="shared" si="4"/>
        <v>-0.99845732083963457</v>
      </c>
      <c r="F78" s="164"/>
      <c r="G78" s="164"/>
      <c r="H78" s="164"/>
      <c r="I78" s="164"/>
      <c r="J78" s="164"/>
      <c r="K78" s="164"/>
      <c r="L78" s="164"/>
      <c r="M78" s="164"/>
      <c r="N78" s="163"/>
    </row>
    <row r="79" spans="2:14" x14ac:dyDescent="0.2">
      <c r="B79" s="162"/>
      <c r="C79" s="55">
        <f t="shared" si="5"/>
        <v>14.600000000000023</v>
      </c>
      <c r="D79" s="56">
        <f t="shared" ref="D79:D110" si="6">-10*LOG(1+(ABS((C79/$D$123)-($D$123/C79))/$E$123)^(2*$D$5))</f>
        <v>-0.91690698189043529</v>
      </c>
      <c r="E79" s="56">
        <f t="shared" ref="E79:E115" si="7">IF(C79/$D$7&lt;1,-10*LOG(1+$D$122*(COSH($D$5*ACOSH((ABS((C79/$D$123)-($D$123/C79))/$E$123))))^2),IF(C79/$D$6&lt;1,-10*LOG(1+$D$122*(COS($D$5*ACOS((ABS((C79/$D$123)-($D$123/C79))/$E$123))))^2),-10*LOG(1+$D$122*(COSH($D$5*ACOSH((ABS((C79/$D$123)-($D$123/C79))/$E$123)))^2))))</f>
        <v>-0.77738899826959029</v>
      </c>
      <c r="F79" s="164"/>
      <c r="G79" s="164"/>
      <c r="H79" s="164"/>
      <c r="I79" s="164"/>
      <c r="J79" s="164"/>
      <c r="K79" s="164"/>
      <c r="L79" s="164"/>
      <c r="M79" s="164"/>
      <c r="N79" s="163"/>
    </row>
    <row r="80" spans="2:14" x14ac:dyDescent="0.2">
      <c r="B80" s="162"/>
      <c r="C80" s="55">
        <f t="shared" ref="C80:C115" si="8">C79+$D$12</f>
        <v>14.750000000000023</v>
      </c>
      <c r="D80" s="56">
        <f t="shared" si="6"/>
        <v>-1.5116420733193063</v>
      </c>
      <c r="E80" s="56">
        <f t="shared" si="7"/>
        <v>-0.24390792601819855</v>
      </c>
      <c r="F80" s="164"/>
      <c r="G80" s="164"/>
      <c r="H80" s="164"/>
      <c r="I80" s="164"/>
      <c r="J80" s="164"/>
      <c r="K80" s="164"/>
      <c r="L80" s="164"/>
      <c r="M80" s="164"/>
      <c r="N80" s="163"/>
    </row>
    <row r="81" spans="2:14" x14ac:dyDescent="0.2">
      <c r="B81" s="162"/>
      <c r="C81" s="55">
        <f t="shared" si="8"/>
        <v>14.900000000000023</v>
      </c>
      <c r="D81" s="56">
        <f t="shared" si="6"/>
        <v>-2.3345609831370413</v>
      </c>
      <c r="E81" s="56">
        <f t="shared" si="7"/>
        <v>-8.1814979316222405E-2</v>
      </c>
      <c r="F81" s="164"/>
      <c r="G81" s="164"/>
      <c r="H81" s="164"/>
      <c r="I81" s="164"/>
      <c r="J81" s="164"/>
      <c r="K81" s="164"/>
      <c r="L81" s="164"/>
      <c r="M81" s="164"/>
      <c r="N81" s="163"/>
    </row>
    <row r="82" spans="2:14" x14ac:dyDescent="0.2">
      <c r="B82" s="162"/>
      <c r="C82" s="55">
        <f t="shared" si="8"/>
        <v>15.050000000000024</v>
      </c>
      <c r="D82" s="56">
        <f t="shared" si="6"/>
        <v>-3.3835324077611979</v>
      </c>
      <c r="E82" s="56">
        <f t="shared" si="7"/>
        <v>-1.8758987111359047</v>
      </c>
      <c r="F82" s="164"/>
      <c r="G82" s="164"/>
      <c r="H82" s="164"/>
      <c r="I82" s="164"/>
      <c r="J82" s="164"/>
      <c r="K82" s="164"/>
      <c r="L82" s="164"/>
      <c r="M82" s="164"/>
      <c r="N82" s="163"/>
    </row>
    <row r="83" spans="2:14" x14ac:dyDescent="0.2">
      <c r="B83" s="162"/>
      <c r="C83" s="55">
        <f t="shared" si="8"/>
        <v>15.200000000000024</v>
      </c>
      <c r="D83" s="56">
        <f t="shared" si="6"/>
        <v>-4.6246666266830623</v>
      </c>
      <c r="E83" s="56">
        <f t="shared" si="7"/>
        <v>-5.5059718605680628</v>
      </c>
      <c r="F83" s="164"/>
      <c r="G83" s="164"/>
      <c r="H83" s="164"/>
      <c r="I83" s="164"/>
      <c r="J83" s="164"/>
      <c r="K83" s="164"/>
      <c r="L83" s="164"/>
      <c r="M83" s="164"/>
      <c r="N83" s="163"/>
    </row>
    <row r="84" spans="2:14" x14ac:dyDescent="0.2">
      <c r="B84" s="162"/>
      <c r="C84" s="55">
        <f t="shared" si="8"/>
        <v>15.350000000000025</v>
      </c>
      <c r="D84" s="56">
        <f t="shared" si="6"/>
        <v>-6.0054133735474231</v>
      </c>
      <c r="E84" s="56">
        <f t="shared" si="7"/>
        <v>-9.4009477554645109</v>
      </c>
      <c r="F84" s="164"/>
      <c r="G84" s="164"/>
      <c r="H84" s="164"/>
      <c r="I84" s="164"/>
      <c r="J84" s="164"/>
      <c r="K84" s="164"/>
      <c r="L84" s="164"/>
      <c r="M84" s="164"/>
      <c r="N84" s="163"/>
    </row>
    <row r="85" spans="2:14" x14ac:dyDescent="0.2">
      <c r="B85" s="162"/>
      <c r="C85" s="55">
        <f t="shared" si="8"/>
        <v>15.500000000000025</v>
      </c>
      <c r="D85" s="56">
        <f t="shared" si="6"/>
        <v>-7.4711819693343884</v>
      </c>
      <c r="E85" s="56">
        <f t="shared" si="7"/>
        <v>-12.949554627667712</v>
      </c>
      <c r="F85" s="164"/>
      <c r="G85" s="164"/>
      <c r="H85" s="164"/>
      <c r="I85" s="164"/>
      <c r="J85" s="164"/>
      <c r="K85" s="164"/>
      <c r="L85" s="164"/>
      <c r="M85" s="164"/>
      <c r="N85" s="163"/>
    </row>
    <row r="86" spans="2:14" x14ac:dyDescent="0.2">
      <c r="B86" s="162"/>
      <c r="C86" s="55">
        <f t="shared" si="8"/>
        <v>15.650000000000025</v>
      </c>
      <c r="D86" s="56">
        <f t="shared" si="6"/>
        <v>-8.9762632737305719</v>
      </c>
      <c r="E86" s="56">
        <f t="shared" si="7"/>
        <v>-16.102805319135118</v>
      </c>
      <c r="F86" s="164"/>
      <c r="G86" s="164"/>
      <c r="H86" s="164"/>
      <c r="I86" s="164"/>
      <c r="J86" s="164"/>
      <c r="K86" s="164"/>
      <c r="L86" s="164"/>
      <c r="M86" s="164"/>
      <c r="N86" s="163"/>
    </row>
    <row r="87" spans="2:14" x14ac:dyDescent="0.2">
      <c r="B87" s="162"/>
      <c r="C87" s="55">
        <f t="shared" si="8"/>
        <v>15.800000000000026</v>
      </c>
      <c r="D87" s="56">
        <f t="shared" si="6"/>
        <v>-10.487318226299482</v>
      </c>
      <c r="E87" s="56">
        <f t="shared" si="7"/>
        <v>-18.921850118406013</v>
      </c>
      <c r="F87" s="164"/>
      <c r="G87" s="164"/>
      <c r="H87" s="164"/>
      <c r="I87" s="164"/>
      <c r="J87" s="164"/>
      <c r="K87" s="164"/>
      <c r="L87" s="164"/>
      <c r="M87" s="164"/>
      <c r="N87" s="163"/>
    </row>
    <row r="88" spans="2:14" x14ac:dyDescent="0.2">
      <c r="B88" s="162"/>
      <c r="C88" s="55">
        <f t="shared" si="8"/>
        <v>15.950000000000026</v>
      </c>
      <c r="D88" s="56">
        <f t="shared" si="6"/>
        <v>-11.982265435741136</v>
      </c>
      <c r="E88" s="56">
        <f t="shared" si="7"/>
        <v>-21.470614419421061</v>
      </c>
      <c r="F88" s="164"/>
      <c r="G88" s="164"/>
      <c r="H88" s="164"/>
      <c r="I88" s="164"/>
      <c r="J88" s="164"/>
      <c r="K88" s="164"/>
      <c r="L88" s="164"/>
      <c r="M88" s="164"/>
      <c r="N88" s="163"/>
    </row>
    <row r="89" spans="2:14" x14ac:dyDescent="0.2">
      <c r="B89" s="162"/>
      <c r="C89" s="55">
        <f t="shared" si="8"/>
        <v>16.100000000000026</v>
      </c>
      <c r="D89" s="56">
        <f t="shared" si="6"/>
        <v>-13.447577712302445</v>
      </c>
      <c r="E89" s="56">
        <f t="shared" si="7"/>
        <v>-23.79975453206567</v>
      </c>
      <c r="F89" s="164"/>
      <c r="G89" s="164"/>
      <c r="H89" s="164"/>
      <c r="I89" s="164"/>
      <c r="J89" s="164"/>
      <c r="K89" s="164"/>
      <c r="L89" s="164"/>
      <c r="M89" s="164"/>
      <c r="N89" s="163"/>
    </row>
    <row r="90" spans="2:14" x14ac:dyDescent="0.2">
      <c r="B90" s="162"/>
      <c r="C90" s="55">
        <f t="shared" si="8"/>
        <v>16.250000000000025</v>
      </c>
      <c r="D90" s="56">
        <f t="shared" si="6"/>
        <v>-14.875628075887487</v>
      </c>
      <c r="E90" s="56">
        <f t="shared" si="7"/>
        <v>-25.947611735062999</v>
      </c>
      <c r="F90" s="164"/>
      <c r="G90" s="164"/>
      <c r="H90" s="164"/>
      <c r="I90" s="164"/>
      <c r="J90" s="164"/>
      <c r="K90" s="164"/>
      <c r="L90" s="164"/>
      <c r="M90" s="164"/>
      <c r="N90" s="163"/>
    </row>
    <row r="91" spans="2:14" x14ac:dyDescent="0.2">
      <c r="B91" s="162"/>
      <c r="C91" s="55">
        <f t="shared" si="8"/>
        <v>16.400000000000023</v>
      </c>
      <c r="D91" s="56">
        <f t="shared" si="6"/>
        <v>-16.262632152799057</v>
      </c>
      <c r="E91" s="56">
        <f t="shared" si="7"/>
        <v>-27.943281187211902</v>
      </c>
      <c r="F91" s="164"/>
      <c r="G91" s="164"/>
      <c r="H91" s="164"/>
      <c r="I91" s="164"/>
      <c r="J91" s="164"/>
      <c r="K91" s="164"/>
      <c r="L91" s="164"/>
      <c r="M91" s="164"/>
      <c r="N91" s="163"/>
    </row>
    <row r="92" spans="2:14" x14ac:dyDescent="0.2">
      <c r="B92" s="162"/>
      <c r="C92" s="55">
        <f t="shared" si="8"/>
        <v>16.550000000000022</v>
      </c>
      <c r="D92" s="56">
        <f t="shared" si="6"/>
        <v>-17.607214405955148</v>
      </c>
      <c r="E92" s="56">
        <f t="shared" si="7"/>
        <v>-29.809188625496063</v>
      </c>
      <c r="F92" s="164"/>
      <c r="G92" s="164"/>
      <c r="H92" s="164"/>
      <c r="I92" s="164"/>
      <c r="J92" s="164"/>
      <c r="K92" s="164"/>
      <c r="L92" s="164"/>
      <c r="M92" s="164"/>
      <c r="N92" s="163"/>
    </row>
    <row r="93" spans="2:14" x14ac:dyDescent="0.2">
      <c r="B93" s="162"/>
      <c r="C93" s="55">
        <f t="shared" si="8"/>
        <v>16.700000000000021</v>
      </c>
      <c r="D93" s="56">
        <f t="shared" si="6"/>
        <v>-18.909462926828827</v>
      </c>
      <c r="E93" s="56">
        <f t="shared" si="7"/>
        <v>-31.562941171911664</v>
      </c>
      <c r="F93" s="164"/>
      <c r="G93" s="164"/>
      <c r="H93" s="164"/>
      <c r="I93" s="164"/>
      <c r="J93" s="164"/>
      <c r="K93" s="164"/>
      <c r="L93" s="164"/>
      <c r="M93" s="164"/>
      <c r="N93" s="163"/>
    </row>
    <row r="94" spans="2:14" x14ac:dyDescent="0.2">
      <c r="B94" s="162"/>
      <c r="C94" s="55">
        <f t="shared" si="8"/>
        <v>16.850000000000019</v>
      </c>
      <c r="D94" s="56">
        <f t="shared" si="6"/>
        <v>-20.170325064726757</v>
      </c>
      <c r="E94" s="56">
        <f t="shared" si="7"/>
        <v>-33.21861405200756</v>
      </c>
      <c r="F94" s="164"/>
      <c r="G94" s="164"/>
      <c r="H94" s="164"/>
      <c r="I94" s="164"/>
      <c r="J94" s="164"/>
      <c r="K94" s="164"/>
      <c r="L94" s="164"/>
      <c r="M94" s="164"/>
      <c r="N94" s="163"/>
    </row>
    <row r="95" spans="2:14" x14ac:dyDescent="0.2">
      <c r="B95" s="162"/>
      <c r="C95" s="55">
        <f t="shared" si="8"/>
        <v>17.000000000000018</v>
      </c>
      <c r="D95" s="56">
        <f t="shared" si="6"/>
        <v>-21.391227898999489</v>
      </c>
      <c r="E95" s="56">
        <f t="shared" si="7"/>
        <v>-34.787646609813279</v>
      </c>
      <c r="F95" s="164"/>
      <c r="G95" s="164"/>
      <c r="H95" s="164"/>
      <c r="I95" s="164"/>
      <c r="J95" s="164"/>
      <c r="K95" s="164"/>
      <c r="L95" s="164"/>
      <c r="M95" s="164"/>
      <c r="N95" s="163"/>
    </row>
    <row r="96" spans="2:14" x14ac:dyDescent="0.2">
      <c r="B96" s="162"/>
      <c r="C96" s="55">
        <f t="shared" si="8"/>
        <v>17.150000000000016</v>
      </c>
      <c r="D96" s="56">
        <f t="shared" si="6"/>
        <v>-22.573842875244591</v>
      </c>
      <c r="E96" s="56">
        <f t="shared" si="7"/>
        <v>-36.279474580884454</v>
      </c>
      <c r="F96" s="164"/>
      <c r="G96" s="164"/>
      <c r="H96" s="164"/>
      <c r="I96" s="164"/>
      <c r="J96" s="164"/>
      <c r="K96" s="164"/>
      <c r="L96" s="164"/>
      <c r="M96" s="164"/>
      <c r="N96" s="163"/>
    </row>
    <row r="97" spans="2:14" x14ac:dyDescent="0.2">
      <c r="B97" s="162"/>
      <c r="C97" s="55">
        <f t="shared" si="8"/>
        <v>17.300000000000015</v>
      </c>
      <c r="D97" s="56">
        <f t="shared" si="6"/>
        <v>-23.719941563087016</v>
      </c>
      <c r="E97" s="56">
        <f t="shared" si="7"/>
        <v>-37.701983948372451</v>
      </c>
      <c r="F97" s="164"/>
      <c r="G97" s="164"/>
      <c r="H97" s="164"/>
      <c r="I97" s="164"/>
      <c r="J97" s="164"/>
      <c r="K97" s="164"/>
      <c r="L97" s="164"/>
      <c r="M97" s="164"/>
      <c r="N97" s="163"/>
    </row>
    <row r="98" spans="2:14" x14ac:dyDescent="0.2">
      <c r="B98" s="162"/>
      <c r="C98" s="55">
        <f t="shared" si="8"/>
        <v>17.450000000000014</v>
      </c>
      <c r="D98" s="56">
        <f t="shared" si="6"/>
        <v>-24.831308611736841</v>
      </c>
      <c r="E98" s="56">
        <f t="shared" si="7"/>
        <v>-39.061842599288703</v>
      </c>
      <c r="F98" s="164"/>
      <c r="G98" s="164"/>
      <c r="H98" s="164"/>
      <c r="I98" s="164"/>
      <c r="J98" s="164"/>
      <c r="K98" s="164"/>
      <c r="L98" s="164"/>
      <c r="M98" s="164"/>
      <c r="N98" s="163"/>
    </row>
    <row r="99" spans="2:14" x14ac:dyDescent="0.2">
      <c r="B99" s="162"/>
      <c r="C99" s="55">
        <f t="shared" si="8"/>
        <v>17.600000000000012</v>
      </c>
      <c r="D99" s="56">
        <f t="shared" si="6"/>
        <v>-25.909690485044003</v>
      </c>
      <c r="E99" s="56">
        <f t="shared" si="7"/>
        <v>-40.364746924646447</v>
      </c>
      <c r="F99" s="164"/>
      <c r="G99" s="164"/>
      <c r="H99" s="164"/>
      <c r="I99" s="164"/>
      <c r="J99" s="164"/>
      <c r="K99" s="164"/>
      <c r="L99" s="164"/>
      <c r="M99" s="164"/>
      <c r="N99" s="163"/>
    </row>
    <row r="100" spans="2:14" x14ac:dyDescent="0.2">
      <c r="B100" s="162"/>
      <c r="C100" s="55">
        <f t="shared" si="8"/>
        <v>17.750000000000011</v>
      </c>
      <c r="D100" s="56">
        <f t="shared" si="6"/>
        <v>-26.956766519939887</v>
      </c>
      <c r="E100" s="56">
        <f t="shared" si="7"/>
        <v>-41.615608194650719</v>
      </c>
      <c r="F100" s="164"/>
      <c r="G100" s="164"/>
      <c r="H100" s="164"/>
      <c r="I100" s="164"/>
      <c r="J100" s="164"/>
      <c r="K100" s="164"/>
      <c r="L100" s="164"/>
      <c r="M100" s="164"/>
      <c r="N100" s="163"/>
    </row>
    <row r="101" spans="2:14" x14ac:dyDescent="0.2">
      <c r="B101" s="162"/>
      <c r="C101" s="55">
        <f t="shared" si="8"/>
        <v>17.900000000000009</v>
      </c>
      <c r="D101" s="56">
        <f t="shared" si="6"/>
        <v>-27.974133860031358</v>
      </c>
      <c r="E101" s="56">
        <f t="shared" si="7"/>
        <v>-42.818695563887481</v>
      </c>
      <c r="F101" s="164"/>
      <c r="G101" s="164"/>
      <c r="H101" s="164"/>
      <c r="I101" s="164"/>
      <c r="J101" s="164"/>
      <c r="K101" s="164"/>
      <c r="L101" s="164"/>
      <c r="M101" s="164"/>
      <c r="N101" s="163"/>
    </row>
    <row r="102" spans="2:14" x14ac:dyDescent="0.2">
      <c r="B102" s="162"/>
      <c r="C102" s="55">
        <f t="shared" si="8"/>
        <v>18.050000000000008</v>
      </c>
      <c r="D102" s="56">
        <f t="shared" si="6"/>
        <v>-28.963300952891878</v>
      </c>
      <c r="E102" s="56">
        <f t="shared" si="7"/>
        <v>-43.977747335880728</v>
      </c>
      <c r="F102" s="164"/>
      <c r="G102" s="164"/>
      <c r="H102" s="164"/>
      <c r="I102" s="164"/>
      <c r="J102" s="164"/>
      <c r="K102" s="164"/>
      <c r="L102" s="164"/>
      <c r="M102" s="164"/>
      <c r="N102" s="163"/>
    </row>
    <row r="103" spans="2:14" x14ac:dyDescent="0.2">
      <c r="B103" s="162"/>
      <c r="C103" s="55">
        <f t="shared" si="8"/>
        <v>18.200000000000006</v>
      </c>
      <c r="D103" s="56">
        <f t="shared" si="6"/>
        <v>-29.925686265203744</v>
      </c>
      <c r="E103" s="56">
        <f t="shared" si="7"/>
        <v>-45.096058642965872</v>
      </c>
      <c r="F103" s="164"/>
      <c r="G103" s="164"/>
      <c r="H103" s="164"/>
      <c r="I103" s="164"/>
      <c r="J103" s="164"/>
      <c r="K103" s="164"/>
      <c r="L103" s="164"/>
      <c r="M103" s="164"/>
      <c r="N103" s="163"/>
    </row>
    <row r="104" spans="2:14" x14ac:dyDescent="0.2">
      <c r="B104" s="162"/>
      <c r="C104" s="55">
        <f t="shared" si="8"/>
        <v>18.350000000000005</v>
      </c>
      <c r="D104" s="56">
        <f t="shared" si="6"/>
        <v>-30.862620105199333</v>
      </c>
      <c r="E104" s="56">
        <f t="shared" si="7"/>
        <v>-46.176551352356938</v>
      </c>
      <c r="F104" s="164"/>
      <c r="G104" s="164"/>
      <c r="H104" s="164"/>
      <c r="I104" s="164"/>
      <c r="J104" s="164"/>
      <c r="K104" s="164"/>
      <c r="L104" s="164"/>
      <c r="M104" s="164"/>
      <c r="N104" s="163"/>
    </row>
    <row r="105" spans="2:14" x14ac:dyDescent="0.2">
      <c r="B105" s="162"/>
      <c r="C105" s="55">
        <f t="shared" si="8"/>
        <v>18.500000000000004</v>
      </c>
      <c r="D105" s="56">
        <f t="shared" si="6"/>
        <v>-31.775348221341595</v>
      </c>
      <c r="E105" s="56">
        <f t="shared" si="7"/>
        <v>-47.221830400943844</v>
      </c>
      <c r="F105" s="164"/>
      <c r="G105" s="164"/>
      <c r="H105" s="164"/>
      <c r="I105" s="164"/>
      <c r="J105" s="164"/>
      <c r="K105" s="164"/>
      <c r="L105" s="164"/>
      <c r="M105" s="164"/>
      <c r="N105" s="163"/>
    </row>
    <row r="106" spans="2:14" x14ac:dyDescent="0.2">
      <c r="B106" s="162"/>
      <c r="C106" s="55">
        <f t="shared" si="8"/>
        <v>18.650000000000002</v>
      </c>
      <c r="D106" s="56">
        <f t="shared" si="6"/>
        <v>-32.665036340207372</v>
      </c>
      <c r="E106" s="56">
        <f t="shared" si="7"/>
        <v>-48.234229641279278</v>
      </c>
      <c r="F106" s="164"/>
      <c r="G106" s="164"/>
      <c r="H106" s="164"/>
      <c r="I106" s="164"/>
      <c r="J106" s="164"/>
      <c r="K106" s="164"/>
      <c r="L106" s="164"/>
      <c r="M106" s="164"/>
      <c r="N106" s="163"/>
    </row>
    <row r="107" spans="2:14" x14ac:dyDescent="0.2">
      <c r="B107" s="162"/>
      <c r="C107" s="55">
        <f t="shared" si="8"/>
        <v>18.8</v>
      </c>
      <c r="D107" s="56">
        <f t="shared" si="6"/>
        <v>-33.532775120884338</v>
      </c>
      <c r="E107" s="56">
        <f t="shared" si="7"/>
        <v>-49.215849489657479</v>
      </c>
      <c r="F107" s="164"/>
      <c r="G107" s="164"/>
      <c r="H107" s="164"/>
      <c r="I107" s="164"/>
      <c r="J107" s="164"/>
      <c r="K107" s="164"/>
      <c r="L107" s="164"/>
      <c r="M107" s="164"/>
      <c r="N107" s="163"/>
    </row>
    <row r="108" spans="2:14" x14ac:dyDescent="0.2">
      <c r="B108" s="162"/>
      <c r="C108" s="55">
        <f t="shared" si="8"/>
        <v>18.95</v>
      </c>
      <c r="D108" s="56">
        <f t="shared" si="6"/>
        <v>-34.379585203817612</v>
      </c>
      <c r="E108" s="56">
        <f t="shared" si="7"/>
        <v>-50.168588099967224</v>
      </c>
      <c r="F108" s="164"/>
      <c r="G108" s="164"/>
      <c r="H108" s="164"/>
      <c r="I108" s="164"/>
      <c r="J108" s="164"/>
      <c r="K108" s="164"/>
      <c r="L108" s="164"/>
      <c r="M108" s="164"/>
      <c r="N108" s="163"/>
    </row>
    <row r="109" spans="2:14" x14ac:dyDescent="0.2">
      <c r="B109" s="162"/>
      <c r="C109" s="55">
        <f t="shared" si="8"/>
        <v>19.099999999999998</v>
      </c>
      <c r="D109" s="56">
        <f t="shared" si="6"/>
        <v>-35.20642216028002</v>
      </c>
      <c r="E109" s="56">
        <f t="shared" si="7"/>
        <v>-51.094167375181215</v>
      </c>
      <c r="F109" s="164"/>
      <c r="G109" s="164"/>
      <c r="H109" s="164"/>
      <c r="I109" s="164"/>
      <c r="J109" s="164"/>
      <c r="K109" s="164"/>
      <c r="L109" s="164"/>
      <c r="M109" s="164"/>
      <c r="N109" s="163"/>
    </row>
    <row r="110" spans="2:14" x14ac:dyDescent="0.2">
      <c r="B110" s="162"/>
      <c r="C110" s="55">
        <f t="shared" si="8"/>
        <v>19.249999999999996</v>
      </c>
      <c r="D110" s="56">
        <f t="shared" si="6"/>
        <v>-36.014181230553945</v>
      </c>
      <c r="E110" s="56">
        <f t="shared" si="7"/>
        <v>-51.994154825645438</v>
      </c>
      <c r="F110" s="164"/>
      <c r="G110" s="164"/>
      <c r="H110" s="164"/>
      <c r="I110" s="164"/>
      <c r="J110" s="164"/>
      <c r="K110" s="164"/>
      <c r="L110" s="164"/>
      <c r="M110" s="164"/>
      <c r="N110" s="163"/>
    </row>
    <row r="111" spans="2:14" x14ac:dyDescent="0.2">
      <c r="B111" s="162"/>
      <c r="C111" s="55">
        <f t="shared" si="8"/>
        <v>19.399999999999995</v>
      </c>
      <c r="D111" s="56">
        <f>-10*LOG(1+(ABS((C111/$D$123)-($D$123/C111))/$E$123)^(2*$D$5))</f>
        <v>-36.803701791040908</v>
      </c>
      <c r="E111" s="56">
        <f t="shared" si="7"/>
        <v>-52.869982058254493</v>
      </c>
      <c r="F111" s="164"/>
      <c r="G111" s="164"/>
      <c r="H111" s="164"/>
      <c r="I111" s="164"/>
      <c r="J111" s="164"/>
      <c r="K111" s="164"/>
      <c r="L111" s="164"/>
      <c r="M111" s="164"/>
      <c r="N111" s="163"/>
    </row>
    <row r="112" spans="2:14" x14ac:dyDescent="0.2">
      <c r="B112" s="162"/>
      <c r="C112" s="55">
        <f t="shared" si="8"/>
        <v>19.549999999999994</v>
      </c>
      <c r="D112" s="56">
        <f>-10*LOG(1+(ABS((C112/$D$123)-($D$123/C112))/$E$123)^(2*$D$5))</f>
        <v>-37.57577152342401</v>
      </c>
      <c r="E112" s="56">
        <f t="shared" si="7"/>
        <v>-53.722960511417703</v>
      </c>
      <c r="F112" s="164"/>
      <c r="G112" s="164"/>
      <c r="H112" s="164"/>
      <c r="I112" s="164"/>
      <c r="J112" s="164"/>
      <c r="K112" s="164"/>
      <c r="L112" s="164"/>
      <c r="M112" s="164"/>
      <c r="N112" s="163"/>
    </row>
    <row r="113" spans="2:14" x14ac:dyDescent="0.2">
      <c r="B113" s="162"/>
      <c r="C113" s="55">
        <f t="shared" si="8"/>
        <v>19.699999999999992</v>
      </c>
      <c r="D113" s="56">
        <f>-10*LOG(1+(ABS((C113/$D$123)-($D$123/C113))/$E$123)^(2*$D$5))</f>
        <v>-38.331130279482075</v>
      </c>
      <c r="E113" s="56">
        <f t="shared" si="7"/>
        <v>-54.554294922253575</v>
      </c>
      <c r="F113" s="164"/>
      <c r="G113" s="164"/>
      <c r="H113" s="164"/>
      <c r="I113" s="164"/>
      <c r="J113" s="164"/>
      <c r="K113" s="164"/>
      <c r="L113" s="164"/>
      <c r="M113" s="164"/>
      <c r="N113" s="163"/>
    </row>
    <row r="114" spans="2:14" x14ac:dyDescent="0.2">
      <c r="B114" s="162"/>
      <c r="C114" s="55">
        <f t="shared" si="8"/>
        <v>19.849999999999991</v>
      </c>
      <c r="D114" s="56">
        <f>-10*LOG(1+(ABS((C114/$D$123)-($D$123/C114))/$E$123)^(2*$D$5))</f>
        <v>-39.070473647581643</v>
      </c>
      <c r="E114" s="56">
        <f t="shared" si="7"/>
        <v>-55.36509491396599</v>
      </c>
      <c r="F114" s="164"/>
      <c r="G114" s="164"/>
      <c r="H114" s="164"/>
      <c r="I114" s="164"/>
      <c r="J114" s="164"/>
      <c r="K114" s="164"/>
      <c r="L114" s="164"/>
      <c r="M114" s="164"/>
      <c r="N114" s="163"/>
    </row>
    <row r="115" spans="2:14" x14ac:dyDescent="0.2">
      <c r="B115" s="162"/>
      <c r="C115" s="57">
        <f t="shared" si="8"/>
        <v>19.999999999999989</v>
      </c>
      <c r="D115" s="56">
        <f>-10*LOG(1+(ABS((C115/$D$123)-($D$123/C115))/$E$123)^(2*$D$5))</f>
        <v>-39.794456234100451</v>
      </c>
      <c r="E115" s="56">
        <f t="shared" si="7"/>
        <v>-56.156385015176696</v>
      </c>
      <c r="F115" s="164"/>
      <c r="G115" s="166" t="str">
        <f>Home!$D$7&amp;", "&amp;Home!$D$8&amp;", "&amp;Home!$D$9</f>
        <v>RF Cafe Calculator Workbook, v5.1, by RF Cafe</v>
      </c>
      <c r="H115" s="164"/>
      <c r="I115" s="164"/>
      <c r="J115" s="164"/>
      <c r="K115" s="164"/>
      <c r="L115" s="164"/>
      <c r="M115" s="164"/>
      <c r="N115" s="163"/>
    </row>
    <row r="116" spans="2:14" ht="6" customHeight="1" thickBot="1" x14ac:dyDescent="0.25">
      <c r="B116" s="167"/>
      <c r="C116" s="52"/>
      <c r="D116" s="53"/>
      <c r="E116" s="53"/>
      <c r="F116" s="168"/>
      <c r="G116" s="168"/>
      <c r="H116" s="168"/>
      <c r="I116" s="168"/>
      <c r="J116" s="168"/>
      <c r="K116" s="168"/>
      <c r="L116" s="168"/>
      <c r="M116" s="168"/>
      <c r="N116" s="169"/>
    </row>
    <row r="117" spans="2:14" ht="3" customHeight="1" thickTop="1" x14ac:dyDescent="0.2">
      <c r="C117" s="18"/>
      <c r="D117" s="54"/>
      <c r="E117" s="54"/>
    </row>
    <row r="118" spans="2:14" ht="12.75" hidden="1" customHeight="1" x14ac:dyDescent="0.2">
      <c r="C118" s="18"/>
      <c r="D118" s="54"/>
      <c r="E118" s="54"/>
    </row>
    <row r="119" spans="2:14" hidden="1" x14ac:dyDescent="0.2"/>
    <row r="120" spans="2:14" hidden="1" x14ac:dyDescent="0.2"/>
    <row r="121" spans="2:14" hidden="1" x14ac:dyDescent="0.2">
      <c r="C121" s="9"/>
      <c r="D121" s="9"/>
    </row>
    <row r="122" spans="2:14" hidden="1" x14ac:dyDescent="0.2">
      <c r="C122" s="144" t="s">
        <v>46</v>
      </c>
      <c r="D122" s="9">
        <f>10^(D8/10)-1</f>
        <v>0.25892541179416728</v>
      </c>
      <c r="E122" s="9">
        <f>(D6-D7)/D122</f>
        <v>19.310580469308086</v>
      </c>
    </row>
    <row r="123" spans="2:14" hidden="1" x14ac:dyDescent="0.2">
      <c r="C123" s="144" t="s">
        <v>37</v>
      </c>
      <c r="D123" s="9">
        <f>SQRT(D6*D7)</f>
        <v>12.24744871391589</v>
      </c>
      <c r="E123" s="9">
        <f>(D6-D7)/D123</f>
        <v>0.40824829046386302</v>
      </c>
    </row>
    <row r="124" spans="2:14" hidden="1" x14ac:dyDescent="0.2">
      <c r="C124" s="144" t="s">
        <v>47</v>
      </c>
      <c r="D124" s="9"/>
    </row>
    <row r="125" spans="2:14" hidden="1" x14ac:dyDescent="0.2">
      <c r="D125" s="9"/>
    </row>
    <row r="126" spans="2:14" hidden="1" x14ac:dyDescent="0.2">
      <c r="C126" s="9"/>
      <c r="D126" s="9"/>
    </row>
    <row r="127" spans="2:14" hidden="1" x14ac:dyDescent="0.2">
      <c r="C127" s="9"/>
      <c r="D127" s="9"/>
    </row>
    <row r="128" spans="2:14" hidden="1" x14ac:dyDescent="0.2">
      <c r="C128" s="9"/>
      <c r="D128" s="9"/>
    </row>
    <row r="129" spans="3:4" hidden="1" x14ac:dyDescent="0.2">
      <c r="C129" s="9"/>
      <c r="D129" s="9"/>
    </row>
    <row r="130" spans="3:4" hidden="1" x14ac:dyDescent="0.2">
      <c r="C130" s="9"/>
      <c r="D130" s="9"/>
    </row>
    <row r="131" spans="3:4" hidden="1" x14ac:dyDescent="0.2">
      <c r="C131" s="9"/>
      <c r="D131" s="9"/>
    </row>
    <row r="132" spans="3:4" hidden="1" x14ac:dyDescent="0.2">
      <c r="C132" s="9"/>
      <c r="D132" s="9"/>
    </row>
    <row r="133" spans="3:4" hidden="1" x14ac:dyDescent="0.2">
      <c r="C133" s="9"/>
      <c r="D133" s="9"/>
    </row>
    <row r="134" spans="3:4" hidden="1" x14ac:dyDescent="0.2">
      <c r="C134" s="9"/>
      <c r="D134" s="9"/>
    </row>
    <row r="135" spans="3:4" hidden="1" x14ac:dyDescent="0.2">
      <c r="C135" s="9"/>
      <c r="D135" s="9"/>
    </row>
    <row r="136" spans="3:4" hidden="1" x14ac:dyDescent="0.2">
      <c r="C136" s="9"/>
      <c r="D136" s="9"/>
    </row>
    <row r="137" spans="3:4" hidden="1" x14ac:dyDescent="0.2">
      <c r="C137" s="9"/>
      <c r="D137" s="9"/>
    </row>
    <row r="138" spans="3:4" hidden="1" x14ac:dyDescent="0.2">
      <c r="C138" s="9"/>
      <c r="D138" s="9"/>
    </row>
    <row r="139" spans="3:4" hidden="1" x14ac:dyDescent="0.2">
      <c r="C139" s="9"/>
      <c r="D139" s="9"/>
    </row>
    <row r="140" spans="3:4" hidden="1" x14ac:dyDescent="0.2">
      <c r="C140" s="9"/>
      <c r="D140" s="9"/>
    </row>
    <row r="141" spans="3:4" hidden="1" x14ac:dyDescent="0.2">
      <c r="C141" s="9"/>
      <c r="D141" s="9"/>
    </row>
    <row r="142" spans="3:4" hidden="1" x14ac:dyDescent="0.2">
      <c r="C142" s="9"/>
      <c r="D142" s="9"/>
    </row>
    <row r="143" spans="3:4" hidden="1" x14ac:dyDescent="0.2">
      <c r="C143" s="9"/>
      <c r="D143" s="9"/>
    </row>
    <row r="144" spans="3:4" hidden="1" x14ac:dyDescent="0.2">
      <c r="C144" s="9"/>
      <c r="D144" s="9"/>
    </row>
    <row r="145" spans="3:4" hidden="1" x14ac:dyDescent="0.2">
      <c r="C145" s="9"/>
      <c r="D145" s="9"/>
    </row>
    <row r="146" spans="3:4" hidden="1" x14ac:dyDescent="0.2">
      <c r="C146" s="9"/>
      <c r="D146" s="9"/>
    </row>
    <row r="147" spans="3:4" hidden="1" x14ac:dyDescent="0.2">
      <c r="C147" s="9"/>
      <c r="D147" s="9"/>
    </row>
    <row r="148" spans="3:4" hidden="1" x14ac:dyDescent="0.2">
      <c r="C148" s="9"/>
      <c r="D148" s="9"/>
    </row>
    <row r="149" spans="3:4" hidden="1" x14ac:dyDescent="0.2">
      <c r="C149" s="9"/>
      <c r="D149" s="9"/>
    </row>
    <row r="150" spans="3:4" hidden="1" x14ac:dyDescent="0.2">
      <c r="C150" s="9"/>
      <c r="D150" s="9"/>
    </row>
    <row r="151" spans="3:4" hidden="1" x14ac:dyDescent="0.2">
      <c r="C151" s="9"/>
      <c r="D151" s="9"/>
    </row>
    <row r="152" spans="3:4" hidden="1" x14ac:dyDescent="0.2">
      <c r="C152" s="9"/>
      <c r="D152" s="9"/>
    </row>
    <row r="153" spans="3:4" hidden="1" x14ac:dyDescent="0.2">
      <c r="C153" s="9"/>
      <c r="D153" s="9"/>
    </row>
    <row r="154" spans="3:4" hidden="1" x14ac:dyDescent="0.2">
      <c r="C154" s="9"/>
      <c r="D154" s="9"/>
    </row>
    <row r="155" spans="3:4" hidden="1" x14ac:dyDescent="0.2">
      <c r="C155" s="9"/>
      <c r="D155" s="9"/>
    </row>
    <row r="156" spans="3:4" hidden="1" x14ac:dyDescent="0.2">
      <c r="C156" s="9"/>
      <c r="D156" s="9"/>
    </row>
    <row r="157" spans="3:4" hidden="1" x14ac:dyDescent="0.2">
      <c r="C157" s="9"/>
      <c r="D157" s="9"/>
    </row>
    <row r="158" spans="3:4" hidden="1" x14ac:dyDescent="0.2">
      <c r="C158" s="9"/>
      <c r="D158" s="9"/>
    </row>
    <row r="159" spans="3:4" hidden="1" x14ac:dyDescent="0.2">
      <c r="C159" s="9"/>
      <c r="D159" s="9"/>
    </row>
    <row r="160" spans="3:4" hidden="1" x14ac:dyDescent="0.2">
      <c r="C160" s="9"/>
      <c r="D160" s="9"/>
    </row>
    <row r="161" spans="3:4" hidden="1" x14ac:dyDescent="0.2">
      <c r="C161" s="9"/>
      <c r="D161" s="9"/>
    </row>
    <row r="162" spans="3:4" hidden="1" x14ac:dyDescent="0.2">
      <c r="C162" s="9"/>
      <c r="D162" s="9"/>
    </row>
    <row r="163" spans="3:4" hidden="1" x14ac:dyDescent="0.2">
      <c r="C163" s="9"/>
      <c r="D163" s="9"/>
    </row>
    <row r="164" spans="3:4" hidden="1" x14ac:dyDescent="0.2">
      <c r="C164" s="9"/>
      <c r="D164" s="9"/>
    </row>
    <row r="165" spans="3:4" hidden="1" x14ac:dyDescent="0.2">
      <c r="C165" s="9"/>
      <c r="D165" s="9"/>
    </row>
    <row r="166" spans="3:4" hidden="1" x14ac:dyDescent="0.2">
      <c r="C166" s="9"/>
      <c r="D166" s="9"/>
    </row>
    <row r="167" spans="3:4" hidden="1" x14ac:dyDescent="0.2">
      <c r="C167" s="9"/>
      <c r="D167" s="9"/>
    </row>
    <row r="168" spans="3:4" hidden="1" x14ac:dyDescent="0.2">
      <c r="C168" s="9"/>
      <c r="D168" s="9"/>
    </row>
    <row r="169" spans="3:4" hidden="1" x14ac:dyDescent="0.2">
      <c r="C169" s="9"/>
      <c r="D169" s="9"/>
    </row>
    <row r="170" spans="3:4" hidden="1" x14ac:dyDescent="0.2">
      <c r="C170" s="9"/>
      <c r="D170" s="9"/>
    </row>
    <row r="171" spans="3:4" hidden="1" x14ac:dyDescent="0.2">
      <c r="C171" s="9"/>
      <c r="D171" s="9"/>
    </row>
    <row r="172" spans="3:4" hidden="1" x14ac:dyDescent="0.2">
      <c r="C172" s="9"/>
      <c r="D172" s="9"/>
    </row>
    <row r="173" spans="3:4" hidden="1" x14ac:dyDescent="0.2">
      <c r="C173" s="9"/>
      <c r="D173" s="9"/>
    </row>
    <row r="174" spans="3:4" hidden="1" x14ac:dyDescent="0.2">
      <c r="C174" s="9"/>
      <c r="D174" s="9"/>
    </row>
    <row r="175" spans="3:4" hidden="1" x14ac:dyDescent="0.2">
      <c r="C175" s="9"/>
      <c r="D175" s="9"/>
    </row>
    <row r="176" spans="3:4" hidden="1" x14ac:dyDescent="0.2">
      <c r="C176" s="9"/>
      <c r="D176" s="9"/>
    </row>
    <row r="177" spans="3:4" hidden="1" x14ac:dyDescent="0.2">
      <c r="C177" s="9"/>
      <c r="D177" s="9"/>
    </row>
    <row r="178" spans="3:4" hidden="1" x14ac:dyDescent="0.2">
      <c r="C178" s="9"/>
      <c r="D178" s="9"/>
    </row>
    <row r="179" spans="3:4" hidden="1" x14ac:dyDescent="0.2"/>
    <row r="180" spans="3:4" hidden="1" x14ac:dyDescent="0.2"/>
    <row r="181" spans="3:4" hidden="1" x14ac:dyDescent="0.2"/>
  </sheetData>
  <sheetProtection password="F39F" sheet="1" objects="1" scenarios="1"/>
  <mergeCells count="4">
    <mergeCell ref="C4:D4"/>
    <mergeCell ref="D13:E13"/>
    <mergeCell ref="C9:E9"/>
    <mergeCell ref="C3:E3"/>
  </mergeCells>
  <phoneticPr fontId="2" type="noConversion"/>
  <dataValidations count="7">
    <dataValidation type="custom" operator="greaterThan" showInputMessage="1" showErrorMessage="1" error="Must be &gt; 0 and &gt; Start" sqref="D10">
      <formula1>AND(D10&gt;0,D10&gt;D11)</formula1>
    </dataValidation>
    <dataValidation type="custom" operator="greaterThan" showInputMessage="1" showErrorMessage="1" error="Must be &gt; 0 and &lt; Stop" sqref="D11">
      <formula1>AND(D11&gt;0,D9&lt;D10)</formula1>
    </dataValidation>
    <dataValidation type="custom" showInputMessage="1" showErrorMessage="1" error="Must be &gt; 0 and &lt; Upper" sqref="D7">
      <formula1>AND(D7&gt;0,D7&lt;D6)</formula1>
    </dataValidation>
    <dataValidation type="custom" showInputMessage="1" showErrorMessage="1" error="Must be &gt; 0 and &gt; Lower" sqref="D6">
      <formula1>AND(D6&gt;0,D6&gt;D7)</formula1>
    </dataValidation>
    <dataValidation type="list" allowBlank="1" showInputMessage="1" showErrorMessage="1" sqref="E6">
      <formula1>$C$122:$C$124</formula1>
    </dataValidation>
    <dataValidation type="decimal" showInputMessage="1" showErrorMessage="1" error="1 &lt;= Order &lt;= 50" sqref="D5">
      <formula1>1</formula1>
      <formula2>50</formula2>
    </dataValidation>
    <dataValidation type="decimal" showInputMessage="1" showErrorMessage="1" error="0.001 &lt;= Ripple &lt;= 10" sqref="D8">
      <formula1>0.001</formula1>
      <formula2>10</formula2>
    </dataValidation>
  </dataValidations>
  <hyperlinks>
    <hyperlink ref="L3" r:id="rId1" tooltip="Click here to check for updates to this calculator"/>
    <hyperlink ref="H3" r:id="rId2"/>
    <hyperlink ref="H4" r:id="rId3"/>
    <hyperlink ref="M24" location="Home!A1" tooltip="Click to return to title page with calculator list" display="Home"/>
  </hyperlinks>
  <pageMargins left="0.5" right="0.5" top="0.5" bottom="0.5" header="0.5" footer="0.5"/>
  <pageSetup scale="56"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27"/>
  <sheetViews>
    <sheetView showGridLines="0" showRowColHeaders="0" zoomScale="90" workbookViewId="0">
      <selection activeCell="D6" sqref="D6"/>
    </sheetView>
  </sheetViews>
  <sheetFormatPr defaultColWidth="0" defaultRowHeight="12" zeroHeight="1" x14ac:dyDescent="0.2"/>
  <cols>
    <col min="1" max="1" width="0.42578125" style="174" customWidth="1"/>
    <col min="2" max="2" width="0.85546875" style="174" customWidth="1"/>
    <col min="3" max="3" width="15.7109375" style="174" customWidth="1"/>
    <col min="4" max="12" width="9.140625" style="174" customWidth="1"/>
    <col min="13" max="13" width="0.85546875" style="174" customWidth="1"/>
    <col min="14" max="14" width="0.42578125" style="174" customWidth="1"/>
    <col min="15" max="16384" width="0" style="174" hidden="1"/>
  </cols>
  <sheetData>
    <row r="1" spans="2:13" ht="2.25" customHeight="1" thickBot="1" x14ac:dyDescent="0.25"/>
    <row r="2" spans="2:13" ht="4.5" customHeight="1" thickTop="1" x14ac:dyDescent="0.2">
      <c r="B2" s="314"/>
      <c r="C2" s="315"/>
      <c r="D2" s="315"/>
      <c r="E2" s="315"/>
      <c r="F2" s="315"/>
      <c r="G2" s="315"/>
      <c r="H2" s="315"/>
      <c r="I2" s="315"/>
      <c r="J2" s="315"/>
      <c r="K2" s="315"/>
      <c r="L2" s="315"/>
      <c r="M2" s="316"/>
    </row>
    <row r="3" spans="2:13" ht="12" customHeight="1" x14ac:dyDescent="0.2">
      <c r="B3" s="227"/>
      <c r="C3" s="431" t="s">
        <v>205</v>
      </c>
      <c r="D3" s="431"/>
      <c r="E3" s="431"/>
      <c r="F3" s="431"/>
      <c r="G3" s="431"/>
      <c r="H3" s="431"/>
      <c r="I3" s="431"/>
      <c r="J3" s="431"/>
      <c r="K3" s="431"/>
      <c r="L3" s="431"/>
      <c r="M3" s="317"/>
    </row>
    <row r="4" spans="2:13" ht="12" customHeight="1" x14ac:dyDescent="0.2">
      <c r="B4" s="227"/>
      <c r="C4" s="258" t="s">
        <v>131</v>
      </c>
      <c r="D4" s="318"/>
      <c r="E4" s="318"/>
      <c r="F4" s="318"/>
      <c r="G4" s="318"/>
      <c r="H4" s="318"/>
      <c r="I4" s="318"/>
      <c r="J4" s="318"/>
      <c r="K4" s="318"/>
      <c r="L4" s="257" t="s">
        <v>132</v>
      </c>
      <c r="M4" s="317"/>
    </row>
    <row r="5" spans="2:13" ht="12" customHeight="1" x14ac:dyDescent="0.2">
      <c r="B5" s="227"/>
      <c r="C5" s="258"/>
      <c r="D5" s="318"/>
      <c r="E5" s="318"/>
      <c r="F5" s="318"/>
      <c r="G5" s="318"/>
      <c r="H5" s="318"/>
      <c r="I5" s="318"/>
      <c r="J5" s="318"/>
      <c r="K5" s="318"/>
      <c r="L5" s="257"/>
      <c r="M5" s="317"/>
    </row>
    <row r="6" spans="2:13" x14ac:dyDescent="0.2">
      <c r="B6" s="227"/>
      <c r="C6" s="95" t="s">
        <v>199</v>
      </c>
      <c r="D6" s="79">
        <v>0</v>
      </c>
      <c r="E6" s="5" t="s">
        <v>5</v>
      </c>
      <c r="F6" s="306"/>
      <c r="G6" s="306"/>
      <c r="H6" s="307"/>
      <c r="I6" s="307"/>
      <c r="J6" s="307"/>
      <c r="K6" s="307"/>
      <c r="L6" s="307"/>
      <c r="M6" s="313"/>
    </row>
    <row r="7" spans="2:13" x14ac:dyDescent="0.2">
      <c r="B7" s="227"/>
      <c r="C7" s="435" t="s">
        <v>6</v>
      </c>
      <c r="D7" s="435"/>
      <c r="E7" s="435"/>
      <c r="F7" s="435"/>
      <c r="G7" s="435"/>
      <c r="H7" s="436" t="s">
        <v>200</v>
      </c>
      <c r="I7" s="437"/>
      <c r="J7" s="437"/>
      <c r="K7" s="437"/>
      <c r="L7" s="438"/>
      <c r="M7" s="313"/>
    </row>
    <row r="8" spans="2:13" x14ac:dyDescent="0.2">
      <c r="B8" s="227"/>
      <c r="C8" s="308" t="s">
        <v>201</v>
      </c>
      <c r="D8" s="308" t="s">
        <v>7</v>
      </c>
      <c r="E8" s="308" t="s">
        <v>202</v>
      </c>
      <c r="F8" s="308" t="s">
        <v>207</v>
      </c>
      <c r="G8" s="308" t="s">
        <v>206</v>
      </c>
      <c r="H8" s="309" t="s">
        <v>203</v>
      </c>
      <c r="I8" s="309" t="s">
        <v>204</v>
      </c>
      <c r="J8" s="309" t="s">
        <v>202</v>
      </c>
      <c r="K8" s="309" t="s">
        <v>207</v>
      </c>
      <c r="L8" s="309" t="s">
        <v>206</v>
      </c>
      <c r="M8" s="313"/>
    </row>
    <row r="9" spans="2:13" x14ac:dyDescent="0.2">
      <c r="B9" s="227"/>
      <c r="C9" s="310">
        <v>1</v>
      </c>
      <c r="D9" s="311">
        <v>0</v>
      </c>
      <c r="E9" s="311">
        <v>0</v>
      </c>
      <c r="F9" s="311">
        <v>999</v>
      </c>
      <c r="G9" s="311">
        <v>999</v>
      </c>
      <c r="H9" s="312">
        <f>D6+D9</f>
        <v>0</v>
      </c>
      <c r="I9" s="312">
        <f>D9</f>
        <v>0</v>
      </c>
      <c r="J9" s="312">
        <f>E9</f>
        <v>0</v>
      </c>
      <c r="K9" s="312">
        <f>F9</f>
        <v>999</v>
      </c>
      <c r="L9" s="312">
        <f>G9</f>
        <v>999</v>
      </c>
      <c r="M9" s="313"/>
    </row>
    <row r="10" spans="2:13" x14ac:dyDescent="0.2">
      <c r="B10" s="227"/>
      <c r="C10" s="310">
        <v>2</v>
      </c>
      <c r="D10" s="311">
        <v>0</v>
      </c>
      <c r="E10" s="311">
        <v>0</v>
      </c>
      <c r="F10" s="311">
        <v>999</v>
      </c>
      <c r="G10" s="311">
        <v>999</v>
      </c>
      <c r="H10" s="312">
        <f t="shared" ref="H10:H23" si="0">H9+D10</f>
        <v>0</v>
      </c>
      <c r="I10" s="312">
        <f t="shared" ref="I10:I23" si="1">I9+D10</f>
        <v>0</v>
      </c>
      <c r="J10" s="312">
        <f t="shared" ref="J10:J23" si="2">10*LOG(10^(J9/10)+((10^(E10/10)-1)/10^(I9/10)))</f>
        <v>0</v>
      </c>
      <c r="K10" s="312">
        <f>-20*LOG(1/10^(F10/20)+1/(10^(D10/20)*10^(K9/20)))</f>
        <v>992.9794000867206</v>
      </c>
      <c r="L10" s="312">
        <f t="shared" ref="L10:L23" si="3">-10*LOG(1/10^(G10/10)+1/(10^(D10/10)*10^(L9/10)))</f>
        <v>995.98970004336036</v>
      </c>
      <c r="M10" s="313"/>
    </row>
    <row r="11" spans="2:13" x14ac:dyDescent="0.2">
      <c r="B11" s="227"/>
      <c r="C11" s="310">
        <v>3</v>
      </c>
      <c r="D11" s="311">
        <v>0</v>
      </c>
      <c r="E11" s="311">
        <v>0</v>
      </c>
      <c r="F11" s="311">
        <v>999</v>
      </c>
      <c r="G11" s="311">
        <v>999</v>
      </c>
      <c r="H11" s="312">
        <f t="shared" si="0"/>
        <v>0</v>
      </c>
      <c r="I11" s="312">
        <f t="shared" si="1"/>
        <v>0</v>
      </c>
      <c r="J11" s="312">
        <f t="shared" si="2"/>
        <v>0</v>
      </c>
      <c r="K11" s="312">
        <f t="shared" ref="K11:K23" si="4">-20*LOG(1/10^(F11/20)+1/(10^(D11/20)*10^(K10/20)))</f>
        <v>989.45757490560698</v>
      </c>
      <c r="L11" s="312">
        <f t="shared" si="3"/>
        <v>994.22878745280354</v>
      </c>
      <c r="M11" s="313"/>
    </row>
    <row r="12" spans="2:13" x14ac:dyDescent="0.2">
      <c r="B12" s="227"/>
      <c r="C12" s="310">
        <v>4</v>
      </c>
      <c r="D12" s="311">
        <v>0</v>
      </c>
      <c r="E12" s="311">
        <v>0</v>
      </c>
      <c r="F12" s="311">
        <v>999</v>
      </c>
      <c r="G12" s="311">
        <v>999</v>
      </c>
      <c r="H12" s="312">
        <f t="shared" si="0"/>
        <v>0</v>
      </c>
      <c r="I12" s="312">
        <f t="shared" si="1"/>
        <v>0</v>
      </c>
      <c r="J12" s="312">
        <f t="shared" si="2"/>
        <v>0</v>
      </c>
      <c r="K12" s="312">
        <f t="shared" si="4"/>
        <v>986.95880017344109</v>
      </c>
      <c r="L12" s="312">
        <f t="shared" si="3"/>
        <v>992.97940008672072</v>
      </c>
      <c r="M12" s="313"/>
    </row>
    <row r="13" spans="2:13" x14ac:dyDescent="0.2">
      <c r="B13" s="227"/>
      <c r="C13" s="310">
        <v>5</v>
      </c>
      <c r="D13" s="311">
        <v>0</v>
      </c>
      <c r="E13" s="311">
        <v>0</v>
      </c>
      <c r="F13" s="311">
        <v>999</v>
      </c>
      <c r="G13" s="311">
        <v>999</v>
      </c>
      <c r="H13" s="312">
        <f t="shared" si="0"/>
        <v>0</v>
      </c>
      <c r="I13" s="312">
        <f t="shared" si="1"/>
        <v>0</v>
      </c>
      <c r="J13" s="312">
        <f t="shared" si="2"/>
        <v>0</v>
      </c>
      <c r="K13" s="312">
        <f t="shared" si="4"/>
        <v>985.02059991327997</v>
      </c>
      <c r="L13" s="312">
        <f t="shared" si="3"/>
        <v>992.01029995664021</v>
      </c>
      <c r="M13" s="313"/>
    </row>
    <row r="14" spans="2:13" x14ac:dyDescent="0.2">
      <c r="B14" s="227"/>
      <c r="C14" s="310">
        <v>6</v>
      </c>
      <c r="D14" s="311">
        <v>0</v>
      </c>
      <c r="E14" s="311">
        <v>0</v>
      </c>
      <c r="F14" s="311">
        <v>999</v>
      </c>
      <c r="G14" s="311">
        <v>999</v>
      </c>
      <c r="H14" s="312">
        <f t="shared" si="0"/>
        <v>0</v>
      </c>
      <c r="I14" s="312">
        <f t="shared" si="1"/>
        <v>0</v>
      </c>
      <c r="J14" s="312">
        <f t="shared" si="2"/>
        <v>0</v>
      </c>
      <c r="K14" s="312">
        <f t="shared" si="4"/>
        <v>983.43697499232746</v>
      </c>
      <c r="L14" s="312">
        <f t="shared" si="3"/>
        <v>991.21848749616402</v>
      </c>
      <c r="M14" s="313"/>
    </row>
    <row r="15" spans="2:13" x14ac:dyDescent="0.2">
      <c r="B15" s="227"/>
      <c r="C15" s="310">
        <v>7</v>
      </c>
      <c r="D15" s="311">
        <v>0</v>
      </c>
      <c r="E15" s="311">
        <v>0</v>
      </c>
      <c r="F15" s="311">
        <v>999</v>
      </c>
      <c r="G15" s="311">
        <v>999</v>
      </c>
      <c r="H15" s="312">
        <f t="shared" si="0"/>
        <v>0</v>
      </c>
      <c r="I15" s="312">
        <f t="shared" si="1"/>
        <v>0</v>
      </c>
      <c r="J15" s="312">
        <f t="shared" si="2"/>
        <v>0</v>
      </c>
      <c r="K15" s="312">
        <f t="shared" si="4"/>
        <v>982.09803919971523</v>
      </c>
      <c r="L15" s="312">
        <f t="shared" si="3"/>
        <v>990.54901959985796</v>
      </c>
      <c r="M15" s="313"/>
    </row>
    <row r="16" spans="2:13" x14ac:dyDescent="0.2">
      <c r="B16" s="227"/>
      <c r="C16" s="310">
        <v>8</v>
      </c>
      <c r="D16" s="311">
        <v>0</v>
      </c>
      <c r="E16" s="311">
        <v>0</v>
      </c>
      <c r="F16" s="311">
        <v>999</v>
      </c>
      <c r="G16" s="311">
        <v>999</v>
      </c>
      <c r="H16" s="312">
        <f t="shared" si="0"/>
        <v>0</v>
      </c>
      <c r="I16" s="312">
        <f t="shared" si="1"/>
        <v>0</v>
      </c>
      <c r="J16" s="312">
        <f t="shared" si="2"/>
        <v>0</v>
      </c>
      <c r="K16" s="312">
        <f t="shared" si="4"/>
        <v>980.93820026016158</v>
      </c>
      <c r="L16" s="312">
        <f t="shared" si="3"/>
        <v>989.96910013008119</v>
      </c>
      <c r="M16" s="313"/>
    </row>
    <row r="17" spans="2:13" x14ac:dyDescent="0.2">
      <c r="B17" s="227"/>
      <c r="C17" s="310">
        <v>9</v>
      </c>
      <c r="D17" s="311">
        <v>0</v>
      </c>
      <c r="E17" s="311">
        <v>0</v>
      </c>
      <c r="F17" s="311">
        <v>999</v>
      </c>
      <c r="G17" s="311">
        <v>999</v>
      </c>
      <c r="H17" s="312">
        <f t="shared" si="0"/>
        <v>0</v>
      </c>
      <c r="I17" s="312">
        <f t="shared" si="1"/>
        <v>0</v>
      </c>
      <c r="J17" s="312">
        <f t="shared" si="2"/>
        <v>0</v>
      </c>
      <c r="K17" s="312">
        <f t="shared" si="4"/>
        <v>979.91514981121418</v>
      </c>
      <c r="L17" s="312">
        <f t="shared" si="3"/>
        <v>989.45757490560754</v>
      </c>
      <c r="M17" s="313"/>
    </row>
    <row r="18" spans="2:13" x14ac:dyDescent="0.2">
      <c r="B18" s="227"/>
      <c r="C18" s="310">
        <v>10</v>
      </c>
      <c r="D18" s="311">
        <v>0</v>
      </c>
      <c r="E18" s="311">
        <v>0</v>
      </c>
      <c r="F18" s="311">
        <v>999</v>
      </c>
      <c r="G18" s="311">
        <v>999</v>
      </c>
      <c r="H18" s="312">
        <f t="shared" si="0"/>
        <v>0</v>
      </c>
      <c r="I18" s="312">
        <f t="shared" si="1"/>
        <v>0</v>
      </c>
      <c r="J18" s="312">
        <f t="shared" si="2"/>
        <v>0</v>
      </c>
      <c r="K18" s="312">
        <f t="shared" si="4"/>
        <v>979.00000000000068</v>
      </c>
      <c r="L18" s="312">
        <f t="shared" si="3"/>
        <v>989.0000000000008</v>
      </c>
      <c r="M18" s="313"/>
    </row>
    <row r="19" spans="2:13" x14ac:dyDescent="0.2">
      <c r="B19" s="227"/>
      <c r="C19" s="310">
        <v>11</v>
      </c>
      <c r="D19" s="311">
        <v>0</v>
      </c>
      <c r="E19" s="311">
        <v>0</v>
      </c>
      <c r="F19" s="311">
        <v>999</v>
      </c>
      <c r="G19" s="311">
        <v>999</v>
      </c>
      <c r="H19" s="312">
        <f t="shared" si="0"/>
        <v>0</v>
      </c>
      <c r="I19" s="312">
        <f t="shared" si="1"/>
        <v>0</v>
      </c>
      <c r="J19" s="312">
        <f t="shared" si="2"/>
        <v>0</v>
      </c>
      <c r="K19" s="312">
        <f t="shared" si="4"/>
        <v>978.17214629683622</v>
      </c>
      <c r="L19" s="312">
        <f t="shared" si="3"/>
        <v>988.58607314841845</v>
      </c>
      <c r="M19" s="313"/>
    </row>
    <row r="20" spans="2:13" x14ac:dyDescent="0.2">
      <c r="B20" s="227"/>
      <c r="C20" s="310">
        <v>12</v>
      </c>
      <c r="D20" s="311">
        <v>0</v>
      </c>
      <c r="E20" s="311">
        <v>0</v>
      </c>
      <c r="F20" s="311">
        <v>999</v>
      </c>
      <c r="G20" s="311">
        <v>999</v>
      </c>
      <c r="H20" s="312">
        <f t="shared" si="0"/>
        <v>0</v>
      </c>
      <c r="I20" s="312">
        <f t="shared" si="1"/>
        <v>0</v>
      </c>
      <c r="J20" s="312">
        <f t="shared" si="2"/>
        <v>0</v>
      </c>
      <c r="K20" s="312">
        <f t="shared" si="4"/>
        <v>977.41637507904829</v>
      </c>
      <c r="L20" s="312">
        <f t="shared" si="3"/>
        <v>988.20818753952449</v>
      </c>
      <c r="M20" s="313"/>
    </row>
    <row r="21" spans="2:13" x14ac:dyDescent="0.2">
      <c r="B21" s="227"/>
      <c r="C21" s="310">
        <v>13</v>
      </c>
      <c r="D21" s="311">
        <v>0</v>
      </c>
      <c r="E21" s="311">
        <v>0</v>
      </c>
      <c r="F21" s="311">
        <v>999</v>
      </c>
      <c r="G21" s="311">
        <v>999</v>
      </c>
      <c r="H21" s="312">
        <f t="shared" si="0"/>
        <v>0</v>
      </c>
      <c r="I21" s="312">
        <f t="shared" si="1"/>
        <v>0</v>
      </c>
      <c r="J21" s="312">
        <f t="shared" si="2"/>
        <v>0</v>
      </c>
      <c r="K21" s="312">
        <f t="shared" si="4"/>
        <v>976.72113295386407</v>
      </c>
      <c r="L21" s="312">
        <f t="shared" si="3"/>
        <v>987.86056647693249</v>
      </c>
      <c r="M21" s="313"/>
    </row>
    <row r="22" spans="2:13" x14ac:dyDescent="0.2">
      <c r="B22" s="227"/>
      <c r="C22" s="310">
        <v>14</v>
      </c>
      <c r="D22" s="311">
        <v>0</v>
      </c>
      <c r="E22" s="311">
        <v>0</v>
      </c>
      <c r="F22" s="311">
        <v>999</v>
      </c>
      <c r="G22" s="311">
        <v>999</v>
      </c>
      <c r="H22" s="312">
        <f t="shared" si="0"/>
        <v>0</v>
      </c>
      <c r="I22" s="312">
        <f t="shared" si="1"/>
        <v>0</v>
      </c>
      <c r="J22" s="312">
        <f t="shared" si="2"/>
        <v>0</v>
      </c>
      <c r="K22" s="312">
        <f t="shared" si="4"/>
        <v>976.07743928643617</v>
      </c>
      <c r="L22" s="312">
        <f t="shared" si="3"/>
        <v>987.53871964321843</v>
      </c>
      <c r="M22" s="313"/>
    </row>
    <row r="23" spans="2:13" x14ac:dyDescent="0.2">
      <c r="B23" s="227"/>
      <c r="C23" s="310">
        <v>15</v>
      </c>
      <c r="D23" s="311">
        <v>0</v>
      </c>
      <c r="E23" s="311">
        <v>0</v>
      </c>
      <c r="F23" s="311">
        <v>999</v>
      </c>
      <c r="G23" s="311">
        <v>999</v>
      </c>
      <c r="H23" s="312">
        <f t="shared" si="0"/>
        <v>0</v>
      </c>
      <c r="I23" s="312">
        <f t="shared" si="1"/>
        <v>0</v>
      </c>
      <c r="J23" s="312">
        <f t="shared" si="2"/>
        <v>0</v>
      </c>
      <c r="K23" s="312">
        <f t="shared" si="4"/>
        <v>975.47817481888728</v>
      </c>
      <c r="L23" s="312">
        <f t="shared" si="3"/>
        <v>987.23908740944398</v>
      </c>
      <c r="M23" s="313"/>
    </row>
    <row r="24" spans="2:13" x14ac:dyDescent="0.2">
      <c r="B24" s="227"/>
      <c r="C24" s="5"/>
      <c r="D24" s="5"/>
      <c r="E24" s="5"/>
      <c r="F24" s="5"/>
      <c r="G24" s="5"/>
      <c r="H24" s="5"/>
      <c r="I24" s="5"/>
      <c r="J24" s="5"/>
      <c r="K24" s="5"/>
      <c r="L24" s="5"/>
      <c r="M24" s="313"/>
    </row>
    <row r="25" spans="2:13" x14ac:dyDescent="0.2">
      <c r="B25" s="227"/>
      <c r="C25" s="5"/>
      <c r="D25" s="5"/>
      <c r="E25" s="5"/>
      <c r="F25" s="5"/>
      <c r="G25" s="5"/>
      <c r="H25" s="5"/>
      <c r="I25" s="5"/>
      <c r="J25" s="5"/>
      <c r="K25" s="5"/>
      <c r="L25" s="304" t="s">
        <v>198</v>
      </c>
      <c r="M25" s="313"/>
    </row>
    <row r="26" spans="2:13" ht="4.5" customHeight="1" thickBot="1" x14ac:dyDescent="0.25">
      <c r="B26" s="319"/>
      <c r="C26" s="320"/>
      <c r="D26" s="320"/>
      <c r="E26" s="320"/>
      <c r="F26" s="320"/>
      <c r="G26" s="320"/>
      <c r="H26" s="320"/>
      <c r="I26" s="320"/>
      <c r="J26" s="320"/>
      <c r="K26" s="320"/>
      <c r="L26" s="320"/>
      <c r="M26" s="321"/>
    </row>
    <row r="27" spans="2:13" ht="2.25" customHeight="1" thickTop="1" x14ac:dyDescent="0.2"/>
  </sheetData>
  <sheetProtection password="F39F" sheet="1" objects="1" scenarios="1"/>
  <mergeCells count="3">
    <mergeCell ref="C7:G7"/>
    <mergeCell ref="H7:L7"/>
    <mergeCell ref="C3:L3"/>
  </mergeCells>
  <phoneticPr fontId="2" type="noConversion"/>
  <dataValidations count="3">
    <dataValidation type="decimal" allowBlank="1" showInputMessage="1" showErrorMessage="1" sqref="D9:D23 D6">
      <formula1>-9999</formula1>
      <formula2>9999</formula2>
    </dataValidation>
    <dataValidation type="decimal" allowBlank="1" showInputMessage="1" showErrorMessage="1" sqref="E9:E23">
      <formula1>0</formula1>
      <formula2>9999</formula2>
    </dataValidation>
    <dataValidation type="decimal" allowBlank="1" showInputMessage="1" showErrorMessage="1" sqref="F9:G23">
      <formula1>-9999</formula1>
      <formula2>9999</formula2>
    </dataValidation>
  </dataValidations>
  <hyperlinks>
    <hyperlink ref="L4" r:id="rId1" tooltip="Click here to check for updates to this calculator"/>
    <hyperlink ref="C4" r:id="rId2"/>
    <hyperlink ref="L25" location="Home!A1" tooltip="Click to return to title page with calculator list" display="Home"/>
  </hyperlinks>
  <pageMargins left="0.75" right="0.75" top="1" bottom="1" header="0.5" footer="0.5"/>
  <pageSetup orientation="portrait" r:id="rId3"/>
  <headerFooter alignWithMargins="0"/>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fitToPage="1"/>
  </sheetPr>
  <dimension ref="B1:N33"/>
  <sheetViews>
    <sheetView showGridLines="0" showRowColHeaders="0" workbookViewId="0">
      <selection activeCell="G5" sqref="G5"/>
    </sheetView>
  </sheetViews>
  <sheetFormatPr defaultColWidth="0" defaultRowHeight="12" customHeight="1" zeroHeight="1" x14ac:dyDescent="0.2"/>
  <cols>
    <col min="1" max="1" width="0.5703125" style="144" customWidth="1"/>
    <col min="2" max="2" width="1.140625" style="144" customWidth="1"/>
    <col min="3" max="3" width="10.7109375" style="144" customWidth="1"/>
    <col min="4" max="4" width="11.140625" style="144" bestFit="1" customWidth="1"/>
    <col min="5" max="6" width="3.7109375" style="144" customWidth="1"/>
    <col min="7" max="7" width="9.7109375" style="144" customWidth="1"/>
    <col min="8" max="8" width="9.140625" style="144" customWidth="1"/>
    <col min="9" max="9" width="11.140625" style="144" customWidth="1"/>
    <col min="10" max="10" width="3.7109375" style="144" customWidth="1"/>
    <col min="11" max="11" width="1.140625" style="144" customWidth="1"/>
    <col min="12" max="12" width="0.5703125" style="144" customWidth="1"/>
    <col min="13" max="16384" width="0" style="144" hidden="1"/>
  </cols>
  <sheetData>
    <row r="1" spans="2:14" ht="3" customHeight="1" thickBot="1" x14ac:dyDescent="0.25"/>
    <row r="2" spans="2:14" ht="6" customHeight="1" thickTop="1" x14ac:dyDescent="0.2">
      <c r="B2" s="145"/>
      <c r="C2" s="146"/>
      <c r="D2" s="146"/>
      <c r="E2" s="146"/>
      <c r="F2" s="146"/>
      <c r="G2" s="146"/>
      <c r="H2" s="146"/>
      <c r="I2" s="146"/>
      <c r="J2" s="146"/>
      <c r="K2" s="147"/>
    </row>
    <row r="3" spans="2:14" x14ac:dyDescent="0.2">
      <c r="B3" s="148"/>
      <c r="C3" s="439" t="s">
        <v>174</v>
      </c>
      <c r="D3" s="439"/>
      <c r="E3" s="439"/>
      <c r="F3" s="439"/>
      <c r="G3" s="439"/>
      <c r="H3" s="439"/>
      <c r="I3" s="439"/>
      <c r="J3" s="439"/>
      <c r="K3" s="299"/>
      <c r="L3" s="294"/>
      <c r="M3" s="294"/>
      <c r="N3" s="294"/>
    </row>
    <row r="4" spans="2:14" ht="12.75" x14ac:dyDescent="0.2">
      <c r="B4" s="148"/>
      <c r="C4" s="258" t="s">
        <v>131</v>
      </c>
      <c r="E4" s="176"/>
      <c r="F4" s="176"/>
      <c r="G4" s="176"/>
      <c r="I4" s="143"/>
      <c r="J4" s="257" t="s">
        <v>132</v>
      </c>
      <c r="K4" s="299"/>
      <c r="L4" s="294"/>
      <c r="M4" s="294"/>
      <c r="N4" s="294"/>
    </row>
    <row r="5" spans="2:14" x14ac:dyDescent="0.2">
      <c r="B5" s="148"/>
      <c r="C5" s="150"/>
      <c r="D5" s="150"/>
      <c r="E5" s="150"/>
      <c r="F5" s="150"/>
      <c r="G5" s="150"/>
      <c r="H5" s="150"/>
      <c r="I5" s="150"/>
      <c r="J5" s="150"/>
      <c r="K5" s="149"/>
    </row>
    <row r="6" spans="2:14" ht="12.75" thickBot="1" x14ac:dyDescent="0.25">
      <c r="B6" s="148"/>
      <c r="C6" s="440" t="s">
        <v>175</v>
      </c>
      <c r="D6" s="440"/>
      <c r="E6" s="440"/>
      <c r="F6" s="292"/>
      <c r="G6" s="9"/>
      <c r="H6" s="295" t="s">
        <v>176</v>
      </c>
      <c r="I6" s="295"/>
      <c r="J6" s="296"/>
      <c r="K6" s="149"/>
    </row>
    <row r="7" spans="2:14" x14ac:dyDescent="0.2">
      <c r="B7" s="148"/>
      <c r="C7" s="292"/>
      <c r="D7" s="292"/>
      <c r="E7" s="292"/>
      <c r="F7" s="292"/>
      <c r="G7" s="9"/>
      <c r="H7" s="292"/>
      <c r="I7" s="292"/>
      <c r="J7" s="9"/>
      <c r="K7" s="149"/>
    </row>
    <row r="8" spans="2:14" x14ac:dyDescent="0.2">
      <c r="B8" s="148"/>
      <c r="C8" s="292"/>
      <c r="D8" s="292"/>
      <c r="E8" s="292"/>
      <c r="F8" s="292"/>
      <c r="G8" s="9"/>
      <c r="H8" s="292"/>
      <c r="I8" s="292"/>
      <c r="J8" s="9"/>
      <c r="K8" s="149"/>
    </row>
    <row r="9" spans="2:14" x14ac:dyDescent="0.2">
      <c r="B9" s="148"/>
      <c r="C9" s="292"/>
      <c r="D9" s="292"/>
      <c r="E9" s="292"/>
      <c r="F9" s="292"/>
      <c r="G9" s="9"/>
      <c r="H9" s="292"/>
      <c r="I9" s="292"/>
      <c r="J9" s="9"/>
      <c r="K9" s="149"/>
    </row>
    <row r="10" spans="2:14" x14ac:dyDescent="0.2">
      <c r="B10" s="148"/>
      <c r="C10" s="292"/>
      <c r="D10" s="292"/>
      <c r="E10" s="292"/>
      <c r="F10" s="292"/>
      <c r="G10" s="9"/>
      <c r="H10" s="292"/>
      <c r="I10" s="292"/>
      <c r="J10" s="9"/>
      <c r="K10" s="149"/>
    </row>
    <row r="11" spans="2:14" x14ac:dyDescent="0.2">
      <c r="B11" s="148"/>
      <c r="C11" s="9"/>
      <c r="D11" s="9"/>
      <c r="E11" s="9"/>
      <c r="F11" s="9"/>
      <c r="G11" s="9"/>
      <c r="H11" s="95" t="s">
        <v>177</v>
      </c>
      <c r="I11" s="89">
        <v>1E-3</v>
      </c>
      <c r="J11" s="89" t="s">
        <v>72</v>
      </c>
      <c r="K11" s="149"/>
    </row>
    <row r="12" spans="2:14" x14ac:dyDescent="0.2">
      <c r="B12" s="148"/>
      <c r="C12" s="95" t="s">
        <v>178</v>
      </c>
      <c r="D12" s="424">
        <v>0.25</v>
      </c>
      <c r="E12" s="89" t="s">
        <v>72</v>
      </c>
      <c r="F12" s="164"/>
      <c r="G12" s="9"/>
      <c r="H12" s="95" t="s">
        <v>179</v>
      </c>
      <c r="I12" s="89">
        <v>1</v>
      </c>
      <c r="J12" s="9" t="str">
        <f>J11</f>
        <v>in</v>
      </c>
      <c r="K12" s="149"/>
    </row>
    <row r="13" spans="2:14" x14ac:dyDescent="0.2">
      <c r="B13" s="148"/>
      <c r="C13" s="95" t="s">
        <v>180</v>
      </c>
      <c r="D13" s="89">
        <v>0.5</v>
      </c>
      <c r="E13" s="9" t="str">
        <f>E12</f>
        <v>in</v>
      </c>
      <c r="F13" s="164"/>
      <c r="G13" s="300"/>
      <c r="H13" s="95" t="s">
        <v>193</v>
      </c>
      <c r="I13" s="7">
        <f>(0.002*(I12*I28)*(LN(4*I12/I11)-0.75)*H28)</f>
        <v>38.323772171718304</v>
      </c>
      <c r="J13" s="89" t="s">
        <v>191</v>
      </c>
      <c r="K13" s="149"/>
    </row>
    <row r="14" spans="2:14" x14ac:dyDescent="0.2">
      <c r="B14" s="148"/>
      <c r="C14" s="95" t="s">
        <v>181</v>
      </c>
      <c r="D14" s="89">
        <v>30</v>
      </c>
      <c r="E14" s="9"/>
      <c r="F14" s="164"/>
      <c r="G14" s="301"/>
      <c r="H14" s="95" t="s">
        <v>194</v>
      </c>
      <c r="I14" s="7">
        <f>(0.002*(I12*I28)*(LN(4*I12/I11)-1)*H28)</f>
        <v>37.053772171718308</v>
      </c>
      <c r="J14" s="9" t="str">
        <f>J13</f>
        <v>nH</v>
      </c>
      <c r="K14" s="149"/>
    </row>
    <row r="15" spans="2:14" x14ac:dyDescent="0.2">
      <c r="B15" s="148"/>
      <c r="C15" s="95" t="s">
        <v>182</v>
      </c>
      <c r="D15" s="7">
        <f>((D12/D28)^2*D14^2)/(18*(D12/D28)+40*(D13/D28))*C28</f>
        <v>2.295918367346939</v>
      </c>
      <c r="E15" s="170" t="s">
        <v>183</v>
      </c>
      <c r="F15" s="164"/>
      <c r="G15" s="9"/>
      <c r="H15" s="9"/>
      <c r="I15" s="9"/>
      <c r="J15" s="9"/>
      <c r="K15" s="149"/>
    </row>
    <row r="16" spans="2:14" x14ac:dyDescent="0.2">
      <c r="B16" s="148"/>
      <c r="C16" s="7"/>
      <c r="D16" s="9"/>
      <c r="E16" s="9"/>
      <c r="F16" s="164"/>
      <c r="G16"/>
      <c r="H16"/>
      <c r="I16"/>
      <c r="J16"/>
      <c r="K16" s="149"/>
    </row>
    <row r="17" spans="2:11" x14ac:dyDescent="0.2">
      <c r="B17" s="148"/>
      <c r="C17" s="95" t="s">
        <v>182</v>
      </c>
      <c r="D17" s="89">
        <v>2.295918367346939</v>
      </c>
      <c r="E17" s="89" t="s">
        <v>183</v>
      </c>
      <c r="F17" s="164"/>
      <c r="G17"/>
      <c r="H17" s="297" t="s">
        <v>185</v>
      </c>
      <c r="I17"/>
      <c r="J17"/>
      <c r="K17" s="149"/>
    </row>
    <row r="18" spans="2:11" x14ac:dyDescent="0.2">
      <c r="B18" s="148"/>
      <c r="C18" s="95" t="s">
        <v>184</v>
      </c>
      <c r="D18" s="89">
        <f>D12</f>
        <v>0.25</v>
      </c>
      <c r="E18" s="89" t="s">
        <v>72</v>
      </c>
      <c r="F18" s="9"/>
      <c r="G18"/>
      <c r="H18" s="21"/>
      <c r="I18"/>
      <c r="J18"/>
      <c r="K18" s="149"/>
    </row>
    <row r="19" spans="2:11" x14ac:dyDescent="0.2">
      <c r="B19" s="148"/>
      <c r="C19" s="95" t="s">
        <v>159</v>
      </c>
      <c r="D19" s="89">
        <f>D13</f>
        <v>0.5</v>
      </c>
      <c r="E19" s="9" t="str">
        <f>E18</f>
        <v>in</v>
      </c>
      <c r="F19" s="9"/>
      <c r="G19"/>
      <c r="H19"/>
      <c r="I19"/>
      <c r="J19"/>
      <c r="K19" s="149"/>
    </row>
    <row r="20" spans="2:11" x14ac:dyDescent="0.2">
      <c r="B20" s="148"/>
      <c r="C20" s="95" t="s">
        <v>181</v>
      </c>
      <c r="D20" s="9">
        <f>(18*(D18/D32)+40*(D19/D32))*SQRT(2*D17/C32)/(2*(D18/D32)*SQRT(9*(D18/D32)+20*(D19/D32)))</f>
        <v>30</v>
      </c>
      <c r="E20" s="9"/>
      <c r="F20" s="9"/>
      <c r="G20"/>
      <c r="H20"/>
      <c r="I20"/>
      <c r="J20"/>
      <c r="K20" s="149"/>
    </row>
    <row r="21" spans="2:11" x14ac:dyDescent="0.2">
      <c r="B21" s="148"/>
      <c r="C21" s="9"/>
      <c r="D21" s="9"/>
      <c r="E21" s="9"/>
      <c r="F21" s="9"/>
      <c r="G21"/>
      <c r="H21"/>
      <c r="I21"/>
      <c r="J21"/>
      <c r="K21" s="149"/>
    </row>
    <row r="22" spans="2:11" x14ac:dyDescent="0.2">
      <c r="B22" s="148"/>
      <c r="C22" s="166" t="str">
        <f>Home!$D$7&amp;", "&amp;Home!$D$8&amp;", "&amp;Home!$D$9</f>
        <v>RF Cafe Calculator Workbook, v5.1, by RF Cafe</v>
      </c>
      <c r="D22" s="150"/>
      <c r="E22" s="150"/>
      <c r="F22" s="150"/>
      <c r="G22" s="150"/>
      <c r="H22" s="150"/>
      <c r="I22" s="150"/>
      <c r="J22" s="304" t="s">
        <v>198</v>
      </c>
      <c r="K22" s="149"/>
    </row>
    <row r="23" spans="2:11" ht="6" customHeight="1" thickBot="1" x14ac:dyDescent="0.25">
      <c r="B23" s="151"/>
      <c r="C23" s="152"/>
      <c r="D23" s="152"/>
      <c r="E23" s="152"/>
      <c r="F23" s="152"/>
      <c r="G23" s="152"/>
      <c r="H23" s="152"/>
      <c r="I23" s="152"/>
      <c r="J23" s="152"/>
      <c r="K23" s="153"/>
    </row>
    <row r="24" spans="2:11" ht="3" customHeight="1" thickTop="1" x14ac:dyDescent="0.2"/>
    <row r="25" spans="2:11" ht="12" hidden="1" customHeight="1" x14ac:dyDescent="0.2"/>
    <row r="26" spans="2:11" ht="12" hidden="1" customHeight="1" x14ac:dyDescent="0.2">
      <c r="D26" s="302" t="s">
        <v>195</v>
      </c>
      <c r="I26" s="303" t="s">
        <v>176</v>
      </c>
    </row>
    <row r="27" spans="2:11" ht="12" hidden="1" customHeight="1" x14ac:dyDescent="0.2">
      <c r="C27" s="144" t="s">
        <v>187</v>
      </c>
      <c r="D27" s="298" t="s">
        <v>197</v>
      </c>
      <c r="E27" s="144" t="s">
        <v>72</v>
      </c>
      <c r="H27" s="144" t="s">
        <v>187</v>
      </c>
      <c r="I27" s="298" t="s">
        <v>197</v>
      </c>
    </row>
    <row r="28" spans="2:11" ht="12" hidden="1" customHeight="1" x14ac:dyDescent="0.2">
      <c r="C28" s="144">
        <f>IF(E15="uH",1,IF(E15="mH",0.001,IF(E15="nH",1000,0.000001)))</f>
        <v>1</v>
      </c>
      <c r="D28" s="144">
        <f>IF(E12="in",1,25.4)</f>
        <v>1</v>
      </c>
      <c r="E28" s="144" t="s">
        <v>69</v>
      </c>
      <c r="H28" s="144">
        <f>IF(J13="uH",1,IF(J13="mH",0.001,IF(J13="nH",1000,0.000001)))</f>
        <v>1000</v>
      </c>
      <c r="I28" s="144">
        <f>IF(J11="in",2.54,0.1)</f>
        <v>2.54</v>
      </c>
    </row>
    <row r="29" spans="2:11" ht="12" hidden="1" customHeight="1" x14ac:dyDescent="0.2"/>
    <row r="30" spans="2:11" ht="12" hidden="1" customHeight="1" x14ac:dyDescent="0.2">
      <c r="D30" s="302" t="s">
        <v>196</v>
      </c>
      <c r="G30" s="144" t="s">
        <v>186</v>
      </c>
      <c r="I30" s="303"/>
    </row>
    <row r="31" spans="2:11" hidden="1" x14ac:dyDescent="0.2">
      <c r="C31" s="144" t="s">
        <v>192</v>
      </c>
      <c r="D31" s="298" t="s">
        <v>188</v>
      </c>
      <c r="E31" s="144" t="s">
        <v>72</v>
      </c>
      <c r="G31" s="144" t="s">
        <v>189</v>
      </c>
    </row>
    <row r="32" spans="2:11" hidden="1" x14ac:dyDescent="0.2">
      <c r="C32" s="144">
        <f>IF(E17="uH",1,IF(E17="mH",0.001,IF(E17="nH",1000,0.000001)))</f>
        <v>1</v>
      </c>
      <c r="D32" s="144">
        <f>IF(E18="in",1,25.4)</f>
        <v>1</v>
      </c>
      <c r="E32" s="144" t="s">
        <v>69</v>
      </c>
      <c r="G32" s="144" t="s">
        <v>183</v>
      </c>
      <c r="H32" s="298"/>
    </row>
    <row r="33" spans="7:7" hidden="1" x14ac:dyDescent="0.2">
      <c r="G33" s="144" t="s">
        <v>191</v>
      </c>
    </row>
  </sheetData>
  <sheetProtection password="F39F" sheet="1" objects="1" scenarios="1"/>
  <mergeCells count="2">
    <mergeCell ref="C3:J3"/>
    <mergeCell ref="C6:E6"/>
  </mergeCells>
  <phoneticPr fontId="2" type="noConversion"/>
  <dataValidations count="5">
    <dataValidation type="list" showInputMessage="1" showErrorMessage="1" sqref="E12">
      <formula1>$E$31:$E$32</formula1>
    </dataValidation>
    <dataValidation type="list" showInputMessage="1" showErrorMessage="1" sqref="E17">
      <formula1>$G$30:$G$33</formula1>
    </dataValidation>
    <dataValidation type="decimal" operator="greaterThan" allowBlank="1" showInputMessage="1" showErrorMessage="1" sqref="D12:D13">
      <formula1>0</formula1>
    </dataValidation>
    <dataValidation type="list" allowBlank="1" showInputMessage="1" showErrorMessage="1" sqref="E15 J13">
      <formula1>$G$30:$G$33</formula1>
    </dataValidation>
    <dataValidation type="list" allowBlank="1" showInputMessage="1" showErrorMessage="1" sqref="J11 E18">
      <formula1>$E$31:$E$32</formula1>
    </dataValidation>
  </dataValidations>
  <hyperlinks>
    <hyperlink ref="H17" r:id="rId1" tooltip="Click here for a table of wire diameters on the RF Cafe website" display="Wire diameter on RF Cafe"/>
    <hyperlink ref="C4" r:id="rId2"/>
    <hyperlink ref="J4" r:id="rId3" tooltip="Click here to check for updates to this calculator"/>
    <hyperlink ref="J22" location="Home!A1" tooltip="Click to return to title page with calculator list" display="Home"/>
  </hyperlinks>
  <pageMargins left="0.5" right="0.5" top="0.5" bottom="0.5" header="0.5" footer="0.5"/>
  <pageSetup orientation="portrait" r:id="rId4"/>
  <headerFooter alignWithMargins="0"/>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9"/>
  <sheetViews>
    <sheetView showGridLines="0" showRowColHeaders="0" workbookViewId="0">
      <selection activeCell="M16" sqref="M16"/>
    </sheetView>
  </sheetViews>
  <sheetFormatPr defaultColWidth="0" defaultRowHeight="12" customHeight="1" zeroHeight="1" x14ac:dyDescent="0.2"/>
  <cols>
    <col min="1" max="1" width="0.42578125" style="346" customWidth="1"/>
    <col min="2" max="2" width="0.85546875" style="346" customWidth="1"/>
    <col min="3" max="3" width="12.7109375" style="346" customWidth="1"/>
    <col min="4" max="4" width="5.28515625" style="346" customWidth="1"/>
    <col min="5" max="5" width="1.7109375" style="346" customWidth="1"/>
    <col min="6" max="6" width="12.7109375" style="346" customWidth="1"/>
    <col min="7" max="7" width="5.28515625" style="346" customWidth="1"/>
    <col min="8" max="8" width="1.7109375" style="346" customWidth="1"/>
    <col min="9" max="9" width="12.7109375" style="346" customWidth="1"/>
    <col min="10" max="10" width="5.28515625" style="346" customWidth="1"/>
    <col min="11" max="11" width="1.7109375" style="346" customWidth="1"/>
    <col min="12" max="12" width="12.7109375" style="346" customWidth="1"/>
    <col min="13" max="13" width="5.28515625" style="346" customWidth="1"/>
    <col min="14" max="14" width="0.85546875" style="346" customWidth="1"/>
    <col min="15" max="15" width="0.42578125" style="346" customWidth="1"/>
    <col min="16" max="16384" width="0" style="346" hidden="1"/>
  </cols>
  <sheetData>
    <row r="1" spans="2:14" ht="2.25" customHeight="1" thickBot="1" x14ac:dyDescent="0.25"/>
    <row r="2" spans="2:14" ht="4.5" customHeight="1" thickTop="1" x14ac:dyDescent="0.2">
      <c r="B2" s="347"/>
      <c r="C2" s="348"/>
      <c r="D2" s="348"/>
      <c r="E2" s="348"/>
      <c r="F2" s="348"/>
      <c r="G2" s="348"/>
      <c r="H2" s="348"/>
      <c r="I2" s="348"/>
      <c r="J2" s="348"/>
      <c r="K2" s="348"/>
      <c r="L2" s="348"/>
      <c r="M2" s="348"/>
      <c r="N2" s="349"/>
    </row>
    <row r="3" spans="2:14" x14ac:dyDescent="0.2">
      <c r="B3" s="350"/>
      <c r="C3" s="442" t="s">
        <v>222</v>
      </c>
      <c r="D3" s="442"/>
      <c r="E3" s="442"/>
      <c r="F3" s="442"/>
      <c r="G3" s="442"/>
      <c r="H3" s="442"/>
      <c r="I3" s="442"/>
      <c r="J3" s="442"/>
      <c r="K3" s="442"/>
      <c r="L3" s="442"/>
      <c r="M3" s="442"/>
      <c r="N3" s="351"/>
    </row>
    <row r="4" spans="2:14" x14ac:dyDescent="0.2">
      <c r="B4" s="350"/>
      <c r="C4" s="356" t="s">
        <v>131</v>
      </c>
      <c r="D4" s="352"/>
      <c r="E4" s="352"/>
      <c r="F4" s="352"/>
      <c r="G4" s="352"/>
      <c r="H4" s="352"/>
      <c r="I4" s="352"/>
      <c r="J4" s="352"/>
      <c r="K4" s="352"/>
      <c r="L4" s="352"/>
      <c r="M4" s="357" t="s">
        <v>132</v>
      </c>
      <c r="N4" s="351"/>
    </row>
    <row r="5" spans="2:14" x14ac:dyDescent="0.2">
      <c r="B5" s="350"/>
      <c r="C5" s="323"/>
      <c r="D5" s="352"/>
      <c r="E5" s="352"/>
      <c r="F5" s="323"/>
      <c r="G5" s="352"/>
      <c r="H5" s="352"/>
      <c r="I5" s="352"/>
      <c r="J5" s="352"/>
      <c r="K5" s="352"/>
      <c r="L5" s="352"/>
      <c r="M5" s="352"/>
      <c r="N5" s="351"/>
    </row>
    <row r="6" spans="2:14" x14ac:dyDescent="0.2">
      <c r="B6" s="350"/>
      <c r="C6" s="441" t="s">
        <v>223</v>
      </c>
      <c r="D6" s="441"/>
      <c r="E6" s="323"/>
      <c r="F6" s="441" t="s">
        <v>224</v>
      </c>
      <c r="G6" s="441"/>
      <c r="H6" s="323"/>
      <c r="I6" s="441" t="s">
        <v>225</v>
      </c>
      <c r="J6" s="441"/>
      <c r="K6" s="323"/>
      <c r="L6" s="441" t="s">
        <v>231</v>
      </c>
      <c r="M6" s="441"/>
      <c r="N6" s="351"/>
    </row>
    <row r="7" spans="2:14" x14ac:dyDescent="0.2">
      <c r="B7" s="350"/>
      <c r="C7" s="359">
        <v>0</v>
      </c>
      <c r="D7" s="352" t="s">
        <v>5</v>
      </c>
      <c r="E7" s="352"/>
      <c r="F7" s="359">
        <v>1</v>
      </c>
      <c r="G7" s="352" t="s">
        <v>0</v>
      </c>
      <c r="H7" s="352"/>
      <c r="I7" s="360">
        <f>C7-F7+L7</f>
        <v>-4.01051706594727</v>
      </c>
      <c r="J7" s="352" t="s">
        <v>5</v>
      </c>
      <c r="K7" s="352"/>
      <c r="L7" s="360">
        <f>10*LOG(1-10^(C12/10))+10*LOG(1-10^((C12-I12)/10))</f>
        <v>-3.01051706594727</v>
      </c>
      <c r="M7" s="352" t="s">
        <v>0</v>
      </c>
      <c r="N7" s="351"/>
    </row>
    <row r="8" spans="2:14" x14ac:dyDescent="0.2">
      <c r="B8" s="350"/>
      <c r="C8" s="358"/>
      <c r="D8" s="352"/>
      <c r="E8" s="352"/>
      <c r="F8" s="358"/>
      <c r="G8" s="352"/>
      <c r="H8" s="352"/>
      <c r="I8" s="352"/>
      <c r="J8" s="352"/>
      <c r="K8" s="352"/>
      <c r="L8" s="352"/>
      <c r="M8" s="352"/>
      <c r="N8" s="351"/>
    </row>
    <row r="9" spans="2:14" ht="12" customHeight="1" x14ac:dyDescent="0.2">
      <c r="B9" s="350"/>
      <c r="C9" s="352"/>
      <c r="D9" s="352"/>
      <c r="E9" s="352"/>
      <c r="F9" s="352"/>
      <c r="G9" s="352"/>
      <c r="H9" s="352"/>
      <c r="I9" s="352"/>
      <c r="J9" s="352"/>
      <c r="K9" s="352"/>
      <c r="L9" s="352"/>
      <c r="M9" s="352"/>
      <c r="N9" s="351"/>
    </row>
    <row r="10" spans="2:14" x14ac:dyDescent="0.2">
      <c r="B10" s="350"/>
      <c r="C10" s="352"/>
      <c r="D10" s="352"/>
      <c r="E10" s="352"/>
      <c r="F10" s="352"/>
      <c r="G10" s="352"/>
      <c r="H10" s="352"/>
      <c r="I10" s="352"/>
      <c r="J10" s="352"/>
      <c r="K10" s="352"/>
      <c r="L10" s="352"/>
      <c r="M10" s="352"/>
      <c r="N10" s="351"/>
    </row>
    <row r="11" spans="2:14" x14ac:dyDescent="0.2">
      <c r="B11" s="350"/>
      <c r="C11" s="441" t="s">
        <v>226</v>
      </c>
      <c r="D11" s="441"/>
      <c r="E11" s="323"/>
      <c r="F11" s="352"/>
      <c r="G11" s="352"/>
      <c r="H11" s="352"/>
      <c r="I11" s="441" t="s">
        <v>227</v>
      </c>
      <c r="J11" s="441"/>
      <c r="K11" s="164"/>
      <c r="L11" s="441" t="s">
        <v>228</v>
      </c>
      <c r="M11" s="441"/>
      <c r="N11" s="351"/>
    </row>
    <row r="12" spans="2:14" x14ac:dyDescent="0.2">
      <c r="B12" s="350"/>
      <c r="C12" s="359">
        <v>-3.0103</v>
      </c>
      <c r="D12" s="352" t="s">
        <v>0</v>
      </c>
      <c r="E12" s="352"/>
      <c r="F12" s="352"/>
      <c r="G12" s="352"/>
      <c r="H12" s="352"/>
      <c r="I12" s="359">
        <v>40</v>
      </c>
      <c r="J12" s="352" t="s">
        <v>0</v>
      </c>
      <c r="K12" s="164"/>
      <c r="L12" s="360">
        <f>I12-C12</f>
        <v>43.010300000000001</v>
      </c>
      <c r="M12" s="352" t="s">
        <v>0</v>
      </c>
      <c r="N12" s="351"/>
    </row>
    <row r="13" spans="2:14" ht="12" customHeight="1" x14ac:dyDescent="0.2">
      <c r="B13" s="350"/>
      <c r="C13" s="352"/>
      <c r="D13" s="352"/>
      <c r="E13" s="352"/>
      <c r="F13" s="352"/>
      <c r="G13" s="352"/>
      <c r="H13" s="352"/>
      <c r="I13" s="352"/>
      <c r="J13" s="352"/>
      <c r="K13" s="352"/>
      <c r="L13" s="352"/>
      <c r="M13" s="352"/>
      <c r="N13" s="351"/>
    </row>
    <row r="14" spans="2:14" x14ac:dyDescent="0.2">
      <c r="B14" s="350"/>
      <c r="C14" s="441" t="s">
        <v>229</v>
      </c>
      <c r="D14" s="441"/>
      <c r="E14" s="323"/>
      <c r="F14" s="352"/>
      <c r="G14" s="352"/>
      <c r="H14" s="352"/>
      <c r="I14" s="441" t="s">
        <v>230</v>
      </c>
      <c r="J14" s="441"/>
      <c r="K14" s="323"/>
      <c r="L14" s="352"/>
      <c r="M14" s="352"/>
      <c r="N14" s="351"/>
    </row>
    <row r="15" spans="2:14" x14ac:dyDescent="0.2">
      <c r="B15" s="350"/>
      <c r="C15" s="360">
        <f>C7+C12</f>
        <v>-3.0103</v>
      </c>
      <c r="D15" s="352" t="s">
        <v>5</v>
      </c>
      <c r="E15" s="352"/>
      <c r="F15" s="352"/>
      <c r="G15" s="352"/>
      <c r="H15" s="352"/>
      <c r="I15" s="360">
        <f>C15-I12</f>
        <v>-43.010300000000001</v>
      </c>
      <c r="J15" s="352" t="s">
        <v>5</v>
      </c>
      <c r="K15" s="352"/>
      <c r="L15" s="352"/>
      <c r="M15" s="352"/>
      <c r="N15" s="351"/>
    </row>
    <row r="16" spans="2:14" x14ac:dyDescent="0.2">
      <c r="B16" s="350"/>
      <c r="C16" s="352"/>
      <c r="D16" s="352"/>
      <c r="E16" s="352"/>
      <c r="F16" s="352"/>
      <c r="G16" s="352"/>
      <c r="H16" s="352"/>
      <c r="I16" s="352"/>
      <c r="J16" s="352"/>
      <c r="K16" s="352"/>
      <c r="L16" s="352"/>
      <c r="M16" s="304" t="s">
        <v>198</v>
      </c>
      <c r="N16" s="351"/>
    </row>
    <row r="17" spans="2:14" ht="4.5" customHeight="1" thickBot="1" x14ac:dyDescent="0.25">
      <c r="B17" s="353"/>
      <c r="C17" s="354"/>
      <c r="D17" s="354"/>
      <c r="E17" s="354"/>
      <c r="F17" s="354"/>
      <c r="G17" s="354"/>
      <c r="H17" s="354"/>
      <c r="I17" s="354"/>
      <c r="J17" s="354"/>
      <c r="K17" s="354"/>
      <c r="L17" s="354"/>
      <c r="M17" s="354"/>
      <c r="N17" s="355"/>
    </row>
    <row r="18" spans="2:14" ht="2.25" customHeight="1" thickTop="1" x14ac:dyDescent="0.2"/>
    <row r="19" spans="2:14" hidden="1" x14ac:dyDescent="0.2"/>
  </sheetData>
  <sheetProtection password="F39F" sheet="1" objects="1" scenarios="1"/>
  <mergeCells count="10">
    <mergeCell ref="C11:D11"/>
    <mergeCell ref="I11:J11"/>
    <mergeCell ref="L11:M11"/>
    <mergeCell ref="C14:D14"/>
    <mergeCell ref="I14:J14"/>
    <mergeCell ref="C3:M3"/>
    <mergeCell ref="C6:D6"/>
    <mergeCell ref="F6:G6"/>
    <mergeCell ref="I6:J6"/>
    <mergeCell ref="L6:M6"/>
  </mergeCells>
  <phoneticPr fontId="2" type="noConversion"/>
  <conditionalFormatting sqref="F7:F8">
    <cfRule type="cellIs" priority="1" stopIfTrue="1" operator="greaterThanOrEqual">
      <formula>0</formula>
    </cfRule>
  </conditionalFormatting>
  <dataValidations count="3">
    <dataValidation type="decimal" operator="greaterThanOrEqual" allowBlank="1" showInputMessage="1" showErrorMessage="1" sqref="F7:F8">
      <formula1>0</formula1>
    </dataValidation>
    <dataValidation type="decimal" operator="lessThan" allowBlank="1" showInputMessage="1" showErrorMessage="1" sqref="C12">
      <formula1>0</formula1>
    </dataValidation>
    <dataValidation type="decimal" operator="greaterThan" allowBlank="1" showInputMessage="1" showErrorMessage="1" sqref="I12">
      <formula1>0</formula1>
    </dataValidation>
  </dataValidations>
  <hyperlinks>
    <hyperlink ref="M16" location="Home!A1" tooltip="Click to return to title page with calculator list" display="Home"/>
    <hyperlink ref="M4" r:id="rId1" tooltip="Click here to check for updates to this calculator"/>
    <hyperlink ref="C4" r:id="rId2"/>
  </hyperlinks>
  <pageMargins left="0.75" right="0.75" top="1" bottom="1" header="0.5" footer="0.5"/>
  <pageSetup orientation="portrait" horizontalDpi="300" verticalDpi="300"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N180"/>
  <sheetViews>
    <sheetView showGridLines="0" showRowColHeaders="0" zoomScale="90" workbookViewId="0">
      <selection activeCell="M23" sqref="M23"/>
    </sheetView>
  </sheetViews>
  <sheetFormatPr defaultColWidth="0" defaultRowHeight="12" zeroHeight="1" x14ac:dyDescent="0.2"/>
  <cols>
    <col min="1" max="1" width="0.5703125" style="157" customWidth="1"/>
    <col min="2" max="2" width="1.140625" style="158" customWidth="1"/>
    <col min="3" max="5" width="10.7109375" style="174" customWidth="1"/>
    <col min="6" max="6" width="2.7109375" style="158" customWidth="1"/>
    <col min="7" max="13" width="9.140625" style="158" customWidth="1"/>
    <col min="14" max="14" width="1.140625" style="158" customWidth="1"/>
    <col min="15" max="15" width="0.5703125" style="158" customWidth="1"/>
    <col min="16" max="16384" width="0" style="158" hidden="1"/>
  </cols>
  <sheetData>
    <row r="1" spans="2:14" ht="3" customHeight="1" thickBot="1" x14ac:dyDescent="0.25">
      <c r="C1" s="158"/>
      <c r="D1" s="158"/>
      <c r="E1" s="158"/>
    </row>
    <row r="2" spans="2:14" ht="6" customHeight="1" thickTop="1" x14ac:dyDescent="0.2">
      <c r="B2" s="159"/>
      <c r="C2" s="160"/>
      <c r="D2" s="160"/>
      <c r="E2" s="160"/>
      <c r="F2" s="160"/>
      <c r="G2" s="160"/>
      <c r="H2" s="160"/>
      <c r="I2" s="160"/>
      <c r="J2" s="160"/>
      <c r="K2" s="160"/>
      <c r="L2" s="160"/>
      <c r="M2" s="160"/>
      <c r="N2" s="161"/>
    </row>
    <row r="3" spans="2:14" ht="12.75" x14ac:dyDescent="0.2">
      <c r="B3" s="162"/>
      <c r="C3" s="443" t="s">
        <v>64</v>
      </c>
      <c r="D3" s="443"/>
      <c r="E3" s="443"/>
      <c r="F3" s="164"/>
      <c r="H3" s="156" t="s">
        <v>134</v>
      </c>
      <c r="I3" s="155"/>
      <c r="J3" s="155"/>
      <c r="K3" s="29"/>
      <c r="L3" s="156" t="s">
        <v>132</v>
      </c>
      <c r="M3" s="72"/>
      <c r="N3" s="163"/>
    </row>
    <row r="4" spans="2:14" x14ac:dyDescent="0.2">
      <c r="B4" s="162"/>
      <c r="C4" s="444"/>
      <c r="D4" s="444"/>
      <c r="E4" s="171"/>
      <c r="F4" s="164"/>
      <c r="G4" s="164"/>
      <c r="H4" s="156" t="s">
        <v>135</v>
      </c>
      <c r="I4" s="164"/>
      <c r="J4" s="164"/>
      <c r="K4" s="164"/>
      <c r="L4" s="164"/>
      <c r="M4" s="164"/>
      <c r="N4" s="163"/>
    </row>
    <row r="5" spans="2:14" x14ac:dyDescent="0.2">
      <c r="B5" s="162"/>
      <c r="C5" s="95" t="s">
        <v>3</v>
      </c>
      <c r="D5" s="58">
        <v>5</v>
      </c>
      <c r="E5" s="171"/>
      <c r="F5" s="164"/>
      <c r="G5" s="164"/>
      <c r="H5" s="164"/>
      <c r="I5" s="164"/>
      <c r="J5" s="164"/>
      <c r="K5" s="164"/>
      <c r="L5" s="164"/>
      <c r="M5" s="164"/>
      <c r="N5" s="163"/>
    </row>
    <row r="6" spans="2:14" x14ac:dyDescent="0.2">
      <c r="B6" s="162"/>
      <c r="C6" s="95" t="s">
        <v>63</v>
      </c>
      <c r="D6" s="58">
        <v>10</v>
      </c>
      <c r="E6" s="175" t="s">
        <v>37</v>
      </c>
      <c r="F6" s="164"/>
      <c r="G6" s="164"/>
      <c r="H6" s="164"/>
      <c r="I6" s="164"/>
      <c r="J6" s="164"/>
      <c r="K6" s="164"/>
      <c r="L6" s="164"/>
      <c r="M6" s="164"/>
      <c r="N6" s="163"/>
    </row>
    <row r="7" spans="2:14" x14ac:dyDescent="0.2">
      <c r="B7" s="162"/>
      <c r="C7" s="95" t="s">
        <v>58</v>
      </c>
      <c r="D7" s="58">
        <v>1</v>
      </c>
      <c r="E7" s="171" t="s">
        <v>133</v>
      </c>
      <c r="F7" s="164"/>
      <c r="G7" s="164"/>
      <c r="H7" s="164"/>
      <c r="I7" s="164"/>
      <c r="J7" s="164"/>
      <c r="K7" s="164"/>
      <c r="L7" s="164"/>
      <c r="M7" s="164"/>
      <c r="N7" s="163"/>
    </row>
    <row r="8" spans="2:14" ht="12.75" thickBot="1" x14ac:dyDescent="0.25">
      <c r="B8" s="162"/>
      <c r="C8" s="446" t="s">
        <v>4</v>
      </c>
      <c r="D8" s="446"/>
      <c r="E8" s="446"/>
      <c r="F8" s="164"/>
      <c r="G8" s="164"/>
      <c r="H8" s="164"/>
      <c r="I8" s="164"/>
      <c r="J8" s="164"/>
      <c r="K8" s="164"/>
      <c r="L8" s="164"/>
      <c r="M8" s="164"/>
      <c r="N8" s="163"/>
    </row>
    <row r="9" spans="2:14" x14ac:dyDescent="0.2">
      <c r="B9" s="162"/>
      <c r="C9" s="95" t="s">
        <v>51</v>
      </c>
      <c r="D9" s="105">
        <v>30</v>
      </c>
      <c r="E9" s="172" t="str">
        <f>E6</f>
        <v>MHz</v>
      </c>
      <c r="F9" s="164"/>
      <c r="G9" s="164"/>
      <c r="H9" s="164"/>
      <c r="I9" s="164"/>
      <c r="J9" s="164"/>
      <c r="K9" s="164"/>
      <c r="L9" s="164"/>
      <c r="M9" s="164"/>
      <c r="N9" s="163"/>
    </row>
    <row r="10" spans="2:14" x14ac:dyDescent="0.2">
      <c r="B10" s="162"/>
      <c r="C10" s="95" t="s">
        <v>50</v>
      </c>
      <c r="D10" s="59">
        <v>5</v>
      </c>
      <c r="E10" s="172" t="str">
        <f>E6</f>
        <v>MHz</v>
      </c>
      <c r="F10" s="164"/>
      <c r="G10" s="164"/>
      <c r="H10" s="164"/>
      <c r="I10" s="164"/>
      <c r="J10" s="164"/>
      <c r="K10" s="164"/>
      <c r="L10" s="164"/>
      <c r="M10" s="164"/>
      <c r="N10" s="163"/>
    </row>
    <row r="11" spans="2:14" ht="12.75" thickBot="1" x14ac:dyDescent="0.25">
      <c r="B11" s="162"/>
      <c r="C11" s="96" t="s">
        <v>52</v>
      </c>
      <c r="D11" s="60">
        <f>(D9-D10)/100</f>
        <v>0.25</v>
      </c>
      <c r="E11" s="173" t="str">
        <f>E6</f>
        <v>MHz</v>
      </c>
      <c r="F11" s="164"/>
      <c r="G11" s="164"/>
      <c r="H11" s="164"/>
      <c r="I11" s="164"/>
      <c r="J11" s="164"/>
      <c r="K11" s="164"/>
      <c r="L11" s="164"/>
      <c r="M11" s="164"/>
      <c r="N11" s="163"/>
    </row>
    <row r="12" spans="2:14" ht="12.75" thickTop="1" x14ac:dyDescent="0.2">
      <c r="B12" s="162"/>
      <c r="C12" s="76"/>
      <c r="D12" s="445" t="s">
        <v>7</v>
      </c>
      <c r="E12" s="445"/>
      <c r="F12" s="164"/>
      <c r="G12" s="164"/>
      <c r="H12" s="164"/>
      <c r="I12" s="164"/>
      <c r="J12" s="164"/>
      <c r="K12" s="164"/>
      <c r="L12" s="164"/>
      <c r="M12" s="164"/>
      <c r="N12" s="163"/>
    </row>
    <row r="13" spans="2:14" ht="12.75" thickBot="1" x14ac:dyDescent="0.25">
      <c r="B13" s="162"/>
      <c r="C13" s="61" t="str">
        <f>"Freq ("&amp;E6&amp;")"</f>
        <v>Freq (MHz)</v>
      </c>
      <c r="D13" s="61" t="s">
        <v>59</v>
      </c>
      <c r="E13" s="61" t="s">
        <v>60</v>
      </c>
      <c r="F13" s="164"/>
      <c r="G13" s="164"/>
      <c r="H13" s="164"/>
      <c r="I13" s="164"/>
      <c r="J13" s="164"/>
      <c r="K13" s="164"/>
      <c r="L13" s="164"/>
      <c r="M13" s="164"/>
      <c r="N13" s="163"/>
    </row>
    <row r="14" spans="2:14" x14ac:dyDescent="0.2">
      <c r="B14" s="162"/>
      <c r="C14" s="66">
        <f>D10</f>
        <v>5</v>
      </c>
      <c r="D14" s="66">
        <f t="shared" ref="D14:D77" si="0">-10*LOG(1+($D$6/C14)^(2*$D$5))</f>
        <v>-30.107238653917729</v>
      </c>
      <c r="E14" s="66">
        <f t="shared" ref="E14:E45" si="1">IF($D$6/C14&lt;1,-10*LOG(1+$E$120*(COS($D$5*ACOS($D$6/C14)))^2),-10*LOG(1+$E$120*(COSH($D$5*ACOSH($D$6/C14)))^2))</f>
        <v>-45.30604615982574</v>
      </c>
      <c r="F14" s="164"/>
      <c r="G14" s="164"/>
      <c r="H14" s="164"/>
      <c r="I14" s="164"/>
      <c r="J14" s="164"/>
      <c r="K14" s="164"/>
      <c r="L14" s="164"/>
      <c r="M14" s="164"/>
      <c r="N14" s="163"/>
    </row>
    <row r="15" spans="2:14" x14ac:dyDescent="0.2">
      <c r="B15" s="162"/>
      <c r="C15" s="66">
        <f t="shared" ref="C15:C46" si="2">C14+$D$11</f>
        <v>5.25</v>
      </c>
      <c r="D15" s="66">
        <f t="shared" si="0"/>
        <v>-27.9909725684997</v>
      </c>
      <c r="E15" s="66">
        <f t="shared" si="1"/>
        <v>-42.838511984293355</v>
      </c>
      <c r="F15" s="164"/>
      <c r="G15" s="164"/>
      <c r="H15" s="164"/>
      <c r="I15" s="164"/>
      <c r="J15" s="164"/>
      <c r="K15" s="164"/>
      <c r="L15" s="164"/>
      <c r="M15" s="164"/>
      <c r="N15" s="163"/>
    </row>
    <row r="16" spans="2:14" x14ac:dyDescent="0.2">
      <c r="B16" s="162"/>
      <c r="C16" s="66">
        <f t="shared" si="2"/>
        <v>5.5</v>
      </c>
      <c r="D16" s="66">
        <f t="shared" si="0"/>
        <v>-25.97471761134884</v>
      </c>
      <c r="E16" s="66">
        <f t="shared" si="1"/>
        <v>-40.442824491069359</v>
      </c>
      <c r="F16" s="164"/>
      <c r="G16" s="164"/>
      <c r="H16" s="164"/>
      <c r="I16" s="164"/>
      <c r="J16" s="164"/>
      <c r="K16" s="164"/>
      <c r="L16" s="164"/>
      <c r="M16" s="164"/>
      <c r="N16" s="163"/>
    </row>
    <row r="17" spans="2:14" x14ac:dyDescent="0.2">
      <c r="B17" s="162"/>
      <c r="C17" s="66">
        <f t="shared" si="2"/>
        <v>5.75</v>
      </c>
      <c r="D17" s="66">
        <f t="shared" si="0"/>
        <v>-24.050339572659645</v>
      </c>
      <c r="E17" s="66">
        <f t="shared" si="1"/>
        <v>-38.10817318517919</v>
      </c>
      <c r="F17" s="164"/>
      <c r="G17" s="164"/>
      <c r="H17" s="164"/>
      <c r="I17" s="164"/>
      <c r="J17" s="164"/>
      <c r="K17" s="164"/>
      <c r="L17" s="164"/>
      <c r="M17" s="164"/>
      <c r="N17" s="163"/>
    </row>
    <row r="18" spans="2:14" x14ac:dyDescent="0.2">
      <c r="B18" s="162"/>
      <c r="C18" s="66">
        <f t="shared" si="2"/>
        <v>6</v>
      </c>
      <c r="D18" s="66">
        <f t="shared" si="0"/>
        <v>-22.211056014335362</v>
      </c>
      <c r="E18" s="66">
        <f t="shared" si="1"/>
        <v>-35.824555428873239</v>
      </c>
      <c r="F18" s="164"/>
      <c r="G18" s="164"/>
      <c r="H18" s="164"/>
      <c r="I18" s="164"/>
      <c r="J18" s="164"/>
      <c r="K18" s="164"/>
      <c r="L18" s="164"/>
      <c r="M18" s="164"/>
      <c r="N18" s="163"/>
    </row>
    <row r="19" spans="2:14" x14ac:dyDescent="0.2">
      <c r="B19" s="162"/>
      <c r="C19" s="66">
        <f t="shared" si="2"/>
        <v>6.25</v>
      </c>
      <c r="D19" s="66">
        <f t="shared" si="0"/>
        <v>-20.451318580348975</v>
      </c>
      <c r="E19" s="66">
        <f t="shared" si="1"/>
        <v>-33.582536022757232</v>
      </c>
      <c r="F19" s="164"/>
      <c r="G19" s="164"/>
      <c r="H19" s="164"/>
      <c r="I19" s="164"/>
      <c r="J19" s="164"/>
      <c r="K19" s="164"/>
      <c r="L19" s="164"/>
      <c r="M19" s="164"/>
      <c r="N19" s="163"/>
    </row>
    <row r="20" spans="2:14" x14ac:dyDescent="0.2">
      <c r="B20" s="162"/>
      <c r="C20" s="66">
        <f t="shared" si="2"/>
        <v>6.5</v>
      </c>
      <c r="D20" s="66">
        <f t="shared" si="0"/>
        <v>-18.766742214724527</v>
      </c>
      <c r="E20" s="66">
        <f t="shared" si="1"/>
        <v>-31.373031566407072</v>
      </c>
      <c r="F20" s="164"/>
      <c r="G20" s="164"/>
      <c r="H20" s="164"/>
      <c r="I20" s="164"/>
      <c r="J20" s="164"/>
      <c r="K20" s="164"/>
      <c r="L20" s="164"/>
      <c r="M20" s="164"/>
      <c r="N20" s="163"/>
    </row>
    <row r="21" spans="2:14" x14ac:dyDescent="0.2">
      <c r="B21" s="162"/>
      <c r="C21" s="66">
        <f t="shared" si="2"/>
        <v>6.75</v>
      </c>
      <c r="D21" s="66">
        <f t="shared" si="0"/>
        <v>-17.154071377241358</v>
      </c>
      <c r="E21" s="66">
        <f t="shared" si="1"/>
        <v>-29.187110818799553</v>
      </c>
      <c r="F21" s="164"/>
      <c r="G21" s="164"/>
      <c r="H21" s="164"/>
      <c r="I21" s="164"/>
      <c r="J21" s="164"/>
      <c r="K21" s="164"/>
      <c r="L21" s="164"/>
      <c r="M21" s="164"/>
      <c r="N21" s="163"/>
    </row>
    <row r="22" spans="2:14" x14ac:dyDescent="0.2">
      <c r="B22" s="162"/>
      <c r="C22" s="66">
        <f t="shared" si="2"/>
        <v>7</v>
      </c>
      <c r="D22" s="66">
        <f t="shared" si="0"/>
        <v>-15.611172726473818</v>
      </c>
      <c r="E22" s="66">
        <f t="shared" si="1"/>
        <v>-27.015806440942093</v>
      </c>
      <c r="F22" s="164"/>
      <c r="G22" s="164"/>
      <c r="H22" s="164"/>
      <c r="I22" s="164"/>
      <c r="J22" s="164"/>
      <c r="K22" s="164"/>
      <c r="L22" s="164"/>
      <c r="M22" s="164"/>
      <c r="N22" s="163"/>
    </row>
    <row r="23" spans="2:14" x14ac:dyDescent="0.2">
      <c r="B23" s="162"/>
      <c r="C23" s="66">
        <f t="shared" si="2"/>
        <v>7.25</v>
      </c>
      <c r="D23" s="66">
        <f t="shared" si="0"/>
        <v>-14.137041199450945</v>
      </c>
      <c r="E23" s="66">
        <f t="shared" si="1"/>
        <v>-24.849940089334876</v>
      </c>
      <c r="F23" s="164"/>
      <c r="G23" s="164"/>
      <c r="H23" s="164"/>
      <c r="I23" s="164"/>
      <c r="J23" s="164"/>
      <c r="K23" s="164"/>
      <c r="L23" s="164"/>
      <c r="M23" s="304" t="s">
        <v>198</v>
      </c>
      <c r="N23" s="163"/>
    </row>
    <row r="24" spans="2:14" x14ac:dyDescent="0.2">
      <c r="B24" s="162"/>
      <c r="C24" s="66">
        <f t="shared" si="2"/>
        <v>7.5</v>
      </c>
      <c r="D24" s="66">
        <f t="shared" si="0"/>
        <v>-12.731802023683505</v>
      </c>
      <c r="E24" s="66">
        <f t="shared" si="1"/>
        <v>-22.67997562230115</v>
      </c>
      <c r="F24" s="164"/>
      <c r="G24" s="164"/>
      <c r="H24" s="164"/>
      <c r="I24" s="164"/>
      <c r="J24" s="164"/>
      <c r="K24" s="164"/>
      <c r="L24" s="164"/>
      <c r="M24" s="164"/>
      <c r="N24" s="163"/>
    </row>
    <row r="25" spans="2:14" x14ac:dyDescent="0.2">
      <c r="B25" s="162"/>
      <c r="C25" s="66">
        <f t="shared" si="2"/>
        <v>7.75</v>
      </c>
      <c r="D25" s="66">
        <f t="shared" si="0"/>
        <v>-11.396685445701673</v>
      </c>
      <c r="E25" s="66">
        <f t="shared" si="1"/>
        <v>-20.495942260592052</v>
      </c>
      <c r="F25" s="164"/>
      <c r="G25" s="164"/>
      <c r="H25" s="164"/>
      <c r="I25" s="164"/>
      <c r="J25" s="164"/>
      <c r="K25" s="164"/>
      <c r="L25" s="164"/>
      <c r="M25" s="164"/>
      <c r="N25" s="163"/>
    </row>
    <row r="26" spans="2:14" x14ac:dyDescent="0.2">
      <c r="B26" s="162"/>
      <c r="C26" s="66">
        <f t="shared" si="2"/>
        <v>8</v>
      </c>
      <c r="D26" s="66">
        <f t="shared" si="0"/>
        <v>-10.133945241238077</v>
      </c>
      <c r="E26" s="66">
        <f t="shared" si="1"/>
        <v>-18.287528754699402</v>
      </c>
      <c r="F26" s="164"/>
      <c r="G26" s="164"/>
      <c r="H26" s="164"/>
      <c r="I26" s="164"/>
      <c r="J26" s="164"/>
      <c r="K26" s="164"/>
      <c r="L26" s="164"/>
      <c r="M26" s="164"/>
      <c r="N26" s="163"/>
    </row>
    <row r="27" spans="2:14" x14ac:dyDescent="0.2">
      <c r="B27" s="162"/>
      <c r="C27" s="66">
        <f t="shared" si="2"/>
        <v>8.25</v>
      </c>
      <c r="D27" s="66">
        <f t="shared" si="0"/>
        <v>-8.9466891315102828</v>
      </c>
      <c r="E27" s="66">
        <f t="shared" si="1"/>
        <v>-16.044580820179636</v>
      </c>
      <c r="F27" s="164"/>
      <c r="G27" s="164"/>
      <c r="H27" s="164"/>
      <c r="I27" s="164"/>
      <c r="J27" s="164"/>
      <c r="K27" s="164"/>
      <c r="L27" s="164"/>
      <c r="M27" s="164"/>
      <c r="N27" s="163"/>
    </row>
    <row r="28" spans="2:14" x14ac:dyDescent="0.2">
      <c r="B28" s="162"/>
      <c r="C28" s="66">
        <f t="shared" si="2"/>
        <v>8.5</v>
      </c>
      <c r="D28" s="66">
        <f t="shared" si="0"/>
        <v>-7.8385932236659244</v>
      </c>
      <c r="E28" s="66">
        <f t="shared" si="1"/>
        <v>-13.758525160280366</v>
      </c>
      <c r="F28" s="164"/>
      <c r="G28" s="164"/>
      <c r="H28" s="164"/>
      <c r="I28" s="164"/>
      <c r="J28" s="164"/>
      <c r="K28" s="164"/>
      <c r="L28" s="164"/>
      <c r="M28" s="164"/>
      <c r="N28" s="163"/>
    </row>
    <row r="29" spans="2:14" x14ac:dyDescent="0.2">
      <c r="B29" s="162"/>
      <c r="C29" s="66">
        <f t="shared" si="2"/>
        <v>8.75</v>
      </c>
      <c r="D29" s="66">
        <f t="shared" si="0"/>
        <v>-6.8134880713261969</v>
      </c>
      <c r="E29" s="66">
        <f t="shared" si="1"/>
        <v>-11.425874959011439</v>
      </c>
      <c r="F29" s="164"/>
      <c r="G29" s="164"/>
      <c r="H29" s="164"/>
      <c r="I29" s="164"/>
      <c r="J29" s="164"/>
      <c r="K29" s="164"/>
      <c r="L29" s="164"/>
      <c r="M29" s="164"/>
      <c r="N29" s="163"/>
    </row>
    <row r="30" spans="2:14" x14ac:dyDescent="0.2">
      <c r="B30" s="162"/>
      <c r="C30" s="66">
        <f t="shared" si="2"/>
        <v>9</v>
      </c>
      <c r="D30" s="66">
        <f t="shared" si="0"/>
        <v>-5.8748332055875965</v>
      </c>
      <c r="E30" s="66">
        <f t="shared" si="1"/>
        <v>-9.0562326138171638</v>
      </c>
      <c r="F30" s="164"/>
      <c r="G30" s="164"/>
      <c r="H30" s="164"/>
      <c r="I30" s="164"/>
      <c r="J30" s="164"/>
      <c r="K30" s="164"/>
      <c r="L30" s="164"/>
      <c r="M30" s="164"/>
      <c r="N30" s="163"/>
    </row>
    <row r="31" spans="2:14" x14ac:dyDescent="0.2">
      <c r="B31" s="162"/>
      <c r="C31" s="66">
        <f t="shared" si="2"/>
        <v>9.25</v>
      </c>
      <c r="D31" s="66">
        <f t="shared" si="0"/>
        <v>-5.025136240084497</v>
      </c>
      <c r="E31" s="66">
        <f t="shared" si="1"/>
        <v>-6.6890839531083461</v>
      </c>
      <c r="F31" s="164"/>
      <c r="G31" s="164"/>
      <c r="H31" s="164"/>
      <c r="I31" s="164"/>
      <c r="J31" s="164"/>
      <c r="K31" s="164"/>
      <c r="L31" s="164"/>
      <c r="M31" s="164"/>
      <c r="N31" s="163"/>
    </row>
    <row r="32" spans="2:14" x14ac:dyDescent="0.2">
      <c r="B32" s="162"/>
      <c r="C32" s="66">
        <f t="shared" si="2"/>
        <v>9.5</v>
      </c>
      <c r="D32" s="66">
        <f t="shared" si="0"/>
        <v>-4.2654095667649941</v>
      </c>
      <c r="E32" s="66">
        <f t="shared" si="1"/>
        <v>-4.4232376773941899</v>
      </c>
      <c r="F32" s="164"/>
      <c r="G32" s="164"/>
      <c r="H32" s="164"/>
      <c r="I32" s="164"/>
      <c r="J32" s="164"/>
      <c r="K32" s="164"/>
      <c r="L32" s="164"/>
      <c r="M32" s="164"/>
      <c r="N32" s="163"/>
    </row>
    <row r="33" spans="2:14" x14ac:dyDescent="0.2">
      <c r="B33" s="162"/>
      <c r="C33" s="66">
        <f t="shared" si="2"/>
        <v>9.75</v>
      </c>
      <c r="D33" s="66">
        <f t="shared" si="0"/>
        <v>-3.5947740087407865</v>
      </c>
      <c r="E33" s="66">
        <f t="shared" si="1"/>
        <v>-2.4461999223910493</v>
      </c>
      <c r="F33" s="164"/>
      <c r="G33" s="164"/>
      <c r="H33" s="164"/>
      <c r="I33" s="164"/>
      <c r="J33" s="164"/>
      <c r="K33" s="164"/>
      <c r="L33" s="164"/>
      <c r="M33" s="164"/>
      <c r="N33" s="163"/>
    </row>
    <row r="34" spans="2:14" x14ac:dyDescent="0.2">
      <c r="B34" s="162"/>
      <c r="C34" s="66">
        <f t="shared" si="2"/>
        <v>10</v>
      </c>
      <c r="D34" s="66">
        <f t="shared" si="0"/>
        <v>-3.0102999566398121</v>
      </c>
      <c r="E34" s="66">
        <f t="shared" si="1"/>
        <v>-1.0000000000000002</v>
      </c>
      <c r="F34" s="164"/>
      <c r="G34" s="164"/>
      <c r="H34" s="164"/>
      <c r="I34" s="164"/>
      <c r="J34" s="164"/>
      <c r="K34" s="164"/>
      <c r="L34" s="164"/>
      <c r="M34" s="164"/>
      <c r="N34" s="163"/>
    </row>
    <row r="35" spans="2:14" x14ac:dyDescent="0.2">
      <c r="B35" s="162"/>
      <c r="C35" s="66">
        <f t="shared" si="2"/>
        <v>10.25</v>
      </c>
      <c r="D35" s="66">
        <f t="shared" si="0"/>
        <v>-2.5071229676571516</v>
      </c>
      <c r="E35" s="66">
        <f t="shared" si="1"/>
        <v>-0.21976334318448335</v>
      </c>
      <c r="F35" s="164"/>
      <c r="G35" s="164"/>
      <c r="H35" s="164"/>
      <c r="I35" s="164"/>
      <c r="J35" s="164"/>
      <c r="K35" s="164"/>
      <c r="L35" s="164"/>
      <c r="M35" s="164"/>
      <c r="N35" s="163"/>
    </row>
    <row r="36" spans="2:14" x14ac:dyDescent="0.2">
      <c r="B36" s="162"/>
      <c r="C36" s="66">
        <f t="shared" si="2"/>
        <v>10.5</v>
      </c>
      <c r="D36" s="66">
        <f t="shared" si="0"/>
        <v>-2.0788018805580735</v>
      </c>
      <c r="E36" s="66">
        <f t="shared" si="1"/>
        <v>-5.2322886496559918E-4</v>
      </c>
      <c r="F36" s="164"/>
      <c r="G36" s="164"/>
      <c r="H36" s="164"/>
      <c r="I36" s="164"/>
      <c r="J36" s="164"/>
      <c r="K36" s="164"/>
      <c r="L36" s="164"/>
      <c r="M36" s="164"/>
      <c r="N36" s="163"/>
    </row>
    <row r="37" spans="2:14" x14ac:dyDescent="0.2">
      <c r="B37" s="162"/>
      <c r="C37" s="66">
        <f t="shared" si="2"/>
        <v>10.75</v>
      </c>
      <c r="D37" s="66">
        <f t="shared" si="0"/>
        <v>-1.7178316509589346</v>
      </c>
      <c r="E37" s="66">
        <f t="shared" si="1"/>
        <v>-0.10210468283654579</v>
      </c>
      <c r="F37" s="164"/>
      <c r="G37" s="164"/>
      <c r="H37" s="164"/>
      <c r="I37" s="164"/>
      <c r="J37" s="164"/>
      <c r="K37" s="164"/>
      <c r="L37" s="164"/>
      <c r="M37" s="164"/>
      <c r="N37" s="163"/>
    </row>
    <row r="38" spans="2:14" x14ac:dyDescent="0.2">
      <c r="B38" s="162"/>
      <c r="C38" s="66">
        <f t="shared" si="2"/>
        <v>11</v>
      </c>
      <c r="D38" s="66">
        <f t="shared" si="0"/>
        <v>-1.4162009927499635</v>
      </c>
      <c r="E38" s="66">
        <f t="shared" si="1"/>
        <v>-0.32303670745369606</v>
      </c>
      <c r="F38" s="164"/>
      <c r="G38" s="164"/>
      <c r="H38" s="164"/>
      <c r="I38" s="164"/>
      <c r="J38" s="164"/>
      <c r="K38" s="164"/>
      <c r="L38" s="164"/>
      <c r="M38" s="164"/>
      <c r="N38" s="163"/>
    </row>
    <row r="39" spans="2:14" x14ac:dyDescent="0.2">
      <c r="B39" s="162"/>
      <c r="C39" s="66">
        <f t="shared" si="2"/>
        <v>11.25</v>
      </c>
      <c r="D39" s="66">
        <f t="shared" si="0"/>
        <v>-1.1658986305806476</v>
      </c>
      <c r="E39" s="66">
        <f t="shared" si="1"/>
        <v>-0.55176411909121881</v>
      </c>
      <c r="F39" s="164"/>
      <c r="G39" s="164"/>
      <c r="H39" s="164"/>
      <c r="I39" s="164"/>
      <c r="J39" s="164"/>
      <c r="K39" s="164"/>
      <c r="L39" s="164"/>
      <c r="M39" s="164"/>
      <c r="N39" s="163"/>
    </row>
    <row r="40" spans="2:14" x14ac:dyDescent="0.2">
      <c r="B40" s="162"/>
      <c r="C40" s="66">
        <f t="shared" si="2"/>
        <v>11.5</v>
      </c>
      <c r="D40" s="66">
        <f t="shared" si="0"/>
        <v>-0.95930776581358357</v>
      </c>
      <c r="E40" s="66">
        <f t="shared" si="1"/>
        <v>-0.74102910691326884</v>
      </c>
      <c r="F40" s="164"/>
      <c r="G40" s="164"/>
      <c r="H40" s="164"/>
      <c r="I40" s="164"/>
      <c r="J40" s="164"/>
      <c r="K40" s="164"/>
      <c r="L40" s="164"/>
      <c r="M40" s="164"/>
      <c r="N40" s="163"/>
    </row>
    <row r="41" spans="2:14" x14ac:dyDescent="0.2">
      <c r="B41" s="162"/>
      <c r="C41" s="66">
        <f t="shared" si="2"/>
        <v>11.75</v>
      </c>
      <c r="D41" s="66">
        <f t="shared" si="0"/>
        <v>-0.789467861595332</v>
      </c>
      <c r="E41" s="66">
        <f t="shared" si="1"/>
        <v>-0.8768200027785813</v>
      </c>
      <c r="F41" s="164"/>
      <c r="G41" s="164"/>
      <c r="H41" s="164"/>
      <c r="I41" s="164"/>
      <c r="J41" s="164"/>
      <c r="K41" s="164"/>
      <c r="L41" s="164"/>
      <c r="M41" s="164"/>
      <c r="N41" s="163"/>
    </row>
    <row r="42" spans="2:14" x14ac:dyDescent="0.2">
      <c r="B42" s="162"/>
      <c r="C42" s="66">
        <f t="shared" si="2"/>
        <v>12</v>
      </c>
      <c r="D42" s="66">
        <f t="shared" si="0"/>
        <v>-0.65021301620047611</v>
      </c>
      <c r="E42" s="66">
        <f t="shared" si="1"/>
        <v>-0.95983858140683931</v>
      </c>
      <c r="F42" s="164"/>
      <c r="G42" s="164"/>
      <c r="H42" s="164"/>
      <c r="I42" s="164"/>
      <c r="J42" s="164"/>
      <c r="K42" s="164"/>
      <c r="L42" s="164"/>
      <c r="M42" s="164"/>
      <c r="N42" s="163"/>
    </row>
    <row r="43" spans="2:14" x14ac:dyDescent="0.2">
      <c r="B43" s="162"/>
      <c r="C43" s="66">
        <f t="shared" si="2"/>
        <v>12.25</v>
      </c>
      <c r="D43" s="66">
        <f t="shared" si="0"/>
        <v>-0.5362125546589277</v>
      </c>
      <c r="E43" s="66">
        <f t="shared" si="1"/>
        <v>-0.99648924035706909</v>
      </c>
      <c r="F43" s="164"/>
      <c r="G43" s="164"/>
      <c r="H43" s="164"/>
      <c r="I43" s="164"/>
      <c r="J43" s="164"/>
      <c r="K43" s="164"/>
      <c r="L43" s="164"/>
      <c r="M43" s="164"/>
      <c r="N43" s="163"/>
    </row>
    <row r="44" spans="2:14" x14ac:dyDescent="0.2">
      <c r="B44" s="162"/>
      <c r="C44" s="66">
        <f t="shared" si="2"/>
        <v>12.5</v>
      </c>
      <c r="D44" s="66">
        <f t="shared" si="0"/>
        <v>-0.44294394043243657</v>
      </c>
      <c r="E44" s="66">
        <f t="shared" si="1"/>
        <v>-0.99485941387678256</v>
      </c>
      <c r="F44" s="164"/>
      <c r="G44" s="164"/>
      <c r="H44" s="164"/>
      <c r="I44" s="164"/>
      <c r="J44" s="164"/>
      <c r="K44" s="164"/>
      <c r="L44" s="164"/>
      <c r="M44" s="164"/>
      <c r="N44" s="163"/>
    </row>
    <row r="45" spans="2:14" x14ac:dyDescent="0.2">
      <c r="B45" s="162"/>
      <c r="C45" s="66">
        <f t="shared" si="2"/>
        <v>12.75</v>
      </c>
      <c r="D45" s="66">
        <f t="shared" si="0"/>
        <v>-0.36662515152694397</v>
      </c>
      <c r="E45" s="66">
        <f t="shared" si="1"/>
        <v>-0.9630262483130797</v>
      </c>
      <c r="F45" s="164"/>
      <c r="G45" s="164"/>
      <c r="H45" s="164"/>
      <c r="I45" s="164"/>
      <c r="J45" s="164"/>
      <c r="K45" s="164"/>
      <c r="L45" s="164"/>
      <c r="M45" s="164"/>
      <c r="N45" s="163"/>
    </row>
    <row r="46" spans="2:14" x14ac:dyDescent="0.2">
      <c r="B46" s="162"/>
      <c r="C46" s="66">
        <f t="shared" si="2"/>
        <v>13</v>
      </c>
      <c r="D46" s="66">
        <f t="shared" si="0"/>
        <v>-0.3041274902850517</v>
      </c>
      <c r="E46" s="66">
        <f t="shared" ref="E46:E77" si="3">IF($D$6/C46&lt;1,-10*LOG(1+$E$120*(COS($D$5*ACOS($D$6/C46)))^2),-10*LOG(1+$E$120*(COSH($D$5*ACOSH($D$6/C46)))^2))</f>
        <v>-0.90839786606116957</v>
      </c>
      <c r="F46" s="164"/>
      <c r="G46" s="164"/>
      <c r="H46" s="164"/>
      <c r="I46" s="164"/>
      <c r="J46" s="164"/>
      <c r="K46" s="164"/>
      <c r="L46" s="164"/>
      <c r="M46" s="164"/>
      <c r="N46" s="163"/>
    </row>
    <row r="47" spans="2:14" x14ac:dyDescent="0.2">
      <c r="B47" s="162"/>
      <c r="C47" s="66">
        <f t="shared" ref="C47:C78" si="4">C46+$D$11</f>
        <v>13.25</v>
      </c>
      <c r="D47" s="66">
        <f t="shared" si="0"/>
        <v>-0.25288322128825602</v>
      </c>
      <c r="E47" s="66">
        <f t="shared" si="3"/>
        <v>-0.83750124523938319</v>
      </c>
      <c r="F47" s="164"/>
      <c r="G47" s="164"/>
      <c r="H47" s="164"/>
      <c r="I47" s="164"/>
      <c r="J47" s="164"/>
      <c r="K47" s="164"/>
      <c r="L47" s="164"/>
      <c r="M47" s="164"/>
      <c r="N47" s="163"/>
    </row>
    <row r="48" spans="2:14" x14ac:dyDescent="0.2">
      <c r="B48" s="162"/>
      <c r="C48" s="66">
        <f t="shared" si="4"/>
        <v>13.5</v>
      </c>
      <c r="D48" s="66">
        <f t="shared" si="0"/>
        <v>-0.21079686714494916</v>
      </c>
      <c r="E48" s="66">
        <f t="shared" si="3"/>
        <v>-0.75595525952278342</v>
      </c>
      <c r="F48" s="164"/>
      <c r="G48" s="164"/>
      <c r="H48" s="164"/>
      <c r="I48" s="164"/>
      <c r="J48" s="164"/>
      <c r="K48" s="164"/>
      <c r="L48" s="164"/>
      <c r="M48" s="164"/>
      <c r="N48" s="163"/>
    </row>
    <row r="49" spans="2:14" x14ac:dyDescent="0.2">
      <c r="B49" s="162"/>
      <c r="C49" s="66">
        <f t="shared" si="4"/>
        <v>13.75</v>
      </c>
      <c r="D49" s="66">
        <f t="shared" si="0"/>
        <v>-0.17616487177700757</v>
      </c>
      <c r="E49" s="66">
        <f t="shared" si="3"/>
        <v>-0.66851465543109934</v>
      </c>
      <c r="F49" s="164"/>
      <c r="G49" s="164"/>
      <c r="H49" s="164"/>
      <c r="I49" s="164"/>
      <c r="J49" s="164"/>
      <c r="K49" s="164"/>
      <c r="L49" s="164"/>
      <c r="M49" s="164"/>
      <c r="N49" s="163"/>
    </row>
    <row r="50" spans="2:14" x14ac:dyDescent="0.2">
      <c r="B50" s="162"/>
      <c r="C50" s="66">
        <f t="shared" si="4"/>
        <v>14</v>
      </c>
      <c r="D50" s="66">
        <f t="shared" si="0"/>
        <v>-0.14760557900634921</v>
      </c>
      <c r="E50" s="66">
        <f t="shared" si="3"/>
        <v>-0.5791367440705375</v>
      </c>
      <c r="F50" s="164"/>
      <c r="G50" s="164"/>
      <c r="H50" s="164"/>
      <c r="I50" s="164"/>
      <c r="J50" s="164"/>
      <c r="K50" s="164"/>
      <c r="L50" s="164"/>
      <c r="M50" s="164"/>
      <c r="N50" s="163"/>
    </row>
    <row r="51" spans="2:14" x14ac:dyDescent="0.2">
      <c r="B51" s="162"/>
      <c r="C51" s="66">
        <f t="shared" si="4"/>
        <v>14.25</v>
      </c>
      <c r="D51" s="66">
        <f t="shared" si="0"/>
        <v>-0.12399978351108906</v>
      </c>
      <c r="E51" s="66">
        <f t="shared" si="3"/>
        <v>-0.4910520243195734</v>
      </c>
      <c r="F51" s="164"/>
      <c r="G51" s="164"/>
      <c r="H51" s="164"/>
      <c r="I51" s="164"/>
      <c r="J51" s="164"/>
      <c r="K51" s="164"/>
      <c r="L51" s="164"/>
      <c r="M51" s="164"/>
      <c r="N51" s="163"/>
    </row>
    <row r="52" spans="2:14" x14ac:dyDescent="0.2">
      <c r="B52" s="162"/>
      <c r="C52" s="66">
        <f t="shared" si="4"/>
        <v>14.5</v>
      </c>
      <c r="D52" s="66">
        <f t="shared" si="0"/>
        <v>-0.10444117877738721</v>
      </c>
      <c r="E52" s="66">
        <f t="shared" si="3"/>
        <v>-0.40683278469251732</v>
      </c>
      <c r="F52" s="164"/>
      <c r="G52" s="164"/>
      <c r="H52" s="164"/>
      <c r="I52" s="164"/>
      <c r="J52" s="164"/>
      <c r="K52" s="164"/>
      <c r="L52" s="164"/>
      <c r="M52" s="164"/>
      <c r="N52" s="163"/>
    </row>
    <row r="53" spans="2:14" x14ac:dyDescent="0.2">
      <c r="B53" s="162"/>
      <c r="C53" s="66">
        <f t="shared" si="4"/>
        <v>14.75</v>
      </c>
      <c r="D53" s="66">
        <f t="shared" si="0"/>
        <v>-8.8195589212298281E-2</v>
      </c>
      <c r="E53" s="66">
        <f t="shared" si="3"/>
        <v>-0.32845891287119311</v>
      </c>
      <c r="F53" s="164"/>
      <c r="G53" s="164"/>
      <c r="H53" s="164"/>
      <c r="I53" s="164"/>
      <c r="J53" s="164"/>
      <c r="K53" s="164"/>
      <c r="L53" s="164"/>
      <c r="M53" s="164"/>
      <c r="N53" s="163"/>
    </row>
    <row r="54" spans="2:14" x14ac:dyDescent="0.2">
      <c r="B54" s="162"/>
      <c r="C54" s="66">
        <f t="shared" si="4"/>
        <v>15</v>
      </c>
      <c r="D54" s="66">
        <f t="shared" si="0"/>
        <v>-7.4667736289173697E-2</v>
      </c>
      <c r="E54" s="66">
        <f t="shared" si="3"/>
        <v>-0.25738178612272916</v>
      </c>
      <c r="F54" s="164"/>
      <c r="G54" s="164"/>
      <c r="H54" s="164"/>
      <c r="I54" s="164"/>
      <c r="J54" s="164"/>
      <c r="K54" s="164"/>
      <c r="L54" s="164"/>
      <c r="M54" s="164"/>
      <c r="N54" s="163"/>
    </row>
    <row r="55" spans="2:14" x14ac:dyDescent="0.2">
      <c r="B55" s="162"/>
      <c r="C55" s="66">
        <f t="shared" si="4"/>
        <v>15.25</v>
      </c>
      <c r="D55" s="66">
        <f t="shared" si="0"/>
        <v>-6.3374318951760128E-2</v>
      </c>
      <c r="E55" s="66">
        <f t="shared" si="3"/>
        <v>-0.19458717493749234</v>
      </c>
      <c r="F55" s="164"/>
      <c r="G55" s="164"/>
      <c r="H55" s="164"/>
      <c r="I55" s="164"/>
      <c r="J55" s="164"/>
      <c r="K55" s="164"/>
      <c r="L55" s="164"/>
      <c r="M55" s="164"/>
      <c r="N55" s="163"/>
    </row>
    <row r="56" spans="2:14" x14ac:dyDescent="0.2">
      <c r="B56" s="162"/>
      <c r="C56" s="66">
        <f t="shared" si="4"/>
        <v>15.5</v>
      </c>
      <c r="D56" s="66">
        <f t="shared" si="0"/>
        <v>-5.3922302060751853E-2</v>
      </c>
      <c r="E56" s="66">
        <f t="shared" si="3"/>
        <v>-0.14065753566919997</v>
      </c>
      <c r="F56" s="164"/>
      <c r="G56" s="164"/>
      <c r="H56" s="164"/>
      <c r="I56" s="164"/>
      <c r="J56" s="164"/>
      <c r="K56" s="164"/>
      <c r="L56" s="164"/>
      <c r="M56" s="164"/>
      <c r="N56" s="163"/>
    </row>
    <row r="57" spans="2:14" x14ac:dyDescent="0.2">
      <c r="B57" s="162"/>
      <c r="C57" s="66">
        <f t="shared" si="4"/>
        <v>15.75</v>
      </c>
      <c r="D57" s="66">
        <f t="shared" si="0"/>
        <v>-4.5991452753188347E-2</v>
      </c>
      <c r="E57" s="66">
        <f t="shared" si="3"/>
        <v>-9.5833394146028608E-2</v>
      </c>
      <c r="F57" s="164"/>
      <c r="G57" s="164"/>
      <c r="H57" s="164"/>
      <c r="I57" s="164"/>
      <c r="J57" s="164"/>
      <c r="K57" s="164"/>
      <c r="L57" s="164"/>
      <c r="M57" s="164"/>
      <c r="N57" s="163"/>
    </row>
    <row r="58" spans="2:14" x14ac:dyDescent="0.2">
      <c r="B58" s="162"/>
      <c r="C58" s="66">
        <f t="shared" si="4"/>
        <v>16</v>
      </c>
      <c r="D58" s="66">
        <f t="shared" si="0"/>
        <v>-3.9320314756490234E-2</v>
      </c>
      <c r="E58" s="66">
        <f t="shared" si="3"/>
        <v>-6.0072981929593781E-2</v>
      </c>
      <c r="F58" s="164"/>
      <c r="G58" s="164"/>
      <c r="H58" s="164"/>
      <c r="I58" s="164"/>
      <c r="J58" s="164"/>
      <c r="K58" s="164"/>
      <c r="L58" s="164"/>
      <c r="M58" s="164"/>
      <c r="N58" s="163"/>
    </row>
    <row r="59" spans="2:14" x14ac:dyDescent="0.2">
      <c r="B59" s="162"/>
      <c r="C59" s="66">
        <f t="shared" si="4"/>
        <v>16.25</v>
      </c>
      <c r="D59" s="66">
        <f t="shared" si="0"/>
        <v>-3.3694950396321005E-2</v>
      </c>
      <c r="E59" s="66">
        <f t="shared" si="3"/>
        <v>-3.3108984995548985E-2</v>
      </c>
      <c r="F59" s="164"/>
      <c r="G59" s="164"/>
      <c r="H59" s="164"/>
      <c r="I59" s="164"/>
      <c r="J59" s="164"/>
      <c r="K59" s="164"/>
      <c r="L59" s="164"/>
      <c r="M59" s="164"/>
      <c r="N59" s="163"/>
    </row>
    <row r="60" spans="2:14" x14ac:dyDescent="0.2">
      <c r="B60" s="162"/>
      <c r="C60" s="66">
        <f t="shared" si="4"/>
        <v>16.5</v>
      </c>
      <c r="D60" s="66">
        <f t="shared" si="0"/>
        <v>-2.8939902957463844E-2</v>
      </c>
      <c r="E60" s="66">
        <f t="shared" si="3"/>
        <v>-1.4501213778212639E-2</v>
      </c>
      <c r="F60" s="164"/>
      <c r="G60" s="164"/>
      <c r="H60" s="164"/>
      <c r="I60" s="164"/>
      <c r="J60" s="164"/>
      <c r="K60" s="164"/>
      <c r="L60" s="164"/>
      <c r="M60" s="164"/>
      <c r="N60" s="163"/>
    </row>
    <row r="61" spans="2:14" x14ac:dyDescent="0.2">
      <c r="B61" s="162"/>
      <c r="C61" s="66">
        <f t="shared" si="4"/>
        <v>16.75</v>
      </c>
      <c r="D61" s="66">
        <f t="shared" si="0"/>
        <v>-2.4910936540072825E-2</v>
      </c>
      <c r="E61" s="66">
        <f t="shared" si="3"/>
        <v>-3.6841604134114692E-3</v>
      </c>
      <c r="F61" s="164"/>
      <c r="G61" s="164"/>
      <c r="H61" s="164"/>
      <c r="I61" s="164"/>
      <c r="J61" s="164"/>
      <c r="K61" s="164"/>
      <c r="L61" s="164"/>
      <c r="M61" s="164"/>
      <c r="N61" s="163"/>
    </row>
    <row r="62" spans="2:14" x14ac:dyDescent="0.2">
      <c r="B62" s="162"/>
      <c r="C62" s="66">
        <f t="shared" si="4"/>
        <v>17</v>
      </c>
      <c r="D62" s="66">
        <f t="shared" si="0"/>
        <v>-2.1489197364241704E-2</v>
      </c>
      <c r="E62" s="66">
        <f t="shared" si="3"/>
        <v>-8.7028907002097506E-6</v>
      </c>
      <c r="F62" s="164"/>
      <c r="G62" s="164"/>
      <c r="H62" s="164"/>
      <c r="I62" s="164"/>
      <c r="J62" s="164"/>
      <c r="K62" s="164"/>
      <c r="L62" s="164"/>
      <c r="M62" s="164"/>
      <c r="N62" s="163"/>
    </row>
    <row r="63" spans="2:14" x14ac:dyDescent="0.2">
      <c r="B63" s="162"/>
      <c r="C63" s="66">
        <f t="shared" si="4"/>
        <v>17.25</v>
      </c>
      <c r="D63" s="66">
        <f t="shared" si="0"/>
        <v>-1.8576511491221002E-2</v>
      </c>
      <c r="E63" s="66">
        <f t="shared" si="3"/>
        <v>-2.7775711430101926E-3</v>
      </c>
      <c r="F63" s="164"/>
      <c r="G63" s="164"/>
      <c r="H63" s="164"/>
      <c r="I63" s="164"/>
      <c r="J63" s="164"/>
      <c r="K63" s="164"/>
      <c r="L63" s="164"/>
      <c r="M63" s="164"/>
      <c r="N63" s="163"/>
    </row>
    <row r="64" spans="2:14" x14ac:dyDescent="0.2">
      <c r="B64" s="162"/>
      <c r="C64" s="66">
        <f t="shared" si="4"/>
        <v>17.5</v>
      </c>
      <c r="D64" s="66">
        <f t="shared" si="0"/>
        <v>-1.6091591402484437E-2</v>
      </c>
      <c r="E64" s="66">
        <f t="shared" si="3"/>
        <v>-1.1274542084663318E-2</v>
      </c>
      <c r="F64" s="164"/>
      <c r="G64" s="164"/>
      <c r="H64" s="164"/>
      <c r="I64" s="164"/>
      <c r="J64" s="164"/>
      <c r="K64" s="164"/>
      <c r="L64" s="164"/>
      <c r="M64" s="164"/>
      <c r="N64" s="163"/>
    </row>
    <row r="65" spans="2:14" x14ac:dyDescent="0.2">
      <c r="B65" s="162"/>
      <c r="C65" s="66">
        <f t="shared" si="4"/>
        <v>17.75</v>
      </c>
      <c r="D65" s="66">
        <f t="shared" si="0"/>
        <v>-1.3966970045456051E-2</v>
      </c>
      <c r="E65" s="66">
        <f t="shared" si="3"/>
        <v>-2.4787633436557589E-2</v>
      </c>
      <c r="F65" s="164"/>
      <c r="G65" s="164"/>
      <c r="H65" s="164"/>
      <c r="I65" s="164"/>
      <c r="J65" s="164"/>
      <c r="K65" s="164"/>
      <c r="L65" s="164"/>
      <c r="M65" s="164"/>
      <c r="N65" s="163"/>
    </row>
    <row r="66" spans="2:14" x14ac:dyDescent="0.2">
      <c r="B66" s="162"/>
      <c r="C66" s="66">
        <f t="shared" si="4"/>
        <v>18</v>
      </c>
      <c r="D66" s="66">
        <f t="shared" si="0"/>
        <v>-1.214651785277562E-2</v>
      </c>
      <c r="E66" s="66">
        <f t="shared" si="3"/>
        <v>-4.2626794729555405E-2</v>
      </c>
      <c r="F66" s="164"/>
      <c r="G66" s="164"/>
      <c r="H66" s="164"/>
      <c r="I66" s="164"/>
      <c r="J66" s="164"/>
      <c r="K66" s="164"/>
      <c r="L66" s="164"/>
      <c r="M66" s="164"/>
      <c r="N66" s="163"/>
    </row>
    <row r="67" spans="2:14" x14ac:dyDescent="0.2">
      <c r="B67" s="162"/>
      <c r="C67" s="66">
        <f t="shared" si="4"/>
        <v>18.25</v>
      </c>
      <c r="D67" s="66">
        <f t="shared" si="0"/>
        <v>-1.058342763269767E-2</v>
      </c>
      <c r="E67" s="66">
        <f t="shared" si="3"/>
        <v>-6.4136741005392461E-2</v>
      </c>
      <c r="F67" s="164"/>
      <c r="G67" s="164"/>
      <c r="H67" s="164"/>
      <c r="I67" s="164"/>
      <c r="J67" s="164"/>
      <c r="K67" s="164"/>
      <c r="L67" s="164"/>
      <c r="M67" s="164"/>
      <c r="N67" s="163"/>
    </row>
    <row r="68" spans="2:14" x14ac:dyDescent="0.2">
      <c r="B68" s="162"/>
      <c r="C68" s="66">
        <f t="shared" si="4"/>
        <v>18.5</v>
      </c>
      <c r="D68" s="66">
        <f t="shared" si="0"/>
        <v>-9.2385755910047614E-3</v>
      </c>
      <c r="E68" s="66">
        <f t="shared" si="3"/>
        <v>-8.8705646275358818E-2</v>
      </c>
      <c r="F68" s="164"/>
      <c r="G68" s="164"/>
      <c r="H68" s="164"/>
      <c r="I68" s="164"/>
      <c r="J68" s="164"/>
      <c r="K68" s="164"/>
      <c r="L68" s="164"/>
      <c r="M68" s="164"/>
      <c r="N68" s="163"/>
    </row>
    <row r="69" spans="2:14" x14ac:dyDescent="0.2">
      <c r="B69" s="162"/>
      <c r="C69" s="66">
        <f t="shared" si="4"/>
        <v>18.75</v>
      </c>
      <c r="D69" s="66">
        <f t="shared" si="0"/>
        <v>-8.0791852958397303E-3</v>
      </c>
      <c r="E69" s="66">
        <f t="shared" si="3"/>
        <v>-0.11577042317644419</v>
      </c>
      <c r="F69" s="164"/>
      <c r="G69" s="164"/>
      <c r="H69" s="164"/>
      <c r="I69" s="164"/>
      <c r="J69" s="164"/>
      <c r="K69" s="164"/>
      <c r="L69" s="164"/>
      <c r="M69" s="164"/>
      <c r="N69" s="163"/>
    </row>
    <row r="70" spans="2:14" x14ac:dyDescent="0.2">
      <c r="B70" s="162"/>
      <c r="C70" s="66">
        <f t="shared" si="4"/>
        <v>19</v>
      </c>
      <c r="D70" s="66">
        <f t="shared" si="0"/>
        <v>-7.0777361224412076E-3</v>
      </c>
      <c r="E70" s="66">
        <f t="shared" si="3"/>
        <v>-0.14481927888495502</v>
      </c>
      <c r="F70" s="164"/>
      <c r="G70" s="164"/>
      <c r="H70" s="164"/>
      <c r="I70" s="164"/>
      <c r="J70" s="164"/>
      <c r="K70" s="164"/>
      <c r="L70" s="164"/>
      <c r="M70" s="164"/>
      <c r="N70" s="163"/>
    </row>
    <row r="71" spans="2:14" x14ac:dyDescent="0.2">
      <c r="B71" s="162"/>
      <c r="C71" s="66">
        <f t="shared" si="4"/>
        <v>19.25</v>
      </c>
      <c r="D71" s="66">
        <f t="shared" si="0"/>
        <v>-6.2110694066975867E-3</v>
      </c>
      <c r="E71" s="66">
        <f t="shared" si="3"/>
        <v>-0.17539217128939921</v>
      </c>
      <c r="F71" s="164"/>
      <c r="G71" s="164"/>
      <c r="H71" s="164"/>
      <c r="I71" s="164"/>
      <c r="J71" s="164"/>
      <c r="K71" s="164"/>
      <c r="L71" s="164"/>
      <c r="M71" s="164"/>
      <c r="N71" s="163"/>
    </row>
    <row r="72" spans="2:14" x14ac:dyDescent="0.2">
      <c r="B72" s="162"/>
      <c r="C72" s="66">
        <f t="shared" si="4"/>
        <v>19.5</v>
      </c>
      <c r="D72" s="66">
        <f t="shared" si="0"/>
        <v>-5.459654826297438E-3</v>
      </c>
      <c r="E72" s="66">
        <f t="shared" si="3"/>
        <v>-0.20707970749888446</v>
      </c>
      <c r="F72" s="164"/>
      <c r="G72" s="164"/>
      <c r="H72" s="164"/>
      <c r="I72" s="164"/>
      <c r="J72" s="164"/>
      <c r="K72" s="164"/>
      <c r="L72" s="164"/>
      <c r="M72" s="164"/>
      <c r="N72" s="163"/>
    </row>
    <row r="73" spans="2:14" x14ac:dyDescent="0.2">
      <c r="B73" s="162"/>
      <c r="C73" s="66">
        <f t="shared" si="4"/>
        <v>19.75</v>
      </c>
      <c r="D73" s="66">
        <f t="shared" si="0"/>
        <v>-4.8069869173739503E-3</v>
      </c>
      <c r="E73" s="66">
        <f t="shared" si="3"/>
        <v>-0.23952093967494126</v>
      </c>
      <c r="F73" s="164"/>
      <c r="G73" s="164"/>
      <c r="H73" s="164"/>
      <c r="I73" s="164"/>
      <c r="J73" s="164"/>
      <c r="K73" s="164"/>
      <c r="L73" s="164"/>
      <c r="M73" s="164"/>
      <c r="N73" s="163"/>
    </row>
    <row r="74" spans="2:14" x14ac:dyDescent="0.2">
      <c r="B74" s="162"/>
      <c r="C74" s="66">
        <f t="shared" si="4"/>
        <v>20</v>
      </c>
      <c r="D74" s="66">
        <f t="shared" si="0"/>
        <v>-4.2390875196115195E-3</v>
      </c>
      <c r="E74" s="66">
        <f t="shared" si="3"/>
        <v>-0.27240042845372126</v>
      </c>
      <c r="F74" s="164"/>
      <c r="G74" s="164"/>
      <c r="H74" s="164"/>
      <c r="I74" s="164"/>
      <c r="J74" s="164"/>
      <c r="K74" s="164"/>
      <c r="L74" s="164"/>
      <c r="M74" s="164"/>
      <c r="N74" s="163"/>
    </row>
    <row r="75" spans="2:14" x14ac:dyDescent="0.2">
      <c r="B75" s="162"/>
      <c r="C75" s="66">
        <f t="shared" si="4"/>
        <v>20.25</v>
      </c>
      <c r="D75" s="66">
        <f t="shared" si="0"/>
        <v>-3.7440946372914066E-3</v>
      </c>
      <c r="E75" s="66">
        <f t="shared" si="3"/>
        <v>-0.30544486660649162</v>
      </c>
      <c r="F75" s="164"/>
      <c r="G75" s="164"/>
      <c r="H75" s="164"/>
      <c r="I75" s="164"/>
      <c r="J75" s="164"/>
      <c r="K75" s="164"/>
      <c r="L75" s="164"/>
      <c r="M75" s="164"/>
      <c r="N75" s="163"/>
    </row>
    <row r="76" spans="2:14" x14ac:dyDescent="0.2">
      <c r="B76" s="162"/>
      <c r="C76" s="66">
        <f t="shared" si="4"/>
        <v>20.5</v>
      </c>
      <c r="D76" s="66">
        <f t="shared" si="0"/>
        <v>-3.3119219548466729E-3</v>
      </c>
      <c r="E76" s="66">
        <f t="shared" si="3"/>
        <v>-0.33841948758261081</v>
      </c>
      <c r="F76" s="164"/>
      <c r="G76" s="164"/>
      <c r="H76" s="164"/>
      <c r="I76" s="164"/>
      <c r="J76" s="164"/>
      <c r="K76" s="164"/>
      <c r="L76" s="164"/>
      <c r="M76" s="164"/>
      <c r="N76" s="163"/>
    </row>
    <row r="77" spans="2:14" x14ac:dyDescent="0.2">
      <c r="B77" s="162"/>
      <c r="C77" s="66">
        <f t="shared" si="4"/>
        <v>20.75</v>
      </c>
      <c r="D77" s="66">
        <f t="shared" si="0"/>
        <v>-2.9339762483847737E-3</v>
      </c>
      <c r="E77" s="66">
        <f t="shared" si="3"/>
        <v>-0.37112442608454582</v>
      </c>
      <c r="F77" s="164"/>
      <c r="G77" s="164"/>
      <c r="H77" s="164"/>
      <c r="I77" s="164"/>
      <c r="J77" s="164"/>
      <c r="K77" s="164"/>
      <c r="L77" s="164"/>
      <c r="M77" s="164"/>
      <c r="N77" s="163"/>
    </row>
    <row r="78" spans="2:14" x14ac:dyDescent="0.2">
      <c r="B78" s="162"/>
      <c r="C78" s="66">
        <f t="shared" si="4"/>
        <v>21</v>
      </c>
      <c r="D78" s="66">
        <f t="shared" ref="D78:D109" si="5">-10*LOG(1+($D$6/C78)^(2*$D$5))</f>
        <v>-2.6029223431140811E-3</v>
      </c>
      <c r="E78" s="66">
        <f t="shared" ref="E78:E114" si="6">IF($D$6/C78&lt;1,-10*LOG(1+$E$120*(COS($D$5*ACOS($D$6/C78)))^2),-10*LOG(1+$E$120*(COSH($D$5*ACOSH($D$6/C78)))^2))</f>
        <v>-0.40339115065081577</v>
      </c>
      <c r="F78" s="164"/>
      <c r="G78" s="164"/>
      <c r="H78" s="164"/>
      <c r="I78" s="164"/>
      <c r="J78" s="164"/>
      <c r="K78" s="164"/>
      <c r="L78" s="164"/>
      <c r="M78" s="164"/>
      <c r="N78" s="163"/>
    </row>
    <row r="79" spans="2:14" x14ac:dyDescent="0.2">
      <c r="B79" s="162"/>
      <c r="C79" s="66">
        <f t="shared" ref="C79:C114" si="7">C78+$D$11</f>
        <v>21.25</v>
      </c>
      <c r="D79" s="66">
        <f t="shared" si="5"/>
        <v>-2.3124872022404624E-3</v>
      </c>
      <c r="E79" s="66">
        <f t="shared" si="6"/>
        <v>-0.43507905053100171</v>
      </c>
      <c r="F79" s="164"/>
      <c r="G79" s="164"/>
      <c r="H79" s="164"/>
      <c r="I79" s="164"/>
      <c r="J79" s="164"/>
      <c r="K79" s="164"/>
      <c r="L79" s="164"/>
      <c r="M79" s="164"/>
      <c r="N79" s="163"/>
    </row>
    <row r="80" spans="2:14" x14ac:dyDescent="0.2">
      <c r="B80" s="162"/>
      <c r="C80" s="66">
        <f t="shared" si="7"/>
        <v>21.5</v>
      </c>
      <c r="D80" s="66">
        <f t="shared" si="5"/>
        <v>-2.0572962917112711E-3</v>
      </c>
      <c r="E80" s="66">
        <f t="shared" si="6"/>
        <v>-0.46607222975694673</v>
      </c>
      <c r="F80" s="164"/>
      <c r="G80" s="164"/>
      <c r="H80" s="164"/>
      <c r="I80" s="164"/>
      <c r="J80" s="164"/>
      <c r="K80" s="164"/>
      <c r="L80" s="164"/>
      <c r="M80" s="164"/>
      <c r="N80" s="163"/>
    </row>
    <row r="81" spans="2:14" x14ac:dyDescent="0.2">
      <c r="B81" s="162"/>
      <c r="C81" s="66">
        <f t="shared" si="7"/>
        <v>21.75</v>
      </c>
      <c r="D81" s="66">
        <f t="shared" si="5"/>
        <v>-1.8327366231332921E-3</v>
      </c>
      <c r="E81" s="66">
        <f t="shared" si="6"/>
        <v>-0.4962765389650543</v>
      </c>
      <c r="F81" s="164"/>
      <c r="G81" s="164"/>
      <c r="H81" s="164"/>
      <c r="I81" s="164"/>
      <c r="J81" s="164"/>
      <c r="K81" s="164"/>
      <c r="L81" s="164"/>
      <c r="M81" s="164"/>
      <c r="N81" s="163"/>
    </row>
    <row r="82" spans="2:14" x14ac:dyDescent="0.2">
      <c r="B82" s="162"/>
      <c r="C82" s="66">
        <f t="shared" si="7"/>
        <v>22</v>
      </c>
      <c r="D82" s="66">
        <f t="shared" si="5"/>
        <v>-1.6348418944845391E-3</v>
      </c>
      <c r="E82" s="66">
        <f t="shared" si="6"/>
        <v>-0.52561685895356047</v>
      </c>
      <c r="F82" s="164"/>
      <c r="G82" s="164"/>
      <c r="H82" s="164"/>
      <c r="I82" s="164"/>
      <c r="J82" s="164"/>
      <c r="K82" s="164"/>
      <c r="L82" s="164"/>
      <c r="M82" s="164"/>
      <c r="N82" s="163"/>
    </row>
    <row r="83" spans="2:14" x14ac:dyDescent="0.2">
      <c r="B83" s="162"/>
      <c r="C83" s="66">
        <f t="shared" si="7"/>
        <v>22.25</v>
      </c>
      <c r="D83" s="66">
        <f t="shared" si="5"/>
        <v>-1.4601959726606916E-3</v>
      </c>
      <c r="E83" s="66">
        <f t="shared" si="6"/>
        <v>-0.5540346380219604</v>
      </c>
      <c r="F83" s="164"/>
      <c r="G83" s="164"/>
      <c r="H83" s="164"/>
      <c r="I83" s="164"/>
      <c r="J83" s="164"/>
      <c r="K83" s="164"/>
      <c r="L83" s="164"/>
      <c r="M83" s="164"/>
      <c r="N83" s="163"/>
    </row>
    <row r="84" spans="2:14" x14ac:dyDescent="0.2">
      <c r="B84" s="162"/>
      <c r="C84" s="66">
        <f t="shared" si="7"/>
        <v>22.5</v>
      </c>
      <c r="D84" s="66">
        <f t="shared" si="5"/>
        <v>-1.3058516314421117E-3</v>
      </c>
      <c r="E84" s="66">
        <f t="shared" si="6"/>
        <v>-0.58148567683989438</v>
      </c>
      <c r="F84" s="164"/>
      <c r="G84" s="164"/>
      <c r="H84" s="164"/>
      <c r="I84" s="164"/>
      <c r="J84" s="164"/>
      <c r="K84" s="164"/>
      <c r="L84" s="164"/>
      <c r="M84" s="164"/>
      <c r="N84" s="163"/>
    </row>
    <row r="85" spans="2:14" x14ac:dyDescent="0.2">
      <c r="B85" s="162"/>
      <c r="C85" s="66">
        <f t="shared" si="7"/>
        <v>22.75</v>
      </c>
      <c r="D85" s="66">
        <f t="shared" si="5"/>
        <v>-1.16926200333892E-3</v>
      </c>
      <c r="E85" s="66">
        <f t="shared" si="6"/>
        <v>-0.60793814908914523</v>
      </c>
      <c r="F85" s="164"/>
      <c r="G85" s="164"/>
      <c r="H85" s="164"/>
      <c r="I85" s="164"/>
      <c r="J85" s="164"/>
      <c r="K85" s="164"/>
      <c r="L85" s="164"/>
      <c r="M85" s="164"/>
      <c r="N85" s="163"/>
    </row>
    <row r="86" spans="2:14" x14ac:dyDescent="0.2">
      <c r="B86" s="162"/>
      <c r="C86" s="66">
        <f t="shared" si="7"/>
        <v>23</v>
      </c>
      <c r="D86" s="66">
        <f t="shared" si="5"/>
        <v>-1.0482226481488041E-3</v>
      </c>
      <c r="E86" s="66">
        <f t="shared" si="6"/>
        <v>-0.6333708427259348</v>
      </c>
      <c r="F86" s="164"/>
      <c r="G86" s="164"/>
      <c r="H86" s="164"/>
      <c r="I86" s="164"/>
      <c r="J86" s="164"/>
      <c r="K86" s="164"/>
      <c r="L86" s="164"/>
      <c r="M86" s="164"/>
      <c r="N86" s="163"/>
    </row>
    <row r="87" spans="2:14" x14ac:dyDescent="0.2">
      <c r="B87" s="162"/>
      <c r="C87" s="66">
        <f t="shared" si="7"/>
        <v>23.25</v>
      </c>
      <c r="D87" s="66">
        <f t="shared" si="5"/>
        <v>-9.4082250422712307E-4</v>
      </c>
      <c r="E87" s="66">
        <f t="shared" si="6"/>
        <v>-0.65777160486864938</v>
      </c>
      <c r="F87" s="164"/>
      <c r="G87" s="164"/>
      <c r="H87" s="164"/>
      <c r="I87" s="164"/>
      <c r="J87" s="164"/>
      <c r="K87" s="164"/>
      <c r="L87" s="164"/>
      <c r="M87" s="164"/>
      <c r="N87" s="163"/>
    </row>
    <row r="88" spans="2:14" x14ac:dyDescent="0.2">
      <c r="B88" s="162"/>
      <c r="C88" s="66">
        <f t="shared" si="7"/>
        <v>23.5</v>
      </c>
      <c r="D88" s="66">
        <f t="shared" si="5"/>
        <v>-8.4540228588270464E-4</v>
      </c>
      <c r="E88" s="66">
        <f t="shared" si="6"/>
        <v>-0.68113597259381919</v>
      </c>
      <c r="F88" s="164"/>
      <c r="G88" s="164"/>
      <c r="H88" s="164"/>
      <c r="I88" s="164"/>
      <c r="J88" s="164"/>
      <c r="K88" s="164"/>
      <c r="L88" s="164"/>
      <c r="M88" s="164"/>
      <c r="N88" s="163"/>
    </row>
    <row r="89" spans="2:14" x14ac:dyDescent="0.2">
      <c r="B89" s="162"/>
      <c r="C89" s="66">
        <f t="shared" si="7"/>
        <v>23.75</v>
      </c>
      <c r="D89" s="66">
        <f t="shared" si="5"/>
        <v>-7.6051913431847613E-4</v>
      </c>
      <c r="E89" s="66">
        <f t="shared" si="6"/>
        <v>-0.70346597198469341</v>
      </c>
      <c r="F89" s="164"/>
      <c r="G89" s="164"/>
      <c r="H89" s="164"/>
      <c r="I89" s="164"/>
      <c r="J89" s="164"/>
      <c r="K89" s="164"/>
      <c r="L89" s="164"/>
      <c r="M89" s="164"/>
      <c r="N89" s="163"/>
    </row>
    <row r="90" spans="2:14" x14ac:dyDescent="0.2">
      <c r="B90" s="162"/>
      <c r="C90" s="66">
        <f t="shared" si="7"/>
        <v>24</v>
      </c>
      <c r="D90" s="66">
        <f t="shared" si="5"/>
        <v>-6.8491653026252165E-4</v>
      </c>
      <c r="E90" s="66">
        <f t="shared" si="6"/>
        <v>-0.72476906836687438</v>
      </c>
      <c r="F90" s="164"/>
      <c r="G90" s="164"/>
      <c r="H90" s="164"/>
      <c r="I90" s="164"/>
      <c r="J90" s="164"/>
      <c r="K90" s="164"/>
      <c r="L90" s="164"/>
      <c r="M90" s="164"/>
      <c r="N90" s="163"/>
    </row>
    <row r="91" spans="2:14" x14ac:dyDescent="0.2">
      <c r="B91" s="162"/>
      <c r="C91" s="66">
        <f t="shared" si="7"/>
        <v>24.25</v>
      </c>
      <c r="D91" s="66">
        <f t="shared" si="5"/>
        <v>-6.1749864169472228E-4</v>
      </c>
      <c r="E91" s="66">
        <f t="shared" si="6"/>
        <v>-0.74505725159318659</v>
      </c>
      <c r="F91" s="164"/>
      <c r="G91" s="164"/>
      <c r="H91" s="164"/>
      <c r="I91" s="164"/>
      <c r="J91" s="164"/>
      <c r="K91" s="164"/>
      <c r="L91" s="164"/>
      <c r="M91" s="164"/>
      <c r="N91" s="163"/>
    </row>
    <row r="92" spans="2:14" x14ac:dyDescent="0.2">
      <c r="B92" s="162"/>
      <c r="C92" s="66">
        <f t="shared" si="7"/>
        <v>24.5</v>
      </c>
      <c r="D92" s="66">
        <f t="shared" si="5"/>
        <v>-5.5730841661970983E-4</v>
      </c>
      <c r="E92" s="66">
        <f t="shared" si="6"/>
        <v>-0.7643462413654003</v>
      </c>
      <c r="F92" s="164"/>
      <c r="G92" s="164"/>
      <c r="H92" s="164"/>
      <c r="I92" s="164"/>
      <c r="J92" s="164"/>
      <c r="K92" s="164"/>
      <c r="L92" s="164"/>
      <c r="M92" s="164"/>
      <c r="N92" s="163"/>
    </row>
    <row r="93" spans="2:14" x14ac:dyDescent="0.2">
      <c r="B93" s="162"/>
      <c r="C93" s="66">
        <f t="shared" si="7"/>
        <v>24.75</v>
      </c>
      <c r="D93" s="66">
        <f t="shared" si="5"/>
        <v>-5.0350884364555777E-4</v>
      </c>
      <c r="E93" s="66">
        <f t="shared" si="6"/>
        <v>-0.78265479880258515</v>
      </c>
      <c r="F93" s="164"/>
      <c r="G93" s="164"/>
      <c r="H93" s="164"/>
      <c r="I93" s="164"/>
      <c r="J93" s="164"/>
      <c r="K93" s="164"/>
      <c r="L93" s="164"/>
      <c r="M93" s="164"/>
      <c r="N93" s="163"/>
    </row>
    <row r="94" spans="2:14" x14ac:dyDescent="0.2">
      <c r="B94" s="162"/>
      <c r="C94" s="66">
        <f t="shared" si="7"/>
        <v>25</v>
      </c>
      <c r="D94" s="66">
        <f t="shared" si="5"/>
        <v>-4.5536689673347536E-4</v>
      </c>
      <c r="E94" s="66">
        <f t="shared" si="6"/>
        <v>-0.80000413171400842</v>
      </c>
      <c r="F94" s="164"/>
      <c r="G94" s="164"/>
      <c r="H94" s="164"/>
      <c r="I94" s="164"/>
      <c r="J94" s="164"/>
      <c r="K94" s="164"/>
      <c r="L94" s="164"/>
      <c r="M94" s="164"/>
      <c r="N94" s="163"/>
    </row>
    <row r="95" spans="2:14" x14ac:dyDescent="0.2">
      <c r="B95" s="162"/>
      <c r="C95" s="66">
        <f t="shared" si="7"/>
        <v>25.25</v>
      </c>
      <c r="D95" s="66">
        <f t="shared" si="5"/>
        <v>-4.1223975809160263E-4</v>
      </c>
      <c r="E95" s="66">
        <f t="shared" si="6"/>
        <v>-0.81641738226023597</v>
      </c>
      <c r="F95" s="164"/>
      <c r="G95" s="164"/>
      <c r="H95" s="164"/>
      <c r="I95" s="164"/>
      <c r="J95" s="164"/>
      <c r="K95" s="164"/>
      <c r="L95" s="164"/>
      <c r="M95" s="164"/>
      <c r="N95" s="163"/>
    </row>
    <row r="96" spans="2:14" x14ac:dyDescent="0.2">
      <c r="B96" s="162"/>
      <c r="C96" s="66">
        <f t="shared" si="7"/>
        <v>25.5</v>
      </c>
      <c r="D96" s="66">
        <f t="shared" si="5"/>
        <v>-3.735629778193109E-4</v>
      </c>
      <c r="E96" s="66">
        <f t="shared" si="6"/>
        <v>-0.83191918685803334</v>
      </c>
      <c r="F96" s="164"/>
      <c r="G96" s="164"/>
      <c r="H96" s="164"/>
      <c r="I96" s="164"/>
      <c r="J96" s="164"/>
      <c r="K96" s="164"/>
      <c r="L96" s="164"/>
      <c r="M96" s="164"/>
      <c r="N96" s="163"/>
    </row>
    <row r="97" spans="2:14" x14ac:dyDescent="0.2">
      <c r="B97" s="162"/>
      <c r="C97" s="66">
        <f t="shared" si="7"/>
        <v>25.75</v>
      </c>
      <c r="D97" s="66">
        <f t="shared" si="5"/>
        <v>-3.3884028269719549E-4</v>
      </c>
      <c r="E97" s="66">
        <f t="shared" si="6"/>
        <v>-0.84653529928347782</v>
      </c>
      <c r="F97" s="164"/>
      <c r="G97" s="164"/>
      <c r="H97" s="164"/>
      <c r="I97" s="164"/>
      <c r="J97" s="164"/>
      <c r="K97" s="164"/>
      <c r="L97" s="164"/>
      <c r="M97" s="164"/>
      <c r="N97" s="163"/>
    </row>
    <row r="98" spans="2:14" x14ac:dyDescent="0.2">
      <c r="B98" s="162"/>
      <c r="C98" s="66">
        <f t="shared" si="7"/>
        <v>26</v>
      </c>
      <c r="D98" s="66">
        <f t="shared" si="5"/>
        <v>-3.0763479147543146E-4</v>
      </c>
      <c r="E98" s="66">
        <f t="shared" si="6"/>
        <v>-0.86029226894295907</v>
      </c>
      <c r="F98" s="164"/>
      <c r="G98" s="164"/>
      <c r="H98" s="164"/>
      <c r="I98" s="164"/>
      <c r="J98" s="164"/>
      <c r="K98" s="164"/>
      <c r="L98" s="164"/>
      <c r="M98" s="164"/>
      <c r="N98" s="163"/>
    </row>
    <row r="99" spans="2:14" x14ac:dyDescent="0.2">
      <c r="B99" s="162"/>
      <c r="C99" s="66">
        <f t="shared" si="7"/>
        <v>26.25</v>
      </c>
      <c r="D99" s="66">
        <f t="shared" si="5"/>
        <v>-2.7956143157271024E-4</v>
      </c>
      <c r="E99" s="66">
        <f t="shared" si="6"/>
        <v>-0.87321716720926978</v>
      </c>
      <c r="F99" s="164"/>
      <c r="G99" s="164"/>
      <c r="H99" s="164"/>
      <c r="I99" s="164"/>
      <c r="J99" s="164"/>
      <c r="K99" s="164"/>
      <c r="L99" s="164"/>
      <c r="M99" s="164"/>
      <c r="N99" s="163"/>
    </row>
    <row r="100" spans="2:14" x14ac:dyDescent="0.2">
      <c r="B100" s="162"/>
      <c r="C100" s="66">
        <f t="shared" si="7"/>
        <v>26.5</v>
      </c>
      <c r="D100" s="66">
        <f t="shared" si="5"/>
        <v>-2.5428038355768519E-4</v>
      </c>
      <c r="E100" s="66">
        <f t="shared" si="6"/>
        <v>-0.88533735555982773</v>
      </c>
      <c r="F100" s="164"/>
      <c r="G100" s="164"/>
      <c r="H100" s="164"/>
      <c r="I100" s="164"/>
      <c r="J100" s="164"/>
      <c r="K100" s="164"/>
      <c r="L100" s="164"/>
      <c r="M100" s="164"/>
      <c r="N100" s="163"/>
    </row>
    <row r="101" spans="2:14" x14ac:dyDescent="0.2">
      <c r="B101" s="162"/>
      <c r="C101" s="66">
        <f t="shared" si="7"/>
        <v>26.75</v>
      </c>
      <c r="D101" s="66">
        <f t="shared" si="5"/>
        <v>-2.3149140622065971E-4</v>
      </c>
      <c r="E101" s="66">
        <f t="shared" si="6"/>
        <v>-0.89668029000898497</v>
      </c>
      <c r="F101" s="164"/>
      <c r="G101" s="164"/>
      <c r="H101" s="164"/>
      <c r="I101" s="164"/>
      <c r="J101" s="164"/>
      <c r="K101" s="164"/>
      <c r="L101" s="164"/>
      <c r="M101" s="164"/>
      <c r="N101" s="163"/>
    </row>
    <row r="102" spans="2:14" x14ac:dyDescent="0.2">
      <c r="B102" s="162"/>
      <c r="C102" s="66">
        <f t="shared" si="7"/>
        <v>27</v>
      </c>
      <c r="D102" s="66">
        <f t="shared" si="5"/>
        <v>-2.1092891720183836E-4</v>
      </c>
      <c r="E102" s="66">
        <f t="shared" si="6"/>
        <v>-0.90727335700116751</v>
      </c>
      <c r="F102" s="164"/>
      <c r="G102" s="164"/>
      <c r="H102" s="164"/>
      <c r="I102" s="164"/>
      <c r="J102" s="164"/>
      <c r="K102" s="164"/>
      <c r="L102" s="164"/>
      <c r="M102" s="164"/>
      <c r="N102" s="163"/>
    </row>
    <row r="103" spans="2:14" x14ac:dyDescent="0.2">
      <c r="B103" s="162"/>
      <c r="C103" s="66">
        <f t="shared" si="7"/>
        <v>27.25</v>
      </c>
      <c r="D103" s="66">
        <f t="shared" si="5"/>
        <v>-1.9235772286883452E-4</v>
      </c>
      <c r="E103" s="66">
        <f t="shared" si="6"/>
        <v>-0.91714373653181347</v>
      </c>
      <c r="F103" s="164"/>
      <c r="G103" s="164"/>
      <c r="H103" s="164"/>
      <c r="I103" s="164"/>
      <c r="J103" s="164"/>
      <c r="K103" s="164"/>
      <c r="L103" s="164"/>
      <c r="M103" s="164"/>
      <c r="N103" s="163"/>
    </row>
    <row r="104" spans="2:14" x14ac:dyDescent="0.2">
      <c r="B104" s="162"/>
      <c r="C104" s="66">
        <f t="shared" si="7"/>
        <v>27.5</v>
      </c>
      <c r="D104" s="66">
        <f t="shared" si="5"/>
        <v>-1.7556930683597645E-4</v>
      </c>
      <c r="E104" s="66">
        <f t="shared" si="6"/>
        <v>-0.92631828879486044</v>
      </c>
      <c r="F104" s="164"/>
      <c r="G104" s="164"/>
      <c r="H104" s="164"/>
      <c r="I104" s="164"/>
      <c r="J104" s="164"/>
      <c r="K104" s="164"/>
      <c r="L104" s="164"/>
      <c r="M104" s="164"/>
      <c r="N104" s="163"/>
    </row>
    <row r="105" spans="2:14" x14ac:dyDescent="0.2">
      <c r="B105" s="162"/>
      <c r="C105" s="66">
        <f t="shared" si="7"/>
        <v>27.75</v>
      </c>
      <c r="D105" s="66">
        <f t="shared" si="5"/>
        <v>-1.603785998921013E-4</v>
      </c>
      <c r="E105" s="66">
        <f t="shared" si="6"/>
        <v>-0.93482346112521919</v>
      </c>
      <c r="F105" s="164"/>
      <c r="G105" s="164"/>
      <c r="H105" s="164"/>
      <c r="I105" s="164"/>
      <c r="J105" s="164"/>
      <c r="K105" s="164"/>
      <c r="L105" s="164"/>
      <c r="M105" s="164"/>
      <c r="N105" s="163"/>
    </row>
    <row r="106" spans="2:14" x14ac:dyDescent="0.2">
      <c r="B106" s="162"/>
      <c r="C106" s="66">
        <f t="shared" si="7"/>
        <v>28</v>
      </c>
      <c r="D106" s="66">
        <f t="shared" si="5"/>
        <v>-1.4662116529235382E-4</v>
      </c>
      <c r="E106" s="66">
        <f t="shared" si="6"/>
        <v>-0.94268521241838443</v>
      </c>
      <c r="F106" s="164"/>
      <c r="G106" s="164"/>
      <c r="H106" s="164"/>
      <c r="I106" s="164"/>
      <c r="J106" s="164"/>
      <c r="K106" s="164"/>
      <c r="L106" s="164"/>
      <c r="M106" s="164"/>
      <c r="N106" s="163"/>
    </row>
    <row r="107" spans="2:14" x14ac:dyDescent="0.2">
      <c r="B107" s="162"/>
      <c r="C107" s="66">
        <f t="shared" si="7"/>
        <v>28.25</v>
      </c>
      <c r="D107" s="66">
        <f t="shared" si="5"/>
        <v>-1.341507429430651E-4</v>
      </c>
      <c r="E107" s="66">
        <f t="shared" si="6"/>
        <v>-0.94992895257281218</v>
      </c>
      <c r="F107" s="164"/>
      <c r="G107" s="164"/>
      <c r="H107" s="164"/>
      <c r="I107" s="164"/>
      <c r="J107" s="164"/>
      <c r="K107" s="164"/>
      <c r="L107" s="164"/>
      <c r="M107" s="164"/>
      <c r="N107" s="163"/>
    </row>
    <row r="108" spans="2:14" x14ac:dyDescent="0.2">
      <c r="B108" s="162"/>
      <c r="C108" s="66">
        <f t="shared" si="7"/>
        <v>28.5</v>
      </c>
      <c r="D108" s="66">
        <f t="shared" si="5"/>
        <v>-1.2283710409977461E-4</v>
      </c>
      <c r="E108" s="66">
        <f t="shared" si="6"/>
        <v>-0.95657949481960547</v>
      </c>
      <c r="F108" s="164"/>
      <c r="G108" s="164"/>
      <c r="H108" s="164"/>
      <c r="I108" s="164"/>
      <c r="J108" s="164"/>
      <c r="K108" s="164"/>
      <c r="L108" s="164"/>
      <c r="M108" s="164"/>
      <c r="N108" s="163"/>
    </row>
    <row r="109" spans="2:14" x14ac:dyDescent="0.2">
      <c r="B109" s="162"/>
      <c r="C109" s="66">
        <f t="shared" si="7"/>
        <v>28.75</v>
      </c>
      <c r="D109" s="66">
        <f t="shared" si="5"/>
        <v>-1.1256417503536111E-4</v>
      </c>
      <c r="E109" s="66">
        <f t="shared" si="6"/>
        <v>-0.9626610190832332</v>
      </c>
      <c r="F109" s="164"/>
      <c r="G109" s="164"/>
      <c r="H109" s="164"/>
      <c r="I109" s="164"/>
      <c r="J109" s="164"/>
      <c r="K109" s="164"/>
      <c r="L109" s="164"/>
      <c r="M109" s="164"/>
      <c r="N109" s="163"/>
    </row>
    <row r="110" spans="2:14" x14ac:dyDescent="0.2">
      <c r="B110" s="162"/>
      <c r="C110" s="66">
        <f t="shared" si="7"/>
        <v>29</v>
      </c>
      <c r="D110" s="66">
        <f>-10*LOG(1+($D$6/C110)^(2*$D$5))</f>
        <v>-1.0322839402971822E-4</v>
      </c>
      <c r="E110" s="66">
        <f t="shared" si="6"/>
        <v>-0.96819704476122659</v>
      </c>
      <c r="F110" s="164"/>
      <c r="G110" s="164"/>
      <c r="H110" s="164"/>
      <c r="I110" s="164"/>
      <c r="J110" s="164"/>
      <c r="K110" s="164"/>
      <c r="L110" s="164"/>
      <c r="M110" s="164"/>
      <c r="N110" s="163"/>
    </row>
    <row r="111" spans="2:14" x14ac:dyDescent="0.2">
      <c r="B111" s="162"/>
      <c r="C111" s="66">
        <f t="shared" si="7"/>
        <v>29.25</v>
      </c>
      <c r="D111" s="66">
        <f>-10*LOG(1+($D$6/C111)^(2*$D$5))</f>
        <v>-9.4737270989646885E-5</v>
      </c>
      <c r="E111" s="66">
        <f t="shared" si="6"/>
        <v>-0.97321041152408716</v>
      </c>
      <c r="F111" s="164"/>
      <c r="G111" s="164"/>
      <c r="H111" s="164"/>
      <c r="I111" s="164"/>
      <c r="J111" s="164"/>
      <c r="K111" s="164"/>
      <c r="L111" s="164"/>
      <c r="M111" s="164"/>
      <c r="N111" s="163"/>
    </row>
    <row r="112" spans="2:14" x14ac:dyDescent="0.2">
      <c r="B112" s="162"/>
      <c r="C112" s="66">
        <f t="shared" si="7"/>
        <v>29.5</v>
      </c>
      <c r="D112" s="66">
        <f>-10*LOG(1+($D$6/C112)^(2*$D$5))</f>
        <v>-8.7008123250898221E-5</v>
      </c>
      <c r="E112" s="66">
        <f t="shared" si="6"/>
        <v>-0.97772326692277767</v>
      </c>
      <c r="F112" s="164"/>
      <c r="G112" s="164"/>
      <c r="H112" s="164"/>
      <c r="I112" s="164"/>
      <c r="J112" s="164"/>
      <c r="K112" s="164"/>
      <c r="L112" s="164"/>
      <c r="M112" s="164"/>
      <c r="N112" s="163"/>
    </row>
    <row r="113" spans="2:14" x14ac:dyDescent="0.2">
      <c r="B113" s="162"/>
      <c r="C113" s="66">
        <f t="shared" si="7"/>
        <v>29.75</v>
      </c>
      <c r="D113" s="66">
        <f>-10*LOG(1+($D$6/C113)^(2*$D$5))</f>
        <v>-7.9966964783067808E-5</v>
      </c>
      <c r="E113" s="66">
        <f t="shared" si="6"/>
        <v>-0.98175705975348437</v>
      </c>
      <c r="F113" s="164"/>
      <c r="G113" s="164"/>
      <c r="H113" s="164"/>
      <c r="I113" s="164"/>
      <c r="J113" s="164"/>
      <c r="K113" s="164"/>
      <c r="L113" s="164"/>
      <c r="M113" s="164"/>
      <c r="N113" s="163"/>
    </row>
    <row r="114" spans="2:14" x14ac:dyDescent="0.2">
      <c r="B114" s="162"/>
      <c r="C114" s="67">
        <f t="shared" si="7"/>
        <v>30</v>
      </c>
      <c r="D114" s="67">
        <f>-10*LOG(1+($D$6/C114)^(2*$D$5))</f>
        <v>-7.3547529092759275E-5</v>
      </c>
      <c r="E114" s="67">
        <f t="shared" si="6"/>
        <v>-0.9853325382707544</v>
      </c>
      <c r="F114" s="164"/>
      <c r="G114" s="166" t="str">
        <f>Home!$D$7&amp;", "&amp;Home!$D$8&amp;", "&amp;Home!$D$9</f>
        <v>RF Cafe Calculator Workbook, v5.1, by RF Cafe</v>
      </c>
      <c r="H114" s="164"/>
      <c r="I114" s="164"/>
      <c r="J114" s="164"/>
      <c r="K114" s="164"/>
      <c r="L114" s="164"/>
      <c r="M114" s="164"/>
      <c r="N114" s="163"/>
    </row>
    <row r="115" spans="2:14" ht="6" customHeight="1" thickBot="1" x14ac:dyDescent="0.25">
      <c r="B115" s="167"/>
      <c r="C115" s="68"/>
      <c r="D115" s="69"/>
      <c r="E115" s="69"/>
      <c r="F115" s="168"/>
      <c r="G115" s="168"/>
      <c r="H115" s="168"/>
      <c r="I115" s="168"/>
      <c r="J115" s="168"/>
      <c r="K115" s="168"/>
      <c r="L115" s="168"/>
      <c r="M115" s="168"/>
      <c r="N115" s="169"/>
    </row>
    <row r="116" spans="2:14" ht="3" customHeight="1" thickTop="1" x14ac:dyDescent="0.2">
      <c r="C116" s="70"/>
      <c r="D116" s="71"/>
      <c r="E116" s="71"/>
    </row>
    <row r="117" spans="2:14" hidden="1" x14ac:dyDescent="0.2">
      <c r="D117" s="71"/>
      <c r="E117" s="5"/>
    </row>
    <row r="118" spans="2:14" hidden="1" x14ac:dyDescent="0.2">
      <c r="C118" s="5"/>
      <c r="D118" s="71"/>
      <c r="E118" s="5"/>
    </row>
    <row r="119" spans="2:14" hidden="1" x14ac:dyDescent="0.2">
      <c r="C119" s="5"/>
      <c r="D119" s="5"/>
    </row>
    <row r="120" spans="2:14" hidden="1" x14ac:dyDescent="0.2">
      <c r="C120" s="174" t="s">
        <v>46</v>
      </c>
      <c r="E120" s="5">
        <f>10^(D7/10)-1</f>
        <v>0.25892541179416728</v>
      </c>
    </row>
    <row r="121" spans="2:14" hidden="1" x14ac:dyDescent="0.2">
      <c r="C121" s="174" t="s">
        <v>37</v>
      </c>
      <c r="D121" s="5"/>
    </row>
    <row r="122" spans="2:14" hidden="1" x14ac:dyDescent="0.2">
      <c r="C122" s="174" t="s">
        <v>47</v>
      </c>
      <c r="D122" s="5"/>
    </row>
    <row r="123" spans="2:14" hidden="1" x14ac:dyDescent="0.2">
      <c r="D123" s="5"/>
    </row>
    <row r="124" spans="2:14" hidden="1" x14ac:dyDescent="0.2">
      <c r="C124" s="5"/>
      <c r="D124" s="5"/>
    </row>
    <row r="125" spans="2:14" hidden="1" x14ac:dyDescent="0.2">
      <c r="C125" s="5"/>
      <c r="D125" s="5"/>
    </row>
    <row r="126" spans="2:14" hidden="1" x14ac:dyDescent="0.2">
      <c r="C126" s="5"/>
      <c r="D126" s="5"/>
    </row>
    <row r="127" spans="2:14" hidden="1" x14ac:dyDescent="0.2">
      <c r="C127" s="5"/>
      <c r="D127" s="5"/>
    </row>
    <row r="128" spans="2:14" hidden="1" x14ac:dyDescent="0.2">
      <c r="C128" s="5"/>
      <c r="D128" s="5"/>
    </row>
    <row r="129" spans="3:4" hidden="1" x14ac:dyDescent="0.2">
      <c r="C129" s="5"/>
      <c r="D129" s="5"/>
    </row>
    <row r="130" spans="3:4" hidden="1" x14ac:dyDescent="0.2">
      <c r="C130" s="5"/>
      <c r="D130" s="5"/>
    </row>
    <row r="131" spans="3:4" hidden="1" x14ac:dyDescent="0.2">
      <c r="C131" s="5"/>
      <c r="D131" s="5"/>
    </row>
    <row r="132" spans="3:4" hidden="1" x14ac:dyDescent="0.2">
      <c r="C132" s="5"/>
      <c r="D132" s="5"/>
    </row>
    <row r="133" spans="3:4" hidden="1" x14ac:dyDescent="0.2">
      <c r="C133" s="5"/>
      <c r="D133" s="5"/>
    </row>
    <row r="134" spans="3:4" hidden="1" x14ac:dyDescent="0.2">
      <c r="C134" s="5"/>
      <c r="D134" s="5"/>
    </row>
    <row r="135" spans="3:4" hidden="1" x14ac:dyDescent="0.2">
      <c r="C135" s="5"/>
      <c r="D135" s="5"/>
    </row>
    <row r="136" spans="3:4" hidden="1" x14ac:dyDescent="0.2">
      <c r="C136" s="5"/>
      <c r="D136" s="5"/>
    </row>
    <row r="137" spans="3:4" hidden="1" x14ac:dyDescent="0.2">
      <c r="C137" s="5"/>
      <c r="D137" s="5"/>
    </row>
    <row r="138" spans="3:4" hidden="1" x14ac:dyDescent="0.2">
      <c r="C138" s="5"/>
      <c r="D138" s="5"/>
    </row>
    <row r="139" spans="3:4" hidden="1" x14ac:dyDescent="0.2">
      <c r="C139" s="5"/>
      <c r="D139" s="5"/>
    </row>
    <row r="140" spans="3:4" hidden="1" x14ac:dyDescent="0.2">
      <c r="C140" s="5"/>
      <c r="D140" s="5"/>
    </row>
    <row r="141" spans="3:4" hidden="1" x14ac:dyDescent="0.2">
      <c r="C141" s="5"/>
      <c r="D141" s="5"/>
    </row>
    <row r="142" spans="3:4" hidden="1" x14ac:dyDescent="0.2">
      <c r="C142" s="5"/>
      <c r="D142" s="5"/>
    </row>
    <row r="143" spans="3:4" hidden="1" x14ac:dyDescent="0.2">
      <c r="C143" s="5"/>
      <c r="D143" s="5"/>
    </row>
    <row r="144" spans="3:4" hidden="1" x14ac:dyDescent="0.2">
      <c r="C144" s="5"/>
      <c r="D144" s="5"/>
    </row>
    <row r="145" spans="3:4" hidden="1" x14ac:dyDescent="0.2">
      <c r="C145" s="5"/>
      <c r="D145" s="5"/>
    </row>
    <row r="146" spans="3:4" hidden="1" x14ac:dyDescent="0.2">
      <c r="C146" s="5"/>
      <c r="D146" s="5"/>
    </row>
    <row r="147" spans="3:4" hidden="1" x14ac:dyDescent="0.2">
      <c r="C147" s="5"/>
      <c r="D147" s="5"/>
    </row>
    <row r="148" spans="3:4" hidden="1" x14ac:dyDescent="0.2">
      <c r="C148" s="5"/>
      <c r="D148" s="5"/>
    </row>
    <row r="149" spans="3:4" hidden="1" x14ac:dyDescent="0.2">
      <c r="C149" s="5"/>
      <c r="D149" s="5"/>
    </row>
    <row r="150" spans="3:4" hidden="1" x14ac:dyDescent="0.2">
      <c r="C150" s="5"/>
      <c r="D150" s="5"/>
    </row>
    <row r="151" spans="3:4" hidden="1" x14ac:dyDescent="0.2">
      <c r="C151" s="5"/>
      <c r="D151" s="5"/>
    </row>
    <row r="152" spans="3:4" hidden="1" x14ac:dyDescent="0.2">
      <c r="C152" s="5"/>
      <c r="D152" s="5"/>
    </row>
    <row r="153" spans="3:4" hidden="1" x14ac:dyDescent="0.2">
      <c r="C153" s="5"/>
      <c r="D153" s="5"/>
    </row>
    <row r="154" spans="3:4" hidden="1" x14ac:dyDescent="0.2">
      <c r="C154" s="5"/>
      <c r="D154" s="5"/>
    </row>
    <row r="155" spans="3:4" hidden="1" x14ac:dyDescent="0.2">
      <c r="C155" s="5"/>
      <c r="D155" s="5"/>
    </row>
    <row r="156" spans="3:4" hidden="1" x14ac:dyDescent="0.2">
      <c r="C156" s="5"/>
      <c r="D156" s="5"/>
    </row>
    <row r="157" spans="3:4" hidden="1" x14ac:dyDescent="0.2">
      <c r="C157" s="5"/>
      <c r="D157" s="5"/>
    </row>
    <row r="158" spans="3:4" hidden="1" x14ac:dyDescent="0.2">
      <c r="C158" s="5"/>
      <c r="D158" s="5"/>
    </row>
    <row r="159" spans="3:4" hidden="1" x14ac:dyDescent="0.2">
      <c r="C159" s="5"/>
      <c r="D159" s="5"/>
    </row>
    <row r="160" spans="3:4" hidden="1" x14ac:dyDescent="0.2">
      <c r="C160" s="5"/>
      <c r="D160" s="5"/>
    </row>
    <row r="161" spans="3:4" hidden="1" x14ac:dyDescent="0.2">
      <c r="C161" s="5"/>
      <c r="D161" s="5"/>
    </row>
    <row r="162" spans="3:4" hidden="1" x14ac:dyDescent="0.2">
      <c r="C162" s="5"/>
      <c r="D162" s="5"/>
    </row>
    <row r="163" spans="3:4" hidden="1" x14ac:dyDescent="0.2">
      <c r="C163" s="5"/>
      <c r="D163" s="5"/>
    </row>
    <row r="164" spans="3:4" hidden="1" x14ac:dyDescent="0.2">
      <c r="C164" s="5"/>
      <c r="D164" s="5"/>
    </row>
    <row r="165" spans="3:4" hidden="1" x14ac:dyDescent="0.2">
      <c r="C165" s="5"/>
      <c r="D165" s="5"/>
    </row>
    <row r="166" spans="3:4" hidden="1" x14ac:dyDescent="0.2">
      <c r="C166" s="5"/>
      <c r="D166" s="5"/>
    </row>
    <row r="167" spans="3:4" hidden="1" x14ac:dyDescent="0.2">
      <c r="C167" s="5"/>
      <c r="D167" s="5"/>
    </row>
    <row r="168" spans="3:4" hidden="1" x14ac:dyDescent="0.2">
      <c r="C168" s="5"/>
      <c r="D168" s="5"/>
    </row>
    <row r="169" spans="3:4" hidden="1" x14ac:dyDescent="0.2">
      <c r="C169" s="5"/>
      <c r="D169" s="5"/>
    </row>
    <row r="170" spans="3:4" hidden="1" x14ac:dyDescent="0.2">
      <c r="C170" s="5"/>
      <c r="D170" s="5"/>
    </row>
    <row r="171" spans="3:4" hidden="1" x14ac:dyDescent="0.2">
      <c r="C171" s="5"/>
      <c r="D171" s="5"/>
    </row>
    <row r="172" spans="3:4" hidden="1" x14ac:dyDescent="0.2">
      <c r="C172" s="5"/>
      <c r="D172" s="5"/>
    </row>
    <row r="173" spans="3:4" hidden="1" x14ac:dyDescent="0.2">
      <c r="C173" s="5"/>
      <c r="D173" s="5"/>
    </row>
    <row r="174" spans="3:4" hidden="1" x14ac:dyDescent="0.2">
      <c r="C174" s="5"/>
      <c r="D174" s="5"/>
    </row>
    <row r="175" spans="3:4" hidden="1" x14ac:dyDescent="0.2">
      <c r="C175" s="5"/>
      <c r="D175" s="5"/>
    </row>
    <row r="176" spans="3:4" hidden="1" x14ac:dyDescent="0.2">
      <c r="C176" s="5"/>
      <c r="D176" s="5"/>
    </row>
    <row r="177" hidden="1" x14ac:dyDescent="0.2"/>
    <row r="178" hidden="1" x14ac:dyDescent="0.2"/>
    <row r="179" hidden="1" x14ac:dyDescent="0.2"/>
    <row r="180" hidden="1" x14ac:dyDescent="0.2"/>
  </sheetData>
  <sheetProtection password="F39F" sheet="1" objects="1" scenarios="1"/>
  <mergeCells count="4">
    <mergeCell ref="C3:E3"/>
    <mergeCell ref="C4:D4"/>
    <mergeCell ref="D12:E12"/>
    <mergeCell ref="C8:E8"/>
  </mergeCells>
  <phoneticPr fontId="2" type="noConversion"/>
  <dataValidations count="6">
    <dataValidation type="custom" operator="greaterThan" showInputMessage="1" showErrorMessage="1" error="Must be &gt; 0 and &gt; Start" sqref="D9">
      <formula1>AND(D9&gt;0,D9&gt;D10)</formula1>
    </dataValidation>
    <dataValidation type="custom" operator="greaterThan" showInputMessage="1" showErrorMessage="1" error="Must be &gt; 0 and &lt; Stop" sqref="D10">
      <formula1>AND(D10&gt;0,D10&lt;D9)</formula1>
    </dataValidation>
    <dataValidation type="list" allowBlank="1" showInputMessage="1" showErrorMessage="1" sqref="E6">
      <formula1>$C$120:$C$122</formula1>
    </dataValidation>
    <dataValidation type="decimal" showInputMessage="1" showErrorMessage="1" error="1 &lt;= Order &lt;= 50" sqref="D5">
      <formula1>1</formula1>
      <formula2>50</formula2>
    </dataValidation>
    <dataValidation type="decimal" showInputMessage="1" showErrorMessage="1" error="0.001 &lt;= Ripple &lt;= 10" sqref="D7">
      <formula1>0.001</formula1>
      <formula2>10</formula2>
    </dataValidation>
    <dataValidation type="decimal" operator="greaterThan" showInputMessage="1" showErrorMessage="1" error="Must be &gt; 0" sqref="D6">
      <formula1>0</formula1>
    </dataValidation>
  </dataValidations>
  <hyperlinks>
    <hyperlink ref="L3" r:id="rId1" tooltip="Click here to check for updates to this calculator"/>
    <hyperlink ref="H3" r:id="rId2"/>
    <hyperlink ref="H4" r:id="rId3"/>
    <hyperlink ref="M23" location="Home!A1" tooltip="Click to return to title page with calculator list" display="Home"/>
  </hyperlinks>
  <pageMargins left="0.5" right="0.5" top="0.5" bottom="0.5" header="0.5" footer="0.5"/>
  <pageSetup scale="56" orientation="portrait"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N180"/>
  <sheetViews>
    <sheetView showGridLines="0" showRowColHeaders="0" zoomScale="90" workbookViewId="0">
      <selection activeCell="M23" sqref="M23"/>
    </sheetView>
  </sheetViews>
  <sheetFormatPr defaultColWidth="0" defaultRowHeight="12" zeroHeight="1" x14ac:dyDescent="0.2"/>
  <cols>
    <col min="1" max="1" width="0.5703125" style="157" customWidth="1"/>
    <col min="2" max="2" width="1.140625" style="158" customWidth="1"/>
    <col min="3" max="5" width="10.7109375" style="144" customWidth="1"/>
    <col min="6" max="6" width="2.7109375" style="158" customWidth="1"/>
    <col min="7" max="13" width="9.140625" style="158" customWidth="1"/>
    <col min="14" max="14" width="1.140625" style="158" customWidth="1"/>
    <col min="15" max="15" width="0.5703125" style="158" customWidth="1"/>
    <col min="16" max="16384" width="0" style="158" hidden="1"/>
  </cols>
  <sheetData>
    <row r="1" spans="2:14" ht="3" customHeight="1" thickBot="1" x14ac:dyDescent="0.25">
      <c r="C1" s="158"/>
      <c r="D1" s="158"/>
      <c r="E1" s="158"/>
    </row>
    <row r="2" spans="2:14" ht="6" customHeight="1" thickTop="1" x14ac:dyDescent="0.2">
      <c r="B2" s="159"/>
      <c r="C2" s="160"/>
      <c r="D2" s="160"/>
      <c r="E2" s="160"/>
      <c r="F2" s="160"/>
      <c r="G2" s="160"/>
      <c r="H2" s="160"/>
      <c r="I2" s="160"/>
      <c r="J2" s="160"/>
      <c r="K2" s="160"/>
      <c r="L2" s="160"/>
      <c r="M2" s="160"/>
      <c r="N2" s="161"/>
    </row>
    <row r="3" spans="2:14" ht="12.75" x14ac:dyDescent="0.2">
      <c r="B3" s="162"/>
      <c r="C3" s="431" t="s">
        <v>62</v>
      </c>
      <c r="D3" s="431"/>
      <c r="E3" s="431"/>
      <c r="F3" s="29"/>
      <c r="H3" s="156" t="s">
        <v>134</v>
      </c>
      <c r="I3" s="155"/>
      <c r="J3" s="155"/>
      <c r="K3" s="29"/>
      <c r="L3" s="156" t="s">
        <v>132</v>
      </c>
      <c r="M3" s="155"/>
      <c r="N3" s="163"/>
    </row>
    <row r="4" spans="2:14" x14ac:dyDescent="0.2">
      <c r="B4" s="162"/>
      <c r="C4" s="432"/>
      <c r="D4" s="432"/>
      <c r="E4" s="150"/>
      <c r="F4" s="164"/>
      <c r="G4" s="164"/>
      <c r="H4" s="156" t="s">
        <v>135</v>
      </c>
      <c r="I4" s="164"/>
      <c r="J4" s="164"/>
      <c r="K4" s="164"/>
      <c r="L4" s="164"/>
      <c r="M4" s="164"/>
      <c r="N4" s="163"/>
    </row>
    <row r="5" spans="2:14" x14ac:dyDescent="0.2">
      <c r="B5" s="162"/>
      <c r="C5" s="95" t="s">
        <v>3</v>
      </c>
      <c r="D5" s="49">
        <v>5</v>
      </c>
      <c r="E5" s="150"/>
      <c r="F5" s="164"/>
      <c r="G5" s="164"/>
      <c r="H5" s="164"/>
      <c r="I5" s="164"/>
      <c r="J5" s="164"/>
      <c r="K5" s="164"/>
      <c r="L5" s="164"/>
      <c r="M5" s="164"/>
      <c r="N5" s="163"/>
    </row>
    <row r="6" spans="2:14" x14ac:dyDescent="0.2">
      <c r="B6" s="162"/>
      <c r="C6" s="95" t="s">
        <v>63</v>
      </c>
      <c r="D6" s="49">
        <v>10</v>
      </c>
      <c r="E6" s="170" t="s">
        <v>37</v>
      </c>
      <c r="F6" s="164"/>
      <c r="G6" s="164"/>
      <c r="H6" s="164"/>
      <c r="I6" s="164"/>
      <c r="J6" s="164"/>
      <c r="K6" s="164"/>
      <c r="L6" s="164"/>
      <c r="M6" s="164"/>
      <c r="N6" s="163"/>
    </row>
    <row r="7" spans="2:14" x14ac:dyDescent="0.2">
      <c r="B7" s="162"/>
      <c r="C7" s="95" t="s">
        <v>58</v>
      </c>
      <c r="D7" s="49">
        <v>1</v>
      </c>
      <c r="E7" s="150" t="s">
        <v>133</v>
      </c>
      <c r="F7" s="164"/>
      <c r="G7" s="164"/>
      <c r="H7" s="164"/>
      <c r="I7" s="164"/>
      <c r="J7" s="164"/>
      <c r="K7" s="164"/>
      <c r="L7" s="164"/>
      <c r="M7" s="164"/>
      <c r="N7" s="163"/>
    </row>
    <row r="8" spans="2:14" ht="12.75" thickBot="1" x14ac:dyDescent="0.25">
      <c r="B8" s="162"/>
      <c r="C8" s="434" t="s">
        <v>4</v>
      </c>
      <c r="D8" s="434"/>
      <c r="E8" s="434"/>
      <c r="F8" s="164"/>
      <c r="G8" s="164"/>
      <c r="H8" s="164"/>
      <c r="I8" s="164"/>
      <c r="J8" s="164"/>
      <c r="K8" s="164"/>
      <c r="L8" s="164"/>
      <c r="M8" s="164"/>
      <c r="N8" s="163"/>
    </row>
    <row r="9" spans="2:14" x14ac:dyDescent="0.2">
      <c r="B9" s="162"/>
      <c r="C9" s="95" t="s">
        <v>51</v>
      </c>
      <c r="D9" s="104">
        <v>25</v>
      </c>
      <c r="E9" s="150" t="str">
        <f>E6</f>
        <v>MHz</v>
      </c>
      <c r="F9" s="164"/>
      <c r="G9" s="164"/>
      <c r="H9" s="164"/>
      <c r="I9" s="164"/>
      <c r="J9" s="164"/>
      <c r="K9" s="164"/>
      <c r="L9" s="164"/>
      <c r="M9" s="164"/>
      <c r="N9" s="163"/>
    </row>
    <row r="10" spans="2:14" x14ac:dyDescent="0.2">
      <c r="B10" s="162"/>
      <c r="C10" s="95" t="s">
        <v>50</v>
      </c>
      <c r="D10" s="49">
        <v>0</v>
      </c>
      <c r="E10" s="150" t="str">
        <f>E6</f>
        <v>MHz</v>
      </c>
      <c r="F10" s="164"/>
      <c r="G10" s="164"/>
      <c r="H10" s="164"/>
      <c r="I10" s="164"/>
      <c r="J10" s="164"/>
      <c r="K10" s="164"/>
      <c r="L10" s="164"/>
      <c r="M10" s="164"/>
      <c r="N10" s="163"/>
    </row>
    <row r="11" spans="2:14" ht="12.75" thickBot="1" x14ac:dyDescent="0.25">
      <c r="B11" s="162"/>
      <c r="C11" s="96" t="s">
        <v>52</v>
      </c>
      <c r="D11" s="50">
        <f>(D9-D10)/100</f>
        <v>0.25</v>
      </c>
      <c r="E11" s="165" t="str">
        <f>E6</f>
        <v>MHz</v>
      </c>
      <c r="F11" s="164"/>
      <c r="G11" s="164"/>
      <c r="H11" s="164"/>
      <c r="I11" s="164"/>
      <c r="J11" s="164"/>
      <c r="K11" s="164"/>
      <c r="L11" s="164"/>
      <c r="M11" s="164"/>
      <c r="N11" s="163"/>
    </row>
    <row r="12" spans="2:14" ht="12.75" thickTop="1" x14ac:dyDescent="0.2">
      <c r="B12" s="162"/>
      <c r="C12" s="75"/>
      <c r="D12" s="433" t="s">
        <v>7</v>
      </c>
      <c r="E12" s="433"/>
      <c r="F12" s="164"/>
      <c r="G12" s="164"/>
      <c r="H12" s="164"/>
      <c r="I12" s="164"/>
      <c r="J12" s="164"/>
      <c r="K12" s="164"/>
      <c r="L12" s="164"/>
      <c r="M12" s="164"/>
      <c r="N12" s="163"/>
    </row>
    <row r="13" spans="2:14" ht="12.75" thickBot="1" x14ac:dyDescent="0.25">
      <c r="B13" s="162"/>
      <c r="C13" s="51" t="str">
        <f>"Freq ("&amp;E6&amp;")"</f>
        <v>Freq (MHz)</v>
      </c>
      <c r="D13" s="51" t="s">
        <v>59</v>
      </c>
      <c r="E13" s="51" t="s">
        <v>60</v>
      </c>
      <c r="F13" s="164"/>
      <c r="G13" s="164"/>
      <c r="H13" s="164"/>
      <c r="I13" s="164"/>
      <c r="J13" s="164"/>
      <c r="K13" s="164"/>
      <c r="L13" s="164"/>
      <c r="M13" s="164"/>
      <c r="N13" s="163"/>
    </row>
    <row r="14" spans="2:14" x14ac:dyDescent="0.2">
      <c r="B14" s="162"/>
      <c r="C14" s="55">
        <f>D10</f>
        <v>0</v>
      </c>
      <c r="D14" s="55">
        <f t="shared" ref="D14:D77" si="0">-10*LOG(1+(C14/$D$6)^(2*$D$5))</f>
        <v>0</v>
      </c>
      <c r="E14" s="55">
        <f t="shared" ref="E14:E45" si="1">IF(C14/$D$6&lt;1,-10*LOG(1+$E$120*(COS($D$5*ACOS(C14/$D$6)))^2),-10*LOG(1+$E$120*(COSH($D$5*ACOSH(C14/$D$6)))^2))</f>
        <v>0</v>
      </c>
      <c r="F14" s="164"/>
      <c r="G14" s="164"/>
      <c r="H14" s="164"/>
      <c r="I14" s="164"/>
      <c r="J14" s="164"/>
      <c r="K14" s="164"/>
      <c r="L14" s="164"/>
      <c r="M14" s="164"/>
      <c r="N14" s="163"/>
    </row>
    <row r="15" spans="2:14" x14ac:dyDescent="0.2">
      <c r="B15" s="162"/>
      <c r="C15" s="55">
        <f t="shared" ref="C15:C78" si="2">C14+$D$11</f>
        <v>0.25</v>
      </c>
      <c r="D15" s="65">
        <f t="shared" si="0"/>
        <v>0</v>
      </c>
      <c r="E15" s="55">
        <f t="shared" si="1"/>
        <v>-1.7447501445528486E-2</v>
      </c>
      <c r="F15" s="164"/>
      <c r="G15" s="164"/>
      <c r="H15" s="164"/>
      <c r="I15" s="164"/>
      <c r="J15" s="164"/>
      <c r="K15" s="164"/>
      <c r="L15" s="164"/>
      <c r="M15" s="164"/>
      <c r="N15" s="163"/>
    </row>
    <row r="16" spans="2:14" x14ac:dyDescent="0.2">
      <c r="B16" s="162"/>
      <c r="C16" s="55">
        <f t="shared" si="2"/>
        <v>0.5</v>
      </c>
      <c r="D16" s="65">
        <f t="shared" si="0"/>
        <v>-4.2430408528342562E-13</v>
      </c>
      <c r="E16" s="55">
        <f t="shared" si="1"/>
        <v>-6.834475974314777E-2</v>
      </c>
      <c r="F16" s="164"/>
      <c r="G16" s="164"/>
      <c r="H16" s="164"/>
      <c r="I16" s="164"/>
      <c r="J16" s="164"/>
      <c r="K16" s="164"/>
      <c r="L16" s="164"/>
      <c r="M16" s="164"/>
      <c r="N16" s="163"/>
    </row>
    <row r="17" spans="2:14" x14ac:dyDescent="0.2">
      <c r="B17" s="162"/>
      <c r="C17" s="55">
        <f t="shared" si="2"/>
        <v>0.75</v>
      </c>
      <c r="D17" s="65">
        <f t="shared" si="0"/>
        <v>-2.4456308879189051E-11</v>
      </c>
      <c r="E17" s="55">
        <f t="shared" si="1"/>
        <v>-0.14855796681980263</v>
      </c>
      <c r="F17" s="164"/>
      <c r="G17" s="164"/>
      <c r="H17" s="164"/>
      <c r="I17" s="164"/>
      <c r="J17" s="164"/>
      <c r="K17" s="164"/>
      <c r="L17" s="164"/>
      <c r="M17" s="164"/>
      <c r="N17" s="163"/>
    </row>
    <row r="18" spans="2:14" x14ac:dyDescent="0.2">
      <c r="B18" s="162"/>
      <c r="C18" s="55">
        <f t="shared" si="2"/>
        <v>1</v>
      </c>
      <c r="D18" s="65">
        <f t="shared" si="0"/>
        <v>-4.3429451781522366E-10</v>
      </c>
      <c r="E18" s="55">
        <f t="shared" si="1"/>
        <v>-0.25181373892580211</v>
      </c>
      <c r="F18" s="164"/>
      <c r="G18" s="164"/>
      <c r="H18" s="164"/>
      <c r="I18" s="164"/>
      <c r="J18" s="164"/>
      <c r="K18" s="164"/>
      <c r="L18" s="164"/>
      <c r="M18" s="164"/>
      <c r="N18" s="163"/>
    </row>
    <row r="19" spans="2:14" x14ac:dyDescent="0.2">
      <c r="B19" s="162"/>
      <c r="C19" s="55">
        <f t="shared" si="2"/>
        <v>1.25</v>
      </c>
      <c r="D19" s="65">
        <f t="shared" si="0"/>
        <v>-4.0446825483908662E-9</v>
      </c>
      <c r="E19" s="55">
        <f t="shared" si="1"/>
        <v>-0.37045109808336585</v>
      </c>
      <c r="F19" s="164"/>
      <c r="G19" s="164"/>
      <c r="H19" s="164"/>
      <c r="I19" s="164"/>
      <c r="J19" s="164"/>
      <c r="K19" s="164"/>
      <c r="L19" s="164"/>
      <c r="M19" s="164"/>
      <c r="N19" s="163"/>
    </row>
    <row r="20" spans="2:14" x14ac:dyDescent="0.2">
      <c r="B20" s="162"/>
      <c r="C20" s="55">
        <f t="shared" si="2"/>
        <v>1.5</v>
      </c>
      <c r="D20" s="65">
        <f t="shared" si="0"/>
        <v>-2.5043608342368497E-8</v>
      </c>
      <c r="E20" s="55">
        <f t="shared" si="1"/>
        <v>-0.49620674585384206</v>
      </c>
      <c r="F20" s="164"/>
      <c r="G20" s="164"/>
      <c r="H20" s="164"/>
      <c r="I20" s="164"/>
      <c r="J20" s="164"/>
      <c r="K20" s="164"/>
      <c r="L20" s="164"/>
      <c r="M20" s="164"/>
      <c r="N20" s="163"/>
    </row>
    <row r="21" spans="2:14" x14ac:dyDescent="0.2">
      <c r="B21" s="162"/>
      <c r="C21" s="55">
        <f t="shared" si="2"/>
        <v>1.75</v>
      </c>
      <c r="D21" s="65">
        <f t="shared" si="0"/>
        <v>-1.1699432432950986E-7</v>
      </c>
      <c r="E21" s="55">
        <f t="shared" si="1"/>
        <v>-0.62089810955823688</v>
      </c>
      <c r="F21" s="164"/>
      <c r="G21" s="164"/>
      <c r="H21" s="164"/>
      <c r="I21" s="164"/>
      <c r="J21" s="164"/>
      <c r="K21" s="164"/>
      <c r="L21" s="164"/>
      <c r="M21" s="164"/>
      <c r="N21" s="163"/>
    </row>
    <row r="22" spans="2:14" x14ac:dyDescent="0.2">
      <c r="B22" s="162"/>
      <c r="C22" s="55">
        <f t="shared" si="2"/>
        <v>2</v>
      </c>
      <c r="D22" s="65">
        <f t="shared" si="0"/>
        <v>-4.4471752685104418E-7</v>
      </c>
      <c r="E22" s="55">
        <f t="shared" si="1"/>
        <v>-0.73693329483549797</v>
      </c>
      <c r="F22" s="164"/>
      <c r="G22" s="164"/>
      <c r="H22" s="164"/>
      <c r="I22" s="164"/>
      <c r="J22" s="164"/>
      <c r="K22" s="164"/>
      <c r="L22" s="164"/>
      <c r="M22" s="164"/>
      <c r="N22" s="163"/>
    </row>
    <row r="23" spans="2:14" x14ac:dyDescent="0.2">
      <c r="B23" s="162"/>
      <c r="C23" s="55">
        <f t="shared" si="2"/>
        <v>2.25</v>
      </c>
      <c r="D23" s="65">
        <f t="shared" si="0"/>
        <v>-1.4441404086303572E-6</v>
      </c>
      <c r="E23" s="55">
        <f t="shared" si="1"/>
        <v>-0.83763955377704358</v>
      </c>
      <c r="F23" s="164"/>
      <c r="G23" s="164"/>
      <c r="H23" s="164"/>
      <c r="I23" s="164"/>
      <c r="J23" s="164"/>
      <c r="K23" s="164"/>
      <c r="L23" s="164"/>
      <c r="M23" s="304" t="s">
        <v>198</v>
      </c>
      <c r="N23" s="163"/>
    </row>
    <row r="24" spans="2:14" x14ac:dyDescent="0.2">
      <c r="B24" s="162"/>
      <c r="C24" s="55">
        <f t="shared" si="2"/>
        <v>2.5</v>
      </c>
      <c r="D24" s="65">
        <f t="shared" si="0"/>
        <v>-4.1417529565395065E-6</v>
      </c>
      <c r="E24" s="55">
        <f t="shared" si="1"/>
        <v>-0.9174434385696334</v>
      </c>
      <c r="F24" s="164"/>
      <c r="G24" s="164"/>
      <c r="H24" s="164"/>
      <c r="I24" s="164"/>
      <c r="J24" s="164"/>
      <c r="K24" s="164"/>
      <c r="L24" s="164"/>
      <c r="M24" s="164"/>
      <c r="N24" s="163"/>
    </row>
    <row r="25" spans="2:14" x14ac:dyDescent="0.2">
      <c r="B25" s="162"/>
      <c r="C25" s="55">
        <f t="shared" si="2"/>
        <v>2.75</v>
      </c>
      <c r="D25" s="65">
        <f t="shared" si="0"/>
        <v>-1.0742632338343237E-5</v>
      </c>
      <c r="E25" s="55">
        <f t="shared" si="1"/>
        <v>-0.97195380932195907</v>
      </c>
      <c r="F25" s="164"/>
      <c r="G25" s="164"/>
      <c r="H25" s="164"/>
      <c r="I25" s="164"/>
      <c r="J25" s="164"/>
      <c r="K25" s="164"/>
      <c r="L25" s="164"/>
      <c r="M25" s="164"/>
      <c r="N25" s="163"/>
    </row>
    <row r="26" spans="2:14" x14ac:dyDescent="0.2">
      <c r="B26" s="162"/>
      <c r="C26" s="55">
        <f t="shared" si="2"/>
        <v>3</v>
      </c>
      <c r="D26" s="65">
        <f t="shared" si="0"/>
        <v>-2.5644579147969755E-5</v>
      </c>
      <c r="E26" s="55">
        <f t="shared" si="1"/>
        <v>-0.9979998446132704</v>
      </c>
      <c r="F26" s="164"/>
      <c r="G26" s="164"/>
      <c r="H26" s="164"/>
      <c r="I26" s="164"/>
      <c r="J26" s="164"/>
      <c r="K26" s="164"/>
      <c r="L26" s="164"/>
      <c r="M26" s="164"/>
      <c r="N26" s="163"/>
    </row>
    <row r="27" spans="2:14" x14ac:dyDescent="0.2">
      <c r="B27" s="162"/>
      <c r="C27" s="55">
        <f t="shared" si="2"/>
        <v>3.25</v>
      </c>
      <c r="D27" s="65">
        <f t="shared" si="0"/>
        <v>-5.7097233512622527E-5</v>
      </c>
      <c r="E27" s="55">
        <f t="shared" si="1"/>
        <v>-0.99366838943893709</v>
      </c>
      <c r="F27" s="164"/>
      <c r="G27" s="164"/>
      <c r="H27" s="164"/>
      <c r="I27" s="164"/>
      <c r="J27" s="164"/>
      <c r="K27" s="164"/>
      <c r="L27" s="164"/>
      <c r="M27" s="164"/>
      <c r="N27" s="163"/>
    </row>
    <row r="28" spans="2:14" x14ac:dyDescent="0.2">
      <c r="B28" s="162"/>
      <c r="C28" s="55">
        <f t="shared" si="2"/>
        <v>3.5</v>
      </c>
      <c r="D28" s="65">
        <f t="shared" si="0"/>
        <v>-1.1980053700061422E-4</v>
      </c>
      <c r="E28" s="55">
        <f t="shared" si="1"/>
        <v>-0.95837409512210914</v>
      </c>
      <c r="F28" s="164"/>
      <c r="G28" s="164"/>
      <c r="H28" s="164"/>
      <c r="I28" s="164"/>
      <c r="J28" s="164"/>
      <c r="K28" s="164"/>
      <c r="L28" s="164"/>
      <c r="M28" s="164"/>
      <c r="N28" s="163"/>
    </row>
    <row r="29" spans="2:14" x14ac:dyDescent="0.2">
      <c r="B29" s="162"/>
      <c r="C29" s="55">
        <f t="shared" si="2"/>
        <v>3.75</v>
      </c>
      <c r="D29" s="65">
        <f t="shared" si="0"/>
        <v>-2.3882789296056416E-4</v>
      </c>
      <c r="E29" s="55">
        <f t="shared" si="1"/>
        <v>-0.89298397984156286</v>
      </c>
      <c r="F29" s="164"/>
      <c r="G29" s="164"/>
      <c r="H29" s="164"/>
      <c r="I29" s="164"/>
      <c r="J29" s="164"/>
      <c r="K29" s="164"/>
      <c r="L29" s="164"/>
      <c r="M29" s="164"/>
      <c r="N29" s="163"/>
    </row>
    <row r="30" spans="2:14" x14ac:dyDescent="0.2">
      <c r="B30" s="162"/>
      <c r="C30" s="55">
        <f t="shared" si="2"/>
        <v>4</v>
      </c>
      <c r="D30" s="65">
        <f t="shared" si="0"/>
        <v>-4.5536689673347536E-4</v>
      </c>
      <c r="E30" s="55">
        <f t="shared" si="1"/>
        <v>-0.80000413171400842</v>
      </c>
      <c r="F30" s="164"/>
      <c r="G30" s="164"/>
      <c r="H30" s="164"/>
      <c r="I30" s="164"/>
      <c r="J30" s="164"/>
      <c r="K30" s="164"/>
      <c r="L30" s="164"/>
      <c r="M30" s="164"/>
      <c r="N30" s="163"/>
    </row>
    <row r="31" spans="2:14" x14ac:dyDescent="0.2">
      <c r="B31" s="162"/>
      <c r="C31" s="55">
        <f t="shared" si="2"/>
        <v>4.25</v>
      </c>
      <c r="D31" s="65">
        <f t="shared" si="0"/>
        <v>-8.3489501194863825E-4</v>
      </c>
      <c r="E31" s="55">
        <f t="shared" si="1"/>
        <v>-0.68381661966255181</v>
      </c>
      <c r="F31" s="164"/>
      <c r="G31" s="164"/>
      <c r="H31" s="164"/>
      <c r="I31" s="164"/>
      <c r="J31" s="164"/>
      <c r="K31" s="164"/>
      <c r="L31" s="164"/>
      <c r="M31" s="164"/>
      <c r="N31" s="163"/>
    </row>
    <row r="32" spans="2:14" x14ac:dyDescent="0.2">
      <c r="B32" s="162"/>
      <c r="C32" s="55">
        <f t="shared" si="2"/>
        <v>4.5</v>
      </c>
      <c r="D32" s="65">
        <f t="shared" si="0"/>
        <v>-1.4785483111400812E-3</v>
      </c>
      <c r="E32" s="55">
        <f t="shared" si="1"/>
        <v>-0.55092415255492599</v>
      </c>
      <c r="F32" s="164"/>
      <c r="G32" s="164"/>
      <c r="H32" s="164"/>
      <c r="I32" s="164"/>
      <c r="J32" s="164"/>
      <c r="K32" s="164"/>
      <c r="L32" s="164"/>
      <c r="M32" s="164"/>
      <c r="N32" s="163"/>
    </row>
    <row r="33" spans="2:14" x14ac:dyDescent="0.2">
      <c r="B33" s="162"/>
      <c r="C33" s="55">
        <f t="shared" si="2"/>
        <v>4.75</v>
      </c>
      <c r="D33" s="65">
        <f t="shared" si="0"/>
        <v>-2.538595299684465E-3</v>
      </c>
      <c r="E33" s="55">
        <f t="shared" si="1"/>
        <v>-0.41011462584246705</v>
      </c>
      <c r="F33" s="164"/>
      <c r="G33" s="164"/>
      <c r="H33" s="164"/>
      <c r="I33" s="164"/>
      <c r="J33" s="164"/>
      <c r="K33" s="164"/>
      <c r="L33" s="164"/>
      <c r="M33" s="164"/>
      <c r="N33" s="163"/>
    </row>
    <row r="34" spans="2:14" x14ac:dyDescent="0.2">
      <c r="B34" s="162"/>
      <c r="C34" s="55">
        <f t="shared" si="2"/>
        <v>5</v>
      </c>
      <c r="D34" s="65">
        <f t="shared" si="0"/>
        <v>-4.2390875196115195E-3</v>
      </c>
      <c r="E34" s="55">
        <f t="shared" si="1"/>
        <v>-0.27240042845372126</v>
      </c>
      <c r="F34" s="164"/>
      <c r="G34" s="164"/>
      <c r="H34" s="164"/>
      <c r="I34" s="164"/>
      <c r="J34" s="164"/>
      <c r="K34" s="164"/>
      <c r="L34" s="164"/>
      <c r="M34" s="164"/>
      <c r="N34" s="163"/>
    </row>
    <row r="35" spans="2:14" x14ac:dyDescent="0.2">
      <c r="B35" s="162"/>
      <c r="C35" s="55">
        <f t="shared" si="2"/>
        <v>5.25</v>
      </c>
      <c r="D35" s="65">
        <f t="shared" si="0"/>
        <v>-6.9029090953894538E-3</v>
      </c>
      <c r="E35" s="55">
        <f t="shared" si="1"/>
        <v>-0.15053840283633446</v>
      </c>
      <c r="F35" s="164"/>
      <c r="G35" s="164"/>
      <c r="H35" s="164"/>
      <c r="I35" s="164"/>
      <c r="J35" s="164"/>
      <c r="K35" s="164"/>
      <c r="L35" s="164"/>
      <c r="M35" s="164"/>
      <c r="N35" s="163"/>
    </row>
    <row r="36" spans="2:14" x14ac:dyDescent="0.2">
      <c r="B36" s="162"/>
      <c r="C36" s="55">
        <f t="shared" si="2"/>
        <v>5.5</v>
      </c>
      <c r="D36" s="65">
        <f t="shared" si="0"/>
        <v>-1.0986560773229745E-2</v>
      </c>
      <c r="E36" s="55">
        <f t="shared" si="1"/>
        <v>-5.7942135727711223E-2</v>
      </c>
      <c r="F36" s="164"/>
      <c r="G36" s="164"/>
      <c r="H36" s="164"/>
      <c r="I36" s="164"/>
      <c r="J36" s="164"/>
      <c r="K36" s="164"/>
      <c r="L36" s="164"/>
      <c r="M36" s="164"/>
      <c r="N36" s="163"/>
    </row>
    <row r="37" spans="2:14" x14ac:dyDescent="0.2">
      <c r="B37" s="162"/>
      <c r="C37" s="55">
        <f t="shared" si="2"/>
        <v>5.75</v>
      </c>
      <c r="D37" s="65">
        <f t="shared" si="0"/>
        <v>-1.712404162269731E-2</v>
      </c>
      <c r="E37" s="55">
        <f t="shared" si="1"/>
        <v>-6.9223505002249178E-3</v>
      </c>
      <c r="F37" s="164"/>
      <c r="G37" s="164"/>
      <c r="H37" s="164"/>
      <c r="I37" s="164"/>
      <c r="J37" s="164"/>
      <c r="K37" s="164"/>
      <c r="L37" s="164"/>
      <c r="M37" s="164"/>
      <c r="N37" s="163"/>
    </row>
    <row r="38" spans="2:14" x14ac:dyDescent="0.2">
      <c r="B38" s="162"/>
      <c r="C38" s="55">
        <f t="shared" si="2"/>
        <v>6</v>
      </c>
      <c r="D38" s="65">
        <f t="shared" si="0"/>
        <v>-2.6181052699723043E-2</v>
      </c>
      <c r="E38" s="55">
        <f t="shared" si="1"/>
        <v>-6.4629745652234651E-3</v>
      </c>
      <c r="F38" s="164"/>
      <c r="G38" s="164"/>
      <c r="H38" s="164"/>
      <c r="I38" s="164"/>
      <c r="J38" s="164"/>
      <c r="K38" s="164"/>
      <c r="L38" s="164"/>
      <c r="M38" s="164"/>
      <c r="N38" s="163"/>
    </row>
    <row r="39" spans="2:14" x14ac:dyDescent="0.2">
      <c r="B39" s="162"/>
      <c r="C39" s="55">
        <f t="shared" si="2"/>
        <v>6.25</v>
      </c>
      <c r="D39" s="65">
        <f t="shared" si="0"/>
        <v>-3.9320314756490234E-2</v>
      </c>
      <c r="E39" s="55">
        <f t="shared" si="1"/>
        <v>-6.0072981929593781E-2</v>
      </c>
      <c r="F39" s="164"/>
      <c r="G39" s="164"/>
      <c r="H39" s="164"/>
      <c r="I39" s="164"/>
      <c r="J39" s="164"/>
      <c r="K39" s="164"/>
      <c r="L39" s="164"/>
      <c r="M39" s="164"/>
      <c r="N39" s="163"/>
    </row>
    <row r="40" spans="2:14" x14ac:dyDescent="0.2">
      <c r="B40" s="162"/>
      <c r="C40" s="55">
        <f t="shared" si="2"/>
        <v>6.5</v>
      </c>
      <c r="D40" s="65">
        <f t="shared" si="0"/>
        <v>-5.8077879010084404E-2</v>
      </c>
      <c r="E40" s="55">
        <f t="shared" si="1"/>
        <v>-0.16442400146223424</v>
      </c>
      <c r="F40" s="164"/>
      <c r="G40" s="164"/>
      <c r="H40" s="164"/>
      <c r="I40" s="164"/>
      <c r="J40" s="164"/>
      <c r="K40" s="164"/>
      <c r="L40" s="164"/>
      <c r="M40" s="164"/>
      <c r="N40" s="163"/>
    </row>
    <row r="41" spans="2:14" x14ac:dyDescent="0.2">
      <c r="B41" s="162"/>
      <c r="C41" s="55">
        <f t="shared" si="2"/>
        <v>6.75</v>
      </c>
      <c r="D41" s="65">
        <f t="shared" si="0"/>
        <v>-8.4448660343852178E-2</v>
      </c>
      <c r="E41" s="55">
        <f t="shared" si="1"/>
        <v>-0.309283458986221</v>
      </c>
      <c r="F41" s="164"/>
      <c r="G41" s="164"/>
      <c r="H41" s="164"/>
      <c r="I41" s="164"/>
      <c r="J41" s="164"/>
      <c r="K41" s="164"/>
      <c r="L41" s="164"/>
      <c r="M41" s="164"/>
      <c r="N41" s="163"/>
    </row>
    <row r="42" spans="2:14" x14ac:dyDescent="0.2">
      <c r="B42" s="162"/>
      <c r="C42" s="55">
        <f t="shared" si="2"/>
        <v>7</v>
      </c>
      <c r="D42" s="65">
        <f t="shared" si="0"/>
        <v>-0.12097672789950013</v>
      </c>
      <c r="E42" s="55">
        <f t="shared" si="1"/>
        <v>-0.47873174883034281</v>
      </c>
      <c r="F42" s="164"/>
      <c r="G42" s="164"/>
      <c r="H42" s="164"/>
      <c r="I42" s="164"/>
      <c r="J42" s="164"/>
      <c r="K42" s="164"/>
      <c r="L42" s="164"/>
      <c r="M42" s="164"/>
      <c r="N42" s="163"/>
    </row>
    <row r="43" spans="2:14" x14ac:dyDescent="0.2">
      <c r="B43" s="162"/>
      <c r="C43" s="55">
        <f t="shared" si="2"/>
        <v>7.25</v>
      </c>
      <c r="D43" s="65">
        <f t="shared" si="0"/>
        <v>-0.17084185655031142</v>
      </c>
      <c r="E43" s="55">
        <f t="shared" si="1"/>
        <v>-0.65314394309853774</v>
      </c>
      <c r="F43" s="164"/>
      <c r="G43" s="164"/>
      <c r="H43" s="164"/>
      <c r="I43" s="164"/>
      <c r="J43" s="164"/>
      <c r="K43" s="164"/>
      <c r="L43" s="164"/>
      <c r="M43" s="164"/>
      <c r="N43" s="163"/>
    </row>
    <row r="44" spans="2:14" x14ac:dyDescent="0.2">
      <c r="B44" s="162"/>
      <c r="C44" s="55">
        <f t="shared" si="2"/>
        <v>7.5</v>
      </c>
      <c r="D44" s="65">
        <f t="shared" si="0"/>
        <v>-0.23792836285351132</v>
      </c>
      <c r="E44" s="55">
        <f t="shared" si="1"/>
        <v>-0.81125052902582007</v>
      </c>
      <c r="F44" s="164"/>
      <c r="G44" s="164"/>
      <c r="H44" s="164"/>
      <c r="I44" s="164"/>
      <c r="J44" s="164"/>
      <c r="K44" s="164"/>
      <c r="L44" s="164"/>
      <c r="M44" s="164"/>
      <c r="N44" s="163"/>
    </row>
    <row r="45" spans="2:14" x14ac:dyDescent="0.2">
      <c r="B45" s="162"/>
      <c r="C45" s="55">
        <f t="shared" si="2"/>
        <v>7.75</v>
      </c>
      <c r="D45" s="65">
        <f t="shared" si="0"/>
        <v>-0.32685569633270212</v>
      </c>
      <c r="E45" s="55">
        <f t="shared" si="1"/>
        <v>-0.93181188886697064</v>
      </c>
      <c r="F45" s="164"/>
      <c r="G45" s="164"/>
      <c r="H45" s="164"/>
      <c r="I45" s="164"/>
      <c r="J45" s="164"/>
      <c r="K45" s="164"/>
      <c r="L45" s="164"/>
      <c r="M45" s="164"/>
      <c r="N45" s="163"/>
    </row>
    <row r="46" spans="2:14" x14ac:dyDescent="0.2">
      <c r="B46" s="162"/>
      <c r="C46" s="55">
        <f t="shared" si="2"/>
        <v>8</v>
      </c>
      <c r="D46" s="65">
        <f t="shared" si="0"/>
        <v>-0.44294394043243657</v>
      </c>
      <c r="E46" s="55">
        <f t="shared" ref="E46:E77" si="3">IF(C46/$D$6&lt;1,-10*LOG(1+$E$120*(COS($D$5*ACOS(C46/$D$6)))^2),-10*LOG(1+$E$120*(COSH($D$5*ACOSH(C46/$D$6)))^2))</f>
        <v>-0.99485941387678256</v>
      </c>
      <c r="F46" s="164"/>
      <c r="G46" s="164"/>
      <c r="H46" s="164"/>
      <c r="I46" s="164"/>
      <c r="J46" s="164"/>
      <c r="K46" s="164"/>
      <c r="L46" s="164"/>
      <c r="M46" s="164"/>
      <c r="N46" s="163"/>
    </row>
    <row r="47" spans="2:14" x14ac:dyDescent="0.2">
      <c r="B47" s="162"/>
      <c r="C47" s="55">
        <f t="shared" si="2"/>
        <v>8.25</v>
      </c>
      <c r="D47" s="65">
        <f t="shared" si="0"/>
        <v>-0.59208398650278948</v>
      </c>
      <c r="E47" s="55">
        <f t="shared" si="3"/>
        <v>-0.98291189281610569</v>
      </c>
      <c r="F47" s="164"/>
      <c r="G47" s="164"/>
      <c r="H47" s="164"/>
      <c r="I47" s="164"/>
      <c r="J47" s="164"/>
      <c r="K47" s="164"/>
      <c r="L47" s="164"/>
      <c r="M47" s="164"/>
      <c r="N47" s="163"/>
    </row>
    <row r="48" spans="2:14" x14ac:dyDescent="0.2">
      <c r="B48" s="162"/>
      <c r="C48" s="55">
        <f t="shared" si="2"/>
        <v>8.5</v>
      </c>
      <c r="D48" s="65">
        <f t="shared" si="0"/>
        <v>-0.78048579509519511</v>
      </c>
      <c r="E48" s="55">
        <f t="shared" si="3"/>
        <v>-0.88311760928751093</v>
      </c>
      <c r="F48" s="164"/>
      <c r="G48" s="164"/>
      <c r="H48" s="164"/>
      <c r="I48" s="164"/>
      <c r="J48" s="164"/>
      <c r="K48" s="164"/>
      <c r="L48" s="164"/>
      <c r="M48" s="164"/>
      <c r="N48" s="163"/>
    </row>
    <row r="49" spans="2:14" x14ac:dyDescent="0.2">
      <c r="B49" s="162"/>
      <c r="C49" s="55">
        <f t="shared" si="2"/>
        <v>8.75</v>
      </c>
      <c r="D49" s="65">
        <f t="shared" si="0"/>
        <v>-1.0142933735575239</v>
      </c>
      <c r="E49" s="55">
        <f t="shared" si="3"/>
        <v>-0.69218493372880685</v>
      </c>
      <c r="F49" s="164"/>
      <c r="G49" s="164"/>
      <c r="H49" s="164"/>
      <c r="I49" s="164"/>
      <c r="J49" s="164"/>
      <c r="K49" s="164"/>
      <c r="L49" s="164"/>
      <c r="M49" s="164"/>
      <c r="N49" s="163"/>
    </row>
    <row r="50" spans="2:14" x14ac:dyDescent="0.2">
      <c r="B50" s="162"/>
      <c r="C50" s="55">
        <f t="shared" si="2"/>
        <v>9</v>
      </c>
      <c r="D50" s="65">
        <f t="shared" si="0"/>
        <v>-1.2990841495200813</v>
      </c>
      <c r="E50" s="55">
        <f t="shared" si="3"/>
        <v>-0.42761866834239332</v>
      </c>
      <c r="F50" s="164"/>
      <c r="G50" s="164"/>
      <c r="H50" s="164"/>
      <c r="I50" s="164"/>
      <c r="J50" s="164"/>
      <c r="K50" s="164"/>
      <c r="L50" s="164"/>
      <c r="M50" s="164"/>
      <c r="N50" s="163"/>
    </row>
    <row r="51" spans="2:14" x14ac:dyDescent="0.2">
      <c r="B51" s="162"/>
      <c r="C51" s="55">
        <f t="shared" si="2"/>
        <v>9.25</v>
      </c>
      <c r="D51" s="65">
        <f t="shared" si="0"/>
        <v>-1.6393095139877565</v>
      </c>
      <c r="E51" s="55">
        <f t="shared" si="3"/>
        <v>-0.15053113681476404</v>
      </c>
      <c r="F51" s="164"/>
      <c r="G51" s="164"/>
      <c r="H51" s="164"/>
      <c r="I51" s="164"/>
      <c r="J51" s="164"/>
      <c r="K51" s="164"/>
      <c r="L51" s="164"/>
      <c r="M51" s="164"/>
      <c r="N51" s="163"/>
    </row>
    <row r="52" spans="2:14" x14ac:dyDescent="0.2">
      <c r="B52" s="162"/>
      <c r="C52" s="55">
        <f t="shared" si="2"/>
        <v>9.5</v>
      </c>
      <c r="D52" s="65">
        <f t="shared" si="0"/>
        <v>-2.0377700956497717</v>
      </c>
      <c r="E52" s="55">
        <f t="shared" si="3"/>
        <v>-3.2515916632645586E-4</v>
      </c>
      <c r="F52" s="164"/>
      <c r="G52" s="164"/>
      <c r="H52" s="164"/>
      <c r="I52" s="164"/>
      <c r="J52" s="164"/>
      <c r="K52" s="164"/>
      <c r="L52" s="164"/>
      <c r="M52" s="164"/>
      <c r="N52" s="163"/>
    </row>
    <row r="53" spans="2:14" x14ac:dyDescent="0.2">
      <c r="B53" s="162"/>
      <c r="C53" s="55">
        <f t="shared" si="2"/>
        <v>9.75</v>
      </c>
      <c r="D53" s="65">
        <f t="shared" si="0"/>
        <v>-2.4952355785944698</v>
      </c>
      <c r="E53" s="55">
        <f t="shared" si="3"/>
        <v>-0.20805540538039441</v>
      </c>
      <c r="F53" s="164"/>
      <c r="G53" s="164"/>
      <c r="H53" s="164"/>
      <c r="I53" s="164"/>
      <c r="J53" s="164"/>
      <c r="K53" s="164"/>
      <c r="L53" s="164"/>
      <c r="M53" s="164"/>
      <c r="N53" s="163"/>
    </row>
    <row r="54" spans="2:14" x14ac:dyDescent="0.2">
      <c r="B54" s="162"/>
      <c r="C54" s="55">
        <f t="shared" si="2"/>
        <v>10</v>
      </c>
      <c r="D54" s="65">
        <f t="shared" si="0"/>
        <v>-3.0102999566398121</v>
      </c>
      <c r="E54" s="55">
        <f t="shared" si="3"/>
        <v>-1.0000000000000002</v>
      </c>
      <c r="F54" s="164"/>
      <c r="G54" s="164"/>
      <c r="H54" s="164"/>
      <c r="I54" s="164"/>
      <c r="J54" s="164"/>
      <c r="K54" s="164"/>
      <c r="L54" s="164"/>
      <c r="M54" s="164"/>
      <c r="N54" s="163"/>
    </row>
    <row r="55" spans="2:14" x14ac:dyDescent="0.2">
      <c r="B55" s="162"/>
      <c r="C55" s="55">
        <f t="shared" si="2"/>
        <v>10.25</v>
      </c>
      <c r="D55" s="65">
        <f t="shared" si="0"/>
        <v>-3.5795095068344613</v>
      </c>
      <c r="E55" s="55">
        <f t="shared" si="3"/>
        <v>-2.4036722699287445</v>
      </c>
      <c r="F55" s="164"/>
      <c r="G55" s="164"/>
      <c r="H55" s="164"/>
      <c r="I55" s="164"/>
      <c r="J55" s="164"/>
      <c r="K55" s="164"/>
      <c r="L55" s="164"/>
      <c r="M55" s="164"/>
      <c r="N55" s="163"/>
    </row>
    <row r="56" spans="2:14" x14ac:dyDescent="0.2">
      <c r="B56" s="162"/>
      <c r="C56" s="55">
        <f t="shared" si="2"/>
        <v>10.5</v>
      </c>
      <c r="D56" s="65">
        <f t="shared" si="0"/>
        <v>-4.1977317875518807</v>
      </c>
      <c r="E56" s="55">
        <f t="shared" si="3"/>
        <v>-4.2187980086033319</v>
      </c>
      <c r="F56" s="164"/>
      <c r="G56" s="164"/>
      <c r="H56" s="164"/>
      <c r="I56" s="164"/>
      <c r="J56" s="164"/>
      <c r="K56" s="164"/>
      <c r="L56" s="164"/>
      <c r="M56" s="164"/>
      <c r="N56" s="163"/>
    </row>
    <row r="57" spans="2:14" x14ac:dyDescent="0.2">
      <c r="B57" s="162"/>
      <c r="C57" s="55">
        <f t="shared" si="2"/>
        <v>10.75</v>
      </c>
      <c r="D57" s="65">
        <f t="shared" si="0"/>
        <v>-4.8586780761213477</v>
      </c>
      <c r="E57" s="55">
        <f t="shared" si="3"/>
        <v>-6.201634187387155</v>
      </c>
      <c r="F57" s="164"/>
      <c r="G57" s="164"/>
      <c r="H57" s="164"/>
      <c r="I57" s="164"/>
      <c r="J57" s="164"/>
      <c r="K57" s="164"/>
      <c r="L57" s="164"/>
      <c r="M57" s="164"/>
      <c r="N57" s="163"/>
    </row>
    <row r="58" spans="2:14" x14ac:dyDescent="0.2">
      <c r="B58" s="162"/>
      <c r="C58" s="55">
        <f t="shared" si="2"/>
        <v>11</v>
      </c>
      <c r="D58" s="65">
        <f t="shared" si="0"/>
        <v>-5.5554695085724699</v>
      </c>
      <c r="E58" s="55">
        <f t="shared" si="3"/>
        <v>-8.1916111799669231</v>
      </c>
      <c r="F58" s="164"/>
      <c r="G58" s="164"/>
      <c r="H58" s="164"/>
      <c r="I58" s="164"/>
      <c r="J58" s="164"/>
      <c r="K58" s="164"/>
      <c r="L58" s="164"/>
      <c r="M58" s="164"/>
      <c r="N58" s="163"/>
    </row>
    <row r="59" spans="2:14" x14ac:dyDescent="0.2">
      <c r="B59" s="162"/>
      <c r="C59" s="55">
        <f t="shared" si="2"/>
        <v>11.25</v>
      </c>
      <c r="D59" s="65">
        <f t="shared" si="0"/>
        <v>-6.2811508753187777</v>
      </c>
      <c r="E59" s="55">
        <f t="shared" si="3"/>
        <v>-10.112421763652762</v>
      </c>
      <c r="F59" s="164"/>
      <c r="G59" s="164"/>
      <c r="H59" s="164"/>
      <c r="I59" s="164"/>
      <c r="J59" s="164"/>
      <c r="K59" s="164"/>
      <c r="L59" s="164"/>
      <c r="M59" s="164"/>
      <c r="N59" s="163"/>
    </row>
    <row r="60" spans="2:14" x14ac:dyDescent="0.2">
      <c r="B60" s="162"/>
      <c r="C60" s="55">
        <f t="shared" si="2"/>
        <v>11.5</v>
      </c>
      <c r="D60" s="65">
        <f t="shared" si="0"/>
        <v>-7.0290918011747481</v>
      </c>
      <c r="E60" s="55">
        <f t="shared" si="3"/>
        <v>-11.936759165258866</v>
      </c>
      <c r="F60" s="164"/>
      <c r="G60" s="164"/>
      <c r="H60" s="164"/>
      <c r="I60" s="164"/>
      <c r="J60" s="164"/>
      <c r="K60" s="164"/>
      <c r="L60" s="164"/>
      <c r="M60" s="164"/>
      <c r="N60" s="163"/>
    </row>
    <row r="61" spans="2:14" x14ac:dyDescent="0.2">
      <c r="B61" s="162"/>
      <c r="C61" s="55">
        <f t="shared" si="2"/>
        <v>11.75</v>
      </c>
      <c r="D61" s="65">
        <f t="shared" si="0"/>
        <v>-7.7932545223708427</v>
      </c>
      <c r="E61" s="55">
        <f t="shared" si="3"/>
        <v>-13.660206034046784</v>
      </c>
      <c r="F61" s="164"/>
      <c r="G61" s="164"/>
      <c r="H61" s="164"/>
      <c r="I61" s="164"/>
      <c r="J61" s="164"/>
      <c r="K61" s="164"/>
      <c r="L61" s="164"/>
      <c r="M61" s="164"/>
      <c r="N61" s="163"/>
    </row>
    <row r="62" spans="2:14" x14ac:dyDescent="0.2">
      <c r="B62" s="162"/>
      <c r="C62" s="55">
        <f t="shared" si="2"/>
        <v>12</v>
      </c>
      <c r="D62" s="65">
        <f t="shared" si="0"/>
        <v>-8.5683376209629571</v>
      </c>
      <c r="E62" s="55">
        <f t="shared" si="3"/>
        <v>-15.287679676866491</v>
      </c>
      <c r="F62" s="164"/>
      <c r="G62" s="164"/>
      <c r="H62" s="164"/>
      <c r="I62" s="164"/>
      <c r="J62" s="164"/>
      <c r="K62" s="164"/>
      <c r="L62" s="164"/>
      <c r="M62" s="164"/>
      <c r="N62" s="163"/>
    </row>
    <row r="63" spans="2:14" x14ac:dyDescent="0.2">
      <c r="B63" s="162"/>
      <c r="C63" s="55">
        <f t="shared" si="2"/>
        <v>12.25</v>
      </c>
      <c r="D63" s="65">
        <f t="shared" si="0"/>
        <v>-9.3498214247140581</v>
      </c>
      <c r="E63" s="55">
        <f t="shared" si="3"/>
        <v>-16.827253223161275</v>
      </c>
      <c r="F63" s="164"/>
      <c r="G63" s="164"/>
      <c r="H63" s="164"/>
      <c r="I63" s="164"/>
      <c r="J63" s="164"/>
      <c r="K63" s="164"/>
      <c r="L63" s="164"/>
      <c r="M63" s="164"/>
      <c r="N63" s="163"/>
    </row>
    <row r="64" spans="2:14" x14ac:dyDescent="0.2">
      <c r="B64" s="162"/>
      <c r="C64" s="55">
        <f t="shared" si="2"/>
        <v>12.5</v>
      </c>
      <c r="D64" s="65">
        <f t="shared" si="0"/>
        <v>-10.133945241238077</v>
      </c>
      <c r="E64" s="55">
        <f t="shared" si="3"/>
        <v>-18.287528754699402</v>
      </c>
      <c r="F64" s="164"/>
      <c r="G64" s="164"/>
      <c r="H64" s="164"/>
      <c r="I64" s="164"/>
      <c r="J64" s="164"/>
      <c r="K64" s="164"/>
      <c r="L64" s="164"/>
      <c r="M64" s="164"/>
      <c r="N64" s="163"/>
    </row>
    <row r="65" spans="2:14" x14ac:dyDescent="0.2">
      <c r="B65" s="162"/>
      <c r="C65" s="55">
        <f t="shared" si="2"/>
        <v>12.75</v>
      </c>
      <c r="D65" s="65">
        <f t="shared" si="0"/>
        <v>-10.917643628524338</v>
      </c>
      <c r="E65" s="55">
        <f t="shared" si="3"/>
        <v>-19.676604730537882</v>
      </c>
      <c r="F65" s="164"/>
      <c r="G65" s="164"/>
      <c r="H65" s="164"/>
      <c r="I65" s="164"/>
      <c r="J65" s="164"/>
      <c r="K65" s="164"/>
      <c r="L65" s="164"/>
      <c r="M65" s="164"/>
      <c r="N65" s="163"/>
    </row>
    <row r="66" spans="2:14" x14ac:dyDescent="0.2">
      <c r="B66" s="162"/>
      <c r="C66" s="55">
        <f t="shared" si="2"/>
        <v>13</v>
      </c>
      <c r="D66" s="65">
        <f t="shared" si="0"/>
        <v>-11.698462720968729</v>
      </c>
      <c r="E66" s="55">
        <f t="shared" si="3"/>
        <v>-21.001735393058635</v>
      </c>
      <c r="F66" s="164"/>
      <c r="G66" s="164"/>
      <c r="H66" s="164"/>
      <c r="I66" s="164"/>
      <c r="J66" s="164"/>
      <c r="K66" s="164"/>
      <c r="L66" s="164"/>
      <c r="M66" s="164"/>
      <c r="N66" s="163"/>
    </row>
    <row r="67" spans="2:14" x14ac:dyDescent="0.2">
      <c r="B67" s="162"/>
      <c r="C67" s="55">
        <f t="shared" si="2"/>
        <v>13.25</v>
      </c>
      <c r="D67" s="65">
        <f t="shared" si="0"/>
        <v>-12.474471048570921</v>
      </c>
      <c r="E67" s="55">
        <f t="shared" si="3"/>
        <v>-22.269280144137756</v>
      </c>
      <c r="F67" s="164"/>
      <c r="G67" s="164"/>
      <c r="H67" s="164"/>
      <c r="I67" s="164"/>
      <c r="J67" s="164"/>
      <c r="K67" s="164"/>
      <c r="L67" s="164"/>
      <c r="M67" s="164"/>
      <c r="N67" s="163"/>
    </row>
    <row r="68" spans="2:14" x14ac:dyDescent="0.2">
      <c r="B68" s="162"/>
      <c r="C68" s="55">
        <f t="shared" si="2"/>
        <v>13.5</v>
      </c>
      <c r="D68" s="65">
        <f t="shared" si="0"/>
        <v>-13.244173716645564</v>
      </c>
      <c r="E68" s="55">
        <f t="shared" si="3"/>
        <v>-23.484766032102176</v>
      </c>
      <c r="F68" s="164"/>
      <c r="G68" s="164"/>
      <c r="H68" s="164"/>
      <c r="I68" s="164"/>
      <c r="J68" s="164"/>
      <c r="K68" s="164"/>
      <c r="L68" s="164"/>
      <c r="M68" s="164"/>
      <c r="N68" s="163"/>
    </row>
    <row r="69" spans="2:14" x14ac:dyDescent="0.2">
      <c r="B69" s="162"/>
      <c r="C69" s="55">
        <f t="shared" si="2"/>
        <v>13.75</v>
      </c>
      <c r="D69" s="65">
        <f t="shared" si="0"/>
        <v>-14.006434688405154</v>
      </c>
      <c r="E69" s="55">
        <f t="shared" si="3"/>
        <v>-24.652986583046857</v>
      </c>
      <c r="F69" s="164"/>
      <c r="G69" s="164"/>
      <c r="H69" s="164"/>
      <c r="I69" s="164"/>
      <c r="J69" s="164"/>
      <c r="K69" s="164"/>
      <c r="L69" s="164"/>
      <c r="M69" s="164"/>
      <c r="N69" s="163"/>
    </row>
    <row r="70" spans="2:14" x14ac:dyDescent="0.2">
      <c r="B70" s="162"/>
      <c r="C70" s="55">
        <f t="shared" si="2"/>
        <v>14</v>
      </c>
      <c r="D70" s="65">
        <f t="shared" si="0"/>
        <v>-14.760409146830149</v>
      </c>
      <c r="E70" s="55">
        <f t="shared" si="3"/>
        <v>-25.778104698484206</v>
      </c>
      <c r="F70" s="164"/>
      <c r="G70" s="164"/>
      <c r="H70" s="164"/>
      <c r="I70" s="164"/>
      <c r="J70" s="164"/>
      <c r="K70" s="164"/>
      <c r="L70" s="164"/>
      <c r="M70" s="164"/>
      <c r="N70" s="163"/>
    </row>
    <row r="71" spans="2:14" x14ac:dyDescent="0.2">
      <c r="B71" s="162"/>
      <c r="C71" s="55">
        <f t="shared" si="2"/>
        <v>14.25</v>
      </c>
      <c r="D71" s="65">
        <f t="shared" si="0"/>
        <v>-15.505486217963991</v>
      </c>
      <c r="E71" s="55">
        <f t="shared" si="3"/>
        <v>-26.863747088534954</v>
      </c>
      <c r="F71" s="164"/>
      <c r="G71" s="164"/>
      <c r="H71" s="164"/>
      <c r="I71" s="164"/>
      <c r="J71" s="164"/>
      <c r="K71" s="164"/>
      <c r="L71" s="164"/>
      <c r="M71" s="164"/>
      <c r="N71" s="163"/>
    </row>
    <row r="72" spans="2:14" x14ac:dyDescent="0.2">
      <c r="B72" s="162"/>
      <c r="C72" s="55">
        <f t="shared" si="2"/>
        <v>14.5</v>
      </c>
      <c r="D72" s="65">
        <f t="shared" si="0"/>
        <v>-16.241241402274877</v>
      </c>
      <c r="E72" s="55">
        <f t="shared" si="3"/>
        <v>-27.913086367381826</v>
      </c>
      <c r="F72" s="164"/>
      <c r="G72" s="164"/>
      <c r="H72" s="164"/>
      <c r="I72" s="164"/>
      <c r="J72" s="164"/>
      <c r="K72" s="164"/>
      <c r="L72" s="164"/>
      <c r="M72" s="164"/>
      <c r="N72" s="163"/>
    </row>
    <row r="73" spans="2:14" x14ac:dyDescent="0.2">
      <c r="B73" s="162"/>
      <c r="C73" s="55">
        <f t="shared" si="2"/>
        <v>14.75</v>
      </c>
      <c r="D73" s="65">
        <f t="shared" si="0"/>
        <v>-16.967397620630479</v>
      </c>
      <c r="E73" s="55">
        <f t="shared" si="3"/>
        <v>-28.928910595400588</v>
      </c>
      <c r="F73" s="164"/>
      <c r="G73" s="164"/>
      <c r="H73" s="164"/>
      <c r="I73" s="164"/>
      <c r="J73" s="164"/>
      <c r="K73" s="164"/>
      <c r="L73" s="164"/>
      <c r="M73" s="164"/>
      <c r="N73" s="163"/>
    </row>
    <row r="74" spans="2:14" x14ac:dyDescent="0.2">
      <c r="B74" s="162"/>
      <c r="C74" s="55">
        <f t="shared" si="2"/>
        <v>15</v>
      </c>
      <c r="D74" s="65">
        <f t="shared" si="0"/>
        <v>-17.683793641857296</v>
      </c>
      <c r="E74" s="55">
        <f t="shared" si="3"/>
        <v>-29.913681459660868</v>
      </c>
      <c r="F74" s="164"/>
      <c r="G74" s="164"/>
      <c r="H74" s="164"/>
      <c r="I74" s="164"/>
      <c r="J74" s="164"/>
      <c r="K74" s="164"/>
      <c r="L74" s="164"/>
      <c r="M74" s="164"/>
      <c r="N74" s="163"/>
    </row>
    <row r="75" spans="2:14" x14ac:dyDescent="0.2">
      <c r="B75" s="162"/>
      <c r="C75" s="55">
        <f t="shared" si="2"/>
        <v>15.25</v>
      </c>
      <c r="D75" s="65">
        <f t="shared" si="0"/>
        <v>-18.390358687232219</v>
      </c>
      <c r="E75" s="55">
        <f t="shared" si="3"/>
        <v>-30.869582695365089</v>
      </c>
      <c r="F75" s="164"/>
      <c r="G75" s="164"/>
      <c r="H75" s="164"/>
      <c r="I75" s="164"/>
      <c r="J75" s="164"/>
      <c r="K75" s="164"/>
      <c r="L75" s="164"/>
      <c r="M75" s="164"/>
      <c r="N75" s="163"/>
    </row>
    <row r="76" spans="2:14" x14ac:dyDescent="0.2">
      <c r="B76" s="162"/>
      <c r="C76" s="55">
        <f t="shared" si="2"/>
        <v>15.5</v>
      </c>
      <c r="D76" s="65">
        <f t="shared" si="0"/>
        <v>-19.087092119089903</v>
      </c>
      <c r="E76" s="55">
        <f t="shared" si="3"/>
        <v>-31.798560339902359</v>
      </c>
      <c r="F76" s="164"/>
      <c r="G76" s="164"/>
      <c r="H76" s="164"/>
      <c r="I76" s="164"/>
      <c r="J76" s="164"/>
      <c r="K76" s="164"/>
      <c r="L76" s="164"/>
      <c r="M76" s="164"/>
      <c r="N76" s="163"/>
    </row>
    <row r="77" spans="2:14" x14ac:dyDescent="0.2">
      <c r="B77" s="162"/>
      <c r="C77" s="55">
        <f t="shared" si="2"/>
        <v>15.75</v>
      </c>
      <c r="D77" s="65">
        <f t="shared" si="0"/>
        <v>-19.774047265315119</v>
      </c>
      <c r="E77" s="55">
        <f t="shared" si="3"/>
        <v>-32.702356240497224</v>
      </c>
      <c r="F77" s="164"/>
      <c r="G77" s="164"/>
      <c r="H77" s="164"/>
      <c r="I77" s="164"/>
      <c r="J77" s="164"/>
      <c r="K77" s="164"/>
      <c r="L77" s="164"/>
      <c r="M77" s="164"/>
      <c r="N77" s="163"/>
    </row>
    <row r="78" spans="2:14" x14ac:dyDescent="0.2">
      <c r="B78" s="162"/>
      <c r="C78" s="55">
        <f t="shared" si="2"/>
        <v>16</v>
      </c>
      <c r="D78" s="65">
        <f t="shared" ref="D78:D109" si="4">-10*LOG(1+(C78/$D$6)^(2*$D$5))</f>
        <v>-20.451318580348975</v>
      </c>
      <c r="E78" s="55">
        <f t="shared" ref="E78:E114" si="5">IF(C78/$D$6&lt;1,-10*LOG(1+$E$120*(COS($D$5*ACOS(C78/$D$6)))^2),-10*LOG(1+$E$120*(COSH($D$5*ACOSH(C78/$D$6)))^2))</f>
        <v>-33.582536022757232</v>
      </c>
      <c r="F78" s="164"/>
      <c r="G78" s="164"/>
      <c r="H78" s="164"/>
      <c r="I78" s="164"/>
      <c r="J78" s="164"/>
      <c r="K78" s="164"/>
      <c r="L78" s="164"/>
      <c r="M78" s="164"/>
      <c r="N78" s="163"/>
    </row>
    <row r="79" spans="2:14" x14ac:dyDescent="0.2">
      <c r="B79" s="162"/>
      <c r="C79" s="55">
        <f t="shared" ref="C79:C114" si="6">C78+$D$11</f>
        <v>16.25</v>
      </c>
      <c r="D79" s="65">
        <f t="shared" si="4"/>
        <v>-21.119031481885639</v>
      </c>
      <c r="E79" s="55">
        <f t="shared" si="5"/>
        <v>-34.440512520116641</v>
      </c>
      <c r="F79" s="164"/>
      <c r="G79" s="164"/>
      <c r="H79" s="164"/>
      <c r="I79" s="164"/>
      <c r="J79" s="164"/>
      <c r="K79" s="164"/>
      <c r="L79" s="164"/>
      <c r="M79" s="164"/>
      <c r="N79" s="163"/>
    </row>
    <row r="80" spans="2:14" x14ac:dyDescent="0.2">
      <c r="B80" s="162"/>
      <c r="C80" s="55">
        <f t="shared" si="6"/>
        <v>16.5</v>
      </c>
      <c r="D80" s="65">
        <f t="shared" si="4"/>
        <v>-21.777334324348089</v>
      </c>
      <c r="E80" s="55">
        <f t="shared" si="5"/>
        <v>-35.277565481516071</v>
      </c>
      <c r="F80" s="164"/>
      <c r="G80" s="164"/>
      <c r="H80" s="164"/>
      <c r="I80" s="164"/>
      <c r="J80" s="164"/>
      <c r="K80" s="164"/>
      <c r="L80" s="164"/>
      <c r="M80" s="164"/>
      <c r="N80" s="163"/>
    </row>
    <row r="81" spans="2:14" x14ac:dyDescent="0.2">
      <c r="B81" s="162"/>
      <c r="C81" s="55">
        <f t="shared" si="6"/>
        <v>16.75</v>
      </c>
      <c r="D81" s="65">
        <f t="shared" si="4"/>
        <v>-22.426392073826477</v>
      </c>
      <c r="E81" s="55">
        <f t="shared" si="5"/>
        <v>-36.094858221010938</v>
      </c>
      <c r="F81" s="164"/>
      <c r="G81" s="164"/>
      <c r="H81" s="164"/>
      <c r="I81" s="164"/>
      <c r="J81" s="164"/>
      <c r="K81" s="164"/>
      <c r="L81" s="164"/>
      <c r="M81" s="164"/>
      <c r="N81" s="163"/>
    </row>
    <row r="82" spans="2:14" x14ac:dyDescent="0.2">
      <c r="B82" s="162"/>
      <c r="C82" s="55">
        <f t="shared" si="6"/>
        <v>17</v>
      </c>
      <c r="D82" s="65">
        <f t="shared" si="4"/>
        <v>-23.066381335191632</v>
      </c>
      <c r="E82" s="55">
        <f t="shared" si="5"/>
        <v>-36.893451746891543</v>
      </c>
      <c r="F82" s="164"/>
      <c r="G82" s="164"/>
      <c r="H82" s="164"/>
      <c r="I82" s="164"/>
      <c r="J82" s="164"/>
      <c r="K82" s="164"/>
      <c r="L82" s="164"/>
      <c r="M82" s="164"/>
      <c r="N82" s="163"/>
    </row>
    <row r="83" spans="2:14" x14ac:dyDescent="0.2">
      <c r="B83" s="162"/>
      <c r="C83" s="55">
        <f t="shared" si="6"/>
        <v>17.25</v>
      </c>
      <c r="D83" s="65">
        <f t="shared" si="4"/>
        <v>-23.697486452420517</v>
      </c>
      <c r="E83" s="55">
        <f t="shared" si="5"/>
        <v>-37.67431680574844</v>
      </c>
      <c r="F83" s="164"/>
      <c r="G83" s="164"/>
      <c r="H83" s="164"/>
      <c r="I83" s="164"/>
      <c r="J83" s="164"/>
      <c r="K83" s="164"/>
      <c r="L83" s="164"/>
      <c r="M83" s="164"/>
      <c r="N83" s="163"/>
    </row>
    <row r="84" spans="2:14" x14ac:dyDescent="0.2">
      <c r="B84" s="162"/>
      <c r="C84" s="55">
        <f t="shared" si="6"/>
        <v>17.5</v>
      </c>
      <c r="D84" s="65">
        <f t="shared" si="4"/>
        <v>-24.319896460031927</v>
      </c>
      <c r="E84" s="55">
        <f t="shared" si="5"/>
        <v>-38.438344194739649</v>
      </c>
      <c r="F84" s="164"/>
      <c r="G84" s="164"/>
      <c r="H84" s="164"/>
      <c r="I84" s="164"/>
      <c r="J84" s="164"/>
      <c r="K84" s="164"/>
      <c r="L84" s="164"/>
      <c r="M84" s="164"/>
      <c r="N84" s="163"/>
    </row>
    <row r="85" spans="2:14" x14ac:dyDescent="0.2">
      <c r="B85" s="162"/>
      <c r="C85" s="55">
        <f t="shared" si="6"/>
        <v>17.75</v>
      </c>
      <c r="D85" s="65">
        <f t="shared" si="4"/>
        <v>-24.933802709156744</v>
      </c>
      <c r="E85" s="55">
        <f t="shared" si="5"/>
        <v>-39.18635362939709</v>
      </c>
      <c r="F85" s="164"/>
      <c r="G85" s="164"/>
      <c r="H85" s="164"/>
      <c r="I85" s="164"/>
      <c r="J85" s="164"/>
      <c r="K85" s="164"/>
      <c r="L85" s="164"/>
      <c r="M85" s="164"/>
      <c r="N85" s="163"/>
    </row>
    <row r="86" spans="2:14" x14ac:dyDescent="0.2">
      <c r="B86" s="162"/>
      <c r="C86" s="55">
        <f t="shared" si="6"/>
        <v>18</v>
      </c>
      <c r="D86" s="65">
        <f t="shared" si="4"/>
        <v>-25.539397028183384</v>
      </c>
      <c r="E86" s="55">
        <f t="shared" si="5"/>
        <v>-39.919101401457105</v>
      </c>
      <c r="F86" s="164"/>
      <c r="G86" s="164"/>
      <c r="H86" s="164"/>
      <c r="I86" s="164"/>
      <c r="J86" s="164"/>
      <c r="K86" s="164"/>
      <c r="L86" s="164"/>
      <c r="M86" s="164"/>
      <c r="N86" s="163"/>
    </row>
    <row r="87" spans="2:14" x14ac:dyDescent="0.2">
      <c r="B87" s="162"/>
      <c r="C87" s="55">
        <f t="shared" si="6"/>
        <v>18.25</v>
      </c>
      <c r="D87" s="65">
        <f t="shared" si="4"/>
        <v>-26.136870306882049</v>
      </c>
      <c r="E87" s="55">
        <f t="shared" si="5"/>
        <v>-40.637287018773058</v>
      </c>
      <c r="F87" s="164"/>
      <c r="G87" s="164"/>
      <c r="H87" s="164"/>
      <c r="I87" s="164"/>
      <c r="J87" s="164"/>
      <c r="K87" s="164"/>
      <c r="L87" s="164"/>
      <c r="M87" s="164"/>
      <c r="N87" s="163"/>
    </row>
    <row r="88" spans="2:14" x14ac:dyDescent="0.2">
      <c r="B88" s="162"/>
      <c r="C88" s="55">
        <f t="shared" si="6"/>
        <v>18.5</v>
      </c>
      <c r="D88" s="65">
        <f t="shared" si="4"/>
        <v>-26.726411415892386</v>
      </c>
      <c r="E88" s="55">
        <f t="shared" si="5"/>
        <v>-41.341558985237945</v>
      </c>
      <c r="F88" s="164"/>
      <c r="G88" s="164"/>
      <c r="H88" s="164"/>
      <c r="I88" s="164"/>
      <c r="J88" s="164"/>
      <c r="K88" s="164"/>
      <c r="L88" s="164"/>
      <c r="M88" s="164"/>
      <c r="N88" s="163"/>
    </row>
    <row r="89" spans="2:14" x14ac:dyDescent="0.2">
      <c r="B89" s="162"/>
      <c r="C89" s="55">
        <f t="shared" si="6"/>
        <v>18.75</v>
      </c>
      <c r="D89" s="65">
        <f t="shared" si="4"/>
        <v>-27.308206391669607</v>
      </c>
      <c r="E89" s="55">
        <f t="shared" si="5"/>
        <v>-42.032519851105967</v>
      </c>
      <c r="F89" s="164"/>
      <c r="G89" s="164"/>
      <c r="H89" s="164"/>
      <c r="I89" s="164"/>
      <c r="J89" s="164"/>
      <c r="K89" s="164"/>
      <c r="L89" s="164"/>
      <c r="M89" s="164"/>
      <c r="N89" s="163"/>
    </row>
    <row r="90" spans="2:14" x14ac:dyDescent="0.2">
      <c r="B90" s="162"/>
      <c r="C90" s="55">
        <f t="shared" si="6"/>
        <v>19</v>
      </c>
      <c r="D90" s="65">
        <f t="shared" si="4"/>
        <v>-27.882437831405337</v>
      </c>
      <c r="E90" s="55">
        <f t="shared" si="5"/>
        <v>-42.710730641809832</v>
      </c>
      <c r="F90" s="164"/>
      <c r="G90" s="164"/>
      <c r="H90" s="164"/>
      <c r="I90" s="164"/>
      <c r="J90" s="164"/>
      <c r="K90" s="164"/>
      <c r="L90" s="164"/>
      <c r="M90" s="164"/>
      <c r="N90" s="163"/>
    </row>
    <row r="91" spans="2:14" x14ac:dyDescent="0.2">
      <c r="B91" s="162"/>
      <c r="C91" s="55">
        <f t="shared" si="6"/>
        <v>19.25</v>
      </c>
      <c r="D91" s="65">
        <f t="shared" si="4"/>
        <v>-28.449284453858649</v>
      </c>
      <c r="E91" s="55">
        <f t="shared" si="5"/>
        <v>-43.376714755257602</v>
      </c>
      <c r="F91" s="164"/>
      <c r="G91" s="164"/>
      <c r="H91" s="164"/>
      <c r="I91" s="164"/>
      <c r="J91" s="164"/>
      <c r="K91" s="164"/>
      <c r="L91" s="164"/>
      <c r="M91" s="164"/>
      <c r="N91" s="163"/>
    </row>
    <row r="92" spans="2:14" x14ac:dyDescent="0.2">
      <c r="B92" s="162"/>
      <c r="C92" s="55">
        <f t="shared" si="6"/>
        <v>19.5</v>
      </c>
      <c r="D92" s="65">
        <f t="shared" si="4"/>
        <v>-29.008920791078097</v>
      </c>
      <c r="E92" s="55">
        <f t="shared" si="5"/>
        <v>-44.030961402820061</v>
      </c>
      <c r="F92" s="164"/>
      <c r="G92" s="164"/>
      <c r="H92" s="164"/>
      <c r="I92" s="164"/>
      <c r="J92" s="164"/>
      <c r="K92" s="164"/>
      <c r="L92" s="164"/>
      <c r="M92" s="164"/>
      <c r="N92" s="163"/>
    </row>
    <row r="93" spans="2:14" x14ac:dyDescent="0.2">
      <c r="B93" s="162"/>
      <c r="C93" s="55">
        <f t="shared" si="6"/>
        <v>19.75</v>
      </c>
      <c r="D93" s="65">
        <f t="shared" si="4"/>
        <v>-29.56151698316528</v>
      </c>
      <c r="E93" s="55">
        <f t="shared" si="5"/>
        <v>-44.673928657124229</v>
      </c>
      <c r="F93" s="164"/>
      <c r="G93" s="164"/>
      <c r="H93" s="164"/>
      <c r="I93" s="164"/>
      <c r="J93" s="164"/>
      <c r="K93" s="164"/>
      <c r="L93" s="164"/>
      <c r="M93" s="164"/>
      <c r="N93" s="163"/>
    </row>
    <row r="94" spans="2:14" x14ac:dyDescent="0.2">
      <c r="B94" s="162"/>
      <c r="C94" s="55">
        <f t="shared" si="6"/>
        <v>20</v>
      </c>
      <c r="D94" s="65">
        <f t="shared" si="4"/>
        <v>-30.107238653917729</v>
      </c>
      <c r="E94" s="55">
        <f t="shared" si="5"/>
        <v>-45.30604615982574</v>
      </c>
      <c r="F94" s="164"/>
      <c r="G94" s="164"/>
      <c r="H94" s="164"/>
      <c r="I94" s="164"/>
      <c r="J94" s="164"/>
      <c r="K94" s="164"/>
      <c r="L94" s="164"/>
      <c r="M94" s="164"/>
      <c r="N94" s="163"/>
    </row>
    <row r="95" spans="2:14" x14ac:dyDescent="0.2">
      <c r="B95" s="162"/>
      <c r="C95" s="55">
        <f t="shared" si="6"/>
        <v>20.25</v>
      </c>
      <c r="D95" s="65">
        <f t="shared" si="4"/>
        <v>-30.646246849706028</v>
      </c>
      <c r="E95" s="55">
        <f t="shared" si="5"/>
        <v>-45.927717534327357</v>
      </c>
      <c r="F95" s="164"/>
      <c r="G95" s="164"/>
      <c r="H95" s="164"/>
      <c r="I95" s="164"/>
      <c r="J95" s="164"/>
      <c r="K95" s="164"/>
      <c r="L95" s="164"/>
      <c r="M95" s="164"/>
      <c r="N95" s="163"/>
    </row>
    <row r="96" spans="2:14" x14ac:dyDescent="0.2">
      <c r="B96" s="162"/>
      <c r="C96" s="55">
        <f t="shared" si="6"/>
        <v>20.5</v>
      </c>
      <c r="D96" s="65">
        <f t="shared" si="4"/>
        <v>-31.178698027530274</v>
      </c>
      <c r="E96" s="55">
        <f t="shared" si="5"/>
        <v>-46.53932254161333</v>
      </c>
      <c r="F96" s="164"/>
      <c r="G96" s="164"/>
      <c r="H96" s="164"/>
      <c r="I96" s="164"/>
      <c r="J96" s="164"/>
      <c r="K96" s="164"/>
      <c r="L96" s="164"/>
      <c r="M96" s="164"/>
      <c r="N96" s="163"/>
    </row>
    <row r="97" spans="2:14" x14ac:dyDescent="0.2">
      <c r="B97" s="162"/>
      <c r="C97" s="55">
        <f t="shared" si="6"/>
        <v>20.75</v>
      </c>
      <c r="D97" s="65">
        <f t="shared" si="4"/>
        <v>-31.704744081059545</v>
      </c>
      <c r="E97" s="55">
        <f t="shared" si="5"/>
        <v>-47.141219011715769</v>
      </c>
      <c r="F97" s="164"/>
      <c r="G97" s="164"/>
      <c r="H97" s="164"/>
      <c r="I97" s="164"/>
      <c r="J97" s="164"/>
      <c r="K97" s="164"/>
      <c r="L97" s="164"/>
      <c r="M97" s="164"/>
      <c r="N97" s="163"/>
    </row>
    <row r="98" spans="2:14" x14ac:dyDescent="0.2">
      <c r="B98" s="162"/>
      <c r="C98" s="55">
        <f t="shared" si="6"/>
        <v>21</v>
      </c>
      <c r="D98" s="65">
        <f t="shared" si="4"/>
        <v>-32.224532395735046</v>
      </c>
      <c r="E98" s="55">
        <f t="shared" si="5"/>
        <v>-47.733744578609887</v>
      </c>
      <c r="F98" s="164"/>
      <c r="G98" s="164"/>
      <c r="H98" s="164"/>
      <c r="I98" s="164"/>
      <c r="J98" s="164"/>
      <c r="K98" s="164"/>
      <c r="L98" s="164"/>
      <c r="M98" s="164"/>
      <c r="N98" s="163"/>
    </row>
    <row r="99" spans="2:14" x14ac:dyDescent="0.2">
      <c r="B99" s="162"/>
      <c r="C99" s="55">
        <f t="shared" si="6"/>
        <v>21.25</v>
      </c>
      <c r="D99" s="65">
        <f t="shared" si="4"/>
        <v>-32.738205925835274</v>
      </c>
      <c r="E99" s="55">
        <f t="shared" si="5"/>
        <v>-48.317218242381522</v>
      </c>
      <c r="F99" s="164"/>
      <c r="G99" s="164"/>
      <c r="H99" s="164"/>
      <c r="I99" s="164"/>
      <c r="J99" s="164"/>
      <c r="K99" s="164"/>
      <c r="L99" s="164"/>
      <c r="M99" s="164"/>
      <c r="N99" s="163"/>
    </row>
    <row r="100" spans="2:14" x14ac:dyDescent="0.2">
      <c r="B100" s="162"/>
      <c r="C100" s="55">
        <f t="shared" si="6"/>
        <v>21.5</v>
      </c>
      <c r="D100" s="65">
        <f t="shared" si="4"/>
        <v>-33.245903287852244</v>
      </c>
      <c r="E100" s="55">
        <f t="shared" si="5"/>
        <v>-48.89194177918462</v>
      </c>
      <c r="F100" s="164"/>
      <c r="G100" s="164"/>
      <c r="H100" s="164"/>
      <c r="I100" s="164"/>
      <c r="J100" s="164"/>
      <c r="K100" s="164"/>
      <c r="L100" s="164"/>
      <c r="M100" s="164"/>
      <c r="N100" s="163"/>
    </row>
    <row r="101" spans="2:14" x14ac:dyDescent="0.2">
      <c r="B101" s="162"/>
      <c r="C101" s="55">
        <f t="shared" si="6"/>
        <v>21.75</v>
      </c>
      <c r="D101" s="65">
        <f t="shared" si="4"/>
        <v>-33.747758865688745</v>
      </c>
      <c r="E101" s="55">
        <f t="shared" si="5"/>
        <v>-49.458201016702283</v>
      </c>
      <c r="F101" s="164"/>
      <c r="G101" s="164"/>
      <c r="H101" s="164"/>
      <c r="I101" s="164"/>
      <c r="J101" s="164"/>
      <c r="K101" s="164"/>
      <c r="L101" s="164"/>
      <c r="M101" s="164"/>
      <c r="N101" s="163"/>
    </row>
    <row r="102" spans="2:14" x14ac:dyDescent="0.2">
      <c r="B102" s="162"/>
      <c r="C102" s="55">
        <f t="shared" si="6"/>
        <v>22</v>
      </c>
      <c r="D102" s="65">
        <f t="shared" si="4"/>
        <v>-34.243902924115112</v>
      </c>
      <c r="E102" s="55">
        <f t="shared" si="5"/>
        <v>-50.01626699044899</v>
      </c>
      <c r="F102" s="164"/>
      <c r="G102" s="164"/>
      <c r="H102" s="164"/>
      <c r="I102" s="164"/>
      <c r="J102" s="164"/>
      <c r="K102" s="164"/>
      <c r="L102" s="164"/>
      <c r="M102" s="164"/>
      <c r="N102" s="163"/>
    </row>
    <row r="103" spans="2:14" x14ac:dyDescent="0.2">
      <c r="B103" s="162"/>
      <c r="C103" s="55">
        <f t="shared" si="6"/>
        <v>22.25</v>
      </c>
      <c r="D103" s="65">
        <f t="shared" si="4"/>
        <v>-34.7344617276677</v>
      </c>
      <c r="E103" s="55">
        <f t="shared" si="5"/>
        <v>-50.566396994234793</v>
      </c>
      <c r="F103" s="164"/>
      <c r="G103" s="164"/>
      <c r="H103" s="164"/>
      <c r="I103" s="164"/>
      <c r="J103" s="164"/>
      <c r="K103" s="164"/>
      <c r="L103" s="164"/>
      <c r="M103" s="164"/>
      <c r="N103" s="163"/>
    </row>
    <row r="104" spans="2:14" x14ac:dyDescent="0.2">
      <c r="B104" s="162"/>
      <c r="C104" s="55">
        <f t="shared" si="6"/>
        <v>22.5</v>
      </c>
      <c r="D104" s="65">
        <f t="shared" si="4"/>
        <v>-35.219557662767691</v>
      </c>
      <c r="E104" s="55">
        <f t="shared" si="5"/>
        <v>-51.108835536392903</v>
      </c>
      <c r="F104" s="164"/>
      <c r="G104" s="164"/>
      <c r="H104" s="164"/>
      <c r="I104" s="164"/>
      <c r="J104" s="164"/>
      <c r="K104" s="164"/>
      <c r="L104" s="164"/>
      <c r="M104" s="164"/>
      <c r="N104" s="163"/>
    </row>
    <row r="105" spans="2:14" x14ac:dyDescent="0.2">
      <c r="B105" s="162"/>
      <c r="C105" s="55">
        <f t="shared" si="6"/>
        <v>22.75</v>
      </c>
      <c r="D105" s="65">
        <f t="shared" si="4"/>
        <v>-35.699309361316459</v>
      </c>
      <c r="E105" s="55">
        <f t="shared" si="5"/>
        <v>-51.643815211902606</v>
      </c>
      <c r="F105" s="164"/>
      <c r="G105" s="164"/>
      <c r="H105" s="164"/>
      <c r="I105" s="164"/>
      <c r="J105" s="164"/>
      <c r="K105" s="164"/>
      <c r="L105" s="164"/>
      <c r="M105" s="164"/>
      <c r="N105" s="163"/>
    </row>
    <row r="106" spans="2:14" x14ac:dyDescent="0.2">
      <c r="B106" s="162"/>
      <c r="C106" s="55">
        <f t="shared" si="6"/>
        <v>23</v>
      </c>
      <c r="D106" s="65">
        <f t="shared" si="4"/>
        <v>-36.173831824407429</v>
      </c>
      <c r="E106" s="55">
        <f t="shared" si="5"/>
        <v>-52.171557499279686</v>
      </c>
      <c r="F106" s="164"/>
      <c r="G106" s="164"/>
      <c r="H106" s="164"/>
      <c r="I106" s="164"/>
      <c r="J106" s="164"/>
      <c r="K106" s="164"/>
      <c r="L106" s="164"/>
      <c r="M106" s="164"/>
      <c r="N106" s="163"/>
    </row>
    <row r="107" spans="2:14" x14ac:dyDescent="0.2">
      <c r="B107" s="162"/>
      <c r="C107" s="55">
        <f t="shared" si="6"/>
        <v>23.25</v>
      </c>
      <c r="D107" s="65">
        <f t="shared" si="4"/>
        <v>-36.643236545101502</v>
      </c>
      <c r="E107" s="55">
        <f t="shared" si="5"/>
        <v>-52.692273490023645</v>
      </c>
      <c r="F107" s="164"/>
      <c r="G107" s="164"/>
      <c r="H107" s="164"/>
      <c r="I107" s="164"/>
      <c r="J107" s="164"/>
      <c r="K107" s="164"/>
      <c r="L107" s="164"/>
      <c r="M107" s="164"/>
      <c r="N107" s="163"/>
    </row>
    <row r="108" spans="2:14" x14ac:dyDescent="0.2">
      <c r="B108" s="162"/>
      <c r="C108" s="55">
        <f t="shared" si="6"/>
        <v>23.5</v>
      </c>
      <c r="D108" s="65">
        <f t="shared" si="4"/>
        <v>-37.107631629459512</v>
      </c>
      <c r="E108" s="55">
        <f t="shared" si="5"/>
        <v>-53.206164557476257</v>
      </c>
      <c r="F108" s="164"/>
      <c r="G108" s="164"/>
      <c r="H108" s="164"/>
      <c r="I108" s="164"/>
      <c r="J108" s="164"/>
      <c r="K108" s="164"/>
      <c r="L108" s="164"/>
      <c r="M108" s="164"/>
      <c r="N108" s="163"/>
    </row>
    <row r="109" spans="2:14" x14ac:dyDescent="0.2">
      <c r="B109" s="162"/>
      <c r="C109" s="55">
        <f t="shared" si="6"/>
        <v>23.75</v>
      </c>
      <c r="D109" s="65">
        <f t="shared" si="4"/>
        <v>-37.567121915222856</v>
      </c>
      <c r="E109" s="55">
        <f t="shared" si="5"/>
        <v>-53.713422971139117</v>
      </c>
      <c r="F109" s="164"/>
      <c r="G109" s="164"/>
      <c r="H109" s="164"/>
      <c r="I109" s="164"/>
      <c r="J109" s="164"/>
      <c r="K109" s="164"/>
      <c r="L109" s="164"/>
      <c r="M109" s="164"/>
      <c r="N109" s="163"/>
    </row>
    <row r="110" spans="2:14" x14ac:dyDescent="0.2">
      <c r="B110" s="162"/>
      <c r="C110" s="55">
        <f t="shared" si="6"/>
        <v>24</v>
      </c>
      <c r="D110" s="65">
        <f>-10*LOG(1+(C110/$D$6)^(2*$D$5))</f>
        <v>-38.021809087690869</v>
      </c>
      <c r="E110" s="55">
        <f t="shared" si="5"/>
        <v>-54.214232461797607</v>
      </c>
      <c r="F110" s="164"/>
      <c r="G110" s="164"/>
      <c r="H110" s="164"/>
      <c r="I110" s="164"/>
      <c r="J110" s="164"/>
      <c r="K110" s="164"/>
      <c r="L110" s="164"/>
      <c r="M110" s="164"/>
      <c r="N110" s="163"/>
    </row>
    <row r="111" spans="2:14" x14ac:dyDescent="0.2">
      <c r="B111" s="162"/>
      <c r="C111" s="55">
        <f t="shared" si="6"/>
        <v>24.25</v>
      </c>
      <c r="D111" s="65">
        <f>-10*LOG(1+(C111/$D$6)^(2*$D$5))</f>
        <v>-38.471791792469936</v>
      </c>
      <c r="E111" s="55">
        <f t="shared" si="5"/>
        <v>-54.708768742190088</v>
      </c>
      <c r="F111" s="164"/>
      <c r="G111" s="164"/>
      <c r="H111" s="164"/>
      <c r="I111" s="164"/>
      <c r="J111" s="164"/>
      <c r="K111" s="164"/>
      <c r="L111" s="164"/>
      <c r="M111" s="164"/>
      <c r="N111" s="163"/>
    </row>
    <row r="112" spans="2:14" x14ac:dyDescent="0.2">
      <c r="B112" s="162"/>
      <c r="C112" s="55">
        <f t="shared" si="6"/>
        <v>24.5</v>
      </c>
      <c r="D112" s="65">
        <f>-10*LOG(1+(C112/$D$6)^(2*$D$5))</f>
        <v>-38.91716574486987</v>
      </c>
      <c r="E112" s="55">
        <f t="shared" si="5"/>
        <v>-55.197199987431027</v>
      </c>
      <c r="F112" s="164"/>
      <c r="G112" s="164"/>
      <c r="H112" s="164"/>
      <c r="I112" s="164"/>
      <c r="J112" s="164"/>
      <c r="K112" s="164"/>
      <c r="L112" s="164"/>
      <c r="M112" s="164"/>
      <c r="N112" s="163"/>
    </row>
    <row r="113" spans="2:14" x14ac:dyDescent="0.2">
      <c r="B113" s="162"/>
      <c r="C113" s="55">
        <f t="shared" si="6"/>
        <v>24.75</v>
      </c>
      <c r="D113" s="65">
        <f>-10*LOG(1+(C113/$D$6)^(2*$D$5))</f>
        <v>-39.358023835802399</v>
      </c>
      <c r="E113" s="55">
        <f t="shared" si="5"/>
        <v>-55.679687278934267</v>
      </c>
      <c r="F113" s="164"/>
      <c r="G113" s="164"/>
      <c r="H113" s="164"/>
      <c r="I113" s="164"/>
      <c r="J113" s="164"/>
      <c r="K113" s="164"/>
      <c r="L113" s="164"/>
      <c r="M113" s="164"/>
      <c r="N113" s="163"/>
    </row>
    <row r="114" spans="2:14" x14ac:dyDescent="0.2">
      <c r="B114" s="162"/>
      <c r="C114" s="57">
        <f t="shared" si="6"/>
        <v>25</v>
      </c>
      <c r="D114" s="56">
        <f>-10*LOG(1+(C114/$D$6)^(2*$D$5))</f>
        <v>-39.794456234100494</v>
      </c>
      <c r="E114" s="57">
        <f t="shared" si="5"/>
        <v>-56.156385015176753</v>
      </c>
      <c r="F114" s="164"/>
      <c r="G114" s="166" t="str">
        <f>Home!$D$7&amp;", "&amp;Home!$D$8&amp;", "&amp;Home!$D$9</f>
        <v>RF Cafe Calculator Workbook, v5.1, by RF Cafe</v>
      </c>
      <c r="H114" s="164"/>
      <c r="I114" s="164"/>
      <c r="J114" s="164"/>
      <c r="K114" s="164"/>
      <c r="L114" s="164"/>
      <c r="M114" s="164"/>
      <c r="N114" s="163"/>
    </row>
    <row r="115" spans="2:14" ht="6" customHeight="1" thickBot="1" x14ac:dyDescent="0.25">
      <c r="B115" s="167"/>
      <c r="C115" s="52"/>
      <c r="D115" s="53"/>
      <c r="E115" s="53"/>
      <c r="F115" s="168"/>
      <c r="G115" s="168"/>
      <c r="H115" s="168"/>
      <c r="I115" s="168"/>
      <c r="J115" s="168"/>
      <c r="K115" s="168"/>
      <c r="L115" s="168"/>
      <c r="M115" s="168"/>
      <c r="N115" s="169"/>
    </row>
    <row r="116" spans="2:14" ht="3" customHeight="1" thickTop="1" x14ac:dyDescent="0.2">
      <c r="C116" s="18"/>
      <c r="D116" s="54"/>
      <c r="E116" s="54"/>
    </row>
    <row r="117" spans="2:14" hidden="1" x14ac:dyDescent="0.2">
      <c r="D117" s="54"/>
      <c r="E117" s="9"/>
    </row>
    <row r="118" spans="2:14" hidden="1" x14ac:dyDescent="0.2">
      <c r="C118" s="9"/>
      <c r="D118" s="54"/>
      <c r="E118" s="9"/>
    </row>
    <row r="119" spans="2:14" hidden="1" x14ac:dyDescent="0.2">
      <c r="C119" s="9"/>
      <c r="D119" s="9"/>
    </row>
    <row r="120" spans="2:14" hidden="1" x14ac:dyDescent="0.2">
      <c r="C120" s="144" t="s">
        <v>46</v>
      </c>
      <c r="D120" s="9"/>
      <c r="E120" s="9">
        <f>10^(D7/10)-1</f>
        <v>0.25892541179416728</v>
      </c>
    </row>
    <row r="121" spans="2:14" hidden="1" x14ac:dyDescent="0.2">
      <c r="C121" s="144" t="s">
        <v>37</v>
      </c>
      <c r="D121" s="9"/>
    </row>
    <row r="122" spans="2:14" hidden="1" x14ac:dyDescent="0.2">
      <c r="C122" s="144" t="s">
        <v>47</v>
      </c>
      <c r="D122" s="9"/>
    </row>
    <row r="123" spans="2:14" hidden="1" x14ac:dyDescent="0.2">
      <c r="D123" s="9"/>
    </row>
    <row r="124" spans="2:14" hidden="1" x14ac:dyDescent="0.2">
      <c r="C124" s="9"/>
      <c r="D124" s="9"/>
    </row>
    <row r="125" spans="2:14" hidden="1" x14ac:dyDescent="0.2">
      <c r="C125" s="9"/>
      <c r="D125" s="9"/>
    </row>
    <row r="126" spans="2:14" hidden="1" x14ac:dyDescent="0.2">
      <c r="C126" s="9"/>
      <c r="D126" s="9"/>
    </row>
    <row r="127" spans="2:14" hidden="1" x14ac:dyDescent="0.2">
      <c r="C127" s="9"/>
      <c r="D127" s="9"/>
    </row>
    <row r="128" spans="2:14" hidden="1" x14ac:dyDescent="0.2">
      <c r="C128" s="9"/>
      <c r="D128" s="9"/>
    </row>
    <row r="129" spans="3:4" hidden="1" x14ac:dyDescent="0.2">
      <c r="C129" s="9"/>
      <c r="D129" s="9"/>
    </row>
    <row r="130" spans="3:4" hidden="1" x14ac:dyDescent="0.2">
      <c r="C130" s="9"/>
      <c r="D130" s="9"/>
    </row>
    <row r="131" spans="3:4" hidden="1" x14ac:dyDescent="0.2">
      <c r="C131" s="9"/>
      <c r="D131" s="9"/>
    </row>
    <row r="132" spans="3:4" hidden="1" x14ac:dyDescent="0.2">
      <c r="C132" s="9"/>
      <c r="D132" s="9"/>
    </row>
    <row r="133" spans="3:4" hidden="1" x14ac:dyDescent="0.2">
      <c r="C133" s="9"/>
      <c r="D133" s="9"/>
    </row>
    <row r="134" spans="3:4" hidden="1" x14ac:dyDescent="0.2">
      <c r="C134" s="9"/>
      <c r="D134" s="9"/>
    </row>
    <row r="135" spans="3:4" hidden="1" x14ac:dyDescent="0.2">
      <c r="C135" s="9"/>
      <c r="D135" s="9"/>
    </row>
    <row r="136" spans="3:4" hidden="1" x14ac:dyDescent="0.2">
      <c r="C136" s="9"/>
      <c r="D136" s="9"/>
    </row>
    <row r="137" spans="3:4" hidden="1" x14ac:dyDescent="0.2">
      <c r="C137" s="9"/>
      <c r="D137" s="9"/>
    </row>
    <row r="138" spans="3:4" hidden="1" x14ac:dyDescent="0.2">
      <c r="C138" s="9"/>
      <c r="D138" s="9"/>
    </row>
    <row r="139" spans="3:4" hidden="1" x14ac:dyDescent="0.2">
      <c r="C139" s="9"/>
      <c r="D139" s="9"/>
    </row>
    <row r="140" spans="3:4" hidden="1" x14ac:dyDescent="0.2">
      <c r="C140" s="9"/>
      <c r="D140" s="9"/>
    </row>
    <row r="141" spans="3:4" hidden="1" x14ac:dyDescent="0.2">
      <c r="C141" s="9"/>
      <c r="D141" s="9"/>
    </row>
    <row r="142" spans="3:4" hidden="1" x14ac:dyDescent="0.2">
      <c r="C142" s="9"/>
      <c r="D142" s="9"/>
    </row>
    <row r="143" spans="3:4" hidden="1" x14ac:dyDescent="0.2">
      <c r="C143" s="9"/>
      <c r="D143" s="9"/>
    </row>
    <row r="144" spans="3:4" hidden="1" x14ac:dyDescent="0.2">
      <c r="C144" s="9"/>
      <c r="D144" s="9"/>
    </row>
    <row r="145" spans="3:4" hidden="1" x14ac:dyDescent="0.2">
      <c r="C145" s="9"/>
      <c r="D145" s="9"/>
    </row>
    <row r="146" spans="3:4" hidden="1" x14ac:dyDescent="0.2">
      <c r="C146" s="9"/>
      <c r="D146" s="9"/>
    </row>
    <row r="147" spans="3:4" hidden="1" x14ac:dyDescent="0.2">
      <c r="C147" s="9"/>
      <c r="D147" s="9"/>
    </row>
    <row r="148" spans="3:4" hidden="1" x14ac:dyDescent="0.2">
      <c r="C148" s="9"/>
      <c r="D148" s="9"/>
    </row>
    <row r="149" spans="3:4" hidden="1" x14ac:dyDescent="0.2">
      <c r="C149" s="9"/>
      <c r="D149" s="9"/>
    </row>
    <row r="150" spans="3:4" hidden="1" x14ac:dyDescent="0.2">
      <c r="C150" s="9"/>
      <c r="D150" s="9"/>
    </row>
    <row r="151" spans="3:4" hidden="1" x14ac:dyDescent="0.2">
      <c r="C151" s="9"/>
      <c r="D151" s="9"/>
    </row>
    <row r="152" spans="3:4" hidden="1" x14ac:dyDescent="0.2">
      <c r="C152" s="9"/>
      <c r="D152" s="9"/>
    </row>
    <row r="153" spans="3:4" hidden="1" x14ac:dyDescent="0.2">
      <c r="C153" s="9"/>
      <c r="D153" s="9"/>
    </row>
    <row r="154" spans="3:4" hidden="1" x14ac:dyDescent="0.2">
      <c r="C154" s="9"/>
      <c r="D154" s="9"/>
    </row>
    <row r="155" spans="3:4" hidden="1" x14ac:dyDescent="0.2">
      <c r="C155" s="9"/>
      <c r="D155" s="9"/>
    </row>
    <row r="156" spans="3:4" hidden="1" x14ac:dyDescent="0.2">
      <c r="C156" s="9"/>
      <c r="D156" s="9"/>
    </row>
    <row r="157" spans="3:4" hidden="1" x14ac:dyDescent="0.2">
      <c r="C157" s="9"/>
      <c r="D157" s="9"/>
    </row>
    <row r="158" spans="3:4" hidden="1" x14ac:dyDescent="0.2">
      <c r="C158" s="9"/>
      <c r="D158" s="9"/>
    </row>
    <row r="159" spans="3:4" hidden="1" x14ac:dyDescent="0.2">
      <c r="C159" s="9"/>
      <c r="D159" s="9"/>
    </row>
    <row r="160" spans="3:4" hidden="1" x14ac:dyDescent="0.2">
      <c r="C160" s="9"/>
      <c r="D160" s="9"/>
    </row>
    <row r="161" spans="3:4" hidden="1" x14ac:dyDescent="0.2">
      <c r="C161" s="9"/>
      <c r="D161" s="9"/>
    </row>
    <row r="162" spans="3:4" hidden="1" x14ac:dyDescent="0.2">
      <c r="C162" s="9"/>
      <c r="D162" s="9"/>
    </row>
    <row r="163" spans="3:4" hidden="1" x14ac:dyDescent="0.2">
      <c r="C163" s="9"/>
      <c r="D163" s="9"/>
    </row>
    <row r="164" spans="3:4" hidden="1" x14ac:dyDescent="0.2">
      <c r="C164" s="9"/>
      <c r="D164" s="9"/>
    </row>
    <row r="165" spans="3:4" hidden="1" x14ac:dyDescent="0.2">
      <c r="C165" s="9"/>
      <c r="D165" s="9"/>
    </row>
    <row r="166" spans="3:4" hidden="1" x14ac:dyDescent="0.2">
      <c r="C166" s="9"/>
      <c r="D166" s="9"/>
    </row>
    <row r="167" spans="3:4" hidden="1" x14ac:dyDescent="0.2">
      <c r="C167" s="9"/>
      <c r="D167" s="9"/>
    </row>
    <row r="168" spans="3:4" hidden="1" x14ac:dyDescent="0.2">
      <c r="C168" s="9"/>
      <c r="D168" s="9"/>
    </row>
    <row r="169" spans="3:4" hidden="1" x14ac:dyDescent="0.2">
      <c r="C169" s="9"/>
      <c r="D169" s="9"/>
    </row>
    <row r="170" spans="3:4" hidden="1" x14ac:dyDescent="0.2">
      <c r="C170" s="9"/>
      <c r="D170" s="9"/>
    </row>
    <row r="171" spans="3:4" hidden="1" x14ac:dyDescent="0.2">
      <c r="C171" s="9"/>
      <c r="D171" s="9"/>
    </row>
    <row r="172" spans="3:4" hidden="1" x14ac:dyDescent="0.2">
      <c r="C172" s="9"/>
      <c r="D172" s="9"/>
    </row>
    <row r="173" spans="3:4" hidden="1" x14ac:dyDescent="0.2">
      <c r="C173" s="9"/>
      <c r="D173" s="9"/>
    </row>
    <row r="174" spans="3:4" hidden="1" x14ac:dyDescent="0.2">
      <c r="C174" s="9"/>
      <c r="D174" s="9"/>
    </row>
    <row r="175" spans="3:4" hidden="1" x14ac:dyDescent="0.2">
      <c r="C175" s="9"/>
      <c r="D175" s="9"/>
    </row>
    <row r="176" spans="3:4" hidden="1" x14ac:dyDescent="0.2">
      <c r="C176" s="9"/>
      <c r="D176" s="9"/>
    </row>
    <row r="177" hidden="1" x14ac:dyDescent="0.2"/>
    <row r="178" hidden="1" x14ac:dyDescent="0.2"/>
    <row r="179" hidden="1" x14ac:dyDescent="0.2"/>
    <row r="180" hidden="1" x14ac:dyDescent="0.2"/>
  </sheetData>
  <sheetProtection password="F39F" sheet="1" objects="1" scenarios="1"/>
  <mergeCells count="4">
    <mergeCell ref="C4:D4"/>
    <mergeCell ref="D12:E12"/>
    <mergeCell ref="C8:E8"/>
    <mergeCell ref="C3:E3"/>
  </mergeCells>
  <phoneticPr fontId="2" type="noConversion"/>
  <dataValidations count="6">
    <dataValidation type="custom" operator="greaterThan" showInputMessage="1" showErrorMessage="1" error="Must be &gt; 0 and &lt; Stop" sqref="D10">
      <formula1>AND(D10&gt;0,D10&lt;D9)</formula1>
    </dataValidation>
    <dataValidation type="custom" operator="greaterThan" showInputMessage="1" showErrorMessage="1" error="Must be &gt; 0 and &gt; Start" sqref="D9">
      <formula1>AND(D9&gt;0,D9&gt;D10)</formula1>
    </dataValidation>
    <dataValidation type="list" allowBlank="1" showInputMessage="1" showErrorMessage="1" sqref="E6">
      <formula1>$C$120:$C$122</formula1>
    </dataValidation>
    <dataValidation type="decimal" showInputMessage="1" showErrorMessage="1" error="1 &lt;= Order &lt;= 50" sqref="D5">
      <formula1>1</formula1>
      <formula2>50</formula2>
    </dataValidation>
    <dataValidation type="decimal" showInputMessage="1" showErrorMessage="1" error="0.001 &lt;= Ripple &lt;= 10" sqref="D7">
      <formula1>0.001</formula1>
      <formula2>10</formula2>
    </dataValidation>
    <dataValidation type="decimal" operator="greaterThan" showInputMessage="1" showErrorMessage="1" error="Must be &gt; 0" sqref="D6">
      <formula1>0</formula1>
    </dataValidation>
  </dataValidations>
  <hyperlinks>
    <hyperlink ref="L3" r:id="rId1" tooltip="Click here to check for updates to this calculator"/>
    <hyperlink ref="H3" r:id="rId2"/>
    <hyperlink ref="H4" r:id="rId3"/>
    <hyperlink ref="M23" location="Home!A1" tooltip="Click to return to title page with calculator list" display="Home"/>
  </hyperlinks>
  <pageMargins left="0.5" right="0.5" top="0.5" bottom="0.5" header="0.5" footer="0.5"/>
  <pageSetup scale="56" orientation="portrait" r:id="rId4"/>
  <headerFooter alignWithMargins="0"/>
  <drawing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showGridLines="0" showRowColHeaders="0" workbookViewId="0">
      <selection activeCell="K15" sqref="K15"/>
    </sheetView>
  </sheetViews>
  <sheetFormatPr defaultColWidth="0" defaultRowHeight="12" zeroHeight="1" x14ac:dyDescent="0.2"/>
  <cols>
    <col min="1" max="1" width="0.42578125" style="174" customWidth="1"/>
    <col min="2" max="2" width="0.85546875" style="174" customWidth="1"/>
    <col min="3" max="4" width="9.140625" style="174" customWidth="1"/>
    <col min="5" max="5" width="3.140625" style="174" customWidth="1"/>
    <col min="6" max="6" width="7.140625" style="174" customWidth="1"/>
    <col min="7" max="7" width="2.7109375" style="174" customWidth="1"/>
    <col min="8" max="11" width="9.140625" style="174" customWidth="1"/>
    <col min="12" max="12" width="0.85546875" style="174" customWidth="1"/>
    <col min="13" max="13" width="0.42578125" style="174" customWidth="1"/>
    <col min="14" max="16384" width="0" style="174" hidden="1"/>
  </cols>
  <sheetData>
    <row r="1" spans="2:12" ht="2.25" customHeight="1" thickBot="1" x14ac:dyDescent="0.25"/>
    <row r="2" spans="2:12" ht="4.5" customHeight="1" thickTop="1" x14ac:dyDescent="0.2">
      <c r="B2" s="314"/>
      <c r="C2" s="315"/>
      <c r="D2" s="315"/>
      <c r="E2" s="315"/>
      <c r="F2" s="315"/>
      <c r="G2" s="315"/>
      <c r="H2" s="315"/>
      <c r="I2" s="315"/>
      <c r="J2" s="315"/>
      <c r="K2" s="315"/>
      <c r="L2" s="316"/>
    </row>
    <row r="3" spans="2:12" ht="12" customHeight="1" x14ac:dyDescent="0.2">
      <c r="B3" s="227"/>
      <c r="C3" s="431" t="s">
        <v>218</v>
      </c>
      <c r="D3" s="431"/>
      <c r="E3" s="431"/>
      <c r="F3" s="431"/>
      <c r="G3" s="431"/>
      <c r="H3" s="431"/>
      <c r="I3" s="431"/>
      <c r="J3" s="431"/>
      <c r="K3" s="431"/>
      <c r="L3" s="317"/>
    </row>
    <row r="4" spans="2:12" ht="12" customHeight="1" x14ac:dyDescent="0.2">
      <c r="B4" s="227"/>
      <c r="C4" s="258" t="s">
        <v>131</v>
      </c>
      <c r="D4" s="318"/>
      <c r="E4" s="318"/>
      <c r="F4" s="318"/>
      <c r="G4" s="318"/>
      <c r="H4" s="318"/>
      <c r="I4" s="318"/>
      <c r="J4" s="318"/>
      <c r="K4" s="257" t="s">
        <v>132</v>
      </c>
      <c r="L4" s="317"/>
    </row>
    <row r="5" spans="2:12" ht="12" customHeight="1" x14ac:dyDescent="0.2">
      <c r="B5" s="227"/>
      <c r="C5" s="164"/>
      <c r="D5" s="164"/>
      <c r="E5" s="164"/>
      <c r="F5" s="164"/>
      <c r="G5" s="164"/>
      <c r="H5" s="164"/>
      <c r="I5" s="164"/>
      <c r="J5" s="164"/>
      <c r="K5" s="164"/>
      <c r="L5" s="313"/>
    </row>
    <row r="6" spans="2:12" ht="12" customHeight="1" x14ac:dyDescent="0.2">
      <c r="B6" s="227"/>
      <c r="C6" s="454" t="s">
        <v>209</v>
      </c>
      <c r="D6" s="455"/>
      <c r="E6" s="323"/>
      <c r="F6" s="456" t="s">
        <v>210</v>
      </c>
      <c r="G6" s="324"/>
      <c r="H6" s="457" t="s">
        <v>211</v>
      </c>
      <c r="I6" s="458"/>
      <c r="J6" s="458"/>
      <c r="K6" s="459"/>
      <c r="L6" s="313"/>
    </row>
    <row r="7" spans="2:12" ht="12" customHeight="1" x14ac:dyDescent="0.2">
      <c r="B7" s="227"/>
      <c r="C7" s="325" t="s">
        <v>212</v>
      </c>
      <c r="D7" s="342">
        <v>950</v>
      </c>
      <c r="E7" s="326" t="s">
        <v>213</v>
      </c>
      <c r="F7" s="456"/>
      <c r="G7" s="327" t="s">
        <v>213</v>
      </c>
      <c r="H7" s="328"/>
      <c r="I7" s="329" t="s">
        <v>219</v>
      </c>
      <c r="J7" s="330" t="s">
        <v>212</v>
      </c>
      <c r="K7" s="331">
        <f>E11+D7</f>
        <v>1750</v>
      </c>
      <c r="L7" s="313"/>
    </row>
    <row r="8" spans="2:12" ht="12" customHeight="1" x14ac:dyDescent="0.2">
      <c r="B8" s="227"/>
      <c r="C8" s="332" t="s">
        <v>214</v>
      </c>
      <c r="D8" s="342">
        <v>900</v>
      </c>
      <c r="E8" s="323"/>
      <c r="F8" s="456"/>
      <c r="G8" s="333"/>
      <c r="J8" s="332" t="s">
        <v>214</v>
      </c>
      <c r="K8" s="331">
        <f>E11+D8</f>
        <v>1700</v>
      </c>
      <c r="L8" s="313"/>
    </row>
    <row r="9" spans="2:12" ht="12" customHeight="1" x14ac:dyDescent="0.25">
      <c r="B9" s="227"/>
      <c r="C9" s="453" t="str">
        <f>IF(D7&lt;D8,"↑ Check Frequencies ↑ ", "")</f>
        <v/>
      </c>
      <c r="D9" s="453"/>
      <c r="E9" s="323"/>
      <c r="F9" s="334" t="s">
        <v>215</v>
      </c>
      <c r="G9" s="335"/>
      <c r="H9" s="328"/>
      <c r="I9" s="329" t="s">
        <v>220</v>
      </c>
      <c r="J9" s="330" t="s">
        <v>212</v>
      </c>
      <c r="K9" s="331">
        <f>IF(ABS(E11-D7)&gt;ABS(E11-D8),ABS(E11-D7),ABS(E11-D8))</f>
        <v>150</v>
      </c>
      <c r="L9" s="313"/>
    </row>
    <row r="10" spans="2:12" ht="12" customHeight="1" x14ac:dyDescent="0.2">
      <c r="B10" s="227"/>
      <c r="C10" s="336" t="s">
        <v>216</v>
      </c>
      <c r="D10" s="318"/>
      <c r="E10" s="447" t="s">
        <v>217</v>
      </c>
      <c r="F10" s="448"/>
      <c r="G10" s="449"/>
      <c r="H10" s="318"/>
      <c r="I10" s="318"/>
      <c r="J10" s="332" t="s">
        <v>214</v>
      </c>
      <c r="K10" s="331">
        <f>IF(ABS(E11-D8)&lt;ABS(E11-D7),ABS(E11-D8),ABS(E11-D7))</f>
        <v>100</v>
      </c>
      <c r="L10" s="313"/>
    </row>
    <row r="11" spans="2:12" ht="12" customHeight="1" x14ac:dyDescent="0.2">
      <c r="B11" s="227"/>
      <c r="C11" s="342" t="s">
        <v>37</v>
      </c>
      <c r="D11" s="318"/>
      <c r="E11" s="450">
        <v>800</v>
      </c>
      <c r="F11" s="451"/>
      <c r="G11" s="452"/>
      <c r="H11" s="337"/>
      <c r="I11" s="337"/>
      <c r="J11" s="337"/>
      <c r="K11" s="337"/>
      <c r="L11" s="313"/>
    </row>
    <row r="12" spans="2:12" ht="3.75" customHeight="1" x14ac:dyDescent="0.2">
      <c r="B12" s="227"/>
      <c r="C12" s="323"/>
      <c r="D12" s="323"/>
      <c r="E12" s="323"/>
      <c r="F12" s="323"/>
      <c r="G12" s="323"/>
      <c r="H12" s="323"/>
      <c r="I12" s="323"/>
      <c r="J12" s="323"/>
      <c r="K12" s="323"/>
      <c r="L12" s="313"/>
    </row>
    <row r="13" spans="2:12" ht="12" customHeight="1" x14ac:dyDescent="0.2">
      <c r="B13" s="227"/>
      <c r="C13" s="323"/>
      <c r="D13" s="323"/>
      <c r="E13" s="323"/>
      <c r="F13" s="338" t="str">
        <f>IF(ABS(E11-D8)&gt;ABS(E11-D7),"Frequency Inversion","")</f>
        <v/>
      </c>
      <c r="G13" s="339"/>
      <c r="H13" s="340"/>
      <c r="I13" s="340"/>
      <c r="J13" s="340"/>
      <c r="K13" s="340"/>
      <c r="L13" s="313"/>
    </row>
    <row r="14" spans="2:12" ht="12" customHeight="1" x14ac:dyDescent="0.2">
      <c r="B14" s="227"/>
      <c r="C14" s="323"/>
      <c r="D14" s="323"/>
      <c r="E14" s="323"/>
      <c r="F14" s="341" t="str">
        <f>IF(AND(E11&gt;D8,E11&lt;D7),"Inband LO will cause DC component","")</f>
        <v/>
      </c>
      <c r="G14" s="339"/>
      <c r="H14" s="323"/>
      <c r="I14" s="323"/>
      <c r="J14" s="323"/>
      <c r="K14" s="323"/>
      <c r="L14" s="313"/>
    </row>
    <row r="15" spans="2:12" x14ac:dyDescent="0.2">
      <c r="B15" s="227"/>
      <c r="C15" s="323"/>
      <c r="D15" s="323"/>
      <c r="E15" s="323"/>
      <c r="F15" s="341" t="str">
        <f>IF(AND(E11&gt;D8,E11&lt;D7),"and frequency folding","")</f>
        <v/>
      </c>
      <c r="G15" s="339"/>
      <c r="H15" s="318"/>
      <c r="I15" s="318"/>
      <c r="J15" s="318"/>
      <c r="K15" s="322" t="s">
        <v>198</v>
      </c>
      <c r="L15" s="313"/>
    </row>
    <row r="16" spans="2:12" ht="4.5" customHeight="1" thickBot="1" x14ac:dyDescent="0.25">
      <c r="B16" s="319"/>
      <c r="C16" s="320"/>
      <c r="D16" s="320"/>
      <c r="E16" s="320"/>
      <c r="F16" s="320"/>
      <c r="G16" s="320"/>
      <c r="H16" s="320"/>
      <c r="I16" s="320"/>
      <c r="J16" s="320"/>
      <c r="K16" s="320"/>
      <c r="L16" s="321"/>
    </row>
    <row r="17" spans="3:3" ht="2.25" customHeight="1" thickTop="1" x14ac:dyDescent="0.2"/>
    <row r="18" spans="3:3" hidden="1" x14ac:dyDescent="0.2"/>
    <row r="19" spans="3:3" hidden="1" x14ac:dyDescent="0.2"/>
    <row r="20" spans="3:3" hidden="1" x14ac:dyDescent="0.2"/>
    <row r="21" spans="3:3" hidden="1" x14ac:dyDescent="0.2">
      <c r="C21" s="174" t="s">
        <v>46</v>
      </c>
    </row>
    <row r="22" spans="3:3" hidden="1" x14ac:dyDescent="0.2">
      <c r="C22" s="174" t="s">
        <v>37</v>
      </c>
    </row>
    <row r="23" spans="3:3" hidden="1" x14ac:dyDescent="0.2">
      <c r="C23" s="174" t="s">
        <v>47</v>
      </c>
    </row>
    <row r="24" spans="3:3" hidden="1" x14ac:dyDescent="0.2">
      <c r="C24" s="174" t="s">
        <v>65</v>
      </c>
    </row>
  </sheetData>
  <sheetProtection password="F39F" sheet="1" objects="1" scenarios="1"/>
  <mergeCells count="7">
    <mergeCell ref="E10:G10"/>
    <mergeCell ref="E11:G11"/>
    <mergeCell ref="C9:D9"/>
    <mergeCell ref="C3:K3"/>
    <mergeCell ref="C6:D6"/>
    <mergeCell ref="F6:F8"/>
    <mergeCell ref="H6:K6"/>
  </mergeCells>
  <phoneticPr fontId="2" type="noConversion"/>
  <dataValidations count="1">
    <dataValidation type="list" allowBlank="1" showInputMessage="1" showErrorMessage="1" sqref="C11">
      <formula1>$C$21:$C$24</formula1>
    </dataValidation>
  </dataValidations>
  <hyperlinks>
    <hyperlink ref="C4" r:id="rId1"/>
    <hyperlink ref="K4" r:id="rId2" tooltip="Click here to check for updates to this calculator"/>
    <hyperlink ref="K15" location="Home!A1" tooltip="Click to return to title page with calculator list" display="Home"/>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Home</vt:lpstr>
      <vt:lpstr>Attenuators</vt:lpstr>
      <vt:lpstr>BPF</vt:lpstr>
      <vt:lpstr>Cascade</vt:lpstr>
      <vt:lpstr>Coils</vt:lpstr>
      <vt:lpstr>Coupler</vt:lpstr>
      <vt:lpstr>HPF</vt:lpstr>
      <vt:lpstr>LPF</vt:lpstr>
      <vt:lpstr>Mixer</vt:lpstr>
      <vt:lpstr>NF-NT</vt:lpstr>
      <vt:lpstr>Path Loss 1-Way</vt:lpstr>
      <vt:lpstr>Path Loss 2-Way</vt:lpstr>
      <vt:lpstr>Prop Time</vt:lpstr>
      <vt:lpstr>Radar Blind Speed</vt:lpstr>
      <vt:lpstr>Rectangular Cavity</vt:lpstr>
      <vt:lpstr>VSWR-RL</vt:lpstr>
      <vt:lpstr>Voltage Divider</vt:lpstr>
      <vt:lpstr>Revisions</vt:lpstr>
      <vt:lpstr>'Path Loss 2-Way'!a65560</vt:lpstr>
      <vt:lpstr>'Prop Time'!a65560</vt:lpstr>
      <vt:lpstr>'Radar Blind Speed'!a65560</vt:lpstr>
      <vt:lpstr>a65560</vt:lpstr>
      <vt:lpstr>a66500</vt:lpstr>
      <vt:lpstr>a66560</vt:lpstr>
      <vt:lpstr>FreqUnits</vt:lpstr>
      <vt:lpstr>SizeMult</vt:lpstr>
    </vt:vector>
  </TitlesOfParts>
  <Company>RF Cafe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 Cafe Calculator Workbook</dc:title>
  <dc:creator>Kirt Blattenberger</dc:creator>
  <dc:description>Unlocked version available.</dc:description>
  <cp:lastModifiedBy>Ed</cp:lastModifiedBy>
  <cp:lastPrinted>2006-04-27T18:58:21Z</cp:lastPrinted>
  <dcterms:created xsi:type="dcterms:W3CDTF">2005-09-05T16:11:06Z</dcterms:created>
  <dcterms:modified xsi:type="dcterms:W3CDTF">2019-12-17T23:33:03Z</dcterms:modified>
</cp:coreProperties>
</file>