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worksheets/sheet53.xml" ContentType="application/vnd.openxmlformats-officedocument.spreadsheetml.worksheet+xml"/>
  <Override PartName="/xl/worksheets/sheet71.xml" ContentType="application/vnd.openxmlformats-officedocument.spreadsheetml.worksheet+xml"/>
  <Override PartName="/xl/worksheets/sheet13.xml" ContentType="application/vnd.openxmlformats-officedocument.spreadsheetml.worksheet+xml"/>
  <Override PartName="/xl/worksheets/sheet42.xml" ContentType="application/vnd.openxmlformats-officedocument.spreadsheetml.worksheet+xml"/>
  <Override PartName="/xl/worksheets/sheet60.xml" ContentType="application/vnd.openxmlformats-officedocument.spreadsheetml.worksheet+xml"/>
  <Override PartName="/xl/styles.xml" ContentType="application/vnd.openxmlformats-officedocument.spreadsheetml.styles+xml"/>
  <Override PartName="/xl/drawings/drawing6.xml" ContentType="application/vnd.openxmlformats-officedocument.drawing+xml"/>
  <Override PartName="/xl/worksheets/sheet7.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17.xml" ContentType="application/vnd.openxmlformats-officedocument.drawing+xml"/>
  <Override PartName="/xl/drawings/drawing28.xml" ContentType="application/vnd.openxmlformats-officedocument.drawing+xml"/>
  <Override PartName="/xl/vbaProject.bin" ContentType="application/vnd.ms-office.vbaProject"/>
  <Default Extension="xml" ContentType="application/xml"/>
  <Override PartName="/xl/drawings/drawing2.xml" ContentType="application/vnd.openxmlformats-officedocument.drawing+xml"/>
  <Override PartName="/xl/drawings/drawing35.xml" ContentType="application/vnd.openxmlformats-officedocument.drawing+xml"/>
  <Override PartName="/xl/worksheets/sheet3.xml" ContentType="application/vnd.openxmlformats-officedocument.spreadsheetml.worksheet+xml"/>
  <Override PartName="/xl/drawings/drawing13.xml" ContentType="application/vnd.openxmlformats-officedocument.drawing+xml"/>
  <Override PartName="/xl/drawings/drawing24.xml" ContentType="application/vnd.openxmlformats-officedocument.drawing+xml"/>
  <Override PartName="/xl/worksheets/sheet69.xml" ContentType="application/vnd.openxmlformats-officedocument.spreadsheetml.worksheet+xml"/>
  <Override PartName="/xl/externalLinks/externalLink1.xml" ContentType="application/vnd.openxmlformats-officedocument.spreadsheetml.externalLink+xml"/>
  <Override PartName="/xl/drawings/drawing20.xml" ContentType="application/vnd.openxmlformats-officedocument.drawing+xml"/>
  <Override PartName="/xl/drawings/drawing31.xml" ContentType="application/vnd.openxmlformats-officedocument.drawing+xml"/>
  <Override PartName="/xl/worksheets/sheet29.xml" ContentType="application/vnd.openxmlformats-officedocument.spreadsheetml.worksheet+xml"/>
  <Override PartName="/xl/worksheets/sheet47.xml" ContentType="application/vnd.openxmlformats-officedocument.spreadsheetml.worksheet+xml"/>
  <Override PartName="/xl/worksheets/sheet58.xml" ContentType="application/vnd.openxmlformats-officedocument.spreadsheetml.worksheet+xml"/>
  <Override PartName="/xl/worksheets/sheet76.xml" ContentType="application/vnd.openxmlformats-officedocument.spreadsheetml.worksheet+xml"/>
  <Override PartName="/xl/sharedStrings.xml" ContentType="application/vnd.openxmlformats-officedocument.spreadsheetml.sharedStrings+xml"/>
  <Override PartName="/xl/worksheets/sheet18.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worksheets/sheet45.xml" ContentType="application/vnd.openxmlformats-officedocument.spreadsheetml.worksheet+xml"/>
  <Override PartName="/xl/worksheets/sheet54.xml" ContentType="application/vnd.openxmlformats-officedocument.spreadsheetml.worksheet+xml"/>
  <Override PartName="/xl/worksheets/sheet56.xml" ContentType="application/vnd.openxmlformats-officedocument.spreadsheetml.worksheet+xml"/>
  <Override PartName="/xl/worksheets/sheet65.xml" ContentType="application/vnd.openxmlformats-officedocument.spreadsheetml.worksheet+xml"/>
  <Override PartName="/xl/worksheets/sheet74.xml" ContentType="application/vnd.openxmlformats-officedocument.spreadsheetml.worksheet+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Override PartName="/xl/worksheets/sheet43.xml" ContentType="application/vnd.openxmlformats-officedocument.spreadsheetml.worksheet+xml"/>
  <Override PartName="/xl/worksheets/sheet52.xml" ContentType="application/vnd.openxmlformats-officedocument.spreadsheetml.worksheet+xml"/>
  <Override PartName="/xl/worksheets/sheet63.xml" ContentType="application/vnd.openxmlformats-officedocument.spreadsheetml.worksheet+xml"/>
  <Override PartName="/xl/worksheets/sheet72.xml" ContentType="application/vnd.openxmlformats-officedocument.spreadsheetml.worksheet+xml"/>
  <Override PartName="/xl/worksheets/sheet81.xml" ContentType="application/vnd.openxmlformats-officedocument.spreadsheetml.worksheet+xml"/>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worksheets/sheet41.xml" ContentType="application/vnd.openxmlformats-officedocument.spreadsheetml.worksheet+xml"/>
  <Override PartName="/xl/worksheets/sheet50.xml" ContentType="application/vnd.openxmlformats-officedocument.spreadsheetml.worksheet+xml"/>
  <Override PartName="/xl/worksheets/sheet61.xml" ContentType="application/vnd.openxmlformats-officedocument.spreadsheetml.worksheet+xml"/>
  <Override PartName="/xl/worksheets/sheet70.xml" ContentType="application/vnd.openxmlformats-officedocument.spreadsheetml.worksheet+xml"/>
  <Override PartName="/xl/drawings/drawing7.xml" ContentType="application/vnd.openxmlformats-officedocument.drawing+xml"/>
  <Override PartName="/xl/drawings/drawing29.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Default Extension="jpeg" ContentType="image/jpeg"/>
  <Override PartName="/xl/drawings/drawing5.xml" ContentType="application/vnd.openxmlformats-officedocument.drawing+xml"/>
  <Override PartName="/xl/drawings/drawing18.xml" ContentType="application/vnd.openxmlformats-officedocument.drawing+xml"/>
  <Override PartName="/xl/drawings/drawing27.xml" ContentType="application/vnd.openxmlformats-officedocument.drawing+xml"/>
  <Override PartName="/xl/drawings/drawing36.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xl/drawings/drawing25.xml" ContentType="application/vnd.openxmlformats-officedocument.drawing+xml"/>
  <Override PartName="/xl/drawings/drawing34.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drawings/drawing14.xml" ContentType="application/vnd.openxmlformats-officedocument.drawing+xml"/>
  <Override PartName="/xl/drawings/drawing23.xml" ContentType="application/vnd.openxmlformats-officedocument.drawing+xml"/>
  <Override PartName="/xl/comments3.xml" ContentType="application/vnd.openxmlformats-officedocument.spreadsheetml.comments+xml"/>
  <Override PartName="/xl/drawings/drawing32.xml" ContentType="application/vnd.openxmlformats-officedocument.drawing+xml"/>
  <Override PartName="/xl/worksheets/sheet59.xml" ContentType="application/vnd.openxmlformats-officedocument.spreadsheetml.worksheet+xml"/>
  <Override PartName="/xl/worksheets/sheet68.xml" ContentType="application/vnd.openxmlformats-officedocument.spreadsheetml.worksheet+xml"/>
  <Override PartName="/xl/worksheets/sheet77.xml" ContentType="application/vnd.openxmlformats-officedocument.spreadsheetml.worksheet+xml"/>
  <Override PartName="/xl/worksheets/sheet79.xml" ContentType="application/vnd.openxmlformats-officedocument.spreadsheetml.worksheet+xml"/>
  <Default Extension="vml" ContentType="application/vnd.openxmlformats-officedocument.vmlDrawing"/>
  <Override PartName="/xl/drawings/drawing12.xml" ContentType="application/vnd.openxmlformats-officedocument.drawing+xml"/>
  <Override PartName="/xl/comments1.xml" ContentType="application/vnd.openxmlformats-officedocument.spreadsheetml.comments+xml"/>
  <Override PartName="/xl/drawings/drawing21.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worksheets/sheet39.xml" ContentType="application/vnd.openxmlformats-officedocument.spreadsheetml.worksheet+xml"/>
  <Override PartName="/xl/worksheets/sheet48.xml" ContentType="application/vnd.openxmlformats-officedocument.spreadsheetml.worksheet+xml"/>
  <Override PartName="/xl/worksheets/sheet57.xml" ContentType="application/vnd.openxmlformats-officedocument.spreadsheetml.worksheet+xml"/>
  <Override PartName="/xl/worksheets/sheet66.xml" ContentType="application/vnd.openxmlformats-officedocument.spreadsheetml.worksheet+xml"/>
  <Override PartName="/xl/worksheets/sheet75.xml" ContentType="application/vnd.openxmlformats-officedocument.spreadsheetml.worksheet+xml"/>
  <Override PartName="/xl/drawings/drawing10.xml" ContentType="application/vnd.openxmlformats-officedocument.drawing+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worksheets/sheet46.xml" ContentType="application/vnd.openxmlformats-officedocument.spreadsheetml.worksheet+xml"/>
  <Override PartName="/xl/worksheets/sheet55.xml" ContentType="application/vnd.openxmlformats-officedocument.spreadsheetml.worksheet+xml"/>
  <Override PartName="/xl/worksheets/sheet64.xml" ContentType="application/vnd.openxmlformats-officedocument.spreadsheetml.worksheet+xml"/>
  <Override PartName="/xl/worksheets/sheet73.xml" ContentType="application/vnd.openxmlformats-officedocument.spreadsheetml.worksheet+xml"/>
  <Override PartName="/docProps/core.xml" ContentType="application/vnd.openxmlformats-package.core-properties+xml"/>
  <Override PartName="/xl/worksheets/sheet15.xml" ContentType="application/vnd.openxmlformats-officedocument.spreadsheetml.worksheet+xml"/>
  <Override PartName="/xl/worksheets/sheet44.xml" ContentType="application/vnd.openxmlformats-officedocument.spreadsheetml.worksheet+xml"/>
  <Override PartName="/xl/worksheets/sheet62.xml" ContentType="application/vnd.openxmlformats-officedocument.spreadsheetml.worksheet+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worksheets/sheet51.xml" ContentType="application/vnd.openxmlformats-officedocument.spreadsheetml.worksheet+xml"/>
  <Override PartName="/xl/worksheets/sheet80.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drawings/drawing19.xml" ContentType="application/vnd.openxmlformats-officedocument.drawing+xml"/>
  <Override PartName="/xl/worksheets/sheet11.xml" ContentType="application/vnd.openxmlformats-officedocument.spreadsheetml.worksheet+xml"/>
  <Override PartName="/xl/worksheets/sheet40.xml" ContentType="application/vnd.openxmlformats-officedocument.spreadsheetml.worksheet+xml"/>
  <Override PartName="/xl/drawings/drawing4.xml" ContentType="application/vnd.openxmlformats-officedocument.drawing+xml"/>
  <Override PartName="/xl/drawings/drawing37.xml" ContentType="application/vnd.openxmlformats-officedocument.drawing+xml"/>
  <Default Extension="rels" ContentType="application/vnd.openxmlformats-package.relationships+xml"/>
  <Override PartName="/xl/worksheets/sheet5.xml" ContentType="application/vnd.openxmlformats-officedocument.spreadsheetml.worksheet+xml"/>
  <Override PartName="/xl/drawings/drawing15.xml" ContentType="application/vnd.openxmlformats-officedocument.drawing+xml"/>
  <Override PartName="/xl/drawings/drawing26.xml" ContentType="application/vnd.openxmlformats-officedocument.drawing+xml"/>
  <Override PartName="/xl/drawings/drawing22.xml" ContentType="application/vnd.openxmlformats-officedocument.drawing+xml"/>
  <Override PartName="/xl/comments2.xml" ContentType="application/vnd.openxmlformats-officedocument.spreadsheetml.comments+xml"/>
  <Override PartName="/xl/drawings/drawing33.xml" ContentType="application/vnd.openxmlformats-officedocument.drawing+xml"/>
  <Override PartName="/xl/worksheets/sheet1.xml" ContentType="application/vnd.openxmlformats-officedocument.spreadsheetml.worksheet+xml"/>
  <Override PartName="/xl/worksheets/sheet49.xml" ContentType="application/vnd.openxmlformats-officedocument.spreadsheetml.worksheet+xml"/>
  <Override PartName="/xl/worksheets/sheet78.xml" ContentType="application/vnd.openxmlformats-officedocument.spreadsheetml.worksheet+xml"/>
  <Override PartName="/xl/drawings/drawing11.xml" ContentType="application/vnd.openxmlformats-officedocument.drawing+xml"/>
  <Override PartName="/xl/worksheets/sheet38.xml" ContentType="application/vnd.openxmlformats-officedocument.spreadsheetml.worksheet+xml"/>
  <Override PartName="/xl/worksheets/sheet67.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showSheetTabs="0" xWindow="15" yWindow="15" windowWidth="10950" windowHeight="7605" tabRatio="931"/>
  </bookViews>
  <sheets>
    <sheet name="Menu Utama" sheetId="1" r:id="rId1"/>
    <sheet name="Admin" sheetId="3" r:id="rId2"/>
    <sheet name="Petunjuk" sheetId="40" r:id="rId3"/>
    <sheet name="DL" sheetId="4" r:id="rId4"/>
    <sheet name="Biodata" sheetId="8" r:id="rId5"/>
    <sheet name="DK" sheetId="5" r:id="rId6"/>
    <sheet name="Menu1" sheetId="26" r:id="rId7"/>
    <sheet name="Leger1" sheetId="6" r:id="rId8"/>
    <sheet name="IKD1" sheetId="17" r:id="rId9"/>
    <sheet name="SS1" sheetId="15" r:id="rId10"/>
    <sheet name="Eks1" sheetId="12" r:id="rId11"/>
    <sheet name="P1" sheetId="13" r:id="rId12"/>
    <sheet name="Rangking1" sheetId="10" r:id="rId13"/>
    <sheet name="Validasi" sheetId="100" r:id="rId14"/>
    <sheet name="Leger_Predikat1" sheetId="20" r:id="rId15"/>
    <sheet name="Cetak Leger Nilai1" sheetId="103" r:id="rId16"/>
    <sheet name="Deskripsi1" sheetId="19" r:id="rId17"/>
    <sheet name="K Pel" sheetId="91" r:id="rId18"/>
    <sheet name="Konversi1" sheetId="7" r:id="rId19"/>
    <sheet name="Cover dll" sheetId="27" r:id="rId20"/>
    <sheet name="Raport1" sheetId="24" r:id="rId21"/>
    <sheet name="Menu2" sheetId="30" r:id="rId22"/>
    <sheet name="Leger2" sheetId="29" r:id="rId23"/>
    <sheet name="IKD2" sheetId="31" r:id="rId24"/>
    <sheet name="SS2" sheetId="32" r:id="rId25"/>
    <sheet name="Eks2" sheetId="36" r:id="rId26"/>
    <sheet name="P2" sheetId="37" r:id="rId27"/>
    <sheet name="Cetak Leger Nilai2" sheetId="104" r:id="rId28"/>
    <sheet name="Rangking2" sheetId="39" r:id="rId29"/>
    <sheet name="Leger_Predikat2" sheetId="101" r:id="rId30"/>
    <sheet name="Deskripsi2" sheetId="34" r:id="rId31"/>
    <sheet name="Konversi2" sheetId="35" r:id="rId32"/>
    <sheet name="Raport2" sheetId="38" r:id="rId33"/>
    <sheet name="DATA" sheetId="41" state="hidden" r:id="rId34"/>
    <sheet name="DATA SEKOLAH" sheetId="42" state="hidden" r:id="rId35"/>
    <sheet name="SK" sheetId="43" state="hidden" r:id="rId36"/>
    <sheet name="SEKOLAH" sheetId="44" state="hidden" r:id="rId37"/>
    <sheet name="SOURCE" sheetId="45" state="hidden" r:id="rId38"/>
    <sheet name="BIO" sheetId="46" state="hidden" r:id="rId39"/>
    <sheet name="TES" sheetId="47" state="hidden" r:id="rId40"/>
    <sheet name="Sheet1" sheetId="48" state="hidden" r:id="rId41"/>
    <sheet name="Sheet2" sheetId="49" state="hidden" r:id="rId42"/>
    <sheet name="ROW" sheetId="50" state="hidden" r:id="rId43"/>
    <sheet name="COL" sheetId="51" state="hidden" r:id="rId44"/>
    <sheet name="TAB" sheetId="52" state="hidden" r:id="rId45"/>
    <sheet name="Sheet6" sheetId="53" state="hidden" r:id="rId46"/>
    <sheet name="Sheet7" sheetId="54" state="hidden" r:id="rId47"/>
    <sheet name="Sheet8" sheetId="55" state="hidden" r:id="rId48"/>
    <sheet name="Sheet9" sheetId="56" state="hidden" r:id="rId49"/>
    <sheet name="Sheet10" sheetId="57" state="hidden" r:id="rId50"/>
    <sheet name="Sheet11" sheetId="58" state="hidden" r:id="rId51"/>
    <sheet name="Sheet12" sheetId="59" state="hidden" r:id="rId52"/>
    <sheet name="Sheet13" sheetId="60" state="hidden" r:id="rId53"/>
    <sheet name="Sheet14" sheetId="61" state="hidden" r:id="rId54"/>
    <sheet name="Sheet15" sheetId="62" state="hidden" r:id="rId55"/>
    <sheet name="Sheet16" sheetId="63" state="hidden" r:id="rId56"/>
    <sheet name="Sheet17" sheetId="64" state="hidden" r:id="rId57"/>
    <sheet name="Sheet18" sheetId="65" state="hidden" r:id="rId58"/>
    <sheet name="Sheet19" sheetId="66" state="hidden" r:id="rId59"/>
    <sheet name="Sheet20" sheetId="67" state="hidden" r:id="rId60"/>
    <sheet name="Sheet21" sheetId="68" state="hidden" r:id="rId61"/>
    <sheet name="Sheet22" sheetId="69" state="hidden" r:id="rId62"/>
    <sheet name="Sheet23" sheetId="70" state="hidden" r:id="rId63"/>
    <sheet name="Sheet24" sheetId="71" state="hidden" r:id="rId64"/>
    <sheet name="Sheet25" sheetId="72" state="hidden" r:id="rId65"/>
    <sheet name="Sheet26" sheetId="73" state="hidden" r:id="rId66"/>
    <sheet name="Sheet27" sheetId="74" state="hidden" r:id="rId67"/>
    <sheet name="Sheet29" sheetId="75" state="hidden" r:id="rId68"/>
    <sheet name="Sheet30" sheetId="76" state="hidden" r:id="rId69"/>
    <sheet name="Sheet31" sheetId="86" state="hidden" r:id="rId70"/>
    <sheet name="Sheet3" sheetId="87" state="hidden" r:id="rId71"/>
    <sheet name="Sheet28" sheetId="23" state="hidden" r:id="rId72"/>
    <sheet name="T Bantu" sheetId="90" r:id="rId73"/>
    <sheet name="Menu Buku Induk" sheetId="92" r:id="rId74"/>
    <sheet name="Bio_Bk_Induk" sheetId="94" r:id="rId75"/>
    <sheet name="Id Siswa" sheetId="95" r:id="rId76"/>
    <sheet name="Penilaian" sheetId="96" r:id="rId77"/>
    <sheet name="Tanda Terima1" sheetId="98" r:id="rId78"/>
    <sheet name="Tanda Terima2" sheetId="99" r:id="rId79"/>
    <sheet name="Input Leger Deskripsi1" sheetId="105" r:id="rId80"/>
    <sheet name="Input Leger Deskripsi2" sheetId="106" r:id="rId81"/>
  </sheets>
  <externalReferences>
    <externalReference r:id="rId82"/>
  </externalReferences>
  <definedNames>
    <definedName name="_2">"_2"</definedName>
    <definedName name="_alamat_sekolah">Sheet28!$AH$12</definedName>
    <definedName name="_anak_ke" localSheetId="31">Konversi2!$P$45:$P$64</definedName>
    <definedName name="_anak_ke">Konversi1!$P$45:$P$64</definedName>
    <definedName name="_bio_bk_induk">Bio_Bk_Induk!$D$8:$CB$47</definedName>
    <definedName name="_Biodata_Lengkap">Biodata!$B$2:$AD$45</definedName>
    <definedName name="_bulan" localSheetId="31">Konversi2!$H$45:$H$57</definedName>
    <definedName name="_bulan">Konversi1!$H$45:$H$57</definedName>
    <definedName name="_Daftar_Ekskul">DL!$I$6:$I$22</definedName>
    <definedName name="_des_smt1">'Input Leger Deskripsi1'!$E$4:$AL$48</definedName>
    <definedName name="_des_smt2">'Input Leger Deskripsi2'!$E$4:$AL$48</definedName>
    <definedName name="_DK" localSheetId="30">Deskripsi2!$B$28:$G$44</definedName>
    <definedName name="_DK">Deskripsi1!$B$28:$G$44</definedName>
    <definedName name="_DK2">Deskripsi2!$B$28:$G$44</definedName>
    <definedName name="_DP" localSheetId="30">Deskripsi2!$B$7:$G$23</definedName>
    <definedName name="_DP">Deskripsi1!$B$7:$G$23</definedName>
    <definedName name="_DP2">Deskripsi2!$B$7:$G$23</definedName>
    <definedName name="_eks" localSheetId="25">'Eks2'!$B$4:$J$46</definedName>
    <definedName name="_eks">'Eks1'!$B$4:$J$46</definedName>
    <definedName name="_eks2">'Eks2'!$B$4:$J$46</definedName>
    <definedName name="_ektra">DL!$I$6:$I$20</definedName>
    <definedName name="_email">Sheet28!$AH$21</definedName>
    <definedName name="_in_kepsek">DK!$D$15</definedName>
    <definedName name="_in_nip_kepsek">DK!$D$16</definedName>
    <definedName name="_INPUT_FOTO" localSheetId="74">'K Pel'!#REF!</definedName>
    <definedName name="_INPUT_FOTO" localSheetId="15">'K Pel'!#REF!</definedName>
    <definedName name="_INPUT_FOTO" localSheetId="27">'K Pel'!#REF!</definedName>
    <definedName name="_INPUT_FOTO" localSheetId="75">'K Pel'!#REF!</definedName>
    <definedName name="_INPUT_FOTO" localSheetId="29">'K Pel'!#REF!</definedName>
    <definedName name="_INPUT_FOTO" localSheetId="73">'K Pel'!#REF!</definedName>
    <definedName name="_INPUT_FOTO" localSheetId="76">'K Pel'!#REF!</definedName>
    <definedName name="_INPUT_FOTO" localSheetId="77">'K Pel'!#REF!</definedName>
    <definedName name="_INPUT_FOTO" localSheetId="78">'K Pel'!#REF!</definedName>
    <definedName name="_INPUT_FOTO">'K Pel'!#REF!</definedName>
    <definedName name="_JUMLAH_SISWA" localSheetId="15">'Cetak Leger Nilai1'!$E$47</definedName>
    <definedName name="_JUMLAH_SISWA" localSheetId="27">'Cetak Leger Nilai2'!$E$47</definedName>
    <definedName name="_JUMLAH_SISWA">Leger1!$E$47</definedName>
    <definedName name="_kabupaten">Sheet28!$AH$15</definedName>
    <definedName name="_kartu_pelajar">'T Bantu'!$B$2:$G$12</definedName>
    <definedName name="_kecamatan">Sheet28!$AH$14</definedName>
    <definedName name="_kelas">DK!$D$5</definedName>
    <definedName name="_kelurahan">Sheet28!$AH$13</definedName>
    <definedName name="_kepsek">Sheet28!$AH$19</definedName>
    <definedName name="_ket_lulus">Konversi2!$U$59</definedName>
    <definedName name="_ket_naik">Konversi2!$U$58</definedName>
    <definedName name="_KKM" localSheetId="15">'Cetak Leger Nilai1'!$C$4</definedName>
    <definedName name="_KKM" localSheetId="27">'Cetak Leger Nilai2'!$C$4</definedName>
    <definedName name="_KKM" localSheetId="22">Leger2!$C$4</definedName>
    <definedName name="_KKM">Leger1!$C$4</definedName>
    <definedName name="_KKM2">Leger2!$C$4</definedName>
    <definedName name="_kode_pos">Sheet28!$AH$18</definedName>
    <definedName name="_Leger1" localSheetId="15">'Cetak Leger Nilai1'!$E$2:$BD$46</definedName>
    <definedName name="_Leger1" localSheetId="27">'Cetak Leger Nilai2'!$E$2:$BD$46</definedName>
    <definedName name="_Leger1" localSheetId="22">Leger2!$E$2:$BL$46</definedName>
    <definedName name="_Leger1">Leger1!$E$2:$BK$46</definedName>
    <definedName name="_Leger2">Leger2!$E$2:$BL$46</definedName>
    <definedName name="_MP1" localSheetId="12">Rangking1!#REF!</definedName>
    <definedName name="_MP1" localSheetId="28">Rangking2!#REF!</definedName>
    <definedName name="_MP1" localSheetId="77">'Tanda Terima1'!#REF!</definedName>
    <definedName name="_MP1" localSheetId="78">'Tanda Terima2'!#REF!</definedName>
    <definedName name="_MP1">DL!$Q$6</definedName>
    <definedName name="_MP10" localSheetId="12">Rangking1!#REF!</definedName>
    <definedName name="_MP10" localSheetId="28">Rangking2!#REF!</definedName>
    <definedName name="_MP10" localSheetId="77">'Tanda Terima1'!#REF!</definedName>
    <definedName name="_MP10" localSheetId="78">'Tanda Terima2'!#REF!</definedName>
    <definedName name="_MP10">DL!$Q$15</definedName>
    <definedName name="_MP11" localSheetId="12">Rangking1!#REF!</definedName>
    <definedName name="_MP11" localSheetId="28">Rangking2!#REF!</definedName>
    <definedName name="_MP11" localSheetId="77">'Tanda Terima1'!#REF!</definedName>
    <definedName name="_MP11" localSheetId="78">'Tanda Terima2'!#REF!</definedName>
    <definedName name="_MP11">DL!$Q$16</definedName>
    <definedName name="_MP12" localSheetId="12">Rangking1!#REF!</definedName>
    <definedName name="_MP12" localSheetId="28">Rangking2!#REF!</definedName>
    <definedName name="_MP12" localSheetId="77">'Tanda Terima1'!#REF!</definedName>
    <definedName name="_MP12" localSheetId="78">'Tanda Terima2'!#REF!</definedName>
    <definedName name="_MP12">DL!$Q$17</definedName>
    <definedName name="_MP13" localSheetId="12">Rangking1!#REF!</definedName>
    <definedName name="_MP13" localSheetId="28">Rangking2!#REF!</definedName>
    <definedName name="_MP13" localSheetId="77">'Tanda Terima1'!#REF!</definedName>
    <definedName name="_MP13" localSheetId="78">'Tanda Terima2'!#REF!</definedName>
    <definedName name="_MP13">DL!$Q$18</definedName>
    <definedName name="_MP14" localSheetId="12">Rangking1!#REF!</definedName>
    <definedName name="_MP14" localSheetId="28">Rangking2!#REF!</definedName>
    <definedName name="_MP14" localSheetId="77">'Tanda Terima1'!#REF!</definedName>
    <definedName name="_MP14" localSheetId="78">'Tanda Terima2'!#REF!</definedName>
    <definedName name="_MP14">DL!$Q$19</definedName>
    <definedName name="_MP15" localSheetId="12">Rangking1!#REF!</definedName>
    <definedName name="_MP15" localSheetId="28">Rangking2!#REF!</definedName>
    <definedName name="_MP15" localSheetId="77">'Tanda Terima1'!#REF!</definedName>
    <definedName name="_MP15" localSheetId="78">'Tanda Terima2'!#REF!</definedName>
    <definedName name="_MP15">DL!$Q$20</definedName>
    <definedName name="_MP2" localSheetId="12">Rangking1!#REF!</definedName>
    <definedName name="_MP2" localSheetId="28">Rangking2!#REF!</definedName>
    <definedName name="_MP2" localSheetId="77">'Tanda Terima1'!#REF!</definedName>
    <definedName name="_MP2" localSheetId="78">'Tanda Terima2'!#REF!</definedName>
    <definedName name="_MP2">DL!$Q$7</definedName>
    <definedName name="_MP3" localSheetId="12">Rangking1!#REF!</definedName>
    <definedName name="_MP3" localSheetId="28">Rangking2!#REF!</definedName>
    <definedName name="_MP3" localSheetId="77">'Tanda Terima1'!#REF!</definedName>
    <definedName name="_MP3" localSheetId="78">'Tanda Terima2'!#REF!</definedName>
    <definedName name="_MP3">DL!$Q$8</definedName>
    <definedName name="_MP4" localSheetId="12">Rangking1!#REF!</definedName>
    <definedName name="_MP4" localSheetId="28">Rangking2!#REF!</definedName>
    <definedName name="_MP4" localSheetId="77">'Tanda Terima1'!#REF!</definedName>
    <definedName name="_MP4" localSheetId="78">'Tanda Terima2'!#REF!</definedName>
    <definedName name="_MP4">DL!$Q$9</definedName>
    <definedName name="_MP5" localSheetId="12">Rangking1!#REF!</definedName>
    <definedName name="_MP5" localSheetId="28">Rangking2!#REF!</definedName>
    <definedName name="_MP5" localSheetId="77">'Tanda Terima1'!#REF!</definedName>
    <definedName name="_MP5" localSheetId="78">'Tanda Terima2'!#REF!</definedName>
    <definedName name="_MP5">DL!$Q$10</definedName>
    <definedName name="_MP6" localSheetId="12">Rangking1!#REF!</definedName>
    <definedName name="_MP6" localSheetId="28">Rangking2!#REF!</definedName>
    <definedName name="_MP6" localSheetId="77">'Tanda Terima1'!#REF!</definedName>
    <definedName name="_MP6" localSheetId="78">'Tanda Terima2'!#REF!</definedName>
    <definedName name="_MP6">DL!$Q$11</definedName>
    <definedName name="_MP7" localSheetId="12">Rangking1!#REF!</definedName>
    <definedName name="_MP7" localSheetId="28">Rangking2!#REF!</definedName>
    <definedName name="_MP7" localSheetId="77">'Tanda Terima1'!#REF!</definedName>
    <definedName name="_MP7" localSheetId="78">'Tanda Terima2'!#REF!</definedName>
    <definedName name="_MP7">DL!$Q$12</definedName>
    <definedName name="_MP8" localSheetId="12">Rangking1!#REF!</definedName>
    <definedName name="_MP8" localSheetId="28">Rangking2!#REF!</definedName>
    <definedName name="_MP8" localSheetId="77">'Tanda Terima1'!#REF!</definedName>
    <definedName name="_MP8" localSheetId="78">'Tanda Terima2'!#REF!</definedName>
    <definedName name="_MP8">DL!$Q$13</definedName>
    <definedName name="_MP9" localSheetId="12">Rangking1!#REF!</definedName>
    <definedName name="_MP9" localSheetId="28">Rangking2!#REF!</definedName>
    <definedName name="_MP9" localSheetId="77">'Tanda Terima1'!#REF!</definedName>
    <definedName name="_MP9" localSheetId="78">'Tanda Terima2'!#REF!</definedName>
    <definedName name="_MP9">DL!$Q$14</definedName>
    <definedName name="_naik_ke_kelas">Konversi2!$U$55</definedName>
    <definedName name="_naik_lulus">Konversi2!$X$50:$X$51</definedName>
    <definedName name="_nama_sekolah">Sheet28!$AH$9</definedName>
    <definedName name="_nilai">DL!$K$6:$K$66</definedName>
    <definedName name="_nip_kepsek">Sheet28!$AH$20</definedName>
    <definedName name="_NIS_NSS">Sheet28!$AH$11</definedName>
    <definedName name="_nomor">'T Bantu'!$L$3:$L$42</definedName>
    <definedName name="_NSS_NPSN">Sheet28!$AH$10</definedName>
    <definedName name="_Pend_Islam" localSheetId="74">DL!#REF!</definedName>
    <definedName name="_Pend_Islam" localSheetId="4">DL!#REF!</definedName>
    <definedName name="_Pend_Islam" localSheetId="15">DL!#REF!</definedName>
    <definedName name="_Pend_Islam" localSheetId="27">DL!#REF!</definedName>
    <definedName name="_Pend_Islam" localSheetId="19">DL!#REF!</definedName>
    <definedName name="_Pend_Islam" localSheetId="30">DL!#REF!</definedName>
    <definedName name="_Pend_Islam" localSheetId="10">DL!#REF!</definedName>
    <definedName name="_Pend_Islam" localSheetId="25">DL!#REF!</definedName>
    <definedName name="_Pend_Islam" localSheetId="75">DL!#REF!</definedName>
    <definedName name="_Pend_Islam" localSheetId="8">DL!#REF!</definedName>
    <definedName name="_Pend_Islam" localSheetId="23">DL!#REF!</definedName>
    <definedName name="_Pend_Islam" localSheetId="31">DL!#REF!</definedName>
    <definedName name="_Pend_Islam" localSheetId="14">DL!#REF!</definedName>
    <definedName name="_Pend_Islam" localSheetId="29">DL!#REF!</definedName>
    <definedName name="_Pend_Islam" localSheetId="22">DL!#REF!</definedName>
    <definedName name="_Pend_Islam" localSheetId="73">DL!#REF!</definedName>
    <definedName name="_Pend_Islam" localSheetId="6">DL!#REF!</definedName>
    <definedName name="_Pend_Islam" localSheetId="21">DL!#REF!</definedName>
    <definedName name="_Pend_Islam" localSheetId="11">DL!#REF!</definedName>
    <definedName name="_Pend_Islam" localSheetId="26">DL!#REF!</definedName>
    <definedName name="_Pend_Islam" localSheetId="76">DL!#REF!</definedName>
    <definedName name="_Pend_Islam" localSheetId="2">DL!#REF!</definedName>
    <definedName name="_Pend_Islam" localSheetId="12">Rangking1!#REF!</definedName>
    <definedName name="_Pend_Islam" localSheetId="28">Rangking2!#REF!</definedName>
    <definedName name="_Pend_Islam" localSheetId="20">DL!#REF!</definedName>
    <definedName name="_Pend_Islam" localSheetId="32">DL!#REF!</definedName>
    <definedName name="_Pend_Islam" localSheetId="71">DL!#REF!</definedName>
    <definedName name="_Pend_Islam" localSheetId="9">DL!#REF!</definedName>
    <definedName name="_Pend_Islam" localSheetId="24">DL!#REF!</definedName>
    <definedName name="_Pend_Islam" localSheetId="77">'Tanda Terima1'!#REF!</definedName>
    <definedName name="_Pend_Islam" localSheetId="78">'Tanda Terima2'!#REF!</definedName>
    <definedName name="_Pend_Islam">DL!#REF!</definedName>
    <definedName name="_prestasi" localSheetId="74">Bio_Bk_Induk!#REF!</definedName>
    <definedName name="_prestasi" localSheetId="73">'Menu Buku Induk'!#REF!</definedName>
    <definedName name="_prestasi" localSheetId="26">'P2'!$B$4:$G$46</definedName>
    <definedName name="_prestasi">'P1'!$B$4:$G$46</definedName>
    <definedName name="_prestasi2" localSheetId="74">Bio_Bk_Induk!#REF!</definedName>
    <definedName name="_prestasi2" localSheetId="73">'Menu Buku Induk'!#REF!</definedName>
    <definedName name="_prestasi2">'P2'!$B$4:$G$46</definedName>
    <definedName name="_provinsi">Sheet28!$AH$16</definedName>
    <definedName name="_sekolah_label">Sheet28!$AK$9</definedName>
    <definedName name="_Sikap" localSheetId="24">'SS2'!$B$4:$F$46</definedName>
    <definedName name="_Sikap">'SS1'!$B$4:$F$46</definedName>
    <definedName name="_sikap_predikat" localSheetId="24">'SS2'!$H$4:$J$19</definedName>
    <definedName name="_sikap_predikat">'SS1'!$H$4:$J$19</definedName>
    <definedName name="_sikap_predikat1">'SS1'!$H$4:$J$19</definedName>
    <definedName name="_sikap_predikat2">'SS2'!$H$4:$J$19</definedName>
    <definedName name="_Sikap2">'SS2'!$B$4:$F$46</definedName>
    <definedName name="_smt_ganjil">DK!$D$9</definedName>
    <definedName name="_smt_genap">DK!$G$9</definedName>
    <definedName name="_tahun" localSheetId="31">Konversi2!$I$45:$I$81</definedName>
    <definedName name="_tahun">Konversi1!$I$45:$I$81</definedName>
    <definedName name="_tahun_pelajaran">DK!$D$8</definedName>
    <definedName name="_tanggal" localSheetId="31">Konversi2!$G$45:$G$76</definedName>
    <definedName name="_tanggal">Konversi1!$G$45:$G$76</definedName>
    <definedName name="_telpon">Sheet28!$AH$17</definedName>
    <definedName name="_tempat_penyerahan">DK!$D$11</definedName>
    <definedName name="_tgl_rapor_ganjil">DK!$L$10</definedName>
    <definedName name="_tgl_rapor_genap">DK!$L$12</definedName>
    <definedName name="_website">Sheet28!$AH$22</definedName>
    <definedName name="Biodata_Siswa" localSheetId="74">Bio_Bk_Induk!#REF!</definedName>
    <definedName name="Biodata_Siswa" localSheetId="19">'Cover dll'!$B$5:$F$40</definedName>
    <definedName name="Biodata_Siswa" localSheetId="10">'Eks1'!$B$6:$I$46</definedName>
    <definedName name="Biodata_Siswa" localSheetId="25">'Eks2'!$B$6:$I$46</definedName>
    <definedName name="Biodata_Siswa" localSheetId="75">'Id Siswa'!$B$5:$F$40</definedName>
    <definedName name="Biodata_Siswa" localSheetId="8">'IKD1'!#REF!</definedName>
    <definedName name="Biodata_Siswa" localSheetId="23">'IKD2'!#REF!</definedName>
    <definedName name="Biodata_Siswa" localSheetId="73">'Menu Buku Induk'!#REF!</definedName>
    <definedName name="Biodata_Siswa" localSheetId="11">'P1'!$B$6:$G$46</definedName>
    <definedName name="Biodata_Siswa" localSheetId="26">'P2'!$B$6:$G$46</definedName>
    <definedName name="Biodata_Siswa" localSheetId="76">Penilaian!$B$5:$F$38</definedName>
    <definedName name="Biodata_Siswa" localSheetId="2">Petunjuk!$B$5:$F$35</definedName>
    <definedName name="Biodata_Siswa" localSheetId="20">Raport1!$B$5:$F$38</definedName>
    <definedName name="Biodata_Siswa" localSheetId="32">Raport2!$B$5:$F$38</definedName>
    <definedName name="Biodata_Siswa" localSheetId="71">Sheet28!$AE$7:$AH$24</definedName>
    <definedName name="Biodata_Siswa" localSheetId="9">'SS1'!$B$6:$F$46</definedName>
    <definedName name="Biodata_Siswa" localSheetId="24">'SS2'!$B$6:$F$46</definedName>
    <definedName name="Biodata_Siswa">Biodata!$B$4:$AD$45</definedName>
    <definedName name="Bulan" localSheetId="31">Konversi2!$H$46:$H$57</definedName>
    <definedName name="Bulan">Konversi1!$H$46:$H$57</definedName>
    <definedName name="dua" localSheetId="74">INDEX(#REF!,MATCH(#REF!,#REF!,0))</definedName>
    <definedName name="dua" localSheetId="15">INDEX(#REF!,MATCH(#REF!,#REF!,0))</definedName>
    <definedName name="dua" localSheetId="27">INDEX(#REF!,MATCH(#REF!,#REF!,0))</definedName>
    <definedName name="dua" localSheetId="75">INDEX(#REF!,MATCH(#REF!,#REF!,0))</definedName>
    <definedName name="dua" localSheetId="29">INDEX(#REF!,MATCH(#REF!,#REF!,0))</definedName>
    <definedName name="dua" localSheetId="73">INDEX(#REF!,MATCH(#REF!,#REF!,0))</definedName>
    <definedName name="dua" localSheetId="76">INDEX(#REF!,MATCH(#REF!,#REF!,0))</definedName>
    <definedName name="dua" localSheetId="77">INDEX(#REF!,MATCH(#REF!,#REF!,0))</definedName>
    <definedName name="dua" localSheetId="78">INDEX(#REF!,MATCH(#REF!,#REF!,0))</definedName>
    <definedName name="dua">INDEX(#REF!,MATCH(#REF!,#REF!,0))</definedName>
    <definedName name="empat" localSheetId="74">INDEX(#REF!,MATCH(#REF!,#REF!,0))</definedName>
    <definedName name="empat" localSheetId="15">INDEX(#REF!,MATCH(#REF!,#REF!,0))</definedName>
    <definedName name="empat" localSheetId="27">INDEX(#REF!,MATCH(#REF!,#REF!,0))</definedName>
    <definedName name="empat" localSheetId="75">INDEX(#REF!,MATCH(#REF!,#REF!,0))</definedName>
    <definedName name="empat" localSheetId="29">INDEX(#REF!,MATCH(#REF!,#REF!,0))</definedName>
    <definedName name="empat" localSheetId="73">INDEX(#REF!,MATCH(#REF!,#REF!,0))</definedName>
    <definedName name="empat" localSheetId="76">INDEX(#REF!,MATCH(#REF!,#REF!,0))</definedName>
    <definedName name="empat" localSheetId="77">INDEX(#REF!,MATCH(#REF!,#REF!,0))</definedName>
    <definedName name="empat" localSheetId="78">INDEX(#REF!,MATCH(#REF!,#REF!,0))</definedName>
    <definedName name="empat">INDEX(#REF!,MATCH(#REF!,#REF!,0))</definedName>
    <definedName name="first" localSheetId="74">INDEX('K Pel'!#REF!,MATCH('K Pel'!$B$4,'[1] Master Rapor VII A.xlsm'!_nomor,0))</definedName>
    <definedName name="first" localSheetId="15">INDEX('K Pel'!#REF!,MATCH('K Pel'!$B$4,[0]!_nomor,0))</definedName>
    <definedName name="first" localSheetId="27">INDEX('K Pel'!#REF!,MATCH('K Pel'!$B$4,[0]!_nomor,0))</definedName>
    <definedName name="first" localSheetId="75">INDEX('K Pel'!#REF!,MATCH('K Pel'!$B$4,'[1] Master Rapor VII A.xlsm'!_nomor,0))</definedName>
    <definedName name="first" localSheetId="29">INDEX('K Pel'!#REF!,MATCH('K Pel'!$B$4,[0]!_nomor,0))</definedName>
    <definedName name="first" localSheetId="73">INDEX('K Pel'!#REF!,MATCH('K Pel'!$B$4,'[1] Master Rapor VII A.xlsm'!_nomor,0))</definedName>
    <definedName name="first" localSheetId="76">INDEX('K Pel'!#REF!,MATCH('K Pel'!$B$4,'[1] Master Rapor VII A.xlsm'!_nomor,0))</definedName>
    <definedName name="first" localSheetId="77">INDEX('K Pel'!#REF!,MATCH('K Pel'!$B$4,'[1] Master Rapor VII A.xlsm'!_nomor,0))</definedName>
    <definedName name="first" localSheetId="78">INDEX('K Pel'!#REF!,MATCH('K Pel'!$B$4,'[1] Master Rapor VII A.xlsm'!_nomor,0))</definedName>
    <definedName name="first">INDEX('K Pel'!#REF!,MATCH('K Pel'!$B$4,_nomor,0))</definedName>
    <definedName name="foto" localSheetId="74">INDEX(#REF!,MATCH(#REF!,#REF!,0))</definedName>
    <definedName name="foto" localSheetId="15">INDEX(#REF!,MATCH(#REF!,#REF!,0))</definedName>
    <definedName name="foto" localSheetId="27">INDEX(#REF!,MATCH(#REF!,#REF!,0))</definedName>
    <definedName name="foto" localSheetId="75">INDEX(#REF!,MATCH(#REF!,#REF!,0))</definedName>
    <definedName name="foto" localSheetId="29">INDEX(#REF!,MATCH(#REF!,#REF!,0))</definedName>
    <definedName name="foto" localSheetId="73">INDEX(#REF!,MATCH(#REF!,#REF!,0))</definedName>
    <definedName name="foto" localSheetId="76">INDEX(#REF!,MATCH(#REF!,#REF!,0))</definedName>
    <definedName name="foto" localSheetId="77">INDEX(#REF!,MATCH(#REF!,#REF!,0))</definedName>
    <definedName name="foto" localSheetId="78">INDEX(#REF!,MATCH(#REF!,#REF!,0))</definedName>
    <definedName name="foto">INDEX(#REF!,MATCH(#REF!,#REF!,0))</definedName>
    <definedName name="Foto_siswa" localSheetId="74">INDEX(#REF!,MATCH(#REF!,#REF!,0))</definedName>
    <definedName name="Foto_siswa" localSheetId="15">INDEX(#REF!,MATCH(#REF!,#REF!,0))</definedName>
    <definedName name="Foto_siswa" localSheetId="27">INDEX(#REF!,MATCH(#REF!,#REF!,0))</definedName>
    <definedName name="Foto_siswa" localSheetId="75">INDEX(#REF!,MATCH(#REF!,#REF!,0))</definedName>
    <definedName name="Foto_siswa" localSheetId="29">INDEX(#REF!,MATCH(#REF!,#REF!,0))</definedName>
    <definedName name="Foto_siswa" localSheetId="73">INDEX(#REF!,MATCH(#REF!,#REF!,0))</definedName>
    <definedName name="Foto_siswa" localSheetId="76">INDEX(#REF!,MATCH(#REF!,#REF!,0))</definedName>
    <definedName name="Foto_siswa" localSheetId="77">INDEX(#REF!,MATCH(#REF!,#REF!,0))</definedName>
    <definedName name="Foto_siswa" localSheetId="78">INDEX(#REF!,MATCH(#REF!,#REF!,0))</definedName>
    <definedName name="Foto_siswa">INDEX(#REF!,MATCH(#REF!,#REF!,0))</definedName>
    <definedName name="foto2" localSheetId="74">INDEX(#REF!,MATCH(#REF!,#REF!,0))</definedName>
    <definedName name="foto2" localSheetId="15">INDEX(#REF!,MATCH(#REF!,#REF!,0))</definedName>
    <definedName name="foto2" localSheetId="27">INDEX(#REF!,MATCH(#REF!,#REF!,0))</definedName>
    <definedName name="foto2" localSheetId="75">INDEX(#REF!,MATCH(#REF!,#REF!,0))</definedName>
    <definedName name="foto2" localSheetId="29">INDEX(#REF!,MATCH(#REF!,#REF!,0))</definedName>
    <definedName name="foto2" localSheetId="73">INDEX(#REF!,MATCH(#REF!,#REF!,0))</definedName>
    <definedName name="foto2" localSheetId="76">INDEX(#REF!,MATCH(#REF!,#REF!,0))</definedName>
    <definedName name="foto2" localSheetId="77">INDEX(#REF!,MATCH(#REF!,#REF!,0))</definedName>
    <definedName name="foto2" localSheetId="78">INDEX(#REF!,MATCH(#REF!,#REF!,0))</definedName>
    <definedName name="foto2">INDEX(#REF!,MATCH(#REF!,#REF!,0))</definedName>
    <definedName name="fourt" localSheetId="74">INDEX('K Pel'!#REF!,MATCH('K Pel'!$B$112,'[1] Master Rapor VII A.xlsm'!_nomor,0))</definedName>
    <definedName name="fourt" localSheetId="15">INDEX('K Pel'!#REF!,MATCH('K Pel'!$B$112,[0]!_nomor,0))</definedName>
    <definedName name="fourt" localSheetId="27">INDEX('K Pel'!#REF!,MATCH('K Pel'!$B$112,[0]!_nomor,0))</definedName>
    <definedName name="fourt" localSheetId="75">INDEX('K Pel'!#REF!,MATCH('K Pel'!$B$112,'[1] Master Rapor VII A.xlsm'!_nomor,0))</definedName>
    <definedName name="fourt" localSheetId="29">INDEX('K Pel'!#REF!,MATCH('K Pel'!$B$112,[0]!_nomor,0))</definedName>
    <definedName name="fourt" localSheetId="73">INDEX('K Pel'!#REF!,MATCH('K Pel'!$B$112,'[1] Master Rapor VII A.xlsm'!_nomor,0))</definedName>
    <definedName name="fourt" localSheetId="76">INDEX('K Pel'!#REF!,MATCH('K Pel'!$B$112,'[1] Master Rapor VII A.xlsm'!_nomor,0))</definedName>
    <definedName name="fourt" localSheetId="77">INDEX('K Pel'!#REF!,MATCH('K Pel'!$B$112,'[1] Master Rapor VII A.xlsm'!_nomor,0))</definedName>
    <definedName name="fourt" localSheetId="78">INDEX('K Pel'!#REF!,MATCH('K Pel'!$B$112,'[1] Master Rapor VII A.xlsm'!_nomor,0))</definedName>
    <definedName name="fourt">INDEX('K Pel'!#REF!,MATCH('K Pel'!$B$112,_nomor,0))</definedName>
    <definedName name="hem" localSheetId="74">INDEX(#REF!,MATCH(#REF!,#REF!,0))</definedName>
    <definedName name="hem" localSheetId="15">INDEX(#REF!,MATCH(#REF!,#REF!,0))</definedName>
    <definedName name="hem" localSheetId="27">INDEX(#REF!,MATCH(#REF!,#REF!,0))</definedName>
    <definedName name="hem" localSheetId="75">INDEX(#REF!,MATCH(#REF!,#REF!,0))</definedName>
    <definedName name="hem" localSheetId="29">INDEX(#REF!,MATCH(#REF!,#REF!,0))</definedName>
    <definedName name="hem" localSheetId="73">INDEX(#REF!,MATCH(#REF!,#REF!,0))</definedName>
    <definedName name="hem" localSheetId="76">INDEX(#REF!,MATCH(#REF!,#REF!,0))</definedName>
    <definedName name="hem" localSheetId="77">INDEX(#REF!,MATCH(#REF!,#REF!,0))</definedName>
    <definedName name="hem" localSheetId="78">INDEX(#REF!,MATCH(#REF!,#REF!,0))</definedName>
    <definedName name="hem">INDEX(#REF!,MATCH(#REF!,#REF!,0))</definedName>
    <definedName name="konversi" localSheetId="31">Konversi2!$B$1:$D$101</definedName>
    <definedName name="konversi">Konversi1!$B$1:$D$101</definedName>
    <definedName name="Pend.Islam" localSheetId="74">DL!#REF!</definedName>
    <definedName name="Pend.Islam" localSheetId="4">DL!#REF!</definedName>
    <definedName name="Pend.Islam" localSheetId="15">DL!#REF!</definedName>
    <definedName name="Pend.Islam" localSheetId="27">DL!#REF!</definedName>
    <definedName name="Pend.Islam" localSheetId="19">DL!#REF!</definedName>
    <definedName name="Pend.Islam" localSheetId="30">DL!#REF!</definedName>
    <definedName name="Pend.Islam" localSheetId="10">DL!#REF!</definedName>
    <definedName name="Pend.Islam" localSheetId="25">DL!#REF!</definedName>
    <definedName name="Pend.Islam" localSheetId="75">DL!#REF!</definedName>
    <definedName name="Pend.Islam" localSheetId="8">DL!#REF!</definedName>
    <definedName name="Pend.Islam" localSheetId="23">DL!#REF!</definedName>
    <definedName name="Pend.Islam" localSheetId="31">DL!#REF!</definedName>
    <definedName name="Pend.Islam" localSheetId="14">DL!#REF!</definedName>
    <definedName name="Pend.Islam" localSheetId="29">DL!#REF!</definedName>
    <definedName name="Pend.Islam" localSheetId="22">DL!#REF!</definedName>
    <definedName name="Pend.Islam" localSheetId="73">DL!#REF!</definedName>
    <definedName name="Pend.Islam" localSheetId="6">DL!#REF!</definedName>
    <definedName name="Pend.Islam" localSheetId="21">DL!#REF!</definedName>
    <definedName name="Pend.Islam" localSheetId="11">DL!#REF!</definedName>
    <definedName name="Pend.Islam" localSheetId="26">DL!#REF!</definedName>
    <definedName name="Pend.Islam" localSheetId="76">DL!#REF!</definedName>
    <definedName name="Pend.Islam" localSheetId="2">DL!#REF!</definedName>
    <definedName name="Pend.Islam" localSheetId="12">Rangking1!#REF!</definedName>
    <definedName name="Pend.Islam" localSheetId="28">Rangking2!#REF!</definedName>
    <definedName name="Pend.Islam" localSheetId="20">DL!#REF!</definedName>
    <definedName name="Pend.Islam" localSheetId="32">DL!#REF!</definedName>
    <definedName name="Pend.Islam" localSheetId="71">DL!#REF!</definedName>
    <definedName name="Pend.Islam" localSheetId="9">DL!#REF!</definedName>
    <definedName name="Pend.Islam" localSheetId="24">DL!#REF!</definedName>
    <definedName name="Pend.Islam" localSheetId="77">'Tanda Terima1'!#REF!</definedName>
    <definedName name="Pend.Islam" localSheetId="78">'Tanda Terima2'!#REF!</definedName>
    <definedName name="Pend.Islam">DL!#REF!</definedName>
    <definedName name="Pend_Islam" localSheetId="74">DL!#REF!</definedName>
    <definedName name="Pend_Islam" localSheetId="4">DL!#REF!</definedName>
    <definedName name="Pend_Islam" localSheetId="15">DL!#REF!</definedName>
    <definedName name="Pend_Islam" localSheetId="27">DL!#REF!</definedName>
    <definedName name="Pend_Islam" localSheetId="19">DL!#REF!</definedName>
    <definedName name="Pend_Islam" localSheetId="30">DL!#REF!</definedName>
    <definedName name="Pend_Islam" localSheetId="10">DL!#REF!</definedName>
    <definedName name="Pend_Islam" localSheetId="25">DL!#REF!</definedName>
    <definedName name="Pend_Islam" localSheetId="75">DL!#REF!</definedName>
    <definedName name="Pend_Islam" localSheetId="8">DL!#REF!</definedName>
    <definedName name="Pend_Islam" localSheetId="23">DL!#REF!</definedName>
    <definedName name="Pend_Islam" localSheetId="31">DL!#REF!</definedName>
    <definedName name="Pend_Islam" localSheetId="14">DL!#REF!</definedName>
    <definedName name="Pend_Islam" localSheetId="29">DL!#REF!</definedName>
    <definedName name="Pend_Islam" localSheetId="22">DL!#REF!</definedName>
    <definedName name="Pend_Islam" localSheetId="73">DL!#REF!</definedName>
    <definedName name="Pend_Islam" localSheetId="6">DL!#REF!</definedName>
    <definedName name="Pend_Islam" localSheetId="21">DL!#REF!</definedName>
    <definedName name="Pend_Islam" localSheetId="11">DL!#REF!</definedName>
    <definedName name="Pend_Islam" localSheetId="26">DL!#REF!</definedName>
    <definedName name="Pend_Islam" localSheetId="76">DL!#REF!</definedName>
    <definedName name="Pend_Islam" localSheetId="2">DL!#REF!</definedName>
    <definedName name="Pend_Islam" localSheetId="12">Rangking1!#REF!</definedName>
    <definedName name="Pend_Islam" localSheetId="28">Rangking2!#REF!</definedName>
    <definedName name="Pend_Islam" localSheetId="20">DL!#REF!</definedName>
    <definedName name="Pend_Islam" localSheetId="32">DL!#REF!</definedName>
    <definedName name="Pend_Islam" localSheetId="71">DL!#REF!</definedName>
    <definedName name="Pend_Islam" localSheetId="9">DL!#REF!</definedName>
    <definedName name="Pend_Islam" localSheetId="24">DL!#REF!</definedName>
    <definedName name="Pend_Islam" localSheetId="77">'Tanda Terima1'!#REF!</definedName>
    <definedName name="Pend_Islam" localSheetId="78">'Tanda Terima2'!#REF!</definedName>
    <definedName name="Pend_Islam">DL!#REF!</definedName>
    <definedName name="pertama" localSheetId="74">INDEX('K Pel'!#REF!,MATCH('K Pel'!$B$4:$B$5,'K Pel'!#REF!,0))</definedName>
    <definedName name="pertama" localSheetId="15">INDEX('K Pel'!#REF!,MATCH('K Pel'!$B$4:$B$5,'K Pel'!#REF!,0))</definedName>
    <definedName name="pertama" localSheetId="27">INDEX('K Pel'!#REF!,MATCH('K Pel'!$B$4:$B$5,'K Pel'!#REF!,0))</definedName>
    <definedName name="pertama" localSheetId="75">INDEX('K Pel'!#REF!,MATCH('K Pel'!$B$4:$B$5,'K Pel'!#REF!,0))</definedName>
    <definedName name="pertama" localSheetId="29">INDEX('K Pel'!#REF!,MATCH('K Pel'!$B$4:$B$5,'K Pel'!#REF!,0))</definedName>
    <definedName name="pertama" localSheetId="73">INDEX('K Pel'!#REF!,MATCH('K Pel'!$B$4:$B$5,'K Pel'!#REF!,0))</definedName>
    <definedName name="pertama" localSheetId="76">INDEX('K Pel'!#REF!,MATCH('K Pel'!$B$4:$B$5,'K Pel'!#REF!,0))</definedName>
    <definedName name="pertama" localSheetId="77">INDEX('K Pel'!#REF!,MATCH('K Pel'!$B$4:$B$5,'K Pel'!#REF!,0))</definedName>
    <definedName name="pertama" localSheetId="78">INDEX('K Pel'!#REF!,MATCH('K Pel'!$B$4:$B$5,'K Pel'!#REF!,0))</definedName>
    <definedName name="pertama">INDEX('K Pel'!#REF!,MATCH('K Pel'!$B$4:$B$5,'K Pel'!#REF!,0))</definedName>
    <definedName name="pertama1" localSheetId="74">INDEX('K Pel'!#REF!,MATCH('K Pel'!$B$4:$B$5,'K Pel'!#REF!,0))</definedName>
    <definedName name="pertama1" localSheetId="15">INDEX('K Pel'!#REF!,MATCH('K Pel'!$B$4:$B$5,'K Pel'!#REF!,0))</definedName>
    <definedName name="pertama1" localSheetId="27">INDEX('K Pel'!#REF!,MATCH('K Pel'!$B$4:$B$5,'K Pel'!#REF!,0))</definedName>
    <definedName name="pertama1" localSheetId="75">INDEX('K Pel'!#REF!,MATCH('K Pel'!$B$4:$B$5,'K Pel'!#REF!,0))</definedName>
    <definedName name="pertama1" localSheetId="29">INDEX('K Pel'!#REF!,MATCH('K Pel'!$B$4:$B$5,'K Pel'!#REF!,0))</definedName>
    <definedName name="pertama1" localSheetId="73">INDEX('K Pel'!#REF!,MATCH('K Pel'!$B$4:$B$5,'K Pel'!#REF!,0))</definedName>
    <definedName name="pertama1" localSheetId="76">INDEX('K Pel'!#REF!,MATCH('K Pel'!$B$4:$B$5,'K Pel'!#REF!,0))</definedName>
    <definedName name="pertama1" localSheetId="77">INDEX('K Pel'!#REF!,MATCH('K Pel'!$B$4:$B$5,'K Pel'!#REF!,0))</definedName>
    <definedName name="pertama1" localSheetId="78">INDEX('K Pel'!#REF!,MATCH('K Pel'!$B$4:$B$5,'K Pel'!#REF!,0))</definedName>
    <definedName name="pertama1">INDEX('K Pel'!#REF!,MATCH('K Pel'!$B$4:$B$5,'K Pel'!#REF!,0))</definedName>
    <definedName name="PREDIKAT">'SS2'!$H$4:$J$19</definedName>
    <definedName name="_xlnm.Print_Area" localSheetId="15">'Cetak Leger Nilai1'!$E$2:$BD$46</definedName>
    <definedName name="_xlnm.Print_Area" localSheetId="27">'Cetak Leger Nilai2'!$E$2:$BD$46</definedName>
    <definedName name="_xlnm.Print_Area" localSheetId="19">'Cover dll'!$B$4:$AC$228</definedName>
    <definedName name="_xlnm.Print_Area" localSheetId="10">'Eks1'!$B$1:$J$46</definedName>
    <definedName name="_xlnm.Print_Area" localSheetId="25">'Eks2'!$B$1:$J$46</definedName>
    <definedName name="_xlnm.Print_Area" localSheetId="75">'Id Siswa'!$B$4:$AU$51</definedName>
    <definedName name="_xlnm.Print_Area" localSheetId="8">'IKD1'!$B$1:$E$22</definedName>
    <definedName name="_xlnm.Print_Area" localSheetId="23">'IKD2'!$B$1:$E$22</definedName>
    <definedName name="_xlnm.Print_Area" localSheetId="17">'K Pel'!$D$4:$AN$147</definedName>
    <definedName name="_xlnm.Print_Area" localSheetId="14">Leger_Predikat1!$E$2:$AL$46</definedName>
    <definedName name="_xlnm.Print_Area" localSheetId="29">Leger_Predikat2!$E$2:$AL$46</definedName>
    <definedName name="_xlnm.Print_Area" localSheetId="0">'Menu Utama'!$A$1:$Y$39</definedName>
    <definedName name="_xlnm.Print_Area" localSheetId="11">'P1'!$B$2:$G$46</definedName>
    <definedName name="_xlnm.Print_Area" localSheetId="26">'P2'!$B$1:$G$46</definedName>
    <definedName name="_xlnm.Print_Area" localSheetId="76">Penilaian!$B$4:$BD$59</definedName>
    <definedName name="_xlnm.Print_Area" localSheetId="2">Petunjuk!$B$4:$AB$138</definedName>
    <definedName name="_xlnm.Print_Area" localSheetId="12">Rangking1!$C$1:$I$54</definedName>
    <definedName name="_xlnm.Print_Area" localSheetId="28">Rangking2!$C$1:$I$54</definedName>
    <definedName name="_xlnm.Print_Area" localSheetId="20">Raport1!$B$4:$AB$141</definedName>
    <definedName name="_xlnm.Print_Area" localSheetId="32">Raport2!$B$4:$AB$141</definedName>
    <definedName name="_xlnm.Print_Area" localSheetId="9">'SS1'!$B$1:$F$46</definedName>
    <definedName name="_xlnm.Print_Area" localSheetId="24">'SS2'!$B$1:$F$46</definedName>
    <definedName name="_xlnm.Print_Area" localSheetId="77">'Tanda Terima1'!$C$1:$I$55</definedName>
    <definedName name="_xlnm.Print_Area" localSheetId="78">'Tanda Terima2'!$C$1:$I$55</definedName>
    <definedName name="_xlnm.Print_Area" localSheetId="13">Validasi!$C$2:$I$35</definedName>
    <definedName name="second" localSheetId="74">INDEX('K Pel'!#REF!,MATCH('K Pel'!$B$40,'[1] Master Rapor VII A.xlsm'!_nomor,0))</definedName>
    <definedName name="second" localSheetId="15">INDEX('K Pel'!#REF!,MATCH('K Pel'!$B$40,[0]!_nomor,0))</definedName>
    <definedName name="second" localSheetId="27">INDEX('K Pel'!#REF!,MATCH('K Pel'!$B$40,[0]!_nomor,0))</definedName>
    <definedName name="second" localSheetId="75">INDEX('K Pel'!#REF!,MATCH('K Pel'!$B$40,'[1] Master Rapor VII A.xlsm'!_nomor,0))</definedName>
    <definedName name="second" localSheetId="29">INDEX('K Pel'!#REF!,MATCH('K Pel'!$B$40,[0]!_nomor,0))</definedName>
    <definedName name="second" localSheetId="73">INDEX('K Pel'!#REF!,MATCH('K Pel'!$B$40,'[1] Master Rapor VII A.xlsm'!_nomor,0))</definedName>
    <definedName name="second" localSheetId="76">INDEX('K Pel'!#REF!,MATCH('K Pel'!$B$40,'[1] Master Rapor VII A.xlsm'!_nomor,0))</definedName>
    <definedName name="second" localSheetId="77">INDEX('K Pel'!#REF!,MATCH('K Pel'!$B$40,'[1] Master Rapor VII A.xlsm'!_nomor,0))</definedName>
    <definedName name="second" localSheetId="78">INDEX('K Pel'!#REF!,MATCH('K Pel'!$B$40,'[1] Master Rapor VII A.xlsm'!_nomor,0))</definedName>
    <definedName name="second">INDEX('K Pel'!#REF!,MATCH('K Pel'!$B$40,_nomor,0))</definedName>
    <definedName name="Smt_berjalan">DK!$D$13</definedName>
    <definedName name="Tahun" localSheetId="31">Konversi2!$I$46:$I$81</definedName>
    <definedName name="Tahun">Konversi1!$I$46:$I$81</definedName>
    <definedName name="Tanggal" localSheetId="31">Konversi2!$G$46:$G$76</definedName>
    <definedName name="Tanggal">Konversi1!$G$46:$G$76</definedName>
    <definedName name="third" localSheetId="74">INDEX('K Pel'!#REF!,MATCH('K Pel'!$B$76,'[1] Master Rapor VII A.xlsm'!_nomor,0))</definedName>
    <definedName name="third" localSheetId="15">INDEX('K Pel'!#REF!,MATCH('K Pel'!$B$76,[0]!_nomor,0))</definedName>
    <definedName name="third" localSheetId="27">INDEX('K Pel'!#REF!,MATCH('K Pel'!$B$76,[0]!_nomor,0))</definedName>
    <definedName name="third" localSheetId="75">INDEX('K Pel'!#REF!,MATCH('K Pel'!$B$76,'[1] Master Rapor VII A.xlsm'!_nomor,0))</definedName>
    <definedName name="third" localSheetId="29">INDEX('K Pel'!#REF!,MATCH('K Pel'!$B$76,[0]!_nomor,0))</definedName>
    <definedName name="third" localSheetId="73">INDEX('K Pel'!#REF!,MATCH('K Pel'!$B$76,'[1] Master Rapor VII A.xlsm'!_nomor,0))</definedName>
    <definedName name="third" localSheetId="76">INDEX('K Pel'!#REF!,MATCH('K Pel'!$B$76,'[1] Master Rapor VII A.xlsm'!_nomor,0))</definedName>
    <definedName name="third" localSheetId="77">INDEX('K Pel'!#REF!,MATCH('K Pel'!$B$76,'[1] Master Rapor VII A.xlsm'!_nomor,0))</definedName>
    <definedName name="third" localSheetId="78">INDEX('K Pel'!#REF!,MATCH('K Pel'!$B$76,'[1] Master Rapor VII A.xlsm'!_nomor,0))</definedName>
    <definedName name="third">INDEX('K Pel'!#REF!,MATCH('K Pel'!$B$76,_nomor,0))</definedName>
    <definedName name="tiga" localSheetId="74">INDEX(#REF!,MATCH(#REF!,#REF!,0))</definedName>
    <definedName name="tiga" localSheetId="15">INDEX(#REF!,MATCH(#REF!,#REF!,0))</definedName>
    <definedName name="tiga" localSheetId="27">INDEX(#REF!,MATCH(#REF!,#REF!,0))</definedName>
    <definedName name="tiga" localSheetId="75">INDEX(#REF!,MATCH(#REF!,#REF!,0))</definedName>
    <definedName name="tiga" localSheetId="29">INDEX(#REF!,MATCH(#REF!,#REF!,0))</definedName>
    <definedName name="tiga" localSheetId="73">INDEX(#REF!,MATCH(#REF!,#REF!,0))</definedName>
    <definedName name="tiga" localSheetId="76">INDEX(#REF!,MATCH(#REF!,#REF!,0))</definedName>
    <definedName name="tiga" localSheetId="77">INDEX(#REF!,MATCH(#REF!,#REF!,0))</definedName>
    <definedName name="tiga" localSheetId="78">INDEX(#REF!,MATCH(#REF!,#REF!,0))</definedName>
    <definedName name="tiga">INDEX(#REF!,MATCH(#REF!,#REF!,0))</definedName>
  </definedNames>
  <calcPr calcId="124519"/>
</workbook>
</file>

<file path=xl/calcChain.xml><?xml version="1.0" encoding="utf-8"?>
<calcChain xmlns="http://schemas.openxmlformats.org/spreadsheetml/2006/main">
  <c r="Y92" i="38"/>
  <c r="H91"/>
  <c r="Y90"/>
  <c r="Y69"/>
  <c r="H68"/>
  <c r="Y67"/>
  <c r="Y92" i="24" l="1"/>
  <c r="H91"/>
  <c r="Y90"/>
  <c r="Y67"/>
  <c r="H66"/>
  <c r="Y65"/>
  <c r="E74" i="106" l="1"/>
  <c r="G48"/>
  <c r="F48"/>
  <c r="E48"/>
  <c r="AK6"/>
  <c r="AI6"/>
  <c r="AG6"/>
  <c r="AE6"/>
  <c r="AC6"/>
  <c r="AA6"/>
  <c r="Y6"/>
  <c r="W6"/>
  <c r="U6"/>
  <c r="S6"/>
  <c r="Q6"/>
  <c r="O6"/>
  <c r="M6"/>
  <c r="K6"/>
  <c r="I6"/>
  <c r="E6"/>
  <c r="E74" i="105" l="1"/>
  <c r="G48"/>
  <c r="F48"/>
  <c r="E48"/>
  <c r="AK6"/>
  <c r="AI6"/>
  <c r="AG6"/>
  <c r="AE6"/>
  <c r="AC6"/>
  <c r="AA6"/>
  <c r="Y6"/>
  <c r="W6"/>
  <c r="U6"/>
  <c r="S6"/>
  <c r="Q6"/>
  <c r="O6"/>
  <c r="M6"/>
  <c r="K6"/>
  <c r="I6"/>
  <c r="E6"/>
  <c r="D47" i="94"/>
  <c r="AH20" i="23" l="1"/>
  <c r="AH19"/>
  <c r="AK9"/>
  <c r="H81" i="38"/>
  <c r="H81" i="24"/>
  <c r="H90" i="38" l="1"/>
  <c r="H50"/>
  <c r="H6" i="24"/>
  <c r="H65"/>
  <c r="B135"/>
  <c r="B135" i="38"/>
  <c r="H67"/>
  <c r="H6"/>
  <c r="H90" i="24"/>
  <c r="H48"/>
  <c r="C74" i="5"/>
  <c r="C75"/>
  <c r="C76"/>
  <c r="C77"/>
  <c r="C78"/>
  <c r="C79"/>
  <c r="C80"/>
  <c r="C81"/>
  <c r="C82"/>
  <c r="C83"/>
  <c r="C84"/>
  <c r="C85"/>
  <c r="C86"/>
  <c r="C87"/>
  <c r="C88"/>
  <c r="C89"/>
  <c r="C90"/>
  <c r="C91"/>
  <c r="C92"/>
  <c r="C93"/>
  <c r="C94"/>
  <c r="C95"/>
  <c r="C96"/>
  <c r="C97"/>
  <c r="C98"/>
  <c r="C99"/>
  <c r="C100"/>
  <c r="D53"/>
  <c r="E53"/>
  <c r="D54"/>
  <c r="E54"/>
  <c r="D55"/>
  <c r="E55"/>
  <c r="D56"/>
  <c r="E56"/>
  <c r="D57"/>
  <c r="E57"/>
  <c r="D58"/>
  <c r="E58"/>
  <c r="D59"/>
  <c r="E59"/>
  <c r="D60"/>
  <c r="E60"/>
  <c r="D61"/>
  <c r="E61"/>
  <c r="D62"/>
  <c r="E62"/>
  <c r="D63"/>
  <c r="E63"/>
  <c r="D64"/>
  <c r="E64"/>
  <c r="D65"/>
  <c r="E65"/>
  <c r="D66"/>
  <c r="E66"/>
  <c r="D67"/>
  <c r="E67"/>
  <c r="D68"/>
  <c r="E68"/>
  <c r="D69"/>
  <c r="E69"/>
  <c r="D70"/>
  <c r="E70"/>
  <c r="D71"/>
  <c r="E71"/>
  <c r="D72"/>
  <c r="E72"/>
  <c r="D73"/>
  <c r="E73"/>
  <c r="D74"/>
  <c r="E74"/>
  <c r="D75"/>
  <c r="E75"/>
  <c r="D76"/>
  <c r="E76"/>
  <c r="D77"/>
  <c r="E77"/>
  <c r="D78"/>
  <c r="E78"/>
  <c r="D79"/>
  <c r="E79"/>
  <c r="D80"/>
  <c r="E80"/>
  <c r="D81"/>
  <c r="E81"/>
  <c r="D82"/>
  <c r="E82"/>
  <c r="D83"/>
  <c r="E83"/>
  <c r="D84"/>
  <c r="E84"/>
  <c r="D85"/>
  <c r="E85"/>
  <c r="D86"/>
  <c r="E86"/>
  <c r="D87"/>
  <c r="E87"/>
  <c r="D88"/>
  <c r="E88"/>
  <c r="D89"/>
  <c r="E89"/>
  <c r="D90"/>
  <c r="E90"/>
  <c r="D91"/>
  <c r="E91"/>
  <c r="D92"/>
  <c r="E92"/>
  <c r="D93"/>
  <c r="E93"/>
  <c r="D94"/>
  <c r="E94"/>
  <c r="D95"/>
  <c r="E95"/>
  <c r="D96"/>
  <c r="E96"/>
  <c r="D97"/>
  <c r="E97"/>
  <c r="D98"/>
  <c r="E98"/>
  <c r="D99"/>
  <c r="E99"/>
  <c r="D100"/>
  <c r="E100"/>
  <c r="I7" i="103"/>
  <c r="M7"/>
  <c r="L7"/>
  <c r="J7"/>
  <c r="C7" i="1" l="1"/>
  <c r="I16" i="104"/>
  <c r="I7"/>
  <c r="AZ46"/>
  <c r="AY46"/>
  <c r="BA46" s="1"/>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AZ45"/>
  <c r="AY45"/>
  <c r="BA45" s="1"/>
  <c r="AX45"/>
  <c r="AW45"/>
  <c r="AV45"/>
  <c r="AU45"/>
  <c r="AT45"/>
  <c r="AS45"/>
  <c r="AR45"/>
  <c r="AQ45"/>
  <c r="AP45"/>
  <c r="AO45"/>
  <c r="AN45"/>
  <c r="AM45"/>
  <c r="AL45"/>
  <c r="AK45"/>
  <c r="AJ45"/>
  <c r="AI45"/>
  <c r="AH45"/>
  <c r="AG45"/>
  <c r="AF45"/>
  <c r="AE45"/>
  <c r="AD45"/>
  <c r="AC45"/>
  <c r="AB45"/>
  <c r="AA45"/>
  <c r="Z45"/>
  <c r="Y45"/>
  <c r="X45"/>
  <c r="W45"/>
  <c r="V45"/>
  <c r="U45"/>
  <c r="T45"/>
  <c r="S45"/>
  <c r="R45"/>
  <c r="Q45"/>
  <c r="P45"/>
  <c r="O45"/>
  <c r="N45"/>
  <c r="M45"/>
  <c r="L45"/>
  <c r="K45"/>
  <c r="J45"/>
  <c r="I45"/>
  <c r="AZ44"/>
  <c r="AY44"/>
  <c r="BA44" s="1"/>
  <c r="AX44"/>
  <c r="AW44"/>
  <c r="AV44"/>
  <c r="AU44"/>
  <c r="AT44"/>
  <c r="AS44"/>
  <c r="AR44"/>
  <c r="AQ44"/>
  <c r="AP44"/>
  <c r="AO44"/>
  <c r="AN44"/>
  <c r="AM44"/>
  <c r="AL44"/>
  <c r="AK44"/>
  <c r="AJ44"/>
  <c r="AI44"/>
  <c r="AH44"/>
  <c r="AG44"/>
  <c r="AF44"/>
  <c r="AE44"/>
  <c r="AD44"/>
  <c r="AC44"/>
  <c r="AB44"/>
  <c r="AA44"/>
  <c r="Z44"/>
  <c r="Y44"/>
  <c r="X44"/>
  <c r="W44"/>
  <c r="V44"/>
  <c r="U44"/>
  <c r="T44"/>
  <c r="S44"/>
  <c r="R44"/>
  <c r="Q44"/>
  <c r="P44"/>
  <c r="O44"/>
  <c r="N44"/>
  <c r="M44"/>
  <c r="L44"/>
  <c r="K44"/>
  <c r="J44"/>
  <c r="I44"/>
  <c r="AZ43"/>
  <c r="AY43"/>
  <c r="BA43" s="1"/>
  <c r="AX43"/>
  <c r="AW43"/>
  <c r="AV43"/>
  <c r="AU43"/>
  <c r="AT43"/>
  <c r="AS43"/>
  <c r="AR43"/>
  <c r="AQ43"/>
  <c r="AP43"/>
  <c r="AO43"/>
  <c r="AN43"/>
  <c r="AM43"/>
  <c r="AL43"/>
  <c r="AK43"/>
  <c r="AJ43"/>
  <c r="AI43"/>
  <c r="AH43"/>
  <c r="AG43"/>
  <c r="AF43"/>
  <c r="AE43"/>
  <c r="AD43"/>
  <c r="AC43"/>
  <c r="AB43"/>
  <c r="AA43"/>
  <c r="Z43"/>
  <c r="Y43"/>
  <c r="X43"/>
  <c r="W43"/>
  <c r="V43"/>
  <c r="U43"/>
  <c r="T43"/>
  <c r="S43"/>
  <c r="R43"/>
  <c r="Q43"/>
  <c r="P43"/>
  <c r="O43"/>
  <c r="N43"/>
  <c r="M43"/>
  <c r="L43"/>
  <c r="K43"/>
  <c r="J43"/>
  <c r="I43"/>
  <c r="AZ42"/>
  <c r="AY42"/>
  <c r="BA42" s="1"/>
  <c r="AX42"/>
  <c r="AW42"/>
  <c r="AV42"/>
  <c r="AU42"/>
  <c r="AT42"/>
  <c r="AS42"/>
  <c r="AR42"/>
  <c r="AQ42"/>
  <c r="AP42"/>
  <c r="AO42"/>
  <c r="AN42"/>
  <c r="AM42"/>
  <c r="AL42"/>
  <c r="AK42"/>
  <c r="AJ42"/>
  <c r="AI42"/>
  <c r="AH42"/>
  <c r="AG42"/>
  <c r="AF42"/>
  <c r="AE42"/>
  <c r="AD42"/>
  <c r="AC42"/>
  <c r="AB42"/>
  <c r="AA42"/>
  <c r="Z42"/>
  <c r="Y42"/>
  <c r="X42"/>
  <c r="W42"/>
  <c r="V42"/>
  <c r="U42"/>
  <c r="T42"/>
  <c r="S42"/>
  <c r="R42"/>
  <c r="Q42"/>
  <c r="P42"/>
  <c r="O42"/>
  <c r="N42"/>
  <c r="M42"/>
  <c r="L42"/>
  <c r="K42"/>
  <c r="J42"/>
  <c r="I42"/>
  <c r="AZ41"/>
  <c r="AY41"/>
  <c r="BA41" s="1"/>
  <c r="AX41"/>
  <c r="AW41"/>
  <c r="AV41"/>
  <c r="AU41"/>
  <c r="AT41"/>
  <c r="AS41"/>
  <c r="AR41"/>
  <c r="AQ41"/>
  <c r="AP41"/>
  <c r="AO41"/>
  <c r="AN41"/>
  <c r="AM41"/>
  <c r="AL41"/>
  <c r="AK41"/>
  <c r="AJ41"/>
  <c r="AI41"/>
  <c r="AH41"/>
  <c r="AG41"/>
  <c r="AF41"/>
  <c r="AE41"/>
  <c r="AD41"/>
  <c r="AC41"/>
  <c r="AB41"/>
  <c r="AA41"/>
  <c r="Z41"/>
  <c r="Y41"/>
  <c r="X41"/>
  <c r="W41"/>
  <c r="V41"/>
  <c r="U41"/>
  <c r="T41"/>
  <c r="S41"/>
  <c r="R41"/>
  <c r="Q41"/>
  <c r="P41"/>
  <c r="O41"/>
  <c r="N41"/>
  <c r="M41"/>
  <c r="L41"/>
  <c r="K41"/>
  <c r="J41"/>
  <c r="I41"/>
  <c r="AZ40"/>
  <c r="AY40"/>
  <c r="BA40" s="1"/>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AZ39"/>
  <c r="AY39"/>
  <c r="BA39" s="1"/>
  <c r="AX39"/>
  <c r="AW39"/>
  <c r="AV39"/>
  <c r="AU39"/>
  <c r="AT39"/>
  <c r="AS39"/>
  <c r="AR39"/>
  <c r="AQ39"/>
  <c r="AP39"/>
  <c r="AO39"/>
  <c r="AN39"/>
  <c r="AM39"/>
  <c r="AL39"/>
  <c r="AK39"/>
  <c r="AJ39"/>
  <c r="AI39"/>
  <c r="AH39"/>
  <c r="AG39"/>
  <c r="AF39"/>
  <c r="AE39"/>
  <c r="AD39"/>
  <c r="AC39"/>
  <c r="AB39"/>
  <c r="AA39"/>
  <c r="Z39"/>
  <c r="Y39"/>
  <c r="X39"/>
  <c r="W39"/>
  <c r="V39"/>
  <c r="U39"/>
  <c r="T39"/>
  <c r="S39"/>
  <c r="R39"/>
  <c r="Q39"/>
  <c r="P39"/>
  <c r="O39"/>
  <c r="N39"/>
  <c r="M39"/>
  <c r="L39"/>
  <c r="K39"/>
  <c r="J39"/>
  <c r="I39"/>
  <c r="AZ38"/>
  <c r="AY38"/>
  <c r="BA38" s="1"/>
  <c r="AX38"/>
  <c r="AW38"/>
  <c r="AV38"/>
  <c r="AU38"/>
  <c r="AT38"/>
  <c r="AS38"/>
  <c r="AR38"/>
  <c r="AQ38"/>
  <c r="AP38"/>
  <c r="AO38"/>
  <c r="AN38"/>
  <c r="AM38"/>
  <c r="AL38"/>
  <c r="AK38"/>
  <c r="AJ38"/>
  <c r="AI38"/>
  <c r="AH38"/>
  <c r="AG38"/>
  <c r="AF38"/>
  <c r="AE38"/>
  <c r="AD38"/>
  <c r="AC38"/>
  <c r="AB38"/>
  <c r="AA38"/>
  <c r="Z38"/>
  <c r="Y38"/>
  <c r="X38"/>
  <c r="W38"/>
  <c r="V38"/>
  <c r="U38"/>
  <c r="T38"/>
  <c r="S38"/>
  <c r="R38"/>
  <c r="Q38"/>
  <c r="P38"/>
  <c r="O38"/>
  <c r="N38"/>
  <c r="M38"/>
  <c r="L38"/>
  <c r="K38"/>
  <c r="J38"/>
  <c r="I38"/>
  <c r="AZ37"/>
  <c r="AY37"/>
  <c r="BA37" s="1"/>
  <c r="AX37"/>
  <c r="AW37"/>
  <c r="AV37"/>
  <c r="AU37"/>
  <c r="AT37"/>
  <c r="AS37"/>
  <c r="AR37"/>
  <c r="AQ37"/>
  <c r="AP37"/>
  <c r="AO37"/>
  <c r="AN37"/>
  <c r="AM37"/>
  <c r="AL37"/>
  <c r="AK37"/>
  <c r="AJ37"/>
  <c r="AI37"/>
  <c r="AH37"/>
  <c r="AG37"/>
  <c r="AF37"/>
  <c r="AE37"/>
  <c r="AD37"/>
  <c r="AC37"/>
  <c r="AB37"/>
  <c r="AA37"/>
  <c r="Z37"/>
  <c r="Y37"/>
  <c r="X37"/>
  <c r="W37"/>
  <c r="V37"/>
  <c r="U37"/>
  <c r="T37"/>
  <c r="S37"/>
  <c r="R37"/>
  <c r="Q37"/>
  <c r="P37"/>
  <c r="O37"/>
  <c r="N37"/>
  <c r="M37"/>
  <c r="L37"/>
  <c r="K37"/>
  <c r="J37"/>
  <c r="I37"/>
  <c r="AZ36"/>
  <c r="AY36"/>
  <c r="BA36" s="1"/>
  <c r="AX36"/>
  <c r="AW36"/>
  <c r="AV36"/>
  <c r="AU36"/>
  <c r="AT36"/>
  <c r="AS36"/>
  <c r="AR36"/>
  <c r="AQ36"/>
  <c r="AP36"/>
  <c r="AO36"/>
  <c r="AN36"/>
  <c r="AM36"/>
  <c r="AL36"/>
  <c r="AK36"/>
  <c r="AJ36"/>
  <c r="AI36"/>
  <c r="AH36"/>
  <c r="AG36"/>
  <c r="AF36"/>
  <c r="AE36"/>
  <c r="AD36"/>
  <c r="AC36"/>
  <c r="AB36"/>
  <c r="AA36"/>
  <c r="Z36"/>
  <c r="Y36"/>
  <c r="X36"/>
  <c r="W36"/>
  <c r="V36"/>
  <c r="U36"/>
  <c r="T36"/>
  <c r="S36"/>
  <c r="R36"/>
  <c r="Q36"/>
  <c r="P36"/>
  <c r="O36"/>
  <c r="N36"/>
  <c r="M36"/>
  <c r="L36"/>
  <c r="K36"/>
  <c r="J36"/>
  <c r="I36"/>
  <c r="AZ35"/>
  <c r="AY35"/>
  <c r="BA35" s="1"/>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AZ34"/>
  <c r="AY34"/>
  <c r="BA34" s="1"/>
  <c r="AX34"/>
  <c r="AW34"/>
  <c r="AV34"/>
  <c r="AU34"/>
  <c r="AT34"/>
  <c r="AS34"/>
  <c r="AR34"/>
  <c r="AQ34"/>
  <c r="AP34"/>
  <c r="AO34"/>
  <c r="AN34"/>
  <c r="AM34"/>
  <c r="AL34"/>
  <c r="AK34"/>
  <c r="AJ34"/>
  <c r="AI34"/>
  <c r="AH34"/>
  <c r="AG34"/>
  <c r="AF34"/>
  <c r="AE34"/>
  <c r="AD34"/>
  <c r="AC34"/>
  <c r="AB34"/>
  <c r="AA34"/>
  <c r="Z34"/>
  <c r="Y34"/>
  <c r="X34"/>
  <c r="W34"/>
  <c r="V34"/>
  <c r="U34"/>
  <c r="T34"/>
  <c r="S34"/>
  <c r="R34"/>
  <c r="Q34"/>
  <c r="P34"/>
  <c r="O34"/>
  <c r="N34"/>
  <c r="M34"/>
  <c r="L34"/>
  <c r="K34"/>
  <c r="J34"/>
  <c r="I34"/>
  <c r="AZ33"/>
  <c r="AY33"/>
  <c r="BA33" s="1"/>
  <c r="AX33"/>
  <c r="AW33"/>
  <c r="AV33"/>
  <c r="AU33"/>
  <c r="AT33"/>
  <c r="AS33"/>
  <c r="AR33"/>
  <c r="AQ33"/>
  <c r="AP33"/>
  <c r="AO33"/>
  <c r="AN33"/>
  <c r="AM33"/>
  <c r="AL33"/>
  <c r="AK33"/>
  <c r="AJ33"/>
  <c r="AI33"/>
  <c r="AH33"/>
  <c r="AG33"/>
  <c r="AF33"/>
  <c r="AE33"/>
  <c r="AD33"/>
  <c r="AC33"/>
  <c r="AB33"/>
  <c r="AA33"/>
  <c r="Z33"/>
  <c r="Y33"/>
  <c r="X33"/>
  <c r="W33"/>
  <c r="V33"/>
  <c r="U33"/>
  <c r="T33"/>
  <c r="S33"/>
  <c r="R33"/>
  <c r="Q33"/>
  <c r="P33"/>
  <c r="O33"/>
  <c r="N33"/>
  <c r="M33"/>
  <c r="L33"/>
  <c r="K33"/>
  <c r="J33"/>
  <c r="I33"/>
  <c r="AZ32"/>
  <c r="AY32"/>
  <c r="BA32" s="1"/>
  <c r="AX32"/>
  <c r="AW32"/>
  <c r="AV32"/>
  <c r="AU32"/>
  <c r="AT32"/>
  <c r="AS32"/>
  <c r="AR32"/>
  <c r="AQ32"/>
  <c r="AP32"/>
  <c r="AO32"/>
  <c r="AN32"/>
  <c r="AM32"/>
  <c r="AL32"/>
  <c r="AK32"/>
  <c r="AJ32"/>
  <c r="AI32"/>
  <c r="AH32"/>
  <c r="AG32"/>
  <c r="AF32"/>
  <c r="AE32"/>
  <c r="AD32"/>
  <c r="AC32"/>
  <c r="AB32"/>
  <c r="AA32"/>
  <c r="Z32"/>
  <c r="Y32"/>
  <c r="X32"/>
  <c r="W32"/>
  <c r="V32"/>
  <c r="U32"/>
  <c r="T32"/>
  <c r="S32"/>
  <c r="R32"/>
  <c r="Q32"/>
  <c r="P32"/>
  <c r="O32"/>
  <c r="N32"/>
  <c r="M32"/>
  <c r="L32"/>
  <c r="K32"/>
  <c r="J32"/>
  <c r="I32"/>
  <c r="AZ31"/>
  <c r="AY31"/>
  <c r="BA31" s="1"/>
  <c r="AX31"/>
  <c r="AW31"/>
  <c r="AV31"/>
  <c r="AU31"/>
  <c r="AT31"/>
  <c r="AS31"/>
  <c r="AR31"/>
  <c r="AQ31"/>
  <c r="AP31"/>
  <c r="AO31"/>
  <c r="AN31"/>
  <c r="AM31"/>
  <c r="AL31"/>
  <c r="AK31"/>
  <c r="AJ31"/>
  <c r="AI31"/>
  <c r="AH31"/>
  <c r="AG31"/>
  <c r="AF31"/>
  <c r="AE31"/>
  <c r="AD31"/>
  <c r="AC31"/>
  <c r="AB31"/>
  <c r="AA31"/>
  <c r="Z31"/>
  <c r="Y31"/>
  <c r="X31"/>
  <c r="W31"/>
  <c r="V31"/>
  <c r="U31"/>
  <c r="T31"/>
  <c r="S31"/>
  <c r="R31"/>
  <c r="Q31"/>
  <c r="P31"/>
  <c r="O31"/>
  <c r="N31"/>
  <c r="M31"/>
  <c r="L31"/>
  <c r="K31"/>
  <c r="J31"/>
  <c r="I31"/>
  <c r="AZ30"/>
  <c r="AY30"/>
  <c r="BA30" s="1"/>
  <c r="AX30"/>
  <c r="AW30"/>
  <c r="AV30"/>
  <c r="AU30"/>
  <c r="AT30"/>
  <c r="AS30"/>
  <c r="AR30"/>
  <c r="AQ30"/>
  <c r="AP30"/>
  <c r="AO30"/>
  <c r="AN30"/>
  <c r="AM30"/>
  <c r="AL30"/>
  <c r="AK30"/>
  <c r="AJ30"/>
  <c r="AI30"/>
  <c r="AH30"/>
  <c r="AG30"/>
  <c r="AF30"/>
  <c r="AE30"/>
  <c r="AD30"/>
  <c r="AC30"/>
  <c r="AB30"/>
  <c r="AA30"/>
  <c r="Z30"/>
  <c r="Y30"/>
  <c r="X30"/>
  <c r="W30"/>
  <c r="V30"/>
  <c r="U30"/>
  <c r="T30"/>
  <c r="S30"/>
  <c r="R30"/>
  <c r="Q30"/>
  <c r="P30"/>
  <c r="O30"/>
  <c r="N30"/>
  <c r="M30"/>
  <c r="L30"/>
  <c r="K30"/>
  <c r="J30"/>
  <c r="I30"/>
  <c r="AZ29"/>
  <c r="AY29"/>
  <c r="BA29" s="1"/>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AZ28"/>
  <c r="AY28"/>
  <c r="BA28" s="1"/>
  <c r="AX28"/>
  <c r="AW28"/>
  <c r="AV28"/>
  <c r="AU28"/>
  <c r="AT28"/>
  <c r="AS28"/>
  <c r="AR28"/>
  <c r="AQ28"/>
  <c r="AP28"/>
  <c r="AO28"/>
  <c r="AN28"/>
  <c r="AM28"/>
  <c r="AL28"/>
  <c r="AK28"/>
  <c r="AJ28"/>
  <c r="AI28"/>
  <c r="AH28"/>
  <c r="AG28"/>
  <c r="AF28"/>
  <c r="AE28"/>
  <c r="AD28"/>
  <c r="AC28"/>
  <c r="AB28"/>
  <c r="AA28"/>
  <c r="Z28"/>
  <c r="Y28"/>
  <c r="X28"/>
  <c r="W28"/>
  <c r="V28"/>
  <c r="U28"/>
  <c r="T28"/>
  <c r="S28"/>
  <c r="R28"/>
  <c r="Q28"/>
  <c r="P28"/>
  <c r="O28"/>
  <c r="N28"/>
  <c r="M28"/>
  <c r="L28"/>
  <c r="K28"/>
  <c r="J28"/>
  <c r="I28"/>
  <c r="AZ27"/>
  <c r="AY27"/>
  <c r="BA27" s="1"/>
  <c r="AX27"/>
  <c r="AW27"/>
  <c r="AV27"/>
  <c r="AU27"/>
  <c r="AT27"/>
  <c r="AS27"/>
  <c r="AR27"/>
  <c r="AQ27"/>
  <c r="AP27"/>
  <c r="AO27"/>
  <c r="AN27"/>
  <c r="AM27"/>
  <c r="AL27"/>
  <c r="AK27"/>
  <c r="AJ27"/>
  <c r="AI27"/>
  <c r="AH27"/>
  <c r="AG27"/>
  <c r="AF27"/>
  <c r="AE27"/>
  <c r="AD27"/>
  <c r="AC27"/>
  <c r="AB27"/>
  <c r="AA27"/>
  <c r="Z27"/>
  <c r="Y27"/>
  <c r="X27"/>
  <c r="W27"/>
  <c r="V27"/>
  <c r="U27"/>
  <c r="T27"/>
  <c r="S27"/>
  <c r="R27"/>
  <c r="Q27"/>
  <c r="P27"/>
  <c r="O27"/>
  <c r="N27"/>
  <c r="M27"/>
  <c r="L27"/>
  <c r="K27"/>
  <c r="J27"/>
  <c r="I27"/>
  <c r="AZ26"/>
  <c r="AY26"/>
  <c r="BA26" s="1"/>
  <c r="AX26"/>
  <c r="AW26"/>
  <c r="AV26"/>
  <c r="AU26"/>
  <c r="AT26"/>
  <c r="AS26"/>
  <c r="AR26"/>
  <c r="AQ26"/>
  <c r="AP26"/>
  <c r="AO26"/>
  <c r="AN26"/>
  <c r="AM26"/>
  <c r="AL26"/>
  <c r="AK26"/>
  <c r="AJ26"/>
  <c r="AI26"/>
  <c r="AH26"/>
  <c r="AG26"/>
  <c r="AF26"/>
  <c r="AE26"/>
  <c r="AD26"/>
  <c r="AC26"/>
  <c r="AB26"/>
  <c r="AA26"/>
  <c r="Z26"/>
  <c r="Y26"/>
  <c r="X26"/>
  <c r="W26"/>
  <c r="V26"/>
  <c r="U26"/>
  <c r="T26"/>
  <c r="S26"/>
  <c r="R26"/>
  <c r="Q26"/>
  <c r="P26"/>
  <c r="O26"/>
  <c r="N26"/>
  <c r="M26"/>
  <c r="L26"/>
  <c r="K26"/>
  <c r="J26"/>
  <c r="I26"/>
  <c r="AZ25"/>
  <c r="AY25"/>
  <c r="BA25" s="1"/>
  <c r="AX25"/>
  <c r="AW25"/>
  <c r="AV25"/>
  <c r="AU25"/>
  <c r="AT25"/>
  <c r="AS25"/>
  <c r="AR25"/>
  <c r="AQ25"/>
  <c r="AP25"/>
  <c r="AO25"/>
  <c r="AN25"/>
  <c r="AM25"/>
  <c r="AL25"/>
  <c r="AK25"/>
  <c r="AJ25"/>
  <c r="AI25"/>
  <c r="AH25"/>
  <c r="AG25"/>
  <c r="AF25"/>
  <c r="AE25"/>
  <c r="AD25"/>
  <c r="AC25"/>
  <c r="AB25"/>
  <c r="AA25"/>
  <c r="Z25"/>
  <c r="Y25"/>
  <c r="X25"/>
  <c r="W25"/>
  <c r="V25"/>
  <c r="U25"/>
  <c r="T25"/>
  <c r="S25"/>
  <c r="R25"/>
  <c r="Q25"/>
  <c r="P25"/>
  <c r="O25"/>
  <c r="N25"/>
  <c r="M25"/>
  <c r="L25"/>
  <c r="K25"/>
  <c r="J25"/>
  <c r="I25"/>
  <c r="AZ24"/>
  <c r="AY24"/>
  <c r="BA24" s="1"/>
  <c r="AX24"/>
  <c r="AW24"/>
  <c r="AV24"/>
  <c r="AU24"/>
  <c r="AT24"/>
  <c r="AS24"/>
  <c r="AR24"/>
  <c r="AQ24"/>
  <c r="AP24"/>
  <c r="AO24"/>
  <c r="AN24"/>
  <c r="AM24"/>
  <c r="AL24"/>
  <c r="AK24"/>
  <c r="AJ24"/>
  <c r="AI24"/>
  <c r="AH24"/>
  <c r="AG24"/>
  <c r="AF24"/>
  <c r="AE24"/>
  <c r="AD24"/>
  <c r="AC24"/>
  <c r="AB24"/>
  <c r="AA24"/>
  <c r="Z24"/>
  <c r="Y24"/>
  <c r="X24"/>
  <c r="W24"/>
  <c r="V24"/>
  <c r="U24"/>
  <c r="T24"/>
  <c r="S24"/>
  <c r="R24"/>
  <c r="Q24"/>
  <c r="P24"/>
  <c r="O24"/>
  <c r="N24"/>
  <c r="M24"/>
  <c r="L24"/>
  <c r="K24"/>
  <c r="J24"/>
  <c r="I24"/>
  <c r="AZ23"/>
  <c r="AY23"/>
  <c r="BA23" s="1"/>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AZ22"/>
  <c r="AY22"/>
  <c r="BA22" s="1"/>
  <c r="AX22"/>
  <c r="AW22"/>
  <c r="AV22"/>
  <c r="AU22"/>
  <c r="AT22"/>
  <c r="AS22"/>
  <c r="AR22"/>
  <c r="AQ22"/>
  <c r="AP22"/>
  <c r="AO22"/>
  <c r="AN22"/>
  <c r="AM22"/>
  <c r="AL22"/>
  <c r="AK22"/>
  <c r="AJ22"/>
  <c r="AI22"/>
  <c r="AH22"/>
  <c r="AG22"/>
  <c r="AF22"/>
  <c r="AE22"/>
  <c r="AD22"/>
  <c r="AC22"/>
  <c r="AB22"/>
  <c r="AA22"/>
  <c r="Z22"/>
  <c r="Y22"/>
  <c r="X22"/>
  <c r="W22"/>
  <c r="V22"/>
  <c r="U22"/>
  <c r="T22"/>
  <c r="S22"/>
  <c r="R22"/>
  <c r="Q22"/>
  <c r="P22"/>
  <c r="O22"/>
  <c r="N22"/>
  <c r="M22"/>
  <c r="L22"/>
  <c r="K22"/>
  <c r="J22"/>
  <c r="I22"/>
  <c r="AZ21"/>
  <c r="AY21"/>
  <c r="BA21" s="1"/>
  <c r="AX21"/>
  <c r="AW21"/>
  <c r="AV21"/>
  <c r="AU21"/>
  <c r="AT21"/>
  <c r="AS21"/>
  <c r="AR21"/>
  <c r="AQ21"/>
  <c r="AP21"/>
  <c r="AO21"/>
  <c r="AN21"/>
  <c r="AM21"/>
  <c r="AL21"/>
  <c r="AK21"/>
  <c r="AJ21"/>
  <c r="AI21"/>
  <c r="AH21"/>
  <c r="AG21"/>
  <c r="AF21"/>
  <c r="AE21"/>
  <c r="AD21"/>
  <c r="AC21"/>
  <c r="AB21"/>
  <c r="AA21"/>
  <c r="Z21"/>
  <c r="Y21"/>
  <c r="X21"/>
  <c r="W21"/>
  <c r="V21"/>
  <c r="U21"/>
  <c r="T21"/>
  <c r="S21"/>
  <c r="R21"/>
  <c r="Q21"/>
  <c r="P21"/>
  <c r="O21"/>
  <c r="N21"/>
  <c r="M21"/>
  <c r="L21"/>
  <c r="K21"/>
  <c r="J21"/>
  <c r="I21"/>
  <c r="AZ20"/>
  <c r="AY20"/>
  <c r="BA20" s="1"/>
  <c r="AX20"/>
  <c r="AW20"/>
  <c r="AV20"/>
  <c r="AU20"/>
  <c r="AT20"/>
  <c r="AS20"/>
  <c r="AR20"/>
  <c r="AQ20"/>
  <c r="AP20"/>
  <c r="AO20"/>
  <c r="AN20"/>
  <c r="AM20"/>
  <c r="AL20"/>
  <c r="AK20"/>
  <c r="AJ20"/>
  <c r="AI20"/>
  <c r="AH20"/>
  <c r="AG20"/>
  <c r="AF20"/>
  <c r="AE20"/>
  <c r="AD20"/>
  <c r="AC20"/>
  <c r="AB20"/>
  <c r="AA20"/>
  <c r="Z20"/>
  <c r="Y20"/>
  <c r="X20"/>
  <c r="W20"/>
  <c r="V20"/>
  <c r="U20"/>
  <c r="T20"/>
  <c r="S20"/>
  <c r="R20"/>
  <c r="Q20"/>
  <c r="P20"/>
  <c r="O20"/>
  <c r="N20"/>
  <c r="M20"/>
  <c r="L20"/>
  <c r="K20"/>
  <c r="J20"/>
  <c r="I20"/>
  <c r="AZ19"/>
  <c r="AY19"/>
  <c r="BA19" s="1"/>
  <c r="AX19"/>
  <c r="AW19"/>
  <c r="AV19"/>
  <c r="AU19"/>
  <c r="AT19"/>
  <c r="AS19"/>
  <c r="AR19"/>
  <c r="AQ19"/>
  <c r="AP19"/>
  <c r="AO19"/>
  <c r="AN19"/>
  <c r="AM19"/>
  <c r="AL19"/>
  <c r="AK19"/>
  <c r="AJ19"/>
  <c r="AI19"/>
  <c r="AH19"/>
  <c r="AG19"/>
  <c r="AF19"/>
  <c r="AE19"/>
  <c r="AD19"/>
  <c r="AC19"/>
  <c r="AB19"/>
  <c r="AA19"/>
  <c r="Z19"/>
  <c r="Y19"/>
  <c r="X19"/>
  <c r="W19"/>
  <c r="V19"/>
  <c r="U19"/>
  <c r="T19"/>
  <c r="S19"/>
  <c r="R19"/>
  <c r="Q19"/>
  <c r="P19"/>
  <c r="O19"/>
  <c r="N19"/>
  <c r="M19"/>
  <c r="L19"/>
  <c r="K19"/>
  <c r="J19"/>
  <c r="I19"/>
  <c r="AZ18"/>
  <c r="AY18"/>
  <c r="BA18" s="1"/>
  <c r="AX18"/>
  <c r="AW18"/>
  <c r="AV18"/>
  <c r="AU18"/>
  <c r="AT18"/>
  <c r="AS18"/>
  <c r="AR18"/>
  <c r="AQ18"/>
  <c r="AP18"/>
  <c r="AO18"/>
  <c r="AN18"/>
  <c r="AM18"/>
  <c r="AL18"/>
  <c r="AK18"/>
  <c r="AJ18"/>
  <c r="AI18"/>
  <c r="AH18"/>
  <c r="AG18"/>
  <c r="AF18"/>
  <c r="AE18"/>
  <c r="AD18"/>
  <c r="AC18"/>
  <c r="AB18"/>
  <c r="AA18"/>
  <c r="Z18"/>
  <c r="Y18"/>
  <c r="X18"/>
  <c r="W18"/>
  <c r="V18"/>
  <c r="U18"/>
  <c r="T18"/>
  <c r="S18"/>
  <c r="R18"/>
  <c r="Q18"/>
  <c r="P18"/>
  <c r="O18"/>
  <c r="N18"/>
  <c r="M18"/>
  <c r="L18"/>
  <c r="K18"/>
  <c r="J18"/>
  <c r="I18"/>
  <c r="AZ17"/>
  <c r="AY17"/>
  <c r="BA17" s="1"/>
  <c r="AX17"/>
  <c r="AW17"/>
  <c r="AV17"/>
  <c r="AU17"/>
  <c r="AT17"/>
  <c r="AS17"/>
  <c r="AR17"/>
  <c r="AQ17"/>
  <c r="AP17"/>
  <c r="AO17"/>
  <c r="AN17"/>
  <c r="AM17"/>
  <c r="AL17"/>
  <c r="AK17"/>
  <c r="AJ17"/>
  <c r="AI17"/>
  <c r="AH17"/>
  <c r="AG17"/>
  <c r="AF17"/>
  <c r="AE17"/>
  <c r="AD17"/>
  <c r="AC17"/>
  <c r="AB17"/>
  <c r="AA17"/>
  <c r="Z17"/>
  <c r="Y17"/>
  <c r="X17"/>
  <c r="W17"/>
  <c r="V17"/>
  <c r="U17"/>
  <c r="T17"/>
  <c r="S17"/>
  <c r="R17"/>
  <c r="Q17"/>
  <c r="P17"/>
  <c r="O17"/>
  <c r="N17"/>
  <c r="M17"/>
  <c r="L17"/>
  <c r="K17"/>
  <c r="J17"/>
  <c r="I17"/>
  <c r="AZ16"/>
  <c r="AY16"/>
  <c r="BA16" s="1"/>
  <c r="AX16"/>
  <c r="AW16"/>
  <c r="AV16"/>
  <c r="AU16"/>
  <c r="AT16"/>
  <c r="AS16"/>
  <c r="AR16"/>
  <c r="AQ16"/>
  <c r="AP16"/>
  <c r="AO16"/>
  <c r="AN16"/>
  <c r="AM16"/>
  <c r="AL16"/>
  <c r="AK16"/>
  <c r="AJ16"/>
  <c r="AI16"/>
  <c r="AH16"/>
  <c r="AG16"/>
  <c r="AF16"/>
  <c r="AE16"/>
  <c r="AD16"/>
  <c r="AC16"/>
  <c r="AB16"/>
  <c r="AA16"/>
  <c r="Z16"/>
  <c r="Y16"/>
  <c r="X16"/>
  <c r="W16"/>
  <c r="V16"/>
  <c r="U16"/>
  <c r="T16"/>
  <c r="S16"/>
  <c r="R16"/>
  <c r="Q16"/>
  <c r="P16"/>
  <c r="O16"/>
  <c r="N16"/>
  <c r="M16"/>
  <c r="L16"/>
  <c r="K16"/>
  <c r="J16"/>
  <c r="AZ15"/>
  <c r="AY15"/>
  <c r="BA15" s="1"/>
  <c r="AX15"/>
  <c r="AW15"/>
  <c r="AV15"/>
  <c r="AU15"/>
  <c r="AT15"/>
  <c r="AS15"/>
  <c r="AR15"/>
  <c r="AQ15"/>
  <c r="AP15"/>
  <c r="AO15"/>
  <c r="AN15"/>
  <c r="AM15"/>
  <c r="AL15"/>
  <c r="AK15"/>
  <c r="AJ15"/>
  <c r="AI15"/>
  <c r="AH15"/>
  <c r="AG15"/>
  <c r="AF15"/>
  <c r="AE15"/>
  <c r="AD15"/>
  <c r="AC15"/>
  <c r="AB15"/>
  <c r="AA15"/>
  <c r="Z15"/>
  <c r="Y15"/>
  <c r="X15"/>
  <c r="W15"/>
  <c r="V15"/>
  <c r="U15"/>
  <c r="T15"/>
  <c r="S15"/>
  <c r="R15"/>
  <c r="Q15"/>
  <c r="P15"/>
  <c r="O15"/>
  <c r="N15"/>
  <c r="M15"/>
  <c r="L15"/>
  <c r="K15"/>
  <c r="J15"/>
  <c r="I15"/>
  <c r="AZ14"/>
  <c r="AY14"/>
  <c r="BA14" s="1"/>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AZ13"/>
  <c r="AY13"/>
  <c r="BA13" s="1"/>
  <c r="AX13"/>
  <c r="AW13"/>
  <c r="AV13"/>
  <c r="AU13"/>
  <c r="AT13"/>
  <c r="AS13"/>
  <c r="AR13"/>
  <c r="AQ13"/>
  <c r="AP13"/>
  <c r="AO13"/>
  <c r="AN13"/>
  <c r="AM13"/>
  <c r="AL13"/>
  <c r="AK13"/>
  <c r="AJ13"/>
  <c r="AI13"/>
  <c r="AH13"/>
  <c r="AG13"/>
  <c r="AF13"/>
  <c r="AE13"/>
  <c r="AD13"/>
  <c r="AC13"/>
  <c r="AB13"/>
  <c r="AA13"/>
  <c r="Z13"/>
  <c r="Y13"/>
  <c r="X13"/>
  <c r="W13"/>
  <c r="V13"/>
  <c r="U13"/>
  <c r="T13"/>
  <c r="S13"/>
  <c r="R13"/>
  <c r="Q13"/>
  <c r="P13"/>
  <c r="O13"/>
  <c r="N13"/>
  <c r="M13"/>
  <c r="L13"/>
  <c r="K13"/>
  <c r="J13"/>
  <c r="I13"/>
  <c r="AZ12"/>
  <c r="AY12"/>
  <c r="BA12" s="1"/>
  <c r="AX12"/>
  <c r="AW12"/>
  <c r="AV12"/>
  <c r="AU12"/>
  <c r="AT12"/>
  <c r="AS12"/>
  <c r="AR12"/>
  <c r="AQ12"/>
  <c r="AP12"/>
  <c r="AO12"/>
  <c r="AN12"/>
  <c r="AM12"/>
  <c r="AL12"/>
  <c r="AK12"/>
  <c r="AJ12"/>
  <c r="AI12"/>
  <c r="AH12"/>
  <c r="AG12"/>
  <c r="AF12"/>
  <c r="AE12"/>
  <c r="AD12"/>
  <c r="AC12"/>
  <c r="AB12"/>
  <c r="AA12"/>
  <c r="Z12"/>
  <c r="Y12"/>
  <c r="X12"/>
  <c r="W12"/>
  <c r="V12"/>
  <c r="U12"/>
  <c r="T12"/>
  <c r="S12"/>
  <c r="R12"/>
  <c r="Q12"/>
  <c r="P12"/>
  <c r="O12"/>
  <c r="N12"/>
  <c r="M12"/>
  <c r="L12"/>
  <c r="K12"/>
  <c r="J12"/>
  <c r="I12"/>
  <c r="AZ11"/>
  <c r="AY11"/>
  <c r="AX11"/>
  <c r="AW11"/>
  <c r="AV11"/>
  <c r="AU11"/>
  <c r="AT11"/>
  <c r="AS11"/>
  <c r="AR11"/>
  <c r="AQ11"/>
  <c r="AP11"/>
  <c r="AO11"/>
  <c r="AN11"/>
  <c r="AM11"/>
  <c r="AL11"/>
  <c r="AK11"/>
  <c r="AJ11"/>
  <c r="AI11"/>
  <c r="AH11"/>
  <c r="AG11"/>
  <c r="AF11"/>
  <c r="AE11"/>
  <c r="AD11"/>
  <c r="AC11"/>
  <c r="AB11"/>
  <c r="AA11"/>
  <c r="Z11"/>
  <c r="Y11"/>
  <c r="X11"/>
  <c r="W11"/>
  <c r="V11"/>
  <c r="U11"/>
  <c r="T11"/>
  <c r="S11"/>
  <c r="R11"/>
  <c r="Q11"/>
  <c r="P11"/>
  <c r="O11"/>
  <c r="N11"/>
  <c r="M11"/>
  <c r="L11"/>
  <c r="K11"/>
  <c r="J11"/>
  <c r="I11"/>
  <c r="AZ10"/>
  <c r="AY10"/>
  <c r="BA10" s="1"/>
  <c r="AX10"/>
  <c r="AW10"/>
  <c r="AV10"/>
  <c r="AU10"/>
  <c r="AT10"/>
  <c r="AS10"/>
  <c r="AR10"/>
  <c r="AQ10"/>
  <c r="AP10"/>
  <c r="AO10"/>
  <c r="AN10"/>
  <c r="AM10"/>
  <c r="AL10"/>
  <c r="AK10"/>
  <c r="AJ10"/>
  <c r="AI10"/>
  <c r="AH10"/>
  <c r="AG10"/>
  <c r="AF10"/>
  <c r="AE10"/>
  <c r="AD10"/>
  <c r="AC10"/>
  <c r="AB10"/>
  <c r="AA10"/>
  <c r="Z10"/>
  <c r="Y10"/>
  <c r="X10"/>
  <c r="W10"/>
  <c r="V10"/>
  <c r="U10"/>
  <c r="T10"/>
  <c r="S10"/>
  <c r="R10"/>
  <c r="Q10"/>
  <c r="P10"/>
  <c r="O10"/>
  <c r="N10"/>
  <c r="M10"/>
  <c r="L10"/>
  <c r="K10"/>
  <c r="J10"/>
  <c r="I10"/>
  <c r="AZ9"/>
  <c r="AY9"/>
  <c r="BA9" s="1"/>
  <c r="AX9"/>
  <c r="AW9"/>
  <c r="AV9"/>
  <c r="AU9"/>
  <c r="AT9"/>
  <c r="AS9"/>
  <c r="AR9"/>
  <c r="AQ9"/>
  <c r="AP9"/>
  <c r="AO9"/>
  <c r="AN9"/>
  <c r="AM9"/>
  <c r="AL9"/>
  <c r="AK9"/>
  <c r="AJ9"/>
  <c r="AI9"/>
  <c r="AH9"/>
  <c r="AG9"/>
  <c r="AF9"/>
  <c r="AE9"/>
  <c r="AD9"/>
  <c r="AC9"/>
  <c r="AB9"/>
  <c r="AA9"/>
  <c r="Z9"/>
  <c r="Y9"/>
  <c r="X9"/>
  <c r="W9"/>
  <c r="V9"/>
  <c r="U9"/>
  <c r="T9"/>
  <c r="S9"/>
  <c r="R9"/>
  <c r="Q9"/>
  <c r="P9"/>
  <c r="O9"/>
  <c r="N9"/>
  <c r="M9"/>
  <c r="L9"/>
  <c r="K9"/>
  <c r="J9"/>
  <c r="I9"/>
  <c r="AZ8"/>
  <c r="AY8"/>
  <c r="BA8" s="1"/>
  <c r="AX8"/>
  <c r="AW8"/>
  <c r="AV8"/>
  <c r="AU8"/>
  <c r="AT8"/>
  <c r="AS8"/>
  <c r="AR8"/>
  <c r="AQ8"/>
  <c r="AP8"/>
  <c r="AO8"/>
  <c r="AN8"/>
  <c r="AM8"/>
  <c r="AL8"/>
  <c r="AK8"/>
  <c r="AJ8"/>
  <c r="AI8"/>
  <c r="AH8"/>
  <c r="AG8"/>
  <c r="AF8"/>
  <c r="AE8"/>
  <c r="AD8"/>
  <c r="AC8"/>
  <c r="AB8"/>
  <c r="AA8"/>
  <c r="Z8"/>
  <c r="Y8"/>
  <c r="X8"/>
  <c r="W8"/>
  <c r="V8"/>
  <c r="U8"/>
  <c r="T8"/>
  <c r="S8"/>
  <c r="R8"/>
  <c r="Q8"/>
  <c r="P8"/>
  <c r="O8"/>
  <c r="N8"/>
  <c r="M8"/>
  <c r="L8"/>
  <c r="K8"/>
  <c r="J8"/>
  <c r="I8"/>
  <c r="AZ7"/>
  <c r="AY7"/>
  <c r="BA7" s="1"/>
  <c r="AX7"/>
  <c r="AW7"/>
  <c r="AV7"/>
  <c r="AU7"/>
  <c r="AT7"/>
  <c r="AS7"/>
  <c r="AR7"/>
  <c r="AQ7"/>
  <c r="AP7"/>
  <c r="AO7"/>
  <c r="AN7"/>
  <c r="AM7"/>
  <c r="AL7"/>
  <c r="AK7"/>
  <c r="AJ7"/>
  <c r="AI7"/>
  <c r="AH7"/>
  <c r="AG7"/>
  <c r="AF7"/>
  <c r="AE7"/>
  <c r="AD7"/>
  <c r="AC7"/>
  <c r="AB7"/>
  <c r="AA7"/>
  <c r="Z7"/>
  <c r="Y7"/>
  <c r="X7"/>
  <c r="W7"/>
  <c r="V7"/>
  <c r="U7"/>
  <c r="T7"/>
  <c r="S7"/>
  <c r="R7"/>
  <c r="Q7"/>
  <c r="P7"/>
  <c r="O7"/>
  <c r="N7"/>
  <c r="M7"/>
  <c r="L7"/>
  <c r="K7"/>
  <c r="J7"/>
  <c r="G46"/>
  <c r="BB46" s="1"/>
  <c r="F46"/>
  <c r="E46"/>
  <c r="BA11"/>
  <c r="AY4"/>
  <c r="AV4"/>
  <c r="AS4"/>
  <c r="AP4"/>
  <c r="AM4"/>
  <c r="AJ4"/>
  <c r="AG4"/>
  <c r="AD4"/>
  <c r="AA4"/>
  <c r="X4"/>
  <c r="U4"/>
  <c r="R4"/>
  <c r="O4"/>
  <c r="L4"/>
  <c r="I4"/>
  <c r="E4"/>
  <c r="I8" i="103"/>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BA8" s="1"/>
  <c r="AZ8"/>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BA9" s="1"/>
  <c r="AZ9"/>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BA10" s="1"/>
  <c r="AZ10"/>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BA11" s="1"/>
  <c r="AZ11"/>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BA13" s="1"/>
  <c r="AZ13"/>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BA14" s="1"/>
  <c r="AZ14"/>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BA15" s="1"/>
  <c r="AZ15"/>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BA16" s="1"/>
  <c r="AZ16"/>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BA17" s="1"/>
  <c r="AZ17"/>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BA18" s="1"/>
  <c r="AZ18"/>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BA19" s="1"/>
  <c r="AZ19"/>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BA20" s="1"/>
  <c r="AZ20"/>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BA21" s="1"/>
  <c r="AZ21"/>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BA22" s="1"/>
  <c r="AZ22"/>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BA23" s="1"/>
  <c r="AZ23"/>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BA24" s="1"/>
  <c r="AZ24"/>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BA25" s="1"/>
  <c r="AZ25"/>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BA26" s="1"/>
  <c r="AZ26"/>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BA27" s="1"/>
  <c r="AZ27"/>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BA28" s="1"/>
  <c r="AZ28"/>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BA29" s="1"/>
  <c r="AZ29"/>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BA30" s="1"/>
  <c r="AZ30"/>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BA31" s="1"/>
  <c r="AZ31"/>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BA32" s="1"/>
  <c r="AZ32"/>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BA33" s="1"/>
  <c r="AZ33"/>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BA34" s="1"/>
  <c r="AZ34"/>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BA35" s="1"/>
  <c r="AZ35"/>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BA36" s="1"/>
  <c r="AZ36"/>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BA37" s="1"/>
  <c r="AZ37"/>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BA38" s="1"/>
  <c r="AZ38"/>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BA39" s="1"/>
  <c r="AZ39"/>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BA40" s="1"/>
  <c r="AZ40"/>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BA41" s="1"/>
  <c r="AZ41"/>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BA42" s="1"/>
  <c r="AZ42"/>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BA43" s="1"/>
  <c r="AZ43"/>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BA44" s="1"/>
  <c r="AZ44"/>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BA45" s="1"/>
  <c r="AZ45"/>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BA46" s="1"/>
  <c r="AZ46"/>
  <c r="K7"/>
  <c r="N7"/>
  <c r="O7"/>
  <c r="P7"/>
  <c r="Q7"/>
  <c r="R7"/>
  <c r="S7"/>
  <c r="T7"/>
  <c r="U7"/>
  <c r="V7"/>
  <c r="W7"/>
  <c r="X7"/>
  <c r="Y7"/>
  <c r="Z7"/>
  <c r="AA7"/>
  <c r="AB7"/>
  <c r="AC7"/>
  <c r="AD7"/>
  <c r="AE7"/>
  <c r="AF7"/>
  <c r="AG7"/>
  <c r="AH7"/>
  <c r="AI7"/>
  <c r="AJ7"/>
  <c r="AK7"/>
  <c r="AL7"/>
  <c r="AM7"/>
  <c r="AN7"/>
  <c r="AO7"/>
  <c r="AP7"/>
  <c r="AQ7"/>
  <c r="AR7"/>
  <c r="AS7"/>
  <c r="AT7"/>
  <c r="AU7"/>
  <c r="AV7"/>
  <c r="AW7"/>
  <c r="AX7"/>
  <c r="AY7"/>
  <c r="BA7" s="1"/>
  <c r="AZ7"/>
  <c r="BA12"/>
  <c r="G46"/>
  <c r="BB46" s="1"/>
  <c r="F46"/>
  <c r="E46"/>
  <c r="AY4"/>
  <c r="AV4"/>
  <c r="AS4"/>
  <c r="AP4"/>
  <c r="AM4"/>
  <c r="AJ4"/>
  <c r="AG4"/>
  <c r="AD4"/>
  <c r="AA4"/>
  <c r="X4"/>
  <c r="U4"/>
  <c r="R4"/>
  <c r="O4"/>
  <c r="L4"/>
  <c r="I4"/>
  <c r="E4"/>
  <c r="AL46" i="101"/>
  <c r="AK46"/>
  <c r="AJ46"/>
  <c r="AI46"/>
  <c r="AH46"/>
  <c r="AG46"/>
  <c r="AF46"/>
  <c r="AE46"/>
  <c r="AD46"/>
  <c r="AC46"/>
  <c r="AB46"/>
  <c r="AA46"/>
  <c r="Z46"/>
  <c r="Y46"/>
  <c r="X46"/>
  <c r="W46"/>
  <c r="V46"/>
  <c r="U46"/>
  <c r="T46"/>
  <c r="S46"/>
  <c r="R46"/>
  <c r="Q46"/>
  <c r="P46"/>
  <c r="O46"/>
  <c r="N46"/>
  <c r="M46"/>
  <c r="L46"/>
  <c r="K46"/>
  <c r="J46"/>
  <c r="I46"/>
  <c r="AL45"/>
  <c r="AK45"/>
  <c r="AJ45"/>
  <c r="AI45"/>
  <c r="AH45"/>
  <c r="AG45"/>
  <c r="AF45"/>
  <c r="AE45"/>
  <c r="AD45"/>
  <c r="AC45"/>
  <c r="AB45"/>
  <c r="AA45"/>
  <c r="Z45"/>
  <c r="Y45"/>
  <c r="X45"/>
  <c r="W45"/>
  <c r="V45"/>
  <c r="U45"/>
  <c r="T45"/>
  <c r="S45"/>
  <c r="R45"/>
  <c r="Q45"/>
  <c r="P45"/>
  <c r="O45"/>
  <c r="N45"/>
  <c r="M45"/>
  <c r="L45"/>
  <c r="K45"/>
  <c r="J45"/>
  <c r="I45"/>
  <c r="AL44"/>
  <c r="AK44"/>
  <c r="AJ44"/>
  <c r="AI44"/>
  <c r="AH44"/>
  <c r="AG44"/>
  <c r="AF44"/>
  <c r="AE44"/>
  <c r="AD44"/>
  <c r="AC44"/>
  <c r="AB44"/>
  <c r="AA44"/>
  <c r="Z44"/>
  <c r="Y44"/>
  <c r="X44"/>
  <c r="W44"/>
  <c r="V44"/>
  <c r="U44"/>
  <c r="T44"/>
  <c r="S44"/>
  <c r="R44"/>
  <c r="Q44"/>
  <c r="P44"/>
  <c r="O44"/>
  <c r="N44"/>
  <c r="M44"/>
  <c r="L44"/>
  <c r="K44"/>
  <c r="J44"/>
  <c r="I44"/>
  <c r="AL43"/>
  <c r="AK43"/>
  <c r="AJ43"/>
  <c r="AI43"/>
  <c r="AH43"/>
  <c r="AG43"/>
  <c r="AF43"/>
  <c r="AE43"/>
  <c r="AD43"/>
  <c r="AC43"/>
  <c r="AB43"/>
  <c r="AA43"/>
  <c r="Z43"/>
  <c r="Y43"/>
  <c r="X43"/>
  <c r="W43"/>
  <c r="V43"/>
  <c r="U43"/>
  <c r="T43"/>
  <c r="S43"/>
  <c r="R43"/>
  <c r="Q43"/>
  <c r="P43"/>
  <c r="O43"/>
  <c r="N43"/>
  <c r="M43"/>
  <c r="L43"/>
  <c r="K43"/>
  <c r="J43"/>
  <c r="I43"/>
  <c r="AL42"/>
  <c r="AK42"/>
  <c r="AJ42"/>
  <c r="AI42"/>
  <c r="AH42"/>
  <c r="AG42"/>
  <c r="AF42"/>
  <c r="AE42"/>
  <c r="AD42"/>
  <c r="AC42"/>
  <c r="AB42"/>
  <c r="AA42"/>
  <c r="Z42"/>
  <c r="Y42"/>
  <c r="X42"/>
  <c r="W42"/>
  <c r="V42"/>
  <c r="U42"/>
  <c r="T42"/>
  <c r="S42"/>
  <c r="R42"/>
  <c r="Q42"/>
  <c r="P42"/>
  <c r="O42"/>
  <c r="N42"/>
  <c r="M42"/>
  <c r="L42"/>
  <c r="K42"/>
  <c r="J42"/>
  <c r="I42"/>
  <c r="AL41"/>
  <c r="AK41"/>
  <c r="AJ41"/>
  <c r="AI41"/>
  <c r="AH41"/>
  <c r="AG41"/>
  <c r="AF41"/>
  <c r="AE41"/>
  <c r="AD41"/>
  <c r="AC41"/>
  <c r="AB41"/>
  <c r="AA41"/>
  <c r="Z41"/>
  <c r="Y41"/>
  <c r="X41"/>
  <c r="W41"/>
  <c r="V41"/>
  <c r="U41"/>
  <c r="T41"/>
  <c r="S41"/>
  <c r="R41"/>
  <c r="Q41"/>
  <c r="P41"/>
  <c r="O41"/>
  <c r="N41"/>
  <c r="M41"/>
  <c r="L41"/>
  <c r="K41"/>
  <c r="J41"/>
  <c r="I41"/>
  <c r="AL40"/>
  <c r="AK40"/>
  <c r="AJ40"/>
  <c r="AI40"/>
  <c r="AH40"/>
  <c r="AG40"/>
  <c r="AF40"/>
  <c r="AE40"/>
  <c r="AD40"/>
  <c r="AC40"/>
  <c r="AB40"/>
  <c r="AA40"/>
  <c r="Z40"/>
  <c r="Y40"/>
  <c r="X40"/>
  <c r="W40"/>
  <c r="V40"/>
  <c r="U40"/>
  <c r="T40"/>
  <c r="S40"/>
  <c r="R40"/>
  <c r="Q40"/>
  <c r="P40"/>
  <c r="O40"/>
  <c r="N40"/>
  <c r="M40"/>
  <c r="L40"/>
  <c r="K40"/>
  <c r="J40"/>
  <c r="I40"/>
  <c r="AL39"/>
  <c r="AK39"/>
  <c r="AJ39"/>
  <c r="AI39"/>
  <c r="AH39"/>
  <c r="AG39"/>
  <c r="AF39"/>
  <c r="AE39"/>
  <c r="AD39"/>
  <c r="AC39"/>
  <c r="AB39"/>
  <c r="AA39"/>
  <c r="Z39"/>
  <c r="Y39"/>
  <c r="X39"/>
  <c r="W39"/>
  <c r="V39"/>
  <c r="U39"/>
  <c r="T39"/>
  <c r="S39"/>
  <c r="R39"/>
  <c r="Q39"/>
  <c r="P39"/>
  <c r="O39"/>
  <c r="N39"/>
  <c r="M39"/>
  <c r="L39"/>
  <c r="K39"/>
  <c r="J39"/>
  <c r="I39"/>
  <c r="AL38"/>
  <c r="AK38"/>
  <c r="AJ38"/>
  <c r="AI38"/>
  <c r="AH38"/>
  <c r="AG38"/>
  <c r="AF38"/>
  <c r="AE38"/>
  <c r="AD38"/>
  <c r="AC38"/>
  <c r="AB38"/>
  <c r="AA38"/>
  <c r="Z38"/>
  <c r="Y38"/>
  <c r="X38"/>
  <c r="W38"/>
  <c r="V38"/>
  <c r="U38"/>
  <c r="T38"/>
  <c r="S38"/>
  <c r="R38"/>
  <c r="Q38"/>
  <c r="P38"/>
  <c r="O38"/>
  <c r="N38"/>
  <c r="M38"/>
  <c r="L38"/>
  <c r="K38"/>
  <c r="J38"/>
  <c r="I38"/>
  <c r="AL37"/>
  <c r="AK37"/>
  <c r="AJ37"/>
  <c r="AI37"/>
  <c r="AH37"/>
  <c r="AG37"/>
  <c r="AF37"/>
  <c r="AE37"/>
  <c r="AD37"/>
  <c r="AC37"/>
  <c r="AB37"/>
  <c r="AA37"/>
  <c r="Z37"/>
  <c r="Y37"/>
  <c r="X37"/>
  <c r="W37"/>
  <c r="V37"/>
  <c r="U37"/>
  <c r="T37"/>
  <c r="S37"/>
  <c r="R37"/>
  <c r="Q37"/>
  <c r="P37"/>
  <c r="O37"/>
  <c r="N37"/>
  <c r="M37"/>
  <c r="L37"/>
  <c r="K37"/>
  <c r="J37"/>
  <c r="I37"/>
  <c r="AL36"/>
  <c r="AK36"/>
  <c r="AJ36"/>
  <c r="AI36"/>
  <c r="AH36"/>
  <c r="AG36"/>
  <c r="AF36"/>
  <c r="AE36"/>
  <c r="AD36"/>
  <c r="AC36"/>
  <c r="AB36"/>
  <c r="AA36"/>
  <c r="Z36"/>
  <c r="Y36"/>
  <c r="X36"/>
  <c r="W36"/>
  <c r="V36"/>
  <c r="U36"/>
  <c r="T36"/>
  <c r="S36"/>
  <c r="R36"/>
  <c r="Q36"/>
  <c r="P36"/>
  <c r="O36"/>
  <c r="N36"/>
  <c r="M36"/>
  <c r="L36"/>
  <c r="K36"/>
  <c r="J36"/>
  <c r="I36"/>
  <c r="AL35"/>
  <c r="AK35"/>
  <c r="AJ35"/>
  <c r="AI35"/>
  <c r="AH35"/>
  <c r="AG35"/>
  <c r="AF35"/>
  <c r="AE35"/>
  <c r="AD35"/>
  <c r="AC35"/>
  <c r="AB35"/>
  <c r="AA35"/>
  <c r="Z35"/>
  <c r="Y35"/>
  <c r="X35"/>
  <c r="W35"/>
  <c r="V35"/>
  <c r="U35"/>
  <c r="T35"/>
  <c r="S35"/>
  <c r="R35"/>
  <c r="Q35"/>
  <c r="P35"/>
  <c r="O35"/>
  <c r="N35"/>
  <c r="M35"/>
  <c r="L35"/>
  <c r="K35"/>
  <c r="J35"/>
  <c r="I35"/>
  <c r="AL34"/>
  <c r="AK34"/>
  <c r="AJ34"/>
  <c r="AI34"/>
  <c r="AH34"/>
  <c r="AG34"/>
  <c r="AF34"/>
  <c r="AE34"/>
  <c r="AD34"/>
  <c r="AC34"/>
  <c r="AB34"/>
  <c r="AA34"/>
  <c r="Z34"/>
  <c r="Y34"/>
  <c r="X34"/>
  <c r="W34"/>
  <c r="V34"/>
  <c r="U34"/>
  <c r="T34"/>
  <c r="S34"/>
  <c r="R34"/>
  <c r="Q34"/>
  <c r="P34"/>
  <c r="O34"/>
  <c r="N34"/>
  <c r="M34"/>
  <c r="L34"/>
  <c r="K34"/>
  <c r="J34"/>
  <c r="I34"/>
  <c r="AL33"/>
  <c r="AK33"/>
  <c r="AJ33"/>
  <c r="AI33"/>
  <c r="AH33"/>
  <c r="AG33"/>
  <c r="AF33"/>
  <c r="AE33"/>
  <c r="AD33"/>
  <c r="AC33"/>
  <c r="AB33"/>
  <c r="AA33"/>
  <c r="Z33"/>
  <c r="Y33"/>
  <c r="X33"/>
  <c r="W33"/>
  <c r="V33"/>
  <c r="U33"/>
  <c r="T33"/>
  <c r="S33"/>
  <c r="R33"/>
  <c r="Q33"/>
  <c r="P33"/>
  <c r="O33"/>
  <c r="N33"/>
  <c r="M33"/>
  <c r="L33"/>
  <c r="K33"/>
  <c r="J33"/>
  <c r="I33"/>
  <c r="AL32"/>
  <c r="AK32"/>
  <c r="AJ32"/>
  <c r="AI32"/>
  <c r="AH32"/>
  <c r="AG32"/>
  <c r="AF32"/>
  <c r="AE32"/>
  <c r="AD32"/>
  <c r="AC32"/>
  <c r="AB32"/>
  <c r="AA32"/>
  <c r="Z32"/>
  <c r="Y32"/>
  <c r="X32"/>
  <c r="W32"/>
  <c r="V32"/>
  <c r="U32"/>
  <c r="T32"/>
  <c r="S32"/>
  <c r="R32"/>
  <c r="Q32"/>
  <c r="P32"/>
  <c r="O32"/>
  <c r="N32"/>
  <c r="M32"/>
  <c r="L32"/>
  <c r="K32"/>
  <c r="J32"/>
  <c r="I32"/>
  <c r="AL31"/>
  <c r="AK31"/>
  <c r="AJ31"/>
  <c r="AI31"/>
  <c r="AH31"/>
  <c r="AG31"/>
  <c r="AF31"/>
  <c r="AE31"/>
  <c r="AD31"/>
  <c r="AC31"/>
  <c r="AB31"/>
  <c r="AA31"/>
  <c r="Z31"/>
  <c r="Y31"/>
  <c r="X31"/>
  <c r="W31"/>
  <c r="V31"/>
  <c r="U31"/>
  <c r="T31"/>
  <c r="S31"/>
  <c r="R31"/>
  <c r="Q31"/>
  <c r="P31"/>
  <c r="O31"/>
  <c r="N31"/>
  <c r="M31"/>
  <c r="L31"/>
  <c r="K31"/>
  <c r="J31"/>
  <c r="I31"/>
  <c r="AL30"/>
  <c r="AK30"/>
  <c r="AJ30"/>
  <c r="AI30"/>
  <c r="AH30"/>
  <c r="AG30"/>
  <c r="AF30"/>
  <c r="AE30"/>
  <c r="AD30"/>
  <c r="AC30"/>
  <c r="AB30"/>
  <c r="AA30"/>
  <c r="Z30"/>
  <c r="Y30"/>
  <c r="X30"/>
  <c r="W30"/>
  <c r="V30"/>
  <c r="U30"/>
  <c r="T30"/>
  <c r="S30"/>
  <c r="R30"/>
  <c r="Q30"/>
  <c r="P30"/>
  <c r="O30"/>
  <c r="N30"/>
  <c r="M30"/>
  <c r="L30"/>
  <c r="K30"/>
  <c r="J30"/>
  <c r="I30"/>
  <c r="AL29"/>
  <c r="AK29"/>
  <c r="AJ29"/>
  <c r="AI29"/>
  <c r="AH29"/>
  <c r="AG29"/>
  <c r="AF29"/>
  <c r="AE29"/>
  <c r="AD29"/>
  <c r="AC29"/>
  <c r="AB29"/>
  <c r="AA29"/>
  <c r="Z29"/>
  <c r="Y29"/>
  <c r="X29"/>
  <c r="W29"/>
  <c r="V29"/>
  <c r="U29"/>
  <c r="T29"/>
  <c r="S29"/>
  <c r="R29"/>
  <c r="Q29"/>
  <c r="P29"/>
  <c r="O29"/>
  <c r="N29"/>
  <c r="M29"/>
  <c r="L29"/>
  <c r="K29"/>
  <c r="J29"/>
  <c r="I29"/>
  <c r="AL28"/>
  <c r="AK28"/>
  <c r="AJ28"/>
  <c r="AI28"/>
  <c r="AH28"/>
  <c r="AG28"/>
  <c r="AF28"/>
  <c r="AE28"/>
  <c r="AD28"/>
  <c r="AC28"/>
  <c r="AB28"/>
  <c r="AA28"/>
  <c r="Z28"/>
  <c r="Y28"/>
  <c r="X28"/>
  <c r="W28"/>
  <c r="V28"/>
  <c r="U28"/>
  <c r="T28"/>
  <c r="S28"/>
  <c r="R28"/>
  <c r="Q28"/>
  <c r="P28"/>
  <c r="O28"/>
  <c r="N28"/>
  <c r="M28"/>
  <c r="L28"/>
  <c r="K28"/>
  <c r="J28"/>
  <c r="I28"/>
  <c r="AL27"/>
  <c r="AK27"/>
  <c r="AJ27"/>
  <c r="AI27"/>
  <c r="AH27"/>
  <c r="AG27"/>
  <c r="AF27"/>
  <c r="AE27"/>
  <c r="AD27"/>
  <c r="AC27"/>
  <c r="AB27"/>
  <c r="AA27"/>
  <c r="Z27"/>
  <c r="Y27"/>
  <c r="X27"/>
  <c r="W27"/>
  <c r="V27"/>
  <c r="U27"/>
  <c r="T27"/>
  <c r="S27"/>
  <c r="R27"/>
  <c r="Q27"/>
  <c r="P27"/>
  <c r="O27"/>
  <c r="N27"/>
  <c r="M27"/>
  <c r="L27"/>
  <c r="K27"/>
  <c r="J27"/>
  <c r="I27"/>
  <c r="AL26"/>
  <c r="AK26"/>
  <c r="AJ26"/>
  <c r="AI26"/>
  <c r="AH26"/>
  <c r="AG26"/>
  <c r="AF26"/>
  <c r="AE26"/>
  <c r="AD26"/>
  <c r="AC26"/>
  <c r="AB26"/>
  <c r="AA26"/>
  <c r="Z26"/>
  <c r="Y26"/>
  <c r="X26"/>
  <c r="W26"/>
  <c r="V26"/>
  <c r="U26"/>
  <c r="T26"/>
  <c r="S26"/>
  <c r="R26"/>
  <c r="Q26"/>
  <c r="P26"/>
  <c r="O26"/>
  <c r="N26"/>
  <c r="M26"/>
  <c r="L26"/>
  <c r="K26"/>
  <c r="J26"/>
  <c r="I26"/>
  <c r="AL25"/>
  <c r="AK25"/>
  <c r="AJ25"/>
  <c r="AI25"/>
  <c r="AH25"/>
  <c r="AG25"/>
  <c r="AF25"/>
  <c r="AE25"/>
  <c r="AD25"/>
  <c r="AC25"/>
  <c r="AB25"/>
  <c r="AA25"/>
  <c r="Z25"/>
  <c r="Y25"/>
  <c r="X25"/>
  <c r="W25"/>
  <c r="V25"/>
  <c r="U25"/>
  <c r="T25"/>
  <c r="S25"/>
  <c r="R25"/>
  <c r="Q25"/>
  <c r="P25"/>
  <c r="O25"/>
  <c r="N25"/>
  <c r="M25"/>
  <c r="L25"/>
  <c r="K25"/>
  <c r="J25"/>
  <c r="I25"/>
  <c r="AL24"/>
  <c r="AK24"/>
  <c r="AJ24"/>
  <c r="AI24"/>
  <c r="AH24"/>
  <c r="AG24"/>
  <c r="AF24"/>
  <c r="AE24"/>
  <c r="AD24"/>
  <c r="AC24"/>
  <c r="AB24"/>
  <c r="AA24"/>
  <c r="Z24"/>
  <c r="Y24"/>
  <c r="X24"/>
  <c r="W24"/>
  <c r="V24"/>
  <c r="U24"/>
  <c r="T24"/>
  <c r="S24"/>
  <c r="R24"/>
  <c r="Q24"/>
  <c r="P24"/>
  <c r="O24"/>
  <c r="N24"/>
  <c r="M24"/>
  <c r="L24"/>
  <c r="K24"/>
  <c r="J24"/>
  <c r="I24"/>
  <c r="AL23"/>
  <c r="AK23"/>
  <c r="AJ23"/>
  <c r="AI23"/>
  <c r="AH23"/>
  <c r="AG23"/>
  <c r="AF23"/>
  <c r="AE23"/>
  <c r="AD23"/>
  <c r="AC23"/>
  <c r="AB23"/>
  <c r="AA23"/>
  <c r="Z23"/>
  <c r="Y23"/>
  <c r="X23"/>
  <c r="W23"/>
  <c r="V23"/>
  <c r="U23"/>
  <c r="T23"/>
  <c r="S23"/>
  <c r="R23"/>
  <c r="Q23"/>
  <c r="P23"/>
  <c r="O23"/>
  <c r="N23"/>
  <c r="M23"/>
  <c r="L23"/>
  <c r="K23"/>
  <c r="J23"/>
  <c r="I23"/>
  <c r="AL22"/>
  <c r="AK22"/>
  <c r="AJ22"/>
  <c r="AI22"/>
  <c r="AH22"/>
  <c r="AG22"/>
  <c r="AF22"/>
  <c r="AE22"/>
  <c r="AD22"/>
  <c r="AC22"/>
  <c r="AB22"/>
  <c r="AA22"/>
  <c r="Z22"/>
  <c r="Y22"/>
  <c r="X22"/>
  <c r="W22"/>
  <c r="V22"/>
  <c r="U22"/>
  <c r="T22"/>
  <c r="S22"/>
  <c r="R22"/>
  <c r="Q22"/>
  <c r="P22"/>
  <c r="O22"/>
  <c r="N22"/>
  <c r="M22"/>
  <c r="L22"/>
  <c r="K22"/>
  <c r="J22"/>
  <c r="I22"/>
  <c r="AL21"/>
  <c r="AK21"/>
  <c r="AJ21"/>
  <c r="AI21"/>
  <c r="AH21"/>
  <c r="AG21"/>
  <c r="AF21"/>
  <c r="AE21"/>
  <c r="AD21"/>
  <c r="AC21"/>
  <c r="AB21"/>
  <c r="AA21"/>
  <c r="Z21"/>
  <c r="Y21"/>
  <c r="X21"/>
  <c r="W21"/>
  <c r="V21"/>
  <c r="U21"/>
  <c r="T21"/>
  <c r="S21"/>
  <c r="R21"/>
  <c r="Q21"/>
  <c r="P21"/>
  <c r="O21"/>
  <c r="N21"/>
  <c r="M21"/>
  <c r="L21"/>
  <c r="K21"/>
  <c r="J21"/>
  <c r="I21"/>
  <c r="AL20"/>
  <c r="AK20"/>
  <c r="AJ20"/>
  <c r="AI20"/>
  <c r="AH20"/>
  <c r="AG20"/>
  <c r="AF20"/>
  <c r="AE20"/>
  <c r="AD20"/>
  <c r="AC20"/>
  <c r="AB20"/>
  <c r="AA20"/>
  <c r="Z20"/>
  <c r="Y20"/>
  <c r="X20"/>
  <c r="W20"/>
  <c r="V20"/>
  <c r="U20"/>
  <c r="T20"/>
  <c r="S20"/>
  <c r="R20"/>
  <c r="Q20"/>
  <c r="P20"/>
  <c r="O20"/>
  <c r="N20"/>
  <c r="M20"/>
  <c r="L20"/>
  <c r="K20"/>
  <c r="J20"/>
  <c r="I20"/>
  <c r="AL19"/>
  <c r="AK19"/>
  <c r="AJ19"/>
  <c r="AI19"/>
  <c r="AH19"/>
  <c r="AG19"/>
  <c r="AF19"/>
  <c r="AE19"/>
  <c r="AD19"/>
  <c r="AC19"/>
  <c r="AB19"/>
  <c r="AA19"/>
  <c r="Z19"/>
  <c r="Y19"/>
  <c r="X19"/>
  <c r="W19"/>
  <c r="V19"/>
  <c r="U19"/>
  <c r="T19"/>
  <c r="S19"/>
  <c r="R19"/>
  <c r="Q19"/>
  <c r="P19"/>
  <c r="O19"/>
  <c r="N19"/>
  <c r="M19"/>
  <c r="L19"/>
  <c r="K19"/>
  <c r="J19"/>
  <c r="I19"/>
  <c r="AL18"/>
  <c r="AK18"/>
  <c r="AJ18"/>
  <c r="AI18"/>
  <c r="AH18"/>
  <c r="AG18"/>
  <c r="AF18"/>
  <c r="AE18"/>
  <c r="AD18"/>
  <c r="AC18"/>
  <c r="AB18"/>
  <c r="AA18"/>
  <c r="Z18"/>
  <c r="Y18"/>
  <c r="X18"/>
  <c r="W18"/>
  <c r="V18"/>
  <c r="U18"/>
  <c r="T18"/>
  <c r="S18"/>
  <c r="R18"/>
  <c r="Q18"/>
  <c r="P18"/>
  <c r="O18"/>
  <c r="N18"/>
  <c r="M18"/>
  <c r="L18"/>
  <c r="K18"/>
  <c r="J18"/>
  <c r="I18"/>
  <c r="AL17"/>
  <c r="AK17"/>
  <c r="AJ17"/>
  <c r="AI17"/>
  <c r="AH17"/>
  <c r="AG17"/>
  <c r="AF17"/>
  <c r="AE17"/>
  <c r="AD17"/>
  <c r="AC17"/>
  <c r="AB17"/>
  <c r="AA17"/>
  <c r="Z17"/>
  <c r="Y17"/>
  <c r="X17"/>
  <c r="W17"/>
  <c r="V17"/>
  <c r="U17"/>
  <c r="T17"/>
  <c r="S17"/>
  <c r="R17"/>
  <c r="Q17"/>
  <c r="P17"/>
  <c r="O17"/>
  <c r="N17"/>
  <c r="M17"/>
  <c r="L17"/>
  <c r="K17"/>
  <c r="J17"/>
  <c r="I17"/>
  <c r="AL16"/>
  <c r="AK16"/>
  <c r="AJ16"/>
  <c r="AI16"/>
  <c r="AH16"/>
  <c r="AG16"/>
  <c r="AF16"/>
  <c r="AE16"/>
  <c r="AD16"/>
  <c r="AC16"/>
  <c r="AB16"/>
  <c r="AA16"/>
  <c r="Z16"/>
  <c r="Y16"/>
  <c r="X16"/>
  <c r="W16"/>
  <c r="V16"/>
  <c r="U16"/>
  <c r="T16"/>
  <c r="S16"/>
  <c r="R16"/>
  <c r="Q16"/>
  <c r="P16"/>
  <c r="O16"/>
  <c r="N16"/>
  <c r="M16"/>
  <c r="L16"/>
  <c r="K16"/>
  <c r="J16"/>
  <c r="I16"/>
  <c r="AL15"/>
  <c r="AK15"/>
  <c r="AJ15"/>
  <c r="AI15"/>
  <c r="AH15"/>
  <c r="AG15"/>
  <c r="AF15"/>
  <c r="AE15"/>
  <c r="AD15"/>
  <c r="AC15"/>
  <c r="AB15"/>
  <c r="AA15"/>
  <c r="Z15"/>
  <c r="Y15"/>
  <c r="X15"/>
  <c r="W15"/>
  <c r="V15"/>
  <c r="U15"/>
  <c r="T15"/>
  <c r="S15"/>
  <c r="R15"/>
  <c r="Q15"/>
  <c r="P15"/>
  <c r="O15"/>
  <c r="N15"/>
  <c r="M15"/>
  <c r="L15"/>
  <c r="K15"/>
  <c r="J15"/>
  <c r="I15"/>
  <c r="AL14"/>
  <c r="AK14"/>
  <c r="AJ14"/>
  <c r="AI14"/>
  <c r="AH14"/>
  <c r="AG14"/>
  <c r="AF14"/>
  <c r="AE14"/>
  <c r="AD14"/>
  <c r="AC14"/>
  <c r="AB14"/>
  <c r="AA14"/>
  <c r="Z14"/>
  <c r="Y14"/>
  <c r="X14"/>
  <c r="W14"/>
  <c r="V14"/>
  <c r="U14"/>
  <c r="T14"/>
  <c r="S14"/>
  <c r="R14"/>
  <c r="Q14"/>
  <c r="P14"/>
  <c r="O14"/>
  <c r="N14"/>
  <c r="M14"/>
  <c r="L14"/>
  <c r="K14"/>
  <c r="J14"/>
  <c r="I14"/>
  <c r="AL13"/>
  <c r="AK13"/>
  <c r="AJ13"/>
  <c r="AI13"/>
  <c r="AH13"/>
  <c r="AG13"/>
  <c r="AF13"/>
  <c r="AE13"/>
  <c r="AD13"/>
  <c r="AC13"/>
  <c r="AB13"/>
  <c r="AA13"/>
  <c r="Z13"/>
  <c r="Y13"/>
  <c r="X13"/>
  <c r="W13"/>
  <c r="V13"/>
  <c r="U13"/>
  <c r="T13"/>
  <c r="S13"/>
  <c r="R13"/>
  <c r="Q13"/>
  <c r="P13"/>
  <c r="O13"/>
  <c r="N13"/>
  <c r="M13"/>
  <c r="L13"/>
  <c r="K13"/>
  <c r="J13"/>
  <c r="I13"/>
  <c r="AL12"/>
  <c r="AK12"/>
  <c r="AJ12"/>
  <c r="AI12"/>
  <c r="AH12"/>
  <c r="AG12"/>
  <c r="AF12"/>
  <c r="AE12"/>
  <c r="AD12"/>
  <c r="AC12"/>
  <c r="AB12"/>
  <c r="AA12"/>
  <c r="Z12"/>
  <c r="Y12"/>
  <c r="X12"/>
  <c r="W12"/>
  <c r="V12"/>
  <c r="U12"/>
  <c r="T12"/>
  <c r="S12"/>
  <c r="R12"/>
  <c r="Q12"/>
  <c r="P12"/>
  <c r="O12"/>
  <c r="N12"/>
  <c r="M12"/>
  <c r="L12"/>
  <c r="K12"/>
  <c r="J12"/>
  <c r="I12"/>
  <c r="AL11"/>
  <c r="AK11"/>
  <c r="AJ11"/>
  <c r="AI11"/>
  <c r="AH11"/>
  <c r="AG11"/>
  <c r="AF11"/>
  <c r="AE11"/>
  <c r="AD11"/>
  <c r="AC11"/>
  <c r="AB11"/>
  <c r="AA11"/>
  <c r="Z11"/>
  <c r="Y11"/>
  <c r="X11"/>
  <c r="W11"/>
  <c r="V11"/>
  <c r="U11"/>
  <c r="T11"/>
  <c r="S11"/>
  <c r="R11"/>
  <c r="Q11"/>
  <c r="P11"/>
  <c r="O11"/>
  <c r="N11"/>
  <c r="M11"/>
  <c r="L11"/>
  <c r="K11"/>
  <c r="J11"/>
  <c r="I11"/>
  <c r="AL10"/>
  <c r="AK10"/>
  <c r="AJ10"/>
  <c r="AI10"/>
  <c r="AH10"/>
  <c r="AG10"/>
  <c r="AF10"/>
  <c r="AE10"/>
  <c r="AD10"/>
  <c r="AC10"/>
  <c r="AB10"/>
  <c r="AA10"/>
  <c r="Z10"/>
  <c r="Y10"/>
  <c r="X10"/>
  <c r="W10"/>
  <c r="V10"/>
  <c r="U10"/>
  <c r="T10"/>
  <c r="S10"/>
  <c r="R10"/>
  <c r="Q10"/>
  <c r="P10"/>
  <c r="O10"/>
  <c r="N10"/>
  <c r="M10"/>
  <c r="L10"/>
  <c r="K10"/>
  <c r="J10"/>
  <c r="I10"/>
  <c r="AL9"/>
  <c r="AK9"/>
  <c r="AJ9"/>
  <c r="AI9"/>
  <c r="AH9"/>
  <c r="AG9"/>
  <c r="AF9"/>
  <c r="AE9"/>
  <c r="AD9"/>
  <c r="AC9"/>
  <c r="AB9"/>
  <c r="AA9"/>
  <c r="Z9"/>
  <c r="Y9"/>
  <c r="X9"/>
  <c r="W9"/>
  <c r="V9"/>
  <c r="U9"/>
  <c r="T9"/>
  <c r="S9"/>
  <c r="R9"/>
  <c r="Q9"/>
  <c r="P9"/>
  <c r="O9"/>
  <c r="N9"/>
  <c r="M9"/>
  <c r="L9"/>
  <c r="K9"/>
  <c r="J9"/>
  <c r="I9"/>
  <c r="AL8"/>
  <c r="AK8"/>
  <c r="AJ8"/>
  <c r="AI8"/>
  <c r="AH8"/>
  <c r="AG8"/>
  <c r="AF8"/>
  <c r="AE8"/>
  <c r="AD8"/>
  <c r="AC8"/>
  <c r="AB8"/>
  <c r="AA8"/>
  <c r="Z8"/>
  <c r="Y8"/>
  <c r="X8"/>
  <c r="W8"/>
  <c r="V8"/>
  <c r="U8"/>
  <c r="T8"/>
  <c r="S8"/>
  <c r="R8"/>
  <c r="Q8"/>
  <c r="P8"/>
  <c r="O8"/>
  <c r="N8"/>
  <c r="M8"/>
  <c r="L8"/>
  <c r="K8"/>
  <c r="J8"/>
  <c r="I8"/>
  <c r="AL7"/>
  <c r="AK7"/>
  <c r="AJ7"/>
  <c r="AI7"/>
  <c r="AH7"/>
  <c r="AG7"/>
  <c r="AF7"/>
  <c r="AE7"/>
  <c r="AD7"/>
  <c r="AC7"/>
  <c r="AB7"/>
  <c r="AA7"/>
  <c r="Z7"/>
  <c r="Y7"/>
  <c r="X7"/>
  <c r="W7"/>
  <c r="V7"/>
  <c r="U7"/>
  <c r="T7"/>
  <c r="S7"/>
  <c r="R7"/>
  <c r="Q7"/>
  <c r="P7"/>
  <c r="O7"/>
  <c r="N7"/>
  <c r="M7"/>
  <c r="L7"/>
  <c r="K7"/>
  <c r="J7"/>
  <c r="I7"/>
  <c r="G46"/>
  <c r="F46"/>
  <c r="E46"/>
  <c r="AK4"/>
  <c r="AI4"/>
  <c r="AG4"/>
  <c r="AE4"/>
  <c r="AC4"/>
  <c r="AA4"/>
  <c r="Y4"/>
  <c r="W4"/>
  <c r="U4"/>
  <c r="S4"/>
  <c r="Q4"/>
  <c r="O4"/>
  <c r="M4"/>
  <c r="K4"/>
  <c r="I4"/>
  <c r="E4"/>
  <c r="D11" i="5"/>
  <c r="B35" i="100"/>
  <c r="E35" s="1"/>
  <c r="G34"/>
  <c r="I34" s="1"/>
  <c r="F34"/>
  <c r="H34" s="1"/>
  <c r="B34"/>
  <c r="E34" s="1"/>
  <c r="G33"/>
  <c r="I33" s="1"/>
  <c r="F33"/>
  <c r="H33" s="1"/>
  <c r="B33"/>
  <c r="E33" s="1"/>
  <c r="G32"/>
  <c r="I32" s="1"/>
  <c r="F32"/>
  <c r="H32" s="1"/>
  <c r="B32"/>
  <c r="E32" s="1"/>
  <c r="G31"/>
  <c r="I31" s="1"/>
  <c r="F31"/>
  <c r="B31"/>
  <c r="E31" s="1"/>
  <c r="G30"/>
  <c r="I30" s="1"/>
  <c r="F30"/>
  <c r="H30" s="1"/>
  <c r="B30"/>
  <c r="E30" s="1"/>
  <c r="G29"/>
  <c r="I29" s="1"/>
  <c r="F29"/>
  <c r="H29" s="1"/>
  <c r="B29"/>
  <c r="E29" s="1"/>
  <c r="G28"/>
  <c r="I28" s="1"/>
  <c r="F28"/>
  <c r="H28" s="1"/>
  <c r="B28"/>
  <c r="E28" s="1"/>
  <c r="G27"/>
  <c r="I27" s="1"/>
  <c r="F27"/>
  <c r="H27" s="1"/>
  <c r="B27"/>
  <c r="E27" s="1"/>
  <c r="G26"/>
  <c r="I26" s="1"/>
  <c r="F26"/>
  <c r="H26" s="1"/>
  <c r="B26"/>
  <c r="E26" s="1"/>
  <c r="G25"/>
  <c r="I25" s="1"/>
  <c r="F25"/>
  <c r="H25" s="1"/>
  <c r="B25"/>
  <c r="E25" s="1"/>
  <c r="G24"/>
  <c r="I24" s="1"/>
  <c r="F24"/>
  <c r="B24"/>
  <c r="E24" s="1"/>
  <c r="G18"/>
  <c r="I18" s="1"/>
  <c r="F18"/>
  <c r="H18" s="1"/>
  <c r="B18"/>
  <c r="E18" s="1"/>
  <c r="G17"/>
  <c r="I17" s="1"/>
  <c r="F17"/>
  <c r="H17" s="1"/>
  <c r="B17"/>
  <c r="E17" s="1"/>
  <c r="G16"/>
  <c r="I16" s="1"/>
  <c r="F16"/>
  <c r="H16" s="1"/>
  <c r="B16"/>
  <c r="E16" s="1"/>
  <c r="G15"/>
  <c r="I15" s="1"/>
  <c r="F15"/>
  <c r="H15" s="1"/>
  <c r="B15"/>
  <c r="E15" s="1"/>
  <c r="G14"/>
  <c r="I14" s="1"/>
  <c r="F14"/>
  <c r="H14" s="1"/>
  <c r="B14"/>
  <c r="E14" s="1"/>
  <c r="G13"/>
  <c r="I13" s="1"/>
  <c r="F13"/>
  <c r="H13" s="1"/>
  <c r="B13"/>
  <c r="E13" s="1"/>
  <c r="G12"/>
  <c r="I12" s="1"/>
  <c r="F12"/>
  <c r="H12" s="1"/>
  <c r="B12"/>
  <c r="E12" s="1"/>
  <c r="G11"/>
  <c r="I11" s="1"/>
  <c r="F11"/>
  <c r="H11" s="1"/>
  <c r="B11"/>
  <c r="E11" s="1"/>
  <c r="G10"/>
  <c r="I10" s="1"/>
  <c r="F10"/>
  <c r="H10" s="1"/>
  <c r="B10"/>
  <c r="E10" s="1"/>
  <c r="G9"/>
  <c r="I9" s="1"/>
  <c r="F9"/>
  <c r="H9" s="1"/>
  <c r="B9"/>
  <c r="E9" s="1"/>
  <c r="G8"/>
  <c r="I8" s="1"/>
  <c r="F8"/>
  <c r="H8" s="1"/>
  <c r="B8"/>
  <c r="E8" s="1"/>
  <c r="H31"/>
  <c r="H24"/>
  <c r="C3"/>
  <c r="D30" i="34"/>
  <c r="D31"/>
  <c r="E31"/>
  <c r="F31"/>
  <c r="D32"/>
  <c r="E32"/>
  <c r="F32"/>
  <c r="D33"/>
  <c r="E33"/>
  <c r="F33"/>
  <c r="D34"/>
  <c r="E34"/>
  <c r="F34"/>
  <c r="D35"/>
  <c r="E35"/>
  <c r="F35"/>
  <c r="D36"/>
  <c r="E36"/>
  <c r="F36"/>
  <c r="D37"/>
  <c r="E37"/>
  <c r="F37"/>
  <c r="D38"/>
  <c r="E38"/>
  <c r="F38"/>
  <c r="D39"/>
  <c r="E39"/>
  <c r="F39"/>
  <c r="D40"/>
  <c r="E40"/>
  <c r="F40"/>
  <c r="D41"/>
  <c r="E41"/>
  <c r="F41"/>
  <c r="D42"/>
  <c r="E42"/>
  <c r="F42"/>
  <c r="D43"/>
  <c r="E43"/>
  <c r="F43"/>
  <c r="D44"/>
  <c r="E44"/>
  <c r="F44"/>
  <c r="F30"/>
  <c r="E30"/>
  <c r="G30" i="19"/>
  <c r="D31"/>
  <c r="D32"/>
  <c r="D33"/>
  <c r="D34"/>
  <c r="D35"/>
  <c r="D36"/>
  <c r="D37"/>
  <c r="D38"/>
  <c r="D39"/>
  <c r="D40"/>
  <c r="D41"/>
  <c r="D42"/>
  <c r="D43"/>
  <c r="D44"/>
  <c r="D30"/>
  <c r="E31"/>
  <c r="E32"/>
  <c r="E33"/>
  <c r="E34"/>
  <c r="E35"/>
  <c r="E36"/>
  <c r="E37"/>
  <c r="E38"/>
  <c r="E39"/>
  <c r="E40"/>
  <c r="E41"/>
  <c r="E42"/>
  <c r="E43"/>
  <c r="E44"/>
  <c r="E30"/>
  <c r="F31"/>
  <c r="F32"/>
  <c r="F33"/>
  <c r="F34"/>
  <c r="F35"/>
  <c r="F36"/>
  <c r="F37"/>
  <c r="F38"/>
  <c r="F39"/>
  <c r="F40"/>
  <c r="F41"/>
  <c r="F42"/>
  <c r="F43"/>
  <c r="F44"/>
  <c r="F30"/>
  <c r="G31" i="34"/>
  <c r="G32"/>
  <c r="G33"/>
  <c r="G34"/>
  <c r="G35"/>
  <c r="G36"/>
  <c r="G37"/>
  <c r="G38"/>
  <c r="G39"/>
  <c r="G40"/>
  <c r="G41"/>
  <c r="G42"/>
  <c r="G43"/>
  <c r="G44"/>
  <c r="G30"/>
  <c r="BC46" i="104" l="1"/>
  <c r="BD46"/>
  <c r="BC46" i="103"/>
  <c r="BD46"/>
  <c r="E10" i="98"/>
  <c r="E11"/>
  <c r="E12"/>
  <c r="E13"/>
  <c r="E14"/>
  <c r="E15"/>
  <c r="E16"/>
  <c r="E17"/>
  <c r="E18"/>
  <c r="E19"/>
  <c r="E20"/>
  <c r="E21"/>
  <c r="E22"/>
  <c r="E23"/>
  <c r="E24"/>
  <c r="E25"/>
  <c r="E26"/>
  <c r="E27"/>
  <c r="E28"/>
  <c r="E29"/>
  <c r="E30"/>
  <c r="E31"/>
  <c r="E32"/>
  <c r="E33"/>
  <c r="E34"/>
  <c r="E35"/>
  <c r="E36"/>
  <c r="E37"/>
  <c r="E38"/>
  <c r="E39"/>
  <c r="E40"/>
  <c r="E41"/>
  <c r="E42"/>
  <c r="E43"/>
  <c r="E44"/>
  <c r="E45"/>
  <c r="E46"/>
  <c r="E47"/>
  <c r="E48"/>
  <c r="E9"/>
  <c r="E48" i="99"/>
  <c r="D48"/>
  <c r="E47"/>
  <c r="D47"/>
  <c r="E46"/>
  <c r="D46"/>
  <c r="E45"/>
  <c r="D45"/>
  <c r="E44"/>
  <c r="D44"/>
  <c r="E43"/>
  <c r="D43"/>
  <c r="E42"/>
  <c r="D42"/>
  <c r="E41"/>
  <c r="D41"/>
  <c r="E40"/>
  <c r="D40"/>
  <c r="E39"/>
  <c r="D39"/>
  <c r="E38"/>
  <c r="D38"/>
  <c r="E37"/>
  <c r="D37"/>
  <c r="E36"/>
  <c r="D36"/>
  <c r="E35"/>
  <c r="D35"/>
  <c r="E34"/>
  <c r="D34"/>
  <c r="E33"/>
  <c r="D33"/>
  <c r="E32"/>
  <c r="D32"/>
  <c r="E31"/>
  <c r="D31"/>
  <c r="E30"/>
  <c r="D30"/>
  <c r="E29"/>
  <c r="D29"/>
  <c r="E28"/>
  <c r="D28"/>
  <c r="E27"/>
  <c r="D27"/>
  <c r="E26"/>
  <c r="D26"/>
  <c r="E25"/>
  <c r="D25"/>
  <c r="E24"/>
  <c r="D24"/>
  <c r="E23"/>
  <c r="D23"/>
  <c r="E22"/>
  <c r="D22"/>
  <c r="E21"/>
  <c r="D21"/>
  <c r="E20"/>
  <c r="D20"/>
  <c r="E19"/>
  <c r="D19"/>
  <c r="E18"/>
  <c r="D18"/>
  <c r="E17"/>
  <c r="D17"/>
  <c r="E16"/>
  <c r="D16"/>
  <c r="E15"/>
  <c r="D15"/>
  <c r="E14"/>
  <c r="D14"/>
  <c r="E13"/>
  <c r="D13"/>
  <c r="E12"/>
  <c r="D12"/>
  <c r="E11"/>
  <c r="D11"/>
  <c r="E10"/>
  <c r="D10"/>
  <c r="E9"/>
  <c r="D9"/>
  <c r="F5"/>
  <c r="I4"/>
  <c r="F4"/>
  <c r="C2"/>
  <c r="I4" i="98"/>
  <c r="C2"/>
  <c r="D10"/>
  <c r="D11"/>
  <c r="D12"/>
  <c r="D13"/>
  <c r="D14"/>
  <c r="D15"/>
  <c r="D16"/>
  <c r="D17"/>
  <c r="D18"/>
  <c r="D19"/>
  <c r="D20"/>
  <c r="D21"/>
  <c r="D22"/>
  <c r="D23"/>
  <c r="D24"/>
  <c r="D25"/>
  <c r="D26"/>
  <c r="D27"/>
  <c r="D28"/>
  <c r="D29"/>
  <c r="D30"/>
  <c r="D31"/>
  <c r="D32"/>
  <c r="D33"/>
  <c r="D34"/>
  <c r="D35"/>
  <c r="D36"/>
  <c r="D37"/>
  <c r="D38"/>
  <c r="D39"/>
  <c r="D40"/>
  <c r="D41"/>
  <c r="D42"/>
  <c r="D43"/>
  <c r="D44"/>
  <c r="D45"/>
  <c r="D46"/>
  <c r="D47"/>
  <c r="D48"/>
  <c r="D9"/>
  <c r="F5"/>
  <c r="F4"/>
  <c r="AO27" i="96" l="1"/>
  <c r="AO38"/>
  <c r="AE38"/>
  <c r="AO37"/>
  <c r="AE37"/>
  <c r="AO36"/>
  <c r="AE36"/>
  <c r="AO35"/>
  <c r="AE35"/>
  <c r="AO33"/>
  <c r="AE33"/>
  <c r="AO32"/>
  <c r="AE32"/>
  <c r="AO31"/>
  <c r="AE31"/>
  <c r="AO30"/>
  <c r="AE30"/>
  <c r="AO29"/>
  <c r="AE29"/>
  <c r="AO28"/>
  <c r="AE28"/>
  <c r="AY8"/>
  <c r="AY6"/>
  <c r="H6"/>
  <c r="H7"/>
  <c r="B5"/>
  <c r="M38"/>
  <c r="C38"/>
  <c r="M37"/>
  <c r="C37"/>
  <c r="M36"/>
  <c r="C36"/>
  <c r="M35"/>
  <c r="C35"/>
  <c r="M33"/>
  <c r="C33"/>
  <c r="M32"/>
  <c r="C32"/>
  <c r="M31"/>
  <c r="C31"/>
  <c r="M30"/>
  <c r="C30"/>
  <c r="M29"/>
  <c r="C29"/>
  <c r="M28"/>
  <c r="C28"/>
  <c r="M27"/>
  <c r="B17" i="94" l="1"/>
  <c r="B13"/>
  <c r="B10"/>
  <c r="B9"/>
  <c r="B8"/>
  <c r="D3"/>
  <c r="A7" i="92"/>
  <c r="A6"/>
  <c r="A4"/>
  <c r="A3"/>
  <c r="D9" i="5" l="1"/>
  <c r="AL140" i="91"/>
  <c r="AL104"/>
  <c r="AL68"/>
  <c r="AL32"/>
  <c r="E4" i="20"/>
  <c r="E4" i="6"/>
  <c r="E4" i="29"/>
  <c r="Y91" i="24" l="1"/>
  <c r="Y66"/>
  <c r="H2" i="20"/>
  <c r="E4" i="105"/>
  <c r="H2" i="103"/>
  <c r="C5" i="100"/>
  <c r="I5" i="98"/>
  <c r="B10" i="96"/>
  <c r="B3" i="17"/>
  <c r="G9" i="5"/>
  <c r="B3" i="13"/>
  <c r="B3" i="12"/>
  <c r="B2" i="24"/>
  <c r="B3" i="15"/>
  <c r="Y91" i="38" l="1"/>
  <c r="Y68"/>
  <c r="AQ49" i="96"/>
  <c r="E4" i="106"/>
  <c r="O122" i="38"/>
  <c r="C21" i="100"/>
  <c r="H2" i="104"/>
  <c r="H2" i="101"/>
  <c r="AD10" i="96"/>
  <c r="I5" i="99"/>
  <c r="A8" i="92"/>
  <c r="AY7" i="96"/>
  <c r="B3"/>
  <c r="B5" i="95"/>
  <c r="B3"/>
  <c r="D3" i="91"/>
  <c r="B4"/>
  <c r="B112"/>
  <c r="B76"/>
  <c r="B40"/>
  <c r="P145"/>
  <c r="D144"/>
  <c r="P143"/>
  <c r="D143"/>
  <c r="D114"/>
  <c r="P109"/>
  <c r="D108"/>
  <c r="P107"/>
  <c r="D107"/>
  <c r="D78"/>
  <c r="P73"/>
  <c r="D72"/>
  <c r="P71"/>
  <c r="D71"/>
  <c r="D42"/>
  <c r="P37"/>
  <c r="D36"/>
  <c r="P35"/>
  <c r="D35"/>
  <c r="D6"/>
  <c r="AQ2"/>
  <c r="C4" i="90"/>
  <c r="C5"/>
  <c r="C6"/>
  <c r="C7"/>
  <c r="C8"/>
  <c r="C9"/>
  <c r="C10"/>
  <c r="C11"/>
  <c r="C12"/>
  <c r="C3"/>
  <c r="Q80" i="24"/>
  <c r="N54" i="27"/>
  <c r="N55"/>
  <c r="N56"/>
  <c r="N57"/>
  <c r="N58"/>
  <c r="T58"/>
  <c r="N59"/>
  <c r="N60"/>
  <c r="N61"/>
  <c r="N62"/>
  <c r="N63"/>
  <c r="N64"/>
  <c r="T18" i="1"/>
  <c r="Q10"/>
  <c r="C6"/>
  <c r="Y83" i="38"/>
  <c r="H82"/>
  <c r="Y81"/>
  <c r="Y52"/>
  <c r="H51"/>
  <c r="Y50"/>
  <c r="Y83" i="24"/>
  <c r="Y82"/>
  <c r="H82"/>
  <c r="Y81"/>
  <c r="Y50"/>
  <c r="Y49"/>
  <c r="H49"/>
  <c r="Y48"/>
  <c r="Q12" i="1"/>
  <c r="B23" i="29"/>
  <c r="X47" i="35"/>
  <c r="F4" i="39"/>
  <c r="I3"/>
  <c r="F3"/>
  <c r="B3" i="24"/>
  <c r="B3" i="38"/>
  <c r="Y8" i="24"/>
  <c r="M27" i="38"/>
  <c r="M38"/>
  <c r="M37"/>
  <c r="M36"/>
  <c r="M35"/>
  <c r="M33"/>
  <c r="M32"/>
  <c r="M31"/>
  <c r="M30"/>
  <c r="M29"/>
  <c r="M28"/>
  <c r="Y7" i="24"/>
  <c r="O159" i="38"/>
  <c r="U159" s="1"/>
  <c r="Y159" s="1"/>
  <c r="O158"/>
  <c r="U158" s="1"/>
  <c r="Y158" s="1"/>
  <c r="O157"/>
  <c r="U157" s="1"/>
  <c r="Y157" s="1"/>
  <c r="O156"/>
  <c r="U156" s="1"/>
  <c r="Y156" s="1"/>
  <c r="O155"/>
  <c r="U155" s="1"/>
  <c r="Y155" s="1"/>
  <c r="B141"/>
  <c r="B140"/>
  <c r="C38"/>
  <c r="C95" s="1"/>
  <c r="C37"/>
  <c r="C88" s="1"/>
  <c r="C36"/>
  <c r="C86" s="1"/>
  <c r="C35"/>
  <c r="C77" s="1"/>
  <c r="C33"/>
  <c r="C74" s="1"/>
  <c r="C32"/>
  <c r="C72" s="1"/>
  <c r="C31"/>
  <c r="C65" s="1"/>
  <c r="C30"/>
  <c r="C63" s="1"/>
  <c r="C29"/>
  <c r="C61" s="1"/>
  <c r="C28"/>
  <c r="C59" s="1"/>
  <c r="Y8"/>
  <c r="H7"/>
  <c r="Y6"/>
  <c r="G23" i="34"/>
  <c r="F23"/>
  <c r="E23"/>
  <c r="D23"/>
  <c r="G22"/>
  <c r="F22"/>
  <c r="E22"/>
  <c r="D22"/>
  <c r="G21"/>
  <c r="F21"/>
  <c r="E21"/>
  <c r="D21"/>
  <c r="G20"/>
  <c r="F20"/>
  <c r="E20"/>
  <c r="D20"/>
  <c r="G19"/>
  <c r="F19"/>
  <c r="E19"/>
  <c r="D19"/>
  <c r="G18"/>
  <c r="F18"/>
  <c r="E18"/>
  <c r="D18"/>
  <c r="G17"/>
  <c r="F17"/>
  <c r="E17"/>
  <c r="D17"/>
  <c r="G16"/>
  <c r="F16"/>
  <c r="E16"/>
  <c r="D16"/>
  <c r="G15"/>
  <c r="F15"/>
  <c r="E15"/>
  <c r="D15"/>
  <c r="G14"/>
  <c r="F14"/>
  <c r="E14"/>
  <c r="D14"/>
  <c r="G13"/>
  <c r="F13"/>
  <c r="E13"/>
  <c r="D13"/>
  <c r="G12"/>
  <c r="F12"/>
  <c r="E12"/>
  <c r="D12"/>
  <c r="G11"/>
  <c r="F11"/>
  <c r="E11"/>
  <c r="D11"/>
  <c r="G10"/>
  <c r="F10"/>
  <c r="E10"/>
  <c r="D10"/>
  <c r="G9"/>
  <c r="F9"/>
  <c r="E9"/>
  <c r="D9"/>
  <c r="P64" i="35"/>
  <c r="P63"/>
  <c r="P62"/>
  <c r="P61"/>
  <c r="P60"/>
  <c r="P59"/>
  <c r="P58"/>
  <c r="P57"/>
  <c r="P56"/>
  <c r="P55"/>
  <c r="P54"/>
  <c r="P53"/>
  <c r="P52"/>
  <c r="P51"/>
  <c r="P50"/>
  <c r="P49"/>
  <c r="P48"/>
  <c r="P47"/>
  <c r="P46"/>
  <c r="P45"/>
  <c r="C44" i="34"/>
  <c r="C43"/>
  <c r="C42"/>
  <c r="C41"/>
  <c r="C40"/>
  <c r="C39"/>
  <c r="C38"/>
  <c r="C37"/>
  <c r="C36"/>
  <c r="C35"/>
  <c r="C34"/>
  <c r="C33"/>
  <c r="C32"/>
  <c r="C31"/>
  <c r="C30"/>
  <c r="C23"/>
  <c r="C22"/>
  <c r="C21"/>
  <c r="C20"/>
  <c r="C19"/>
  <c r="C18"/>
  <c r="C17"/>
  <c r="C16"/>
  <c r="C15"/>
  <c r="C14"/>
  <c r="C13"/>
  <c r="C12"/>
  <c r="C11"/>
  <c r="C10"/>
  <c r="C9"/>
  <c r="B3" i="19"/>
  <c r="C22" i="31"/>
  <c r="C21"/>
  <c r="C20"/>
  <c r="C19"/>
  <c r="C18"/>
  <c r="C17"/>
  <c r="C16"/>
  <c r="C15"/>
  <c r="C14"/>
  <c r="C13"/>
  <c r="C12"/>
  <c r="C11"/>
  <c r="C10"/>
  <c r="C9"/>
  <c r="C8"/>
  <c r="BH7" i="29"/>
  <c r="G2" i="26"/>
  <c r="G4" i="30"/>
  <c r="G3"/>
  <c r="H2" i="6"/>
  <c r="BH46" i="29"/>
  <c r="BA46"/>
  <c r="BH45"/>
  <c r="BA45"/>
  <c r="BH44"/>
  <c r="BA44"/>
  <c r="BH43"/>
  <c r="BA43"/>
  <c r="BH42"/>
  <c r="BA42"/>
  <c r="BH41"/>
  <c r="BA41"/>
  <c r="BH40"/>
  <c r="BA40"/>
  <c r="BH39"/>
  <c r="BA39"/>
  <c r="BH38"/>
  <c r="BA38"/>
  <c r="BH37"/>
  <c r="BA37"/>
  <c r="BH36"/>
  <c r="BA36"/>
  <c r="BH35"/>
  <c r="BA35"/>
  <c r="BH34"/>
  <c r="BA34"/>
  <c r="BH33"/>
  <c r="BA33"/>
  <c r="BH32"/>
  <c r="BA32"/>
  <c r="BH31"/>
  <c r="BA31"/>
  <c r="BH30"/>
  <c r="BA30"/>
  <c r="BH29"/>
  <c r="BA29"/>
  <c r="BH28"/>
  <c r="BA28"/>
  <c r="BH27"/>
  <c r="BA27"/>
  <c r="BH26"/>
  <c r="BA26"/>
  <c r="BH25"/>
  <c r="BA25"/>
  <c r="BH24"/>
  <c r="BA24"/>
  <c r="BH23"/>
  <c r="BA23"/>
  <c r="BH22"/>
  <c r="BA22"/>
  <c r="BH21"/>
  <c r="BA21"/>
  <c r="BH20"/>
  <c r="BA20"/>
  <c r="BH19"/>
  <c r="BA19"/>
  <c r="BH18"/>
  <c r="BA18"/>
  <c r="BH17"/>
  <c r="BA17"/>
  <c r="BH16"/>
  <c r="BA16"/>
  <c r="BH15"/>
  <c r="BA15"/>
  <c r="BH14"/>
  <c r="BA14"/>
  <c r="BH13"/>
  <c r="BA13"/>
  <c r="BH12"/>
  <c r="BA12"/>
  <c r="BH11"/>
  <c r="BA11"/>
  <c r="BH10"/>
  <c r="BA10"/>
  <c r="BH9"/>
  <c r="BA9"/>
  <c r="BH8"/>
  <c r="BA8"/>
  <c r="BA7"/>
  <c r="AY4"/>
  <c r="B22" s="1"/>
  <c r="AV4"/>
  <c r="B21" s="1"/>
  <c r="AS4"/>
  <c r="B20" s="1"/>
  <c r="AP4"/>
  <c r="B19" s="1"/>
  <c r="AM4"/>
  <c r="B18" s="1"/>
  <c r="AJ4"/>
  <c r="B17" s="1"/>
  <c r="AG4"/>
  <c r="B16" s="1"/>
  <c r="AD4"/>
  <c r="B15" s="1"/>
  <c r="AA4"/>
  <c r="B14" s="1"/>
  <c r="X4"/>
  <c r="B13" s="1"/>
  <c r="U4"/>
  <c r="B12" s="1"/>
  <c r="R4"/>
  <c r="B11" s="1"/>
  <c r="O4"/>
  <c r="B10" s="1"/>
  <c r="L4"/>
  <c r="B9" s="1"/>
  <c r="I4"/>
  <c r="B8" s="1"/>
  <c r="C13" i="19"/>
  <c r="N9" i="5"/>
  <c r="I4" i="10"/>
  <c r="I3"/>
  <c r="L9" i="20"/>
  <c r="U139" i="27"/>
  <c r="S122"/>
  <c r="U138"/>
  <c r="P46" i="7" l="1"/>
  <c r="P47"/>
  <c r="P48"/>
  <c r="P49"/>
  <c r="P50"/>
  <c r="P51"/>
  <c r="P52"/>
  <c r="P53"/>
  <c r="P54"/>
  <c r="P55"/>
  <c r="P56"/>
  <c r="P57"/>
  <c r="P58"/>
  <c r="P59"/>
  <c r="P60"/>
  <c r="P61"/>
  <c r="P62"/>
  <c r="P63"/>
  <c r="P64"/>
  <c r="P45"/>
  <c r="S121" i="27"/>
  <c r="S116"/>
  <c r="L12" i="5"/>
  <c r="G50" i="99" s="1"/>
  <c r="L10" i="5"/>
  <c r="H7" i="24"/>
  <c r="T126" l="1"/>
  <c r="G50" i="98"/>
  <c r="G49" i="39"/>
  <c r="T126" i="38"/>
  <c r="S115" i="27"/>
  <c r="G49" i="10"/>
  <c r="C111" i="27"/>
  <c r="C109"/>
  <c r="C108"/>
  <c r="C105"/>
  <c r="C103"/>
  <c r="C100"/>
  <c r="C97"/>
  <c r="C96"/>
  <c r="C95"/>
  <c r="C94"/>
  <c r="C93"/>
  <c r="C92"/>
  <c r="C91"/>
  <c r="C90"/>
  <c r="C89"/>
  <c r="C88"/>
  <c r="C87"/>
  <c r="B141" i="24"/>
  <c r="B140"/>
  <c r="G4" i="26" l="1"/>
  <c r="G3"/>
  <c r="O154" i="24"/>
  <c r="U154" s="1"/>
  <c r="Y154" s="1"/>
  <c r="O158"/>
  <c r="U158" s="1"/>
  <c r="Y158" s="1"/>
  <c r="O157"/>
  <c r="U157" s="1"/>
  <c r="Y157" s="1"/>
  <c r="O156"/>
  <c r="U156" s="1"/>
  <c r="Y156" s="1"/>
  <c r="O155"/>
  <c r="U155" s="1"/>
  <c r="Y155" s="1"/>
  <c r="Y6"/>
  <c r="C38"/>
  <c r="C95" s="1"/>
  <c r="C44" i="19"/>
  <c r="AJ55" i="27" l="1"/>
  <c r="I7" i="20"/>
  <c r="M36" i="24"/>
  <c r="M37"/>
  <c r="M38"/>
  <c r="M35"/>
  <c r="M28"/>
  <c r="M29"/>
  <c r="M30"/>
  <c r="M31"/>
  <c r="M32"/>
  <c r="M33"/>
  <c r="M27"/>
  <c r="C37"/>
  <c r="C88" s="1"/>
  <c r="C36"/>
  <c r="C86" s="1"/>
  <c r="C35"/>
  <c r="C75" s="1"/>
  <c r="C33"/>
  <c r="C72" s="1"/>
  <c r="C32"/>
  <c r="C70" s="1"/>
  <c r="C31"/>
  <c r="C63" s="1"/>
  <c r="C30"/>
  <c r="C61" s="1"/>
  <c r="C29"/>
  <c r="C59" s="1"/>
  <c r="C28"/>
  <c r="C57" s="1"/>
  <c r="B2" i="8" l="1"/>
  <c r="A10"/>
  <c r="A9"/>
  <c r="A8"/>
  <c r="B7"/>
  <c r="B8"/>
  <c r="B9"/>
  <c r="B10"/>
  <c r="B11"/>
  <c r="B12"/>
  <c r="B13"/>
  <c r="B14"/>
  <c r="B15"/>
  <c r="B16"/>
  <c r="B17"/>
  <c r="B18"/>
  <c r="B19"/>
  <c r="B20"/>
  <c r="B21"/>
  <c r="B22"/>
  <c r="B23"/>
  <c r="B24"/>
  <c r="B25"/>
  <c r="B26"/>
  <c r="B27"/>
  <c r="B28"/>
  <c r="B29"/>
  <c r="B30"/>
  <c r="B31"/>
  <c r="B32"/>
  <c r="B33"/>
  <c r="B34"/>
  <c r="B35"/>
  <c r="B36"/>
  <c r="B37"/>
  <c r="B38"/>
  <c r="B39"/>
  <c r="B40"/>
  <c r="B41"/>
  <c r="B42"/>
  <c r="B43"/>
  <c r="B44"/>
  <c r="B45"/>
  <c r="B6"/>
  <c r="E46" i="106" l="1"/>
  <c r="E46" i="105"/>
  <c r="D45" i="94"/>
  <c r="E44" i="104"/>
  <c r="E44" i="101"/>
  <c r="E44" i="103"/>
  <c r="E47" i="106"/>
  <c r="E47" i="105"/>
  <c r="D46" i="94"/>
  <c r="G46" s="1"/>
  <c r="E45" i="104"/>
  <c r="E45" i="103"/>
  <c r="E45" i="101"/>
  <c r="E43" i="106"/>
  <c r="E43" i="105"/>
  <c r="D42" i="94"/>
  <c r="E42" i="106"/>
  <c r="E42" i="105"/>
  <c r="D41" i="94"/>
  <c r="BK41" s="1"/>
  <c r="E44" i="106"/>
  <c r="D43" i="94"/>
  <c r="E44" i="105"/>
  <c r="E45" i="106"/>
  <c r="E45" i="105"/>
  <c r="D44" i="94"/>
  <c r="E41" i="106"/>
  <c r="D40" i="94"/>
  <c r="BD40" s="1"/>
  <c r="E41" i="105"/>
  <c r="B6" i="95"/>
  <c r="K120" i="91"/>
  <c r="K84"/>
  <c r="K48"/>
  <c r="K12"/>
  <c r="K121"/>
  <c r="K85"/>
  <c r="K49"/>
  <c r="K13"/>
  <c r="E12" i="106"/>
  <c r="E12" i="105"/>
  <c r="D11" i="94"/>
  <c r="E10" i="106"/>
  <c r="E10" i="105"/>
  <c r="D9" i="94"/>
  <c r="E7" i="104"/>
  <c r="G7" s="1"/>
  <c r="BB7" s="1"/>
  <c r="E9" i="106"/>
  <c r="G9" s="1"/>
  <c r="D8" i="94"/>
  <c r="BM8" s="1"/>
  <c r="E9" i="105"/>
  <c r="E13" i="106"/>
  <c r="E13" i="105"/>
  <c r="D12" i="94"/>
  <c r="G12" s="1"/>
  <c r="E11" i="106"/>
  <c r="D10" i="94"/>
  <c r="E11" i="105"/>
  <c r="C27" i="24"/>
  <c r="H70" i="38"/>
  <c r="H92"/>
  <c r="H69"/>
  <c r="H93"/>
  <c r="H68" i="24"/>
  <c r="H93"/>
  <c r="H92"/>
  <c r="H67"/>
  <c r="A132" i="38"/>
  <c r="B132" s="1"/>
  <c r="A132" i="24"/>
  <c r="B132" s="1"/>
  <c r="E39" i="106"/>
  <c r="E39" i="105"/>
  <c r="D38" i="94"/>
  <c r="G38" s="1"/>
  <c r="E35" i="106"/>
  <c r="E35" i="105"/>
  <c r="D34" i="94"/>
  <c r="G34" s="1"/>
  <c r="E31" i="106"/>
  <c r="D30" i="94"/>
  <c r="BC30" s="1"/>
  <c r="E31" i="105"/>
  <c r="E27" i="106"/>
  <c r="D26" i="94"/>
  <c r="BC26" s="1"/>
  <c r="E27" i="105"/>
  <c r="E23" i="106"/>
  <c r="D22" i="94"/>
  <c r="G22" s="1"/>
  <c r="E23" i="105"/>
  <c r="E19" i="106"/>
  <c r="D18" i="94"/>
  <c r="BM18" s="1"/>
  <c r="E19" i="105"/>
  <c r="E15" i="106"/>
  <c r="D14" i="94"/>
  <c r="BL14" s="1"/>
  <c r="E15" i="105"/>
  <c r="E38" i="106"/>
  <c r="D37" i="94"/>
  <c r="BM37" s="1"/>
  <c r="E38" i="105"/>
  <c r="E30" i="106"/>
  <c r="D29" i="94"/>
  <c r="BC29" s="1"/>
  <c r="E30" i="105"/>
  <c r="E18" i="106"/>
  <c r="E18" i="105"/>
  <c r="D17" i="94"/>
  <c r="BD17" s="1"/>
  <c r="E40" i="106"/>
  <c r="E40" i="105"/>
  <c r="D39" i="94"/>
  <c r="G39" s="1"/>
  <c r="E32" i="106"/>
  <c r="E32" i="105"/>
  <c r="D31" i="94"/>
  <c r="BD31" s="1"/>
  <c r="E24" i="106"/>
  <c r="E24" i="105"/>
  <c r="D23" i="94"/>
  <c r="BK23" s="1"/>
  <c r="E20" i="106"/>
  <c r="E20" i="105"/>
  <c r="D19" i="94"/>
  <c r="BA19" s="1"/>
  <c r="E16" i="106"/>
  <c r="E16" i="105"/>
  <c r="D15" i="94"/>
  <c r="G15" s="1"/>
  <c r="E34" i="106"/>
  <c r="E34" i="105"/>
  <c r="D33" i="94"/>
  <c r="G33" s="1"/>
  <c r="E26" i="106"/>
  <c r="E26" i="105"/>
  <c r="D25" i="94"/>
  <c r="BN25" s="1"/>
  <c r="E22" i="106"/>
  <c r="D21" i="94"/>
  <c r="G21" s="1"/>
  <c r="E22" i="105"/>
  <c r="E14" i="106"/>
  <c r="D13" i="94"/>
  <c r="G13" s="1"/>
  <c r="E14" i="105"/>
  <c r="E36" i="106"/>
  <c r="E36" i="105"/>
  <c r="D35" i="94"/>
  <c r="G35" s="1"/>
  <c r="E28" i="106"/>
  <c r="E28" i="105"/>
  <c r="D27" i="94"/>
  <c r="BL27" s="1"/>
  <c r="E37" i="106"/>
  <c r="E37" i="105"/>
  <c r="D36" i="94"/>
  <c r="BL36" s="1"/>
  <c r="E33" i="106"/>
  <c r="E33" i="105"/>
  <c r="D32" i="94"/>
  <c r="BL32" s="1"/>
  <c r="E29" i="106"/>
  <c r="E29" i="105"/>
  <c r="D28" i="94"/>
  <c r="BE28" s="1"/>
  <c r="E25" i="106"/>
  <c r="E25" i="105"/>
  <c r="D24" i="94"/>
  <c r="G24" s="1"/>
  <c r="E21" i="106"/>
  <c r="E21" i="105"/>
  <c r="D20" i="94"/>
  <c r="AT20" s="1"/>
  <c r="E17" i="106"/>
  <c r="E17" i="105"/>
  <c r="D16" i="94"/>
  <c r="BM16" s="1"/>
  <c r="E40" i="101"/>
  <c r="E40" i="104"/>
  <c r="E40" i="103"/>
  <c r="E32" i="101"/>
  <c r="E32" i="104"/>
  <c r="E32" i="103"/>
  <c r="E20"/>
  <c r="E20" i="104"/>
  <c r="E20" i="101"/>
  <c r="E12" i="104"/>
  <c r="E12" i="101"/>
  <c r="E12" i="103"/>
  <c r="E8" i="101"/>
  <c r="E8" i="104"/>
  <c r="E8" i="103"/>
  <c r="E41"/>
  <c r="E41" i="104"/>
  <c r="E41" i="101"/>
  <c r="E37" i="104"/>
  <c r="E37" i="103"/>
  <c r="E37" i="101"/>
  <c r="E33" i="103"/>
  <c r="E33" i="104"/>
  <c r="E33" i="101"/>
  <c r="E29" i="104"/>
  <c r="E29" i="103"/>
  <c r="E29" i="101"/>
  <c r="E25"/>
  <c r="E25" i="103"/>
  <c r="E25" i="104"/>
  <c r="E21"/>
  <c r="E21" i="101"/>
  <c r="E21" i="103"/>
  <c r="E17" i="101"/>
  <c r="E17" i="103"/>
  <c r="E17" i="104"/>
  <c r="E13"/>
  <c r="E13" i="103"/>
  <c r="E13" i="101"/>
  <c r="E9"/>
  <c r="E9" i="103"/>
  <c r="E9" i="104"/>
  <c r="E36" i="101"/>
  <c r="E36" i="104"/>
  <c r="E36" i="103"/>
  <c r="E28"/>
  <c r="E28" i="104"/>
  <c r="E28" i="101"/>
  <c r="E16" i="104"/>
  <c r="E16" i="103"/>
  <c r="E16" i="101"/>
  <c r="E42" i="103"/>
  <c r="E42" i="101"/>
  <c r="E42" i="104"/>
  <c r="E38" i="103"/>
  <c r="E38" i="104"/>
  <c r="E38" i="101"/>
  <c r="E34" i="103"/>
  <c r="E34" i="101"/>
  <c r="E34" i="104"/>
  <c r="E30"/>
  <c r="E30" i="101"/>
  <c r="E30" i="103"/>
  <c r="E26" i="101"/>
  <c r="E26" i="104"/>
  <c r="E26" i="103"/>
  <c r="E22" i="104"/>
  <c r="E22" i="101"/>
  <c r="E22" i="103"/>
  <c r="E18"/>
  <c r="E18" i="101"/>
  <c r="E18" i="104"/>
  <c r="E14"/>
  <c r="E14" i="103"/>
  <c r="E14" i="101"/>
  <c r="E10" i="103"/>
  <c r="E10" i="101"/>
  <c r="E10" i="104"/>
  <c r="E24" i="103"/>
  <c r="E24" i="104"/>
  <c r="E24" i="101"/>
  <c r="F7" i="104"/>
  <c r="E43" i="103"/>
  <c r="E43" i="101"/>
  <c r="E43" i="104"/>
  <c r="E39" i="101"/>
  <c r="E39" i="104"/>
  <c r="E39" i="103"/>
  <c r="E35" i="101"/>
  <c r="E35" i="103"/>
  <c r="E35" i="104"/>
  <c r="E31"/>
  <c r="E31" i="101"/>
  <c r="E31" i="103"/>
  <c r="E27" i="101"/>
  <c r="E27" i="103"/>
  <c r="E27" i="104"/>
  <c r="E23"/>
  <c r="E23" i="101"/>
  <c r="E23" i="103"/>
  <c r="E19" i="101"/>
  <c r="E19" i="103"/>
  <c r="E19" i="104"/>
  <c r="E15"/>
  <c r="E15" i="101"/>
  <c r="E15" i="103"/>
  <c r="E11" i="101"/>
  <c r="E11" i="104"/>
  <c r="E11" i="103"/>
  <c r="O110" i="27"/>
  <c r="O106"/>
  <c r="O101"/>
  <c r="O95"/>
  <c r="O91"/>
  <c r="O87"/>
  <c r="O108"/>
  <c r="O98"/>
  <c r="O89"/>
  <c r="O109"/>
  <c r="O99"/>
  <c r="O94"/>
  <c r="J35"/>
  <c r="O111"/>
  <c r="O107"/>
  <c r="O102"/>
  <c r="O96"/>
  <c r="O92"/>
  <c r="O88"/>
  <c r="E7" i="101"/>
  <c r="O103" i="27"/>
  <c r="O93"/>
  <c r="E7" i="103"/>
  <c r="G7" s="1"/>
  <c r="BB7" s="1"/>
  <c r="O104" i="27"/>
  <c r="O90"/>
  <c r="F30"/>
  <c r="C48" i="99"/>
  <c r="H48" s="1"/>
  <c r="C48" i="98"/>
  <c r="H48" s="1"/>
  <c r="C47" i="99"/>
  <c r="H47" s="1"/>
  <c r="C47" i="98"/>
  <c r="H47" s="1"/>
  <c r="G10" i="94"/>
  <c r="G14"/>
  <c r="G30"/>
  <c r="G42"/>
  <c r="G9"/>
  <c r="G25"/>
  <c r="G41"/>
  <c r="G45"/>
  <c r="G40"/>
  <c r="G44"/>
  <c r="G11"/>
  <c r="G31"/>
  <c r="G43"/>
  <c r="G47"/>
  <c r="C46" i="98"/>
  <c r="H46" s="1"/>
  <c r="C46" i="99"/>
  <c r="H46" s="1"/>
  <c r="C42"/>
  <c r="H42" s="1"/>
  <c r="C42" i="98"/>
  <c r="H42" s="1"/>
  <c r="C38"/>
  <c r="H38" s="1"/>
  <c r="C38" i="99"/>
  <c r="H38" s="1"/>
  <c r="C34"/>
  <c r="H34" s="1"/>
  <c r="C34" i="98"/>
  <c r="H34" s="1"/>
  <c r="C30" i="99"/>
  <c r="H30" s="1"/>
  <c r="C30" i="98"/>
  <c r="H30" s="1"/>
  <c r="C26" i="99"/>
  <c r="H26" s="1"/>
  <c r="C26" i="98"/>
  <c r="H26" s="1"/>
  <c r="C22"/>
  <c r="H22" s="1"/>
  <c r="C22" i="99"/>
  <c r="H22" s="1"/>
  <c r="C18"/>
  <c r="H18" s="1"/>
  <c r="C18" i="98"/>
  <c r="H18" s="1"/>
  <c r="C14" i="99"/>
  <c r="H14" s="1"/>
  <c r="C14" i="98"/>
  <c r="H14" s="1"/>
  <c r="C10" i="99"/>
  <c r="H10" s="1"/>
  <c r="C10" i="98"/>
  <c r="H10" s="1"/>
  <c r="C11"/>
  <c r="H11" s="1"/>
  <c r="C11" i="99"/>
  <c r="H11" s="1"/>
  <c r="C12" i="98"/>
  <c r="H12" s="1"/>
  <c r="C12" i="99"/>
  <c r="H12" s="1"/>
  <c r="C43" i="98"/>
  <c r="H43" s="1"/>
  <c r="C43" i="99"/>
  <c r="H43" s="1"/>
  <c r="C39"/>
  <c r="H39" s="1"/>
  <c r="C39" i="98"/>
  <c r="H39" s="1"/>
  <c r="C35"/>
  <c r="H35" s="1"/>
  <c r="C35" i="99"/>
  <c r="H35" s="1"/>
  <c r="C31"/>
  <c r="H31" s="1"/>
  <c r="C31" i="98"/>
  <c r="H31" s="1"/>
  <c r="C27"/>
  <c r="H27" s="1"/>
  <c r="C27" i="99"/>
  <c r="H27" s="1"/>
  <c r="C23" i="98"/>
  <c r="H23" s="1"/>
  <c r="C23" i="99"/>
  <c r="H23" s="1"/>
  <c r="C19" i="98"/>
  <c r="H19" s="1"/>
  <c r="C19" i="99"/>
  <c r="H19" s="1"/>
  <c r="C15" i="98"/>
  <c r="H15" s="1"/>
  <c r="C15" i="99"/>
  <c r="H15" s="1"/>
  <c r="C44"/>
  <c r="H44" s="1"/>
  <c r="C44" i="98"/>
  <c r="H44" s="1"/>
  <c r="C40" i="99"/>
  <c r="H40" s="1"/>
  <c r="C40" i="98"/>
  <c r="H40" s="1"/>
  <c r="C36"/>
  <c r="H36" s="1"/>
  <c r="C36" i="99"/>
  <c r="H36" s="1"/>
  <c r="C32" i="98"/>
  <c r="H32" s="1"/>
  <c r="C32" i="99"/>
  <c r="H32" s="1"/>
  <c r="C28"/>
  <c r="H28" s="1"/>
  <c r="C28" i="98"/>
  <c r="H28" s="1"/>
  <c r="C24" i="99"/>
  <c r="H24" s="1"/>
  <c r="C24" i="98"/>
  <c r="H24" s="1"/>
  <c r="C20" i="99"/>
  <c r="H20" s="1"/>
  <c r="C20" i="98"/>
  <c r="H20" s="1"/>
  <c r="C16" i="99"/>
  <c r="H16" s="1"/>
  <c r="C16" i="98"/>
  <c r="H16" s="1"/>
  <c r="C9"/>
  <c r="C9" i="99"/>
  <c r="H9" s="1"/>
  <c r="C45" i="98"/>
  <c r="H45" s="1"/>
  <c r="C45" i="99"/>
  <c r="H45" s="1"/>
  <c r="C41" i="98"/>
  <c r="H41" s="1"/>
  <c r="C41" i="99"/>
  <c r="H41" s="1"/>
  <c r="C37" i="98"/>
  <c r="H37" s="1"/>
  <c r="C37" i="99"/>
  <c r="H37" s="1"/>
  <c r="C33" i="98"/>
  <c r="H33" s="1"/>
  <c r="C33" i="99"/>
  <c r="H33" s="1"/>
  <c r="C29" i="98"/>
  <c r="H29" s="1"/>
  <c r="C29" i="99"/>
  <c r="H29" s="1"/>
  <c r="C25" i="98"/>
  <c r="H25" s="1"/>
  <c r="C25" i="99"/>
  <c r="H25" s="1"/>
  <c r="C21" i="98"/>
  <c r="H21" s="1"/>
  <c r="C21" i="99"/>
  <c r="H21" s="1"/>
  <c r="C17" i="98"/>
  <c r="H17" s="1"/>
  <c r="C17" i="99"/>
  <c r="H17" s="1"/>
  <c r="C13" i="98"/>
  <c r="H13" s="1"/>
  <c r="C13" i="99"/>
  <c r="H13" s="1"/>
  <c r="H9" i="98"/>
  <c r="AE27" i="96"/>
  <c r="H8"/>
  <c r="H9" i="24"/>
  <c r="H9" i="96"/>
  <c r="C27"/>
  <c r="BN9" i="94"/>
  <c r="BN17"/>
  <c r="BN41"/>
  <c r="BN45"/>
  <c r="BM9"/>
  <c r="BM13"/>
  <c r="BM33"/>
  <c r="BM41"/>
  <c r="BM45"/>
  <c r="BL47"/>
  <c r="BL43"/>
  <c r="BL35"/>
  <c r="BL31"/>
  <c r="BL11"/>
  <c r="BK9"/>
  <c r="BK13"/>
  <c r="BK33"/>
  <c r="BK45"/>
  <c r="BC9"/>
  <c r="BC45"/>
  <c r="BE9"/>
  <c r="BE13"/>
  <c r="BE33"/>
  <c r="BE45"/>
  <c r="BD9"/>
  <c r="BD45"/>
  <c r="BB9"/>
  <c r="BB13"/>
  <c r="BB33"/>
  <c r="BB41"/>
  <c r="BB45"/>
  <c r="BA9"/>
  <c r="BA41"/>
  <c r="BA45"/>
  <c r="AU9"/>
  <c r="AU13"/>
  <c r="AU33"/>
  <c r="AU41"/>
  <c r="AU45"/>
  <c r="AT9"/>
  <c r="AT41"/>
  <c r="AT45"/>
  <c r="AS9"/>
  <c r="AS13"/>
  <c r="AS33"/>
  <c r="AS41"/>
  <c r="AS45"/>
  <c r="AR9"/>
  <c r="AR17"/>
  <c r="AR37"/>
  <c r="AR45"/>
  <c r="AQ47"/>
  <c r="AQ28"/>
  <c r="AQ44"/>
  <c r="AE9"/>
  <c r="AE37"/>
  <c r="AE45"/>
  <c r="AD9"/>
  <c r="AD13"/>
  <c r="AD33"/>
  <c r="AD45"/>
  <c r="AG9"/>
  <c r="AG45"/>
  <c r="V9"/>
  <c r="V13"/>
  <c r="V33"/>
  <c r="V41"/>
  <c r="V45"/>
  <c r="U9"/>
  <c r="U45"/>
  <c r="N9"/>
  <c r="N13"/>
  <c r="N33"/>
  <c r="N41"/>
  <c r="N45"/>
  <c r="M9"/>
  <c r="M45"/>
  <c r="L9"/>
  <c r="L13"/>
  <c r="L33"/>
  <c r="L41"/>
  <c r="L45"/>
  <c r="K9"/>
  <c r="K41"/>
  <c r="K45"/>
  <c r="J9"/>
  <c r="J13"/>
  <c r="J17"/>
  <c r="J33"/>
  <c r="J45"/>
  <c r="I9"/>
  <c r="I41"/>
  <c r="I45"/>
  <c r="H9"/>
  <c r="H13"/>
  <c r="BN10"/>
  <c r="BN31"/>
  <c r="BN42"/>
  <c r="BN47"/>
  <c r="BM28"/>
  <c r="BM44"/>
  <c r="BL41"/>
  <c r="BL9"/>
  <c r="BK44"/>
  <c r="BC10"/>
  <c r="BC42"/>
  <c r="BC47"/>
  <c r="BE44"/>
  <c r="BD10"/>
  <c r="BD42"/>
  <c r="BD47"/>
  <c r="BB28"/>
  <c r="BB44"/>
  <c r="BA10"/>
  <c r="BA31"/>
  <c r="BA42"/>
  <c r="BA47"/>
  <c r="AU28"/>
  <c r="AU44"/>
  <c r="AT10"/>
  <c r="AT31"/>
  <c r="AT42"/>
  <c r="AT47"/>
  <c r="AS44"/>
  <c r="AR10"/>
  <c r="AR42"/>
  <c r="AR47"/>
  <c r="AQ11"/>
  <c r="AQ43"/>
  <c r="AE10"/>
  <c r="AE42"/>
  <c r="AE47"/>
  <c r="AD28"/>
  <c r="AD44"/>
  <c r="AG10"/>
  <c r="AG31"/>
  <c r="AG42"/>
  <c r="AG47"/>
  <c r="V28"/>
  <c r="V44"/>
  <c r="U10"/>
  <c r="U20"/>
  <c r="U31"/>
  <c r="U42"/>
  <c r="U47"/>
  <c r="N44"/>
  <c r="M10"/>
  <c r="M42"/>
  <c r="M47"/>
  <c r="L44"/>
  <c r="K10"/>
  <c r="K20"/>
  <c r="K42"/>
  <c r="K47"/>
  <c r="J28"/>
  <c r="J44"/>
  <c r="I10"/>
  <c r="I20"/>
  <c r="I31"/>
  <c r="I42"/>
  <c r="I47"/>
  <c r="H28"/>
  <c r="H33"/>
  <c r="H45"/>
  <c r="F9"/>
  <c r="F45"/>
  <c r="E9"/>
  <c r="E13"/>
  <c r="E33"/>
  <c r="E41"/>
  <c r="E45"/>
  <c r="BN14"/>
  <c r="BN30"/>
  <c r="BN35"/>
  <c r="BN40"/>
  <c r="BM11"/>
  <c r="BM43"/>
  <c r="BL42"/>
  <c r="BL10"/>
  <c r="BK11"/>
  <c r="BK43"/>
  <c r="BC14"/>
  <c r="BC40"/>
  <c r="BE11"/>
  <c r="BE43"/>
  <c r="BD30"/>
  <c r="BB11"/>
  <c r="BB43"/>
  <c r="BB8"/>
  <c r="BA14"/>
  <c r="BA30"/>
  <c r="BA35"/>
  <c r="AU11"/>
  <c r="AU43"/>
  <c r="AT14"/>
  <c r="AT30"/>
  <c r="AT35"/>
  <c r="AT40"/>
  <c r="AS11"/>
  <c r="AS43"/>
  <c r="AR14"/>
  <c r="AR35"/>
  <c r="AR40"/>
  <c r="AQ10"/>
  <c r="AQ42"/>
  <c r="AE30"/>
  <c r="AD11"/>
  <c r="AD43"/>
  <c r="AG14"/>
  <c r="AG30"/>
  <c r="AG35"/>
  <c r="AG40"/>
  <c r="V11"/>
  <c r="V43"/>
  <c r="U14"/>
  <c r="U30"/>
  <c r="U35"/>
  <c r="U46"/>
  <c r="N11"/>
  <c r="N43"/>
  <c r="M14"/>
  <c r="M35"/>
  <c r="M40"/>
  <c r="L11"/>
  <c r="L43"/>
  <c r="K24"/>
  <c r="K30"/>
  <c r="J11"/>
  <c r="J27"/>
  <c r="J43"/>
  <c r="I14"/>
  <c r="I30"/>
  <c r="I35"/>
  <c r="H11"/>
  <c r="H40"/>
  <c r="H44"/>
  <c r="F24"/>
  <c r="F28"/>
  <c r="F40"/>
  <c r="F44"/>
  <c r="E12"/>
  <c r="E28"/>
  <c r="E40"/>
  <c r="E44"/>
  <c r="BN28"/>
  <c r="BN44"/>
  <c r="BM10"/>
  <c r="BM31"/>
  <c r="BM42"/>
  <c r="BM47"/>
  <c r="BL44"/>
  <c r="BL33"/>
  <c r="BK10"/>
  <c r="BK42"/>
  <c r="BK47"/>
  <c r="BC23"/>
  <c r="BC28"/>
  <c r="BC44"/>
  <c r="BE10"/>
  <c r="BE31"/>
  <c r="BE42"/>
  <c r="BE47"/>
  <c r="BD28"/>
  <c r="BD44"/>
  <c r="BB10"/>
  <c r="BB31"/>
  <c r="BB42"/>
  <c r="BB47"/>
  <c r="BN11"/>
  <c r="BM14"/>
  <c r="BM35"/>
  <c r="BL40"/>
  <c r="BK40"/>
  <c r="BC43"/>
  <c r="BB30"/>
  <c r="BA11"/>
  <c r="BA44"/>
  <c r="AU47"/>
  <c r="AT28"/>
  <c r="AS10"/>
  <c r="AS31"/>
  <c r="AS42"/>
  <c r="AR34"/>
  <c r="AR44"/>
  <c r="AQ14"/>
  <c r="AQ35"/>
  <c r="AE28"/>
  <c r="AD10"/>
  <c r="AD31"/>
  <c r="AD42"/>
  <c r="AG44"/>
  <c r="V47"/>
  <c r="U28"/>
  <c r="N10"/>
  <c r="N31"/>
  <c r="N42"/>
  <c r="M44"/>
  <c r="L47"/>
  <c r="K28"/>
  <c r="J10"/>
  <c r="J31"/>
  <c r="J42"/>
  <c r="I44"/>
  <c r="H35"/>
  <c r="H43"/>
  <c r="F11"/>
  <c r="F35"/>
  <c r="F43"/>
  <c r="E11"/>
  <c r="E35"/>
  <c r="E43"/>
  <c r="BN8"/>
  <c r="BM30"/>
  <c r="BL45"/>
  <c r="BK14"/>
  <c r="BK35"/>
  <c r="BE40"/>
  <c r="BD43"/>
  <c r="BA43"/>
  <c r="AU14"/>
  <c r="AU35"/>
  <c r="AS30"/>
  <c r="AS40"/>
  <c r="AR11"/>
  <c r="AR43"/>
  <c r="AQ13"/>
  <c r="AQ45"/>
  <c r="AE8"/>
  <c r="AD30"/>
  <c r="AG11"/>
  <c r="AG43"/>
  <c r="V14"/>
  <c r="V35"/>
  <c r="V46"/>
  <c r="U38"/>
  <c r="N30"/>
  <c r="M11"/>
  <c r="M43"/>
  <c r="L14"/>
  <c r="L35"/>
  <c r="L46"/>
  <c r="J30"/>
  <c r="I11"/>
  <c r="I43"/>
  <c r="H14"/>
  <c r="H34"/>
  <c r="H42"/>
  <c r="F10"/>
  <c r="F42"/>
  <c r="E10"/>
  <c r="E42"/>
  <c r="BN43"/>
  <c r="BM24"/>
  <c r="BK30"/>
  <c r="BC11"/>
  <c r="BE14"/>
  <c r="BE35"/>
  <c r="BA28"/>
  <c r="AU10"/>
  <c r="AU31"/>
  <c r="AU42"/>
  <c r="AT12"/>
  <c r="AT44"/>
  <c r="AS47"/>
  <c r="AR28"/>
  <c r="AQ9"/>
  <c r="AQ30"/>
  <c r="AE23"/>
  <c r="AE34"/>
  <c r="AE44"/>
  <c r="AD47"/>
  <c r="AG28"/>
  <c r="V10"/>
  <c r="V31"/>
  <c r="V42"/>
  <c r="U44"/>
  <c r="N47"/>
  <c r="M28"/>
  <c r="L10"/>
  <c r="L31"/>
  <c r="L42"/>
  <c r="K44"/>
  <c r="J47"/>
  <c r="I28"/>
  <c r="H10"/>
  <c r="H31"/>
  <c r="H39"/>
  <c r="H47"/>
  <c r="F31"/>
  <c r="F47"/>
  <c r="E31"/>
  <c r="BL13"/>
  <c r="BE30"/>
  <c r="BD11"/>
  <c r="BB14"/>
  <c r="BB35"/>
  <c r="AU30"/>
  <c r="AU40"/>
  <c r="AT11"/>
  <c r="AT43"/>
  <c r="AS14"/>
  <c r="AS35"/>
  <c r="AE11"/>
  <c r="AE43"/>
  <c r="AD14"/>
  <c r="AD35"/>
  <c r="V30"/>
  <c r="U11"/>
  <c r="U43"/>
  <c r="N14"/>
  <c r="N35"/>
  <c r="M27"/>
  <c r="M8"/>
  <c r="L30"/>
  <c r="L40"/>
  <c r="K11"/>
  <c r="K43"/>
  <c r="J14"/>
  <c r="J35"/>
  <c r="H30"/>
  <c r="H38"/>
  <c r="F14"/>
  <c r="F30"/>
  <c r="E14"/>
  <c r="E30"/>
  <c r="E47"/>
  <c r="AG94" i="91"/>
  <c r="D87"/>
  <c r="K119"/>
  <c r="D123"/>
  <c r="K46"/>
  <c r="D15"/>
  <c r="K82"/>
  <c r="AG58"/>
  <c r="K83"/>
  <c r="AG130"/>
  <c r="K118"/>
  <c r="K47"/>
  <c r="D51"/>
  <c r="K10"/>
  <c r="K11"/>
  <c r="AG22"/>
  <c r="E43" i="29"/>
  <c r="F39" i="35" s="1"/>
  <c r="E35" i="29"/>
  <c r="F31" i="35" s="1"/>
  <c r="M31" s="1"/>
  <c r="T31" s="1"/>
  <c r="E27" i="29"/>
  <c r="F23" i="35" s="1"/>
  <c r="M23" s="1"/>
  <c r="T23" s="1"/>
  <c r="E23" i="29"/>
  <c r="F19" i="35" s="1"/>
  <c r="M19" s="1"/>
  <c r="T19" s="1"/>
  <c r="E15" i="29"/>
  <c r="F11" i="35" s="1"/>
  <c r="M11" s="1"/>
  <c r="T11" s="1"/>
  <c r="E40" i="29"/>
  <c r="F36" i="35" s="1"/>
  <c r="E32" i="29"/>
  <c r="F28" i="35" s="1"/>
  <c r="M28" s="1"/>
  <c r="T28" s="1"/>
  <c r="E28" i="29"/>
  <c r="F24" i="35" s="1"/>
  <c r="M24" s="1"/>
  <c r="T24" s="1"/>
  <c r="E20" i="29"/>
  <c r="F16" i="35" s="1"/>
  <c r="M16" s="1"/>
  <c r="T16" s="1"/>
  <c r="E12" i="29"/>
  <c r="F8" i="35" s="1"/>
  <c r="M8" s="1"/>
  <c r="T8" s="1"/>
  <c r="E45" i="29"/>
  <c r="F41" i="35" s="1"/>
  <c r="E41" i="29"/>
  <c r="F37" i="35" s="1"/>
  <c r="E37" i="29"/>
  <c r="F33" i="35" s="1"/>
  <c r="M33" s="1"/>
  <c r="T33" s="1"/>
  <c r="E33" i="29"/>
  <c r="F29" i="35" s="1"/>
  <c r="M29" s="1"/>
  <c r="T29" s="1"/>
  <c r="E29" i="29"/>
  <c r="F25" i="35" s="1"/>
  <c r="M25" s="1"/>
  <c r="T25" s="1"/>
  <c r="E25" i="29"/>
  <c r="F21" i="35" s="1"/>
  <c r="M21" s="1"/>
  <c r="T21" s="1"/>
  <c r="E21" i="29"/>
  <c r="F17" i="35" s="1"/>
  <c r="M17" s="1"/>
  <c r="T17" s="1"/>
  <c r="E17" i="29"/>
  <c r="F13" i="35" s="1"/>
  <c r="M13" s="1"/>
  <c r="T13" s="1"/>
  <c r="E13" i="29"/>
  <c r="F9" i="35" s="1"/>
  <c r="M9" s="1"/>
  <c r="T9" s="1"/>
  <c r="E7" i="29"/>
  <c r="E39"/>
  <c r="F35" i="35" s="1"/>
  <c r="E31" i="29"/>
  <c r="F27" i="35" s="1"/>
  <c r="M27" s="1"/>
  <c r="T27" s="1"/>
  <c r="E19" i="29"/>
  <c r="F15" i="35" s="1"/>
  <c r="M15" s="1"/>
  <c r="T15" s="1"/>
  <c r="E11" i="29"/>
  <c r="F7" i="35" s="1"/>
  <c r="M7" s="1"/>
  <c r="T7" s="1"/>
  <c r="E44" i="29"/>
  <c r="F40" i="35" s="1"/>
  <c r="E36" i="29"/>
  <c r="F32" i="35" s="1"/>
  <c r="M32" s="1"/>
  <c r="T32" s="1"/>
  <c r="E24" i="29"/>
  <c r="F20" i="35" s="1"/>
  <c r="M20" s="1"/>
  <c r="T20" s="1"/>
  <c r="E16" i="29"/>
  <c r="F12" i="35" s="1"/>
  <c r="M12" s="1"/>
  <c r="T12" s="1"/>
  <c r="E8" i="29"/>
  <c r="F4" i="35" s="1"/>
  <c r="M4" s="1"/>
  <c r="T4" s="1"/>
  <c r="E42" i="29"/>
  <c r="F38" i="35" s="1"/>
  <c r="E38" i="29"/>
  <c r="F34" i="35" s="1"/>
  <c r="M34" s="1"/>
  <c r="T34" s="1"/>
  <c r="E34" i="29"/>
  <c r="F30" i="35" s="1"/>
  <c r="M30" s="1"/>
  <c r="T30" s="1"/>
  <c r="E30" i="29"/>
  <c r="F26" i="35" s="1"/>
  <c r="M26" s="1"/>
  <c r="T26" s="1"/>
  <c r="E26" i="29"/>
  <c r="F22" i="35" s="1"/>
  <c r="M22" s="1"/>
  <c r="T22" s="1"/>
  <c r="E22" i="29"/>
  <c r="F18" i="35" s="1"/>
  <c r="M18" s="1"/>
  <c r="T18" s="1"/>
  <c r="E18" i="29"/>
  <c r="F14" i="35" s="1"/>
  <c r="M14" s="1"/>
  <c r="T14" s="1"/>
  <c r="E14" i="29"/>
  <c r="F10" i="35" s="1"/>
  <c r="M10" s="1"/>
  <c r="T10" s="1"/>
  <c r="E10" i="29"/>
  <c r="F6" i="35" s="1"/>
  <c r="M6" s="1"/>
  <c r="T6" s="1"/>
  <c r="H52" i="38"/>
  <c r="H9"/>
  <c r="H51" i="24"/>
  <c r="J128" i="27"/>
  <c r="H83" i="38"/>
  <c r="H8" i="24"/>
  <c r="C27" i="38"/>
  <c r="C57" s="1"/>
  <c r="AI58" s="1"/>
  <c r="H50" i="24"/>
  <c r="H53" i="38"/>
  <c r="H83" i="24"/>
  <c r="J129" i="27"/>
  <c r="H84" i="24"/>
  <c r="H84" i="38"/>
  <c r="H8"/>
  <c r="E46" i="29"/>
  <c r="F46" s="1"/>
  <c r="G42" i="35" s="1"/>
  <c r="F45" i="29"/>
  <c r="G41" i="35" s="1"/>
  <c r="E9" i="29"/>
  <c r="AK8" i="20"/>
  <c r="AL8"/>
  <c r="AK9"/>
  <c r="AL9"/>
  <c r="AK10"/>
  <c r="AL10"/>
  <c r="AK11"/>
  <c r="AL11"/>
  <c r="AK12"/>
  <c r="AL12"/>
  <c r="AK13"/>
  <c r="AL13"/>
  <c r="AK14"/>
  <c r="AL14"/>
  <c r="AK15"/>
  <c r="AL15"/>
  <c r="AK16"/>
  <c r="AL16"/>
  <c r="AK17"/>
  <c r="AL17"/>
  <c r="AK18"/>
  <c r="AL18"/>
  <c r="AK19"/>
  <c r="AL19"/>
  <c r="AK20"/>
  <c r="AL20"/>
  <c r="AK21"/>
  <c r="AL21"/>
  <c r="AK22"/>
  <c r="AL22"/>
  <c r="AK23"/>
  <c r="AL23"/>
  <c r="AK24"/>
  <c r="AL24"/>
  <c r="AK25"/>
  <c r="AL25"/>
  <c r="AK26"/>
  <c r="AL26"/>
  <c r="AK27"/>
  <c r="AL27"/>
  <c r="AK28"/>
  <c r="AL28"/>
  <c r="AK29"/>
  <c r="AL29"/>
  <c r="AK30"/>
  <c r="AL30"/>
  <c r="AK31"/>
  <c r="AL31"/>
  <c r="AK32"/>
  <c r="AL32"/>
  <c r="AK33"/>
  <c r="AL33"/>
  <c r="AK34"/>
  <c r="AL34"/>
  <c r="AK35"/>
  <c r="AL35"/>
  <c r="AK36"/>
  <c r="AL36"/>
  <c r="AK37"/>
  <c r="AL37"/>
  <c r="AK38"/>
  <c r="AL38"/>
  <c r="AK39"/>
  <c r="AL39"/>
  <c r="AK40"/>
  <c r="AL40"/>
  <c r="AK41"/>
  <c r="AL41"/>
  <c r="AK42"/>
  <c r="AL42"/>
  <c r="AK43"/>
  <c r="AL43"/>
  <c r="AK44"/>
  <c r="AL44"/>
  <c r="AK45"/>
  <c r="AL45"/>
  <c r="AK46"/>
  <c r="AL46"/>
  <c r="AL7"/>
  <c r="AK7"/>
  <c r="AI8"/>
  <c r="AJ8"/>
  <c r="AI9"/>
  <c r="AJ9"/>
  <c r="AI10"/>
  <c r="AJ10"/>
  <c r="AI11"/>
  <c r="AJ11"/>
  <c r="AI12"/>
  <c r="AJ12"/>
  <c r="AI13"/>
  <c r="AJ13"/>
  <c r="AI14"/>
  <c r="AJ14"/>
  <c r="AI15"/>
  <c r="AJ15"/>
  <c r="AI16"/>
  <c r="AJ16"/>
  <c r="AI17"/>
  <c r="AJ17"/>
  <c r="AI18"/>
  <c r="AJ18"/>
  <c r="AI19"/>
  <c r="AJ19"/>
  <c r="AI20"/>
  <c r="AJ20"/>
  <c r="AI21"/>
  <c r="AJ21"/>
  <c r="AI22"/>
  <c r="AJ22"/>
  <c r="AI23"/>
  <c r="AJ23"/>
  <c r="AI24"/>
  <c r="AJ24"/>
  <c r="AI25"/>
  <c r="AJ25"/>
  <c r="AI26"/>
  <c r="AJ26"/>
  <c r="AI27"/>
  <c r="AJ27"/>
  <c r="AI28"/>
  <c r="AJ28"/>
  <c r="AI29"/>
  <c r="AJ29"/>
  <c r="AI30"/>
  <c r="AJ30"/>
  <c r="AI31"/>
  <c r="AJ31"/>
  <c r="AI32"/>
  <c r="AJ32"/>
  <c r="AI33"/>
  <c r="AJ33"/>
  <c r="AI34"/>
  <c r="AJ34"/>
  <c r="AI35"/>
  <c r="AJ35"/>
  <c r="AI36"/>
  <c r="AJ36"/>
  <c r="AI37"/>
  <c r="AJ37"/>
  <c r="AI38"/>
  <c r="AJ38"/>
  <c r="AI39"/>
  <c r="AJ39"/>
  <c r="AI40"/>
  <c r="AJ40"/>
  <c r="AI41"/>
  <c r="AJ41"/>
  <c r="AI42"/>
  <c r="AJ42"/>
  <c r="AI43"/>
  <c r="AJ43"/>
  <c r="AI44"/>
  <c r="AJ44"/>
  <c r="AI45"/>
  <c r="AJ45"/>
  <c r="AI46"/>
  <c r="AJ46"/>
  <c r="AJ7"/>
  <c r="AI7"/>
  <c r="AG8"/>
  <c r="AH8"/>
  <c r="AG9"/>
  <c r="AH9"/>
  <c r="AG10"/>
  <c r="AH10"/>
  <c r="AG11"/>
  <c r="AH11"/>
  <c r="AG12"/>
  <c r="AH12"/>
  <c r="AG13"/>
  <c r="AH13"/>
  <c r="AG14"/>
  <c r="AH14"/>
  <c r="AG15"/>
  <c r="AH15"/>
  <c r="AG16"/>
  <c r="AH16"/>
  <c r="AG17"/>
  <c r="AH17"/>
  <c r="AG18"/>
  <c r="AH18"/>
  <c r="AG19"/>
  <c r="AH19"/>
  <c r="AG20"/>
  <c r="AH20"/>
  <c r="AG21"/>
  <c r="AH21"/>
  <c r="AG22"/>
  <c r="AH22"/>
  <c r="AG23"/>
  <c r="AH23"/>
  <c r="AG24"/>
  <c r="AH24"/>
  <c r="AG25"/>
  <c r="AH25"/>
  <c r="AG26"/>
  <c r="AH26"/>
  <c r="AG27"/>
  <c r="AH27"/>
  <c r="AG28"/>
  <c r="AH28"/>
  <c r="AG29"/>
  <c r="AH29"/>
  <c r="AG30"/>
  <c r="AH30"/>
  <c r="AG31"/>
  <c r="AH31"/>
  <c r="AG32"/>
  <c r="AH32"/>
  <c r="AG33"/>
  <c r="AH33"/>
  <c r="AG34"/>
  <c r="AH34"/>
  <c r="AG35"/>
  <c r="AH35"/>
  <c r="AG36"/>
  <c r="AH36"/>
  <c r="AG37"/>
  <c r="AH37"/>
  <c r="AG38"/>
  <c r="AH38"/>
  <c r="AG39"/>
  <c r="AH39"/>
  <c r="AG40"/>
  <c r="AH40"/>
  <c r="AG41"/>
  <c r="AH41"/>
  <c r="AG42"/>
  <c r="AH42"/>
  <c r="AG43"/>
  <c r="AH43"/>
  <c r="AG44"/>
  <c r="AH44"/>
  <c r="AG45"/>
  <c r="AH45"/>
  <c r="AG46"/>
  <c r="AH46"/>
  <c r="AH7"/>
  <c r="AG7"/>
  <c r="AE8"/>
  <c r="AF8"/>
  <c r="AE9"/>
  <c r="AF9"/>
  <c r="AE10"/>
  <c r="AF10"/>
  <c r="AE11"/>
  <c r="AF11"/>
  <c r="AE12"/>
  <c r="AF12"/>
  <c r="AE13"/>
  <c r="AF13"/>
  <c r="AE14"/>
  <c r="AF14"/>
  <c r="AE15"/>
  <c r="AF15"/>
  <c r="AE16"/>
  <c r="AF16"/>
  <c r="AE17"/>
  <c r="AF17"/>
  <c r="AE18"/>
  <c r="AF18"/>
  <c r="AE19"/>
  <c r="AF19"/>
  <c r="AE20"/>
  <c r="AF20"/>
  <c r="AE21"/>
  <c r="AF21"/>
  <c r="AE22"/>
  <c r="AF22"/>
  <c r="AE23"/>
  <c r="AF23"/>
  <c r="AE24"/>
  <c r="AF24"/>
  <c r="AE25"/>
  <c r="AF25"/>
  <c r="AE26"/>
  <c r="AF26"/>
  <c r="AE27"/>
  <c r="AF27"/>
  <c r="AE28"/>
  <c r="AF28"/>
  <c r="AE29"/>
  <c r="AF29"/>
  <c r="AE30"/>
  <c r="AF30"/>
  <c r="AE31"/>
  <c r="AF31"/>
  <c r="AE32"/>
  <c r="AF32"/>
  <c r="AE33"/>
  <c r="AF33"/>
  <c r="AE34"/>
  <c r="AF34"/>
  <c r="AE35"/>
  <c r="AF35"/>
  <c r="AE36"/>
  <c r="AF36"/>
  <c r="AE37"/>
  <c r="AF37"/>
  <c r="AE38"/>
  <c r="AF38"/>
  <c r="AE39"/>
  <c r="AF39"/>
  <c r="AE40"/>
  <c r="AF40"/>
  <c r="AE41"/>
  <c r="AF41"/>
  <c r="AE42"/>
  <c r="AF42"/>
  <c r="AE43"/>
  <c r="AF43"/>
  <c r="AE44"/>
  <c r="AF44"/>
  <c r="AE45"/>
  <c r="AF45"/>
  <c r="AE46"/>
  <c r="AF46"/>
  <c r="AF7"/>
  <c r="AE7"/>
  <c r="AC8"/>
  <c r="AD8"/>
  <c r="AC9"/>
  <c r="AD9"/>
  <c r="AC10"/>
  <c r="AD10"/>
  <c r="AC11"/>
  <c r="AD11"/>
  <c r="AC12"/>
  <c r="AD12"/>
  <c r="AC13"/>
  <c r="AD13"/>
  <c r="AC14"/>
  <c r="AD14"/>
  <c r="AC15"/>
  <c r="AD15"/>
  <c r="AC16"/>
  <c r="AD16"/>
  <c r="AC17"/>
  <c r="AD17"/>
  <c r="AC18"/>
  <c r="AD18"/>
  <c r="AC19"/>
  <c r="AD19"/>
  <c r="AC20"/>
  <c r="AD20"/>
  <c r="AC21"/>
  <c r="AD21"/>
  <c r="AC22"/>
  <c r="AD22"/>
  <c r="AC23"/>
  <c r="AD23"/>
  <c r="AC24"/>
  <c r="AD24"/>
  <c r="AC25"/>
  <c r="AD25"/>
  <c r="AC26"/>
  <c r="AD26"/>
  <c r="AC27"/>
  <c r="AD27"/>
  <c r="AC28"/>
  <c r="AD28"/>
  <c r="AC29"/>
  <c r="AD29"/>
  <c r="AC30"/>
  <c r="AD30"/>
  <c r="AC31"/>
  <c r="AD31"/>
  <c r="AC32"/>
  <c r="AD32"/>
  <c r="AC33"/>
  <c r="AD33"/>
  <c r="AC34"/>
  <c r="AD34"/>
  <c r="AC35"/>
  <c r="AD35"/>
  <c r="AC36"/>
  <c r="AD36"/>
  <c r="AC37"/>
  <c r="AD37"/>
  <c r="AC38"/>
  <c r="AD38"/>
  <c r="AC39"/>
  <c r="AD39"/>
  <c r="AC40"/>
  <c r="AD40"/>
  <c r="AC41"/>
  <c r="AD41"/>
  <c r="AC42"/>
  <c r="AD42"/>
  <c r="AC43"/>
  <c r="AD43"/>
  <c r="AC44"/>
  <c r="AD44"/>
  <c r="AC45"/>
  <c r="AD45"/>
  <c r="AC46"/>
  <c r="AD46"/>
  <c r="AD7"/>
  <c r="AC7"/>
  <c r="AA8"/>
  <c r="AB8"/>
  <c r="AA9"/>
  <c r="AB9"/>
  <c r="AA10"/>
  <c r="AB10"/>
  <c r="AA11"/>
  <c r="AB11"/>
  <c r="AA12"/>
  <c r="AB12"/>
  <c r="AA13"/>
  <c r="AB13"/>
  <c r="AA14"/>
  <c r="AB14"/>
  <c r="AA15"/>
  <c r="AB15"/>
  <c r="AA16"/>
  <c r="AB16"/>
  <c r="AA17"/>
  <c r="AB17"/>
  <c r="AA18"/>
  <c r="AB18"/>
  <c r="AA19"/>
  <c r="AB19"/>
  <c r="AA20"/>
  <c r="AB20"/>
  <c r="AA21"/>
  <c r="AB21"/>
  <c r="AA22"/>
  <c r="AB22"/>
  <c r="AA23"/>
  <c r="AB23"/>
  <c r="AA24"/>
  <c r="AB24"/>
  <c r="AA25"/>
  <c r="AB25"/>
  <c r="AA26"/>
  <c r="AB26"/>
  <c r="AA27"/>
  <c r="AB27"/>
  <c r="AA28"/>
  <c r="AB28"/>
  <c r="AA29"/>
  <c r="AB29"/>
  <c r="AA30"/>
  <c r="AB30"/>
  <c r="AA31"/>
  <c r="AB31"/>
  <c r="AA32"/>
  <c r="AB32"/>
  <c r="AA33"/>
  <c r="AB33"/>
  <c r="AA34"/>
  <c r="AB34"/>
  <c r="AA35"/>
  <c r="AB35"/>
  <c r="AA36"/>
  <c r="AB36"/>
  <c r="AA37"/>
  <c r="AB37"/>
  <c r="AA38"/>
  <c r="AB38"/>
  <c r="AA39"/>
  <c r="AB39"/>
  <c r="AA40"/>
  <c r="AB40"/>
  <c r="AA41"/>
  <c r="AB41"/>
  <c r="AA42"/>
  <c r="AB42"/>
  <c r="AA43"/>
  <c r="AB43"/>
  <c r="AA44"/>
  <c r="AB44"/>
  <c r="AA45"/>
  <c r="AB45"/>
  <c r="AA46"/>
  <c r="AB46"/>
  <c r="AB7"/>
  <c r="AA7"/>
  <c r="Y8"/>
  <c r="Z8"/>
  <c r="Y9"/>
  <c r="Z9"/>
  <c r="Y10"/>
  <c r="Z10"/>
  <c r="Y11"/>
  <c r="Z11"/>
  <c r="Y12"/>
  <c r="Z12"/>
  <c r="Y13"/>
  <c r="Z13"/>
  <c r="Y14"/>
  <c r="Z14"/>
  <c r="Y15"/>
  <c r="Z15"/>
  <c r="Y16"/>
  <c r="Z16"/>
  <c r="Y17"/>
  <c r="Z17"/>
  <c r="Y18"/>
  <c r="Z18"/>
  <c r="Y19"/>
  <c r="Z19"/>
  <c r="Y20"/>
  <c r="Z20"/>
  <c r="Y21"/>
  <c r="Z21"/>
  <c r="Y22"/>
  <c r="Z22"/>
  <c r="Y23"/>
  <c r="Z23"/>
  <c r="Y24"/>
  <c r="Z24"/>
  <c r="Y25"/>
  <c r="Z25"/>
  <c r="Y26"/>
  <c r="Z26"/>
  <c r="Y27"/>
  <c r="Z27"/>
  <c r="Y28"/>
  <c r="Z28"/>
  <c r="Y29"/>
  <c r="Z29"/>
  <c r="Y30"/>
  <c r="Z30"/>
  <c r="Y31"/>
  <c r="Z31"/>
  <c r="Y32"/>
  <c r="Z32"/>
  <c r="Y33"/>
  <c r="Z33"/>
  <c r="Y34"/>
  <c r="Z34"/>
  <c r="Y35"/>
  <c r="Z35"/>
  <c r="Y36"/>
  <c r="Z36"/>
  <c r="Y37"/>
  <c r="Z37"/>
  <c r="Y38"/>
  <c r="Z38"/>
  <c r="Y39"/>
  <c r="Z39"/>
  <c r="Y40"/>
  <c r="Z40"/>
  <c r="Y41"/>
  <c r="Z41"/>
  <c r="Y42"/>
  <c r="Z42"/>
  <c r="Y43"/>
  <c r="Z43"/>
  <c r="Y44"/>
  <c r="Z44"/>
  <c r="Y45"/>
  <c r="Z45"/>
  <c r="Y46"/>
  <c r="Z46"/>
  <c r="Z7"/>
  <c r="Y7"/>
  <c r="W8"/>
  <c r="X8"/>
  <c r="W9"/>
  <c r="X9"/>
  <c r="W10"/>
  <c r="X10"/>
  <c r="W11"/>
  <c r="X11"/>
  <c r="W12"/>
  <c r="X12"/>
  <c r="W13"/>
  <c r="X13"/>
  <c r="W14"/>
  <c r="X14"/>
  <c r="W15"/>
  <c r="X15"/>
  <c r="W16"/>
  <c r="X16"/>
  <c r="W17"/>
  <c r="X17"/>
  <c r="W18"/>
  <c r="X18"/>
  <c r="W19"/>
  <c r="X19"/>
  <c r="W20"/>
  <c r="X20"/>
  <c r="W21"/>
  <c r="X21"/>
  <c r="W22"/>
  <c r="X22"/>
  <c r="W23"/>
  <c r="X23"/>
  <c r="W24"/>
  <c r="X24"/>
  <c r="W25"/>
  <c r="X25"/>
  <c r="W26"/>
  <c r="X26"/>
  <c r="W27"/>
  <c r="X27"/>
  <c r="W28"/>
  <c r="X28"/>
  <c r="W29"/>
  <c r="X29"/>
  <c r="W30"/>
  <c r="X30"/>
  <c r="W31"/>
  <c r="X31"/>
  <c r="W32"/>
  <c r="X32"/>
  <c r="W33"/>
  <c r="X33"/>
  <c r="W34"/>
  <c r="X34"/>
  <c r="W35"/>
  <c r="X35"/>
  <c r="W36"/>
  <c r="X36"/>
  <c r="W37"/>
  <c r="X37"/>
  <c r="W38"/>
  <c r="X38"/>
  <c r="W39"/>
  <c r="X39"/>
  <c r="W40"/>
  <c r="X40"/>
  <c r="W41"/>
  <c r="X41"/>
  <c r="W42"/>
  <c r="X42"/>
  <c r="W43"/>
  <c r="X43"/>
  <c r="W44"/>
  <c r="X44"/>
  <c r="W45"/>
  <c r="X45"/>
  <c r="W46"/>
  <c r="X46"/>
  <c r="X7"/>
  <c r="W7"/>
  <c r="U8"/>
  <c r="V8"/>
  <c r="U9"/>
  <c r="V9"/>
  <c r="U10"/>
  <c r="V10"/>
  <c r="U11"/>
  <c r="V11"/>
  <c r="U12"/>
  <c r="V12"/>
  <c r="U13"/>
  <c r="V13"/>
  <c r="U14"/>
  <c r="V14"/>
  <c r="U15"/>
  <c r="V15"/>
  <c r="U16"/>
  <c r="V16"/>
  <c r="U17"/>
  <c r="V17"/>
  <c r="U18"/>
  <c r="V18"/>
  <c r="U19"/>
  <c r="V19"/>
  <c r="U20"/>
  <c r="V20"/>
  <c r="U21"/>
  <c r="V21"/>
  <c r="U22"/>
  <c r="V22"/>
  <c r="U23"/>
  <c r="V23"/>
  <c r="U24"/>
  <c r="V24"/>
  <c r="U25"/>
  <c r="V25"/>
  <c r="U26"/>
  <c r="V26"/>
  <c r="U27"/>
  <c r="V27"/>
  <c r="U28"/>
  <c r="V28"/>
  <c r="U29"/>
  <c r="V29"/>
  <c r="U30"/>
  <c r="V30"/>
  <c r="U31"/>
  <c r="V31"/>
  <c r="U32"/>
  <c r="V32"/>
  <c r="U33"/>
  <c r="V33"/>
  <c r="U34"/>
  <c r="V34"/>
  <c r="U35"/>
  <c r="V35"/>
  <c r="U36"/>
  <c r="V36"/>
  <c r="U37"/>
  <c r="V37"/>
  <c r="U38"/>
  <c r="V38"/>
  <c r="U39"/>
  <c r="V39"/>
  <c r="U40"/>
  <c r="V40"/>
  <c r="U41"/>
  <c r="V41"/>
  <c r="U42"/>
  <c r="V42"/>
  <c r="U43"/>
  <c r="V43"/>
  <c r="U44"/>
  <c r="V44"/>
  <c r="U45"/>
  <c r="V45"/>
  <c r="U46"/>
  <c r="V46"/>
  <c r="V7"/>
  <c r="U7"/>
  <c r="S8"/>
  <c r="T8"/>
  <c r="S9"/>
  <c r="T9"/>
  <c r="S10"/>
  <c r="T10"/>
  <c r="S11"/>
  <c r="T11"/>
  <c r="S12"/>
  <c r="T12"/>
  <c r="S13"/>
  <c r="T13"/>
  <c r="S14"/>
  <c r="T14"/>
  <c r="S15"/>
  <c r="T15"/>
  <c r="S16"/>
  <c r="T16"/>
  <c r="S17"/>
  <c r="T17"/>
  <c r="S18"/>
  <c r="T18"/>
  <c r="S19"/>
  <c r="T19"/>
  <c r="S20"/>
  <c r="T20"/>
  <c r="S21"/>
  <c r="T21"/>
  <c r="S22"/>
  <c r="T22"/>
  <c r="S23"/>
  <c r="T23"/>
  <c r="S24"/>
  <c r="T24"/>
  <c r="S25"/>
  <c r="T25"/>
  <c r="S26"/>
  <c r="T26"/>
  <c r="S27"/>
  <c r="T27"/>
  <c r="S28"/>
  <c r="T28"/>
  <c r="S29"/>
  <c r="T29"/>
  <c r="S30"/>
  <c r="T30"/>
  <c r="S31"/>
  <c r="T31"/>
  <c r="S32"/>
  <c r="T32"/>
  <c r="S33"/>
  <c r="T33"/>
  <c r="S34"/>
  <c r="T34"/>
  <c r="S35"/>
  <c r="T35"/>
  <c r="S36"/>
  <c r="T36"/>
  <c r="S37"/>
  <c r="T37"/>
  <c r="S38"/>
  <c r="T38"/>
  <c r="S39"/>
  <c r="T39"/>
  <c r="S40"/>
  <c r="T40"/>
  <c r="S41"/>
  <c r="T41"/>
  <c r="S42"/>
  <c r="T42"/>
  <c r="S43"/>
  <c r="T43"/>
  <c r="S44"/>
  <c r="T44"/>
  <c r="S45"/>
  <c r="T45"/>
  <c r="S46"/>
  <c r="T46"/>
  <c r="T7"/>
  <c r="S7"/>
  <c r="Q8"/>
  <c r="R8"/>
  <c r="Q9"/>
  <c r="R9"/>
  <c r="Q10"/>
  <c r="R10"/>
  <c r="Q11"/>
  <c r="R11"/>
  <c r="Q12"/>
  <c r="R12"/>
  <c r="Q13"/>
  <c r="R13"/>
  <c r="Q14"/>
  <c r="R14"/>
  <c r="Q15"/>
  <c r="R15"/>
  <c r="Q16"/>
  <c r="R16"/>
  <c r="Q17"/>
  <c r="R17"/>
  <c r="Q18"/>
  <c r="R18"/>
  <c r="Q19"/>
  <c r="R19"/>
  <c r="Q20"/>
  <c r="R20"/>
  <c r="Q21"/>
  <c r="R21"/>
  <c r="Q22"/>
  <c r="R22"/>
  <c r="Q23"/>
  <c r="R23"/>
  <c r="Q24"/>
  <c r="R24"/>
  <c r="Q25"/>
  <c r="R25"/>
  <c r="Q26"/>
  <c r="R26"/>
  <c r="Q27"/>
  <c r="R27"/>
  <c r="Q28"/>
  <c r="R28"/>
  <c r="Q29"/>
  <c r="R29"/>
  <c r="Q30"/>
  <c r="R30"/>
  <c r="Q31"/>
  <c r="R31"/>
  <c r="Q32"/>
  <c r="R32"/>
  <c r="Q33"/>
  <c r="R33"/>
  <c r="Q34"/>
  <c r="R34"/>
  <c r="Q35"/>
  <c r="R35"/>
  <c r="Q36"/>
  <c r="R36"/>
  <c r="Q37"/>
  <c r="R37"/>
  <c r="Q38"/>
  <c r="R38"/>
  <c r="Q39"/>
  <c r="R39"/>
  <c r="Q40"/>
  <c r="R40"/>
  <c r="Q41"/>
  <c r="R41"/>
  <c r="Q42"/>
  <c r="R42"/>
  <c r="Q43"/>
  <c r="R43"/>
  <c r="Q44"/>
  <c r="R44"/>
  <c r="Q45"/>
  <c r="R45"/>
  <c r="Q46"/>
  <c r="R46"/>
  <c r="R7"/>
  <c r="Q7"/>
  <c r="O8"/>
  <c r="P8"/>
  <c r="O9"/>
  <c r="P9"/>
  <c r="O10"/>
  <c r="P10"/>
  <c r="O11"/>
  <c r="P11"/>
  <c r="O12"/>
  <c r="P12"/>
  <c r="O13"/>
  <c r="P13"/>
  <c r="O14"/>
  <c r="P14"/>
  <c r="O15"/>
  <c r="P15"/>
  <c r="O16"/>
  <c r="P16"/>
  <c r="O17"/>
  <c r="P17"/>
  <c r="O18"/>
  <c r="P18"/>
  <c r="O19"/>
  <c r="P19"/>
  <c r="O20"/>
  <c r="P20"/>
  <c r="O21"/>
  <c r="P21"/>
  <c r="O22"/>
  <c r="P22"/>
  <c r="O23"/>
  <c r="P23"/>
  <c r="O24"/>
  <c r="P24"/>
  <c r="O25"/>
  <c r="P25"/>
  <c r="O26"/>
  <c r="P26"/>
  <c r="O27"/>
  <c r="P27"/>
  <c r="O28"/>
  <c r="P28"/>
  <c r="O29"/>
  <c r="P29"/>
  <c r="O30"/>
  <c r="P30"/>
  <c r="O31"/>
  <c r="P31"/>
  <c r="O32"/>
  <c r="P32"/>
  <c r="O33"/>
  <c r="P33"/>
  <c r="O34"/>
  <c r="P34"/>
  <c r="O35"/>
  <c r="P35"/>
  <c r="O36"/>
  <c r="P36"/>
  <c r="O37"/>
  <c r="P37"/>
  <c r="O38"/>
  <c r="P38"/>
  <c r="O39"/>
  <c r="P39"/>
  <c r="O40"/>
  <c r="P40"/>
  <c r="O41"/>
  <c r="P41"/>
  <c r="O42"/>
  <c r="P42"/>
  <c r="O43"/>
  <c r="P43"/>
  <c r="O44"/>
  <c r="P44"/>
  <c r="O45"/>
  <c r="P45"/>
  <c r="O46"/>
  <c r="P46"/>
  <c r="P7"/>
  <c r="O7"/>
  <c r="M8"/>
  <c r="N8"/>
  <c r="M9"/>
  <c r="N9"/>
  <c r="M10"/>
  <c r="N10"/>
  <c r="M11"/>
  <c r="N11"/>
  <c r="M12"/>
  <c r="N12"/>
  <c r="M13"/>
  <c r="N13"/>
  <c r="M14"/>
  <c r="N14"/>
  <c r="M15"/>
  <c r="N15"/>
  <c r="M16"/>
  <c r="N16"/>
  <c r="M17"/>
  <c r="N17"/>
  <c r="M18"/>
  <c r="N18"/>
  <c r="M19"/>
  <c r="N19"/>
  <c r="M20"/>
  <c r="N20"/>
  <c r="M21"/>
  <c r="N21"/>
  <c r="M22"/>
  <c r="N22"/>
  <c r="M23"/>
  <c r="N23"/>
  <c r="M24"/>
  <c r="N24"/>
  <c r="M25"/>
  <c r="N25"/>
  <c r="M26"/>
  <c r="N26"/>
  <c r="M27"/>
  <c r="N27"/>
  <c r="M28"/>
  <c r="N28"/>
  <c r="M29"/>
  <c r="N29"/>
  <c r="M30"/>
  <c r="N30"/>
  <c r="M31"/>
  <c r="N31"/>
  <c r="M32"/>
  <c r="N32"/>
  <c r="M33"/>
  <c r="N33"/>
  <c r="M34"/>
  <c r="N34"/>
  <c r="M35"/>
  <c r="N35"/>
  <c r="M36"/>
  <c r="N36"/>
  <c r="M37"/>
  <c r="N37"/>
  <c r="M38"/>
  <c r="N38"/>
  <c r="M39"/>
  <c r="N39"/>
  <c r="M40"/>
  <c r="N40"/>
  <c r="M41"/>
  <c r="N41"/>
  <c r="M42"/>
  <c r="N42"/>
  <c r="M43"/>
  <c r="N43"/>
  <c r="M44"/>
  <c r="N44"/>
  <c r="M45"/>
  <c r="N45"/>
  <c r="M46"/>
  <c r="N46"/>
  <c r="N7"/>
  <c r="M7"/>
  <c r="K8"/>
  <c r="L8"/>
  <c r="K9"/>
  <c r="K10"/>
  <c r="L10"/>
  <c r="K11"/>
  <c r="L11"/>
  <c r="K12"/>
  <c r="L12"/>
  <c r="K13"/>
  <c r="L13"/>
  <c r="K14"/>
  <c r="L14"/>
  <c r="K15"/>
  <c r="L15"/>
  <c r="K16"/>
  <c r="L16"/>
  <c r="K17"/>
  <c r="L17"/>
  <c r="K18"/>
  <c r="L18"/>
  <c r="K19"/>
  <c r="L19"/>
  <c r="K20"/>
  <c r="L20"/>
  <c r="K21"/>
  <c r="L21"/>
  <c r="K22"/>
  <c r="L22"/>
  <c r="K23"/>
  <c r="L23"/>
  <c r="K24"/>
  <c r="L24"/>
  <c r="K25"/>
  <c r="L25"/>
  <c r="K26"/>
  <c r="L26"/>
  <c r="K27"/>
  <c r="L27"/>
  <c r="K28"/>
  <c r="L28"/>
  <c r="K29"/>
  <c r="L29"/>
  <c r="K30"/>
  <c r="L30"/>
  <c r="K31"/>
  <c r="L31"/>
  <c r="K32"/>
  <c r="L32"/>
  <c r="K33"/>
  <c r="L33"/>
  <c r="K34"/>
  <c r="L34"/>
  <c r="K35"/>
  <c r="L35"/>
  <c r="K36"/>
  <c r="L36"/>
  <c r="K37"/>
  <c r="L37"/>
  <c r="K38"/>
  <c r="L38"/>
  <c r="K39"/>
  <c r="L39"/>
  <c r="K40"/>
  <c r="L40"/>
  <c r="K41"/>
  <c r="L41"/>
  <c r="K42"/>
  <c r="L42"/>
  <c r="K43"/>
  <c r="L43"/>
  <c r="K44"/>
  <c r="L44"/>
  <c r="K45"/>
  <c r="L45"/>
  <c r="K46"/>
  <c r="L46"/>
  <c r="L7"/>
  <c r="K7"/>
  <c r="I8"/>
  <c r="J8"/>
  <c r="I9"/>
  <c r="J9"/>
  <c r="I10"/>
  <c r="J10"/>
  <c r="I11"/>
  <c r="J11"/>
  <c r="I12"/>
  <c r="J12"/>
  <c r="I13"/>
  <c r="J13"/>
  <c r="I14"/>
  <c r="J14"/>
  <c r="I15"/>
  <c r="J15"/>
  <c r="I16"/>
  <c r="J16"/>
  <c r="I17"/>
  <c r="J17"/>
  <c r="I18"/>
  <c r="J18"/>
  <c r="I19"/>
  <c r="J19"/>
  <c r="I20"/>
  <c r="J20"/>
  <c r="I21"/>
  <c r="J21"/>
  <c r="I22"/>
  <c r="J22"/>
  <c r="I23"/>
  <c r="J23"/>
  <c r="I24"/>
  <c r="J24"/>
  <c r="I25"/>
  <c r="J25"/>
  <c r="I26"/>
  <c r="J26"/>
  <c r="I27"/>
  <c r="J27"/>
  <c r="I28"/>
  <c r="J28"/>
  <c r="I29"/>
  <c r="J29"/>
  <c r="I30"/>
  <c r="J30"/>
  <c r="I31"/>
  <c r="J31"/>
  <c r="I32"/>
  <c r="J32"/>
  <c r="I33"/>
  <c r="J33"/>
  <c r="I34"/>
  <c r="J34"/>
  <c r="I35"/>
  <c r="J35"/>
  <c r="I36"/>
  <c r="J36"/>
  <c r="I37"/>
  <c r="J37"/>
  <c r="I38"/>
  <c r="J38"/>
  <c r="I39"/>
  <c r="J39"/>
  <c r="I40"/>
  <c r="J40"/>
  <c r="I41"/>
  <c r="J41"/>
  <c r="I42"/>
  <c r="J42"/>
  <c r="I43"/>
  <c r="J43"/>
  <c r="I44"/>
  <c r="J44"/>
  <c r="I45"/>
  <c r="J45"/>
  <c r="I46"/>
  <c r="J46"/>
  <c r="J7"/>
  <c r="I4"/>
  <c r="AK4"/>
  <c r="AI4"/>
  <c r="AG4"/>
  <c r="AE4"/>
  <c r="AC4"/>
  <c r="AA4"/>
  <c r="Y4"/>
  <c r="W4"/>
  <c r="U4"/>
  <c r="S4"/>
  <c r="Q4"/>
  <c r="O4"/>
  <c r="M4"/>
  <c r="K4"/>
  <c r="C43" i="19"/>
  <c r="C42"/>
  <c r="C41"/>
  <c r="C40"/>
  <c r="C39"/>
  <c r="C38"/>
  <c r="C37"/>
  <c r="C36"/>
  <c r="C35"/>
  <c r="C34"/>
  <c r="C33"/>
  <c r="C32"/>
  <c r="C31"/>
  <c r="C30"/>
  <c r="J23" i="94" l="1"/>
  <c r="AR23"/>
  <c r="AD23"/>
  <c r="AD27"/>
  <c r="BD24"/>
  <c r="AG26"/>
  <c r="BL25"/>
  <c r="G27"/>
  <c r="BC34"/>
  <c r="N24"/>
  <c r="BL34"/>
  <c r="F34"/>
  <c r="AQ25"/>
  <c r="AE24"/>
  <c r="BA26"/>
  <c r="H46"/>
  <c r="N46"/>
  <c r="E46"/>
  <c r="J46"/>
  <c r="BA38"/>
  <c r="AQ41"/>
  <c r="J40"/>
  <c r="AU46"/>
  <c r="BB46"/>
  <c r="BL38"/>
  <c r="I40"/>
  <c r="K40"/>
  <c r="AE40"/>
  <c r="BA40"/>
  <c r="BC46"/>
  <c r="F37"/>
  <c r="J41"/>
  <c r="AG37"/>
  <c r="AE41"/>
  <c r="AQ40"/>
  <c r="AR41"/>
  <c r="BD37"/>
  <c r="BC41"/>
  <c r="AD46"/>
  <c r="V40"/>
  <c r="BM40"/>
  <c r="BB40"/>
  <c r="N40"/>
  <c r="AD40"/>
  <c r="BE46"/>
  <c r="I46"/>
  <c r="K46"/>
  <c r="U40"/>
  <c r="F41"/>
  <c r="H41"/>
  <c r="BL46"/>
  <c r="K37"/>
  <c r="M41"/>
  <c r="U41"/>
  <c r="AG41"/>
  <c r="AD41"/>
  <c r="BA37"/>
  <c r="BD41"/>
  <c r="BE41"/>
  <c r="BN37"/>
  <c r="G36"/>
  <c r="F41" i="106"/>
  <c r="G41"/>
  <c r="F44" i="105"/>
  <c r="G44"/>
  <c r="F42"/>
  <c r="G42"/>
  <c r="F43" i="106"/>
  <c r="G43"/>
  <c r="G44" i="101"/>
  <c r="F44"/>
  <c r="F46" i="106"/>
  <c r="G46"/>
  <c r="G40"/>
  <c r="F40"/>
  <c r="F45"/>
  <c r="G45"/>
  <c r="F43" i="105"/>
  <c r="G43"/>
  <c r="F45" i="104"/>
  <c r="G45"/>
  <c r="BB45" s="1"/>
  <c r="F44" i="103"/>
  <c r="G44"/>
  <c r="BB44" s="1"/>
  <c r="F46" i="105"/>
  <c r="G46"/>
  <c r="F46" i="94"/>
  <c r="AS46"/>
  <c r="BK46"/>
  <c r="BM46"/>
  <c r="AG46"/>
  <c r="AE46"/>
  <c r="AT46"/>
  <c r="G40" i="105"/>
  <c r="F40"/>
  <c r="G41"/>
  <c r="F41"/>
  <c r="G45"/>
  <c r="F45"/>
  <c r="G44" i="106"/>
  <c r="F44"/>
  <c r="G45" i="103"/>
  <c r="BB45" s="1"/>
  <c r="F45"/>
  <c r="F47" i="106"/>
  <c r="G47"/>
  <c r="M46" i="94"/>
  <c r="BA46"/>
  <c r="BD46"/>
  <c r="F42" i="106"/>
  <c r="G42"/>
  <c r="F45" i="101"/>
  <c r="G45"/>
  <c r="F47" i="105"/>
  <c r="G47"/>
  <c r="G44" i="104"/>
  <c r="BB44" s="1"/>
  <c r="F44"/>
  <c r="AQ46" i="94"/>
  <c r="AR46"/>
  <c r="BN46"/>
  <c r="BN38"/>
  <c r="BK38"/>
  <c r="AQ38"/>
  <c r="M37"/>
  <c r="BC37"/>
  <c r="I38"/>
  <c r="N38"/>
  <c r="AS38"/>
  <c r="I37"/>
  <c r="U37"/>
  <c r="AT37"/>
  <c r="F35" i="105"/>
  <c r="G35"/>
  <c r="G34" i="106"/>
  <c r="F34"/>
  <c r="G34" i="105"/>
  <c r="F34"/>
  <c r="AQ34" i="94"/>
  <c r="J34"/>
  <c r="L34"/>
  <c r="G35" i="106"/>
  <c r="F35"/>
  <c r="AG34" i="94"/>
  <c r="BN34"/>
  <c r="V34"/>
  <c r="BB34"/>
  <c r="AS36"/>
  <c r="L36"/>
  <c r="AG36"/>
  <c r="G39" i="106"/>
  <c r="F39"/>
  <c r="G36" i="105"/>
  <c r="F36"/>
  <c r="J36" i="94"/>
  <c r="BB36"/>
  <c r="E36"/>
  <c r="AQ36"/>
  <c r="F37" i="105"/>
  <c r="G37"/>
  <c r="F36" i="106"/>
  <c r="G36"/>
  <c r="G38"/>
  <c r="F38"/>
  <c r="F39" i="105"/>
  <c r="G39"/>
  <c r="F37" i="106"/>
  <c r="G37"/>
  <c r="G38" i="105"/>
  <c r="F38"/>
  <c r="N36" i="94"/>
  <c r="AU36"/>
  <c r="BN26"/>
  <c r="F33" i="106"/>
  <c r="G33"/>
  <c r="F33" i="105"/>
  <c r="G33"/>
  <c r="BB29" i="94"/>
  <c r="AE27"/>
  <c r="BE26"/>
  <c r="I26"/>
  <c r="AE29"/>
  <c r="F31" i="105"/>
  <c r="G31"/>
  <c r="AQ29" i="94"/>
  <c r="H29"/>
  <c r="L29"/>
  <c r="AT29"/>
  <c r="G32" i="105"/>
  <c r="F32"/>
  <c r="F31" i="106"/>
  <c r="G31"/>
  <c r="BL22" i="94"/>
  <c r="N29"/>
  <c r="BA29"/>
  <c r="G32" i="106"/>
  <c r="F32"/>
  <c r="BL29" i="94"/>
  <c r="E29"/>
  <c r="AG29"/>
  <c r="AR29"/>
  <c r="BE29"/>
  <c r="BM29"/>
  <c r="G29"/>
  <c r="G30" i="106"/>
  <c r="F30"/>
  <c r="F30" i="105"/>
  <c r="G30"/>
  <c r="F29"/>
  <c r="G29"/>
  <c r="U22" i="94"/>
  <c r="V19"/>
  <c r="AG12"/>
  <c r="BD12"/>
  <c r="BM20"/>
  <c r="AR19"/>
  <c r="BB22"/>
  <c r="F29" i="106"/>
  <c r="G29"/>
  <c r="BM15" i="94"/>
  <c r="AT17"/>
  <c r="AD26"/>
  <c r="AQ23"/>
  <c r="AD20"/>
  <c r="L22"/>
  <c r="BB27"/>
  <c r="J12"/>
  <c r="BB23"/>
  <c r="BK17"/>
  <c r="BL19"/>
  <c r="I39"/>
  <c r="AS32"/>
  <c r="AU32"/>
  <c r="AD39"/>
  <c r="BE39"/>
  <c r="AQ32"/>
  <c r="G9" i="105"/>
  <c r="O71" i="24"/>
  <c r="O70"/>
  <c r="BM32" i="94"/>
  <c r="G32"/>
  <c r="K32"/>
  <c r="AG32"/>
  <c r="BD39"/>
  <c r="U32"/>
  <c r="BA32"/>
  <c r="F32"/>
  <c r="BB39"/>
  <c r="AT22"/>
  <c r="AU19"/>
  <c r="BD32"/>
  <c r="E39"/>
  <c r="H20"/>
  <c r="U34"/>
  <c r="AG39"/>
  <c r="AT34"/>
  <c r="BB19"/>
  <c r="I32"/>
  <c r="M32"/>
  <c r="U8"/>
  <c r="M23" i="95" s="1"/>
  <c r="M34" i="94"/>
  <c r="U39"/>
  <c r="BA34"/>
  <c r="BE36"/>
  <c r="F36"/>
  <c r="F20"/>
  <c r="H32"/>
  <c r="J32"/>
  <c r="N8"/>
  <c r="N22"/>
  <c r="AE19"/>
  <c r="BE32"/>
  <c r="BC19"/>
  <c r="BK32"/>
  <c r="K36"/>
  <c r="L39"/>
  <c r="M36"/>
  <c r="N34"/>
  <c r="V39"/>
  <c r="AE36"/>
  <c r="AQ22"/>
  <c r="AR36"/>
  <c r="AS34"/>
  <c r="AU34"/>
  <c r="BA36"/>
  <c r="BE12"/>
  <c r="BC20"/>
  <c r="BK34"/>
  <c r="BM34"/>
  <c r="BN36"/>
  <c r="J29"/>
  <c r="K17"/>
  <c r="M17"/>
  <c r="V29"/>
  <c r="AQ20"/>
  <c r="BD29"/>
  <c r="BK29"/>
  <c r="BL39"/>
  <c r="BN29"/>
  <c r="AQ39"/>
  <c r="BA39"/>
  <c r="AR32"/>
  <c r="BN32"/>
  <c r="BC39"/>
  <c r="BN39"/>
  <c r="L32"/>
  <c r="V32"/>
  <c r="AD32"/>
  <c r="J39"/>
  <c r="AE32"/>
  <c r="AT32"/>
  <c r="F39"/>
  <c r="K34"/>
  <c r="M39"/>
  <c r="AD36"/>
  <c r="AR39"/>
  <c r="BC32"/>
  <c r="E34"/>
  <c r="I34"/>
  <c r="K39"/>
  <c r="V36"/>
  <c r="AE39"/>
  <c r="AT39"/>
  <c r="BB20"/>
  <c r="BD34"/>
  <c r="BK36"/>
  <c r="BM36"/>
  <c r="E32"/>
  <c r="H36"/>
  <c r="K19"/>
  <c r="N32"/>
  <c r="V8"/>
  <c r="M25" i="95" s="1"/>
  <c r="BB32" i="94"/>
  <c r="BM22"/>
  <c r="F29"/>
  <c r="I36"/>
  <c r="N39"/>
  <c r="U36"/>
  <c r="AD34"/>
  <c r="AS39"/>
  <c r="AT36"/>
  <c r="AU39"/>
  <c r="BD36"/>
  <c r="BE34"/>
  <c r="BC36"/>
  <c r="BK39"/>
  <c r="BM39"/>
  <c r="BN20"/>
  <c r="I29"/>
  <c r="K29"/>
  <c r="M29"/>
  <c r="U29"/>
  <c r="AD29"/>
  <c r="AS29"/>
  <c r="AU29"/>
  <c r="G20"/>
  <c r="G28" i="106"/>
  <c r="F28"/>
  <c r="G14" i="105"/>
  <c r="F14"/>
  <c r="G26" i="106"/>
  <c r="F26"/>
  <c r="G20" i="105"/>
  <c r="F20"/>
  <c r="G24" i="106"/>
  <c r="F24"/>
  <c r="G23"/>
  <c r="F23"/>
  <c r="G11" i="105"/>
  <c r="F11"/>
  <c r="G10" i="106"/>
  <c r="F10"/>
  <c r="G28" i="105"/>
  <c r="F28"/>
  <c r="G22"/>
  <c r="F22"/>
  <c r="G24"/>
  <c r="F24"/>
  <c r="G27" i="106"/>
  <c r="F27"/>
  <c r="G12"/>
  <c r="F12"/>
  <c r="N16" i="94"/>
  <c r="AU18"/>
  <c r="BC15"/>
  <c r="G14" i="106"/>
  <c r="F14"/>
  <c r="G16"/>
  <c r="F16"/>
  <c r="G15"/>
  <c r="F15"/>
  <c r="G12" i="105"/>
  <c r="F12"/>
  <c r="U15" i="94"/>
  <c r="AG21"/>
  <c r="G22" i="106"/>
  <c r="F22"/>
  <c r="G16" i="105"/>
  <c r="F16"/>
  <c r="G20" i="106"/>
  <c r="F20"/>
  <c r="G18"/>
  <c r="F18"/>
  <c r="G19"/>
  <c r="F19"/>
  <c r="G27" i="105"/>
  <c r="F27"/>
  <c r="BN16" i="94"/>
  <c r="BB16"/>
  <c r="BD21"/>
  <c r="G16"/>
  <c r="V16"/>
  <c r="AE22"/>
  <c r="AQ18"/>
  <c r="U12"/>
  <c r="BN22"/>
  <c r="K16"/>
  <c r="AG22"/>
  <c r="AD19"/>
  <c r="E19"/>
  <c r="F19"/>
  <c r="M12"/>
  <c r="AR12"/>
  <c r="BL18"/>
  <c r="BN12"/>
  <c r="H22"/>
  <c r="J8"/>
  <c r="J22"/>
  <c r="V22"/>
  <c r="AD8"/>
  <c r="M43" i="95" s="1"/>
  <c r="AD22" i="94"/>
  <c r="AU8"/>
  <c r="BE8"/>
  <c r="H18"/>
  <c r="M15"/>
  <c r="V12"/>
  <c r="AS12"/>
  <c r="BA20"/>
  <c r="BB12"/>
  <c r="BD20"/>
  <c r="BL20"/>
  <c r="I21"/>
  <c r="AD17"/>
  <c r="BE17"/>
  <c r="I16"/>
  <c r="E15"/>
  <c r="F15"/>
  <c r="I18"/>
  <c r="N15"/>
  <c r="L15"/>
  <c r="H16"/>
  <c r="BA15"/>
  <c r="H21"/>
  <c r="E22"/>
  <c r="F22"/>
  <c r="AS15"/>
  <c r="BL8"/>
  <c r="AK38" i="95" s="1"/>
  <c r="K8" i="94"/>
  <c r="M14" i="95" s="1"/>
  <c r="BD22" i="94"/>
  <c r="BK19"/>
  <c r="BB15"/>
  <c r="F8"/>
  <c r="F16"/>
  <c r="L8"/>
  <c r="M16" i="95" s="1"/>
  <c r="L16" i="94"/>
  <c r="AQ8"/>
  <c r="AK9" i="95" s="1"/>
  <c r="BN19" i="94"/>
  <c r="I15"/>
  <c r="L12"/>
  <c r="M20"/>
  <c r="AQ17"/>
  <c r="L17"/>
  <c r="V21"/>
  <c r="AE17"/>
  <c r="AQ16"/>
  <c r="AS17"/>
  <c r="BB21"/>
  <c r="BC17"/>
  <c r="BM17"/>
  <c r="G19"/>
  <c r="G17"/>
  <c r="F18" i="105"/>
  <c r="G18"/>
  <c r="F15"/>
  <c r="G15"/>
  <c r="F26"/>
  <c r="G26"/>
  <c r="F17" i="106"/>
  <c r="G17"/>
  <c r="F23" i="105"/>
  <c r="G23"/>
  <c r="F11" i="106"/>
  <c r="G11"/>
  <c r="BA16" i="94"/>
  <c r="J15"/>
  <c r="E18"/>
  <c r="F18"/>
  <c r="AT16"/>
  <c r="BC16"/>
  <c r="BK15"/>
  <c r="J18"/>
  <c r="AE15"/>
  <c r="J21"/>
  <c r="AE21"/>
  <c r="BE21"/>
  <c r="I8"/>
  <c r="K22"/>
  <c r="L19"/>
  <c r="AG16"/>
  <c r="AR16"/>
  <c r="BM19"/>
  <c r="K12"/>
  <c r="V20"/>
  <c r="AG18"/>
  <c r="AD15"/>
  <c r="AE12"/>
  <c r="AU20"/>
  <c r="BA18"/>
  <c r="I22"/>
  <c r="J19"/>
  <c r="M22"/>
  <c r="N19"/>
  <c r="AE16"/>
  <c r="AT8"/>
  <c r="AK18" i="95" s="1"/>
  <c r="BE19" i="94"/>
  <c r="I12"/>
  <c r="N20"/>
  <c r="U18"/>
  <c r="AS20"/>
  <c r="AT18"/>
  <c r="BD8"/>
  <c r="AK30" i="95" s="1"/>
  <c r="BA12" i="94"/>
  <c r="BD18"/>
  <c r="BE15"/>
  <c r="BC12"/>
  <c r="BK20"/>
  <c r="BL17"/>
  <c r="BN18"/>
  <c r="E16"/>
  <c r="H8"/>
  <c r="M12" i="95" s="1"/>
  <c r="I19" i="94"/>
  <c r="U19"/>
  <c r="AG19"/>
  <c r="AQ21"/>
  <c r="AS8"/>
  <c r="AK16" i="95" s="1"/>
  <c r="AS22" i="94"/>
  <c r="AU22"/>
  <c r="BD19"/>
  <c r="BE22"/>
  <c r="BK16"/>
  <c r="BL21"/>
  <c r="E17"/>
  <c r="F17"/>
  <c r="L18"/>
  <c r="N12"/>
  <c r="V18"/>
  <c r="AG15"/>
  <c r="AD12"/>
  <c r="AE20"/>
  <c r="AR15"/>
  <c r="AT15"/>
  <c r="BE18"/>
  <c r="BK12"/>
  <c r="BM12"/>
  <c r="L21"/>
  <c r="M21"/>
  <c r="N17"/>
  <c r="U17"/>
  <c r="AS21"/>
  <c r="AT21"/>
  <c r="AU17"/>
  <c r="BA17"/>
  <c r="BK21"/>
  <c r="BM21"/>
  <c r="BN21"/>
  <c r="G8"/>
  <c r="M10" i="95" s="1"/>
  <c r="G18" i="94"/>
  <c r="F21" i="105"/>
  <c r="G21"/>
  <c r="F25" i="106"/>
  <c r="G25"/>
  <c r="F13" i="105"/>
  <c r="G13"/>
  <c r="F25"/>
  <c r="G25"/>
  <c r="F19"/>
  <c r="G19"/>
  <c r="F10"/>
  <c r="G10"/>
  <c r="F17"/>
  <c r="G17"/>
  <c r="F21" i="106"/>
  <c r="G21"/>
  <c r="F13"/>
  <c r="G13"/>
  <c r="H15" i="94"/>
  <c r="AE18"/>
  <c r="AQ15"/>
  <c r="AS16"/>
  <c r="AU16"/>
  <c r="BE16"/>
  <c r="AS18"/>
  <c r="BB18"/>
  <c r="K21"/>
  <c r="AD21"/>
  <c r="AR21"/>
  <c r="BC21"/>
  <c r="BL15"/>
  <c r="H19"/>
  <c r="M16"/>
  <c r="AG8"/>
  <c r="M37" i="95" s="1"/>
  <c r="AR8" i="94"/>
  <c r="AK14" i="95" s="1"/>
  <c r="BA8" i="94"/>
  <c r="AK21" i="95" s="1"/>
  <c r="BC8" i="94"/>
  <c r="AK28" i="95" s="1"/>
  <c r="E8" i="94"/>
  <c r="L20"/>
  <c r="M18"/>
  <c r="AQ19"/>
  <c r="AR18"/>
  <c r="BD16"/>
  <c r="U16"/>
  <c r="AR22"/>
  <c r="AS19"/>
  <c r="BA22"/>
  <c r="J20"/>
  <c r="K18"/>
  <c r="V15"/>
  <c r="AU15"/>
  <c r="BC22"/>
  <c r="BE20"/>
  <c r="BC18"/>
  <c r="BL12"/>
  <c r="E20"/>
  <c r="F12"/>
  <c r="J16"/>
  <c r="M19"/>
  <c r="AD16"/>
  <c r="AT19"/>
  <c r="BK8"/>
  <c r="AK33" i="95" s="1"/>
  <c r="BK22" i="94"/>
  <c r="BL16"/>
  <c r="E21"/>
  <c r="F21"/>
  <c r="H12"/>
  <c r="K15"/>
  <c r="N18"/>
  <c r="AG20"/>
  <c r="AD18"/>
  <c r="AR20"/>
  <c r="AU12"/>
  <c r="BD15"/>
  <c r="BK18"/>
  <c r="BN15"/>
  <c r="H17"/>
  <c r="I17"/>
  <c r="N21"/>
  <c r="U21"/>
  <c r="V17"/>
  <c r="AG17"/>
  <c r="AQ12"/>
  <c r="AU21"/>
  <c r="BA21"/>
  <c r="BB17"/>
  <c r="M33" i="95"/>
  <c r="AK48"/>
  <c r="AK45"/>
  <c r="AK40"/>
  <c r="AK36"/>
  <c r="AK34"/>
  <c r="AK27"/>
  <c r="AK25"/>
  <c r="AK23"/>
  <c r="AK12"/>
  <c r="AK10"/>
  <c r="M49"/>
  <c r="M47"/>
  <c r="M40"/>
  <c r="AK51"/>
  <c r="AK47"/>
  <c r="AK44"/>
  <c r="AK39"/>
  <c r="AK37"/>
  <c r="AK35"/>
  <c r="AK26"/>
  <c r="AK24"/>
  <c r="AK22"/>
  <c r="AK15"/>
  <c r="AK13"/>
  <c r="AK11"/>
  <c r="M48"/>
  <c r="M44"/>
  <c r="M41"/>
  <c r="M38"/>
  <c r="M32"/>
  <c r="M30"/>
  <c r="M26"/>
  <c r="M19"/>
  <c r="M17"/>
  <c r="M15"/>
  <c r="M11"/>
  <c r="M31"/>
  <c r="M27"/>
  <c r="M20"/>
  <c r="M18"/>
  <c r="O57" i="38"/>
  <c r="O58"/>
  <c r="O96" i="24"/>
  <c r="O89"/>
  <c r="O87"/>
  <c r="O76"/>
  <c r="O73"/>
  <c r="O64"/>
  <c r="O62"/>
  <c r="O60"/>
  <c r="O58"/>
  <c r="O95"/>
  <c r="O88"/>
  <c r="O86"/>
  <c r="O75"/>
  <c r="O72"/>
  <c r="O63"/>
  <c r="O61"/>
  <c r="O59"/>
  <c r="O57"/>
  <c r="O96" i="38"/>
  <c r="O89"/>
  <c r="O87"/>
  <c r="O78"/>
  <c r="O75"/>
  <c r="O73"/>
  <c r="O66"/>
  <c r="O64"/>
  <c r="O62"/>
  <c r="O60"/>
  <c r="O95"/>
  <c r="O88"/>
  <c r="O86"/>
  <c r="O77"/>
  <c r="O74"/>
  <c r="O72"/>
  <c r="O65"/>
  <c r="O63"/>
  <c r="O61"/>
  <c r="O59"/>
  <c r="F9" i="105"/>
  <c r="F9" i="106"/>
  <c r="M37" i="35"/>
  <c r="M41"/>
  <c r="I27" i="94"/>
  <c r="J24"/>
  <c r="AR38"/>
  <c r="BA27"/>
  <c r="BC27"/>
  <c r="E23"/>
  <c r="N26"/>
  <c r="U23"/>
  <c r="E26"/>
  <c r="K38"/>
  <c r="U27"/>
  <c r="V24"/>
  <c r="BB24"/>
  <c r="E27"/>
  <c r="V26"/>
  <c r="AG23"/>
  <c r="BE24"/>
  <c r="BB26"/>
  <c r="BD23"/>
  <c r="H27"/>
  <c r="I24"/>
  <c r="L38"/>
  <c r="V27"/>
  <c r="AG24"/>
  <c r="AQ37"/>
  <c r="AU27"/>
  <c r="BA24"/>
  <c r="BE38"/>
  <c r="BC35"/>
  <c r="BL26"/>
  <c r="BM27"/>
  <c r="BN24"/>
  <c r="E25"/>
  <c r="F33"/>
  <c r="H23"/>
  <c r="M31"/>
  <c r="N28"/>
  <c r="U26"/>
  <c r="V23"/>
  <c r="AQ33"/>
  <c r="AR31"/>
  <c r="AS28"/>
  <c r="AT26"/>
  <c r="AU23"/>
  <c r="BC31"/>
  <c r="BK28"/>
  <c r="BL30"/>
  <c r="BM23"/>
  <c r="H25"/>
  <c r="I33"/>
  <c r="J25"/>
  <c r="K33"/>
  <c r="L25"/>
  <c r="M33"/>
  <c r="N25"/>
  <c r="U33"/>
  <c r="V25"/>
  <c r="AG33"/>
  <c r="AD25"/>
  <c r="AE33"/>
  <c r="AQ24"/>
  <c r="AR33"/>
  <c r="AS25"/>
  <c r="AT33"/>
  <c r="AU25"/>
  <c r="BA33"/>
  <c r="BB25"/>
  <c r="BD33"/>
  <c r="BE25"/>
  <c r="BC33"/>
  <c r="BK25"/>
  <c r="BL23"/>
  <c r="BM25"/>
  <c r="BN33"/>
  <c r="G23"/>
  <c r="G28"/>
  <c r="G37"/>
  <c r="G26"/>
  <c r="M39" i="35"/>
  <c r="AD24" i="94"/>
  <c r="BK24"/>
  <c r="AS26"/>
  <c r="AT23"/>
  <c r="H24"/>
  <c r="AE38"/>
  <c r="AT27"/>
  <c r="AU24"/>
  <c r="H26"/>
  <c r="I23"/>
  <c r="AU26"/>
  <c r="BA23"/>
  <c r="BD27"/>
  <c r="BK26"/>
  <c r="L27"/>
  <c r="M24"/>
  <c r="V38"/>
  <c r="AQ26"/>
  <c r="AR24"/>
  <c r="AU38"/>
  <c r="BE27"/>
  <c r="BC24"/>
  <c r="BL37"/>
  <c r="BM38"/>
  <c r="F25"/>
  <c r="K26"/>
  <c r="L23"/>
  <c r="AE26"/>
  <c r="BD26"/>
  <c r="BE23"/>
  <c r="I25"/>
  <c r="K25"/>
  <c r="M25"/>
  <c r="U25"/>
  <c r="AG25"/>
  <c r="AE25"/>
  <c r="AR25"/>
  <c r="AT25"/>
  <c r="BA25"/>
  <c r="BD25"/>
  <c r="BC25"/>
  <c r="M40" i="35"/>
  <c r="M35"/>
  <c r="M38"/>
  <c r="M36"/>
  <c r="F38" i="94"/>
  <c r="M38"/>
  <c r="AG27"/>
  <c r="E38"/>
  <c r="AG38"/>
  <c r="AR27"/>
  <c r="AS24"/>
  <c r="F23"/>
  <c r="J26"/>
  <c r="K23"/>
  <c r="BD38"/>
  <c r="F26"/>
  <c r="K27"/>
  <c r="L24"/>
  <c r="AT38"/>
  <c r="BC38"/>
  <c r="BL24"/>
  <c r="BN27"/>
  <c r="F27"/>
  <c r="L26"/>
  <c r="M23"/>
  <c r="BK31"/>
  <c r="BL28"/>
  <c r="BM26"/>
  <c r="BN23"/>
  <c r="E24"/>
  <c r="J38"/>
  <c r="K35"/>
  <c r="K14"/>
  <c r="M30"/>
  <c r="N27"/>
  <c r="U24"/>
  <c r="AD38"/>
  <c r="AE35"/>
  <c r="AE14"/>
  <c r="AQ31"/>
  <c r="AR30"/>
  <c r="AS27"/>
  <c r="AT24"/>
  <c r="BB38"/>
  <c r="BD35"/>
  <c r="BD14"/>
  <c r="BK27"/>
  <c r="E37"/>
  <c r="F13"/>
  <c r="H37"/>
  <c r="K31"/>
  <c r="L28"/>
  <c r="M26"/>
  <c r="N23"/>
  <c r="AE31"/>
  <c r="AQ27"/>
  <c r="AR26"/>
  <c r="AS23"/>
  <c r="I13"/>
  <c r="J37"/>
  <c r="K13"/>
  <c r="L37"/>
  <c r="M13"/>
  <c r="N37"/>
  <c r="U13"/>
  <c r="V37"/>
  <c r="AG13"/>
  <c r="AD37"/>
  <c r="AE13"/>
  <c r="AR13"/>
  <c r="AS37"/>
  <c r="AT13"/>
  <c r="AU37"/>
  <c r="BA13"/>
  <c r="BB37"/>
  <c r="BD13"/>
  <c r="BE37"/>
  <c r="BC13"/>
  <c r="BK37"/>
  <c r="BN13"/>
  <c r="F5" i="35"/>
  <c r="M5" s="1"/>
  <c r="T5" s="1"/>
  <c r="BI9" i="29"/>
  <c r="F11" i="101"/>
  <c r="G11"/>
  <c r="G19" i="104"/>
  <c r="BB19" s="1"/>
  <c r="F19"/>
  <c r="F23" i="101"/>
  <c r="G23"/>
  <c r="F27"/>
  <c r="G27"/>
  <c r="G35" i="104"/>
  <c r="BB35" s="1"/>
  <c r="F35"/>
  <c r="G39"/>
  <c r="BB39" s="1"/>
  <c r="F39"/>
  <c r="F43" i="103"/>
  <c r="G43"/>
  <c r="BB43" s="1"/>
  <c r="F24" i="101"/>
  <c r="G24"/>
  <c r="F10"/>
  <c r="G10"/>
  <c r="F14" i="104"/>
  <c r="G14"/>
  <c r="BB14" s="1"/>
  <c r="G22" i="103"/>
  <c r="BB22" s="1"/>
  <c r="F22"/>
  <c r="G26" i="104"/>
  <c r="BB26" s="1"/>
  <c r="F26"/>
  <c r="F30"/>
  <c r="G30"/>
  <c r="BB30" s="1"/>
  <c r="G38" i="101"/>
  <c r="F38"/>
  <c r="G42"/>
  <c r="F42"/>
  <c r="G16" i="104"/>
  <c r="BB16" s="1"/>
  <c r="F16"/>
  <c r="G36" i="103"/>
  <c r="BB36" s="1"/>
  <c r="F36"/>
  <c r="F9"/>
  <c r="G9"/>
  <c r="BB9" s="1"/>
  <c r="F13" i="104"/>
  <c r="G13"/>
  <c r="BB13" s="1"/>
  <c r="F21" i="103"/>
  <c r="G21"/>
  <c r="BB21" s="1"/>
  <c r="F25"/>
  <c r="G25"/>
  <c r="BB25" s="1"/>
  <c r="F29" i="104"/>
  <c r="G29"/>
  <c r="BB29" s="1"/>
  <c r="G37" i="101"/>
  <c r="F37"/>
  <c r="F41" i="104"/>
  <c r="G41"/>
  <c r="BB41" s="1"/>
  <c r="F8" i="101"/>
  <c r="G8"/>
  <c r="F40"/>
  <c r="G40"/>
  <c r="G11" i="104"/>
  <c r="BB11" s="1"/>
  <c r="F11"/>
  <c r="F15"/>
  <c r="G15"/>
  <c r="BB15" s="1"/>
  <c r="G23" i="103"/>
  <c r="BB23" s="1"/>
  <c r="F23"/>
  <c r="G27"/>
  <c r="BB27" s="1"/>
  <c r="F27"/>
  <c r="F31" i="104"/>
  <c r="G31"/>
  <c r="BB31" s="1"/>
  <c r="F39" i="103"/>
  <c r="G39"/>
  <c r="BB39" s="1"/>
  <c r="F43" i="101"/>
  <c r="G43"/>
  <c r="BC7" i="104"/>
  <c r="G10"/>
  <c r="BB10" s="1"/>
  <c r="F10"/>
  <c r="F14" i="103"/>
  <c r="G14"/>
  <c r="BB14" s="1"/>
  <c r="G18"/>
  <c r="BB18" s="1"/>
  <c r="F18"/>
  <c r="G26"/>
  <c r="BB26" s="1"/>
  <c r="F26"/>
  <c r="G30" i="101"/>
  <c r="F30"/>
  <c r="F34" i="103"/>
  <c r="G34"/>
  <c r="BB34" s="1"/>
  <c r="F42" i="104"/>
  <c r="G42"/>
  <c r="BB42" s="1"/>
  <c r="G16" i="103"/>
  <c r="BB16" s="1"/>
  <c r="F16"/>
  <c r="F28"/>
  <c r="G28"/>
  <c r="BB28" s="1"/>
  <c r="G9" i="104"/>
  <c r="BB9" s="1"/>
  <c r="F9"/>
  <c r="G13" i="103"/>
  <c r="BB13" s="1"/>
  <c r="F13"/>
  <c r="G17" i="101"/>
  <c r="F17"/>
  <c r="G25" i="104"/>
  <c r="BB25" s="1"/>
  <c r="F25"/>
  <c r="F29" i="103"/>
  <c r="G29"/>
  <c r="BB29" s="1"/>
  <c r="F33"/>
  <c r="G33"/>
  <c r="BB33" s="1"/>
  <c r="G41" i="101"/>
  <c r="F41"/>
  <c r="G8" i="104"/>
  <c r="BB8" s="1"/>
  <c r="F8"/>
  <c r="F12"/>
  <c r="G12"/>
  <c r="BB12" s="1"/>
  <c r="G32" i="103"/>
  <c r="BB32" s="1"/>
  <c r="F32"/>
  <c r="G40" i="104"/>
  <c r="BB40" s="1"/>
  <c r="F40"/>
  <c r="G24" i="29"/>
  <c r="BB24" s="1"/>
  <c r="I20" i="35" s="1"/>
  <c r="G32" i="104"/>
  <c r="BB32" s="1"/>
  <c r="F32"/>
  <c r="F11" i="103"/>
  <c r="G11"/>
  <c r="BB11" s="1"/>
  <c r="F15" i="101"/>
  <c r="G15"/>
  <c r="F19"/>
  <c r="G19"/>
  <c r="G27" i="104"/>
  <c r="BB27" s="1"/>
  <c r="F27"/>
  <c r="F31" i="101"/>
  <c r="G31"/>
  <c r="F35"/>
  <c r="G35"/>
  <c r="F43" i="104"/>
  <c r="G43"/>
  <c r="BB43" s="1"/>
  <c r="F24" i="103"/>
  <c r="G24"/>
  <c r="BB24" s="1"/>
  <c r="F14" i="101"/>
  <c r="G14"/>
  <c r="G18"/>
  <c r="F18"/>
  <c r="F22" i="104"/>
  <c r="G22"/>
  <c r="BB22" s="1"/>
  <c r="G30" i="103"/>
  <c r="BB30" s="1"/>
  <c r="F30"/>
  <c r="G34" i="101"/>
  <c r="F34"/>
  <c r="F38" i="103"/>
  <c r="G38"/>
  <c r="BB38" s="1"/>
  <c r="F16" i="101"/>
  <c r="G16"/>
  <c r="F28" i="104"/>
  <c r="G28"/>
  <c r="BB28" s="1"/>
  <c r="F36" i="101"/>
  <c r="G36"/>
  <c r="G13"/>
  <c r="F13"/>
  <c r="F17" i="103"/>
  <c r="G17"/>
  <c r="BB17" s="1"/>
  <c r="F21" i="104"/>
  <c r="G21"/>
  <c r="BB21" s="1"/>
  <c r="G29" i="101"/>
  <c r="F29"/>
  <c r="G33" i="104"/>
  <c r="BB33" s="1"/>
  <c r="F33"/>
  <c r="G37"/>
  <c r="BB37" s="1"/>
  <c r="F37"/>
  <c r="G8" i="103"/>
  <c r="BB8" s="1"/>
  <c r="F8"/>
  <c r="F12" i="101"/>
  <c r="G12"/>
  <c r="F20" i="103"/>
  <c r="G20"/>
  <c r="BB20" s="1"/>
  <c r="G40"/>
  <c r="BB40" s="1"/>
  <c r="F40"/>
  <c r="E47" i="104"/>
  <c r="F20" i="101"/>
  <c r="G20"/>
  <c r="F15" i="103"/>
  <c r="G15"/>
  <c r="BB15" s="1"/>
  <c r="G19"/>
  <c r="BB19" s="1"/>
  <c r="F19"/>
  <c r="F23" i="104"/>
  <c r="G23"/>
  <c r="BB23" s="1"/>
  <c r="G31" i="103"/>
  <c r="BB31" s="1"/>
  <c r="F31"/>
  <c r="F35"/>
  <c r="G35"/>
  <c r="BB35" s="1"/>
  <c r="F39" i="101"/>
  <c r="G39"/>
  <c r="G24" i="104"/>
  <c r="BB24" s="1"/>
  <c r="F24"/>
  <c r="F10" i="103"/>
  <c r="G10"/>
  <c r="BB10" s="1"/>
  <c r="G18" i="104"/>
  <c r="BB18" s="1"/>
  <c r="F18"/>
  <c r="G22" i="101"/>
  <c r="F22"/>
  <c r="F26"/>
  <c r="G26"/>
  <c r="G34" i="104"/>
  <c r="BB34" s="1"/>
  <c r="F34"/>
  <c r="G38"/>
  <c r="BB38" s="1"/>
  <c r="F38"/>
  <c r="F42" i="103"/>
  <c r="G42"/>
  <c r="BB42" s="1"/>
  <c r="F28" i="101"/>
  <c r="G28"/>
  <c r="F36" i="104"/>
  <c r="G36"/>
  <c r="BB36" s="1"/>
  <c r="F9" i="101"/>
  <c r="G9"/>
  <c r="G17" i="104"/>
  <c r="BB17" s="1"/>
  <c r="F17"/>
  <c r="G21" i="101"/>
  <c r="F21"/>
  <c r="G25"/>
  <c r="F25"/>
  <c r="G33"/>
  <c r="F33"/>
  <c r="G37" i="103"/>
  <c r="BB37" s="1"/>
  <c r="F37"/>
  <c r="G41"/>
  <c r="BB41" s="1"/>
  <c r="F41"/>
  <c r="G12"/>
  <c r="BB12" s="1"/>
  <c r="F12"/>
  <c r="F20" i="104"/>
  <c r="G20"/>
  <c r="BB20" s="1"/>
  <c r="F32" i="101"/>
  <c r="G32"/>
  <c r="BC7" i="103"/>
  <c r="F7" i="101"/>
  <c r="G7"/>
  <c r="F7" i="103"/>
  <c r="E47"/>
  <c r="F22" i="29"/>
  <c r="G18" i="35" s="1"/>
  <c r="F43" i="29"/>
  <c r="G39" i="35" s="1"/>
  <c r="G45" i="29"/>
  <c r="H41" i="35" s="1"/>
  <c r="G29" i="29"/>
  <c r="BB29" s="1"/>
  <c r="I25" i="35" s="1"/>
  <c r="F44" i="29"/>
  <c r="G40" i="35" s="1"/>
  <c r="G44" i="29"/>
  <c r="H40" i="35" s="1"/>
  <c r="G19" i="29"/>
  <c r="BB19" s="1"/>
  <c r="I15" i="35" s="1"/>
  <c r="F39" i="29"/>
  <c r="G35" i="35" s="1"/>
  <c r="F20" i="29"/>
  <c r="G16" i="35" s="1"/>
  <c r="G43" i="29"/>
  <c r="BB43" s="1"/>
  <c r="I39" i="35" s="1"/>
  <c r="F13" i="29"/>
  <c r="G9" i="35" s="1"/>
  <c r="G39" i="29"/>
  <c r="H35" i="35" s="1"/>
  <c r="F30" i="29"/>
  <c r="G26" i="35" s="1"/>
  <c r="G14" i="29"/>
  <c r="BB14" s="1"/>
  <c r="I10" i="35" s="1"/>
  <c r="F32" i="29"/>
  <c r="G28" i="35" s="1"/>
  <c r="F21" i="29"/>
  <c r="G17" i="35" s="1"/>
  <c r="F37" i="29"/>
  <c r="G33" i="35" s="1"/>
  <c r="G15" i="29"/>
  <c r="BB15" s="1"/>
  <c r="I11" i="35" s="1"/>
  <c r="G27" i="29"/>
  <c r="H23" i="35" s="1"/>
  <c r="G38" i="29"/>
  <c r="H34" i="35" s="1"/>
  <c r="G22" i="29"/>
  <c r="H18" i="35" s="1"/>
  <c r="G13" i="29"/>
  <c r="BB13" s="1"/>
  <c r="I9" i="35" s="1"/>
  <c r="F29" i="29"/>
  <c r="G25" i="35" s="1"/>
  <c r="G20" i="29"/>
  <c r="H16" i="35" s="1"/>
  <c r="F19" i="29"/>
  <c r="G15" i="35" s="1"/>
  <c r="G30" i="29"/>
  <c r="BB30" s="1"/>
  <c r="I26" i="35" s="1"/>
  <c r="F24" i="29"/>
  <c r="G20" i="35" s="1"/>
  <c r="F14" i="29"/>
  <c r="G10" i="35" s="1"/>
  <c r="G32" i="29"/>
  <c r="H28" i="35" s="1"/>
  <c r="G21" i="29"/>
  <c r="H17" i="35" s="1"/>
  <c r="G37" i="29"/>
  <c r="BB37" s="1"/>
  <c r="I33" i="35" s="1"/>
  <c r="F15" i="29"/>
  <c r="G11" i="35" s="1"/>
  <c r="F27" i="29"/>
  <c r="G23" i="35" s="1"/>
  <c r="F38" i="29"/>
  <c r="G34" i="35" s="1"/>
  <c r="F7" i="29"/>
  <c r="G3" i="35" s="1"/>
  <c r="AX38" i="96"/>
  <c r="BB38" s="1"/>
  <c r="AQ31"/>
  <c r="AU31" s="1"/>
  <c r="AX30"/>
  <c r="BB30" s="1"/>
  <c r="AX36"/>
  <c r="BB36" s="1"/>
  <c r="AQ29"/>
  <c r="AU29" s="1"/>
  <c r="AX28"/>
  <c r="BB28" s="1"/>
  <c r="AQ32"/>
  <c r="AU32" s="1"/>
  <c r="AX37"/>
  <c r="BB37" s="1"/>
  <c r="AK49"/>
  <c r="AX29"/>
  <c r="BB29" s="1"/>
  <c r="AQ35"/>
  <c r="AU35" s="1"/>
  <c r="AK51"/>
  <c r="AQ33"/>
  <c r="AU33" s="1"/>
  <c r="AX32"/>
  <c r="BB32" s="1"/>
  <c r="AQ38"/>
  <c r="AU38" s="1"/>
  <c r="AK50"/>
  <c r="AQ36"/>
  <c r="AU36" s="1"/>
  <c r="AQ30"/>
  <c r="AU30" s="1"/>
  <c r="AX33"/>
  <c r="BB33" s="1"/>
  <c r="AX35"/>
  <c r="BB35" s="1"/>
  <c r="AQ28"/>
  <c r="AU28" s="1"/>
  <c r="AX31"/>
  <c r="BB31" s="1"/>
  <c r="AQ37"/>
  <c r="AU37" s="1"/>
  <c r="AQ27"/>
  <c r="AU27" s="1"/>
  <c r="AX27"/>
  <c r="BB27" s="1"/>
  <c r="G10" i="29"/>
  <c r="H6" i="35" s="1"/>
  <c r="F16" i="29"/>
  <c r="G12" i="35" s="1"/>
  <c r="G36" i="29"/>
  <c r="H32" i="35" s="1"/>
  <c r="G46" i="29"/>
  <c r="BB46" s="1"/>
  <c r="I42" i="35" s="1"/>
  <c r="G18" i="29"/>
  <c r="H14" i="35" s="1"/>
  <c r="F42" i="29"/>
  <c r="G38" i="35" s="1"/>
  <c r="F41" i="29"/>
  <c r="G37" i="35" s="1"/>
  <c r="G26" i="29"/>
  <c r="BB26" s="1"/>
  <c r="I22" i="35" s="1"/>
  <c r="F40" i="29"/>
  <c r="G36" i="35" s="1"/>
  <c r="F35" i="29"/>
  <c r="G31" i="35" s="1"/>
  <c r="F34" i="29"/>
  <c r="G30" i="35" s="1"/>
  <c r="F25" i="29"/>
  <c r="G21" i="35" s="1"/>
  <c r="F11" i="29"/>
  <c r="G7" i="35" s="1"/>
  <c r="F31" i="29"/>
  <c r="G27" i="35" s="1"/>
  <c r="G42" i="29"/>
  <c r="H38" i="35" s="1"/>
  <c r="F17" i="29"/>
  <c r="G13" i="35" s="1"/>
  <c r="F28" i="29"/>
  <c r="G24" i="35" s="1"/>
  <c r="F23" i="29"/>
  <c r="G19" i="35" s="1"/>
  <c r="F36" i="29"/>
  <c r="G32" i="35" s="1"/>
  <c r="F10" i="29"/>
  <c r="G6" i="35" s="1"/>
  <c r="F18" i="29"/>
  <c r="G14" i="35" s="1"/>
  <c r="F26" i="29"/>
  <c r="G22" i="35" s="1"/>
  <c r="F12" i="29"/>
  <c r="G8" i="35" s="1"/>
  <c r="F33" i="29"/>
  <c r="G29" i="35" s="1"/>
  <c r="G40" i="29"/>
  <c r="BB40" s="1"/>
  <c r="I36" i="35" s="1"/>
  <c r="G23" i="29"/>
  <c r="H19" i="35" s="1"/>
  <c r="G31" i="29"/>
  <c r="H27" i="35" s="1"/>
  <c r="G16" i="29"/>
  <c r="H12" i="35" s="1"/>
  <c r="G34" i="29"/>
  <c r="BB34" s="1"/>
  <c r="I30" i="35" s="1"/>
  <c r="G12" i="29"/>
  <c r="H8" i="35" s="1"/>
  <c r="G25" i="29"/>
  <c r="BB25" s="1"/>
  <c r="I21" i="35" s="1"/>
  <c r="G33" i="29"/>
  <c r="H29" i="35" s="1"/>
  <c r="G41" i="29"/>
  <c r="H37" i="35" s="1"/>
  <c r="G28" i="29"/>
  <c r="H24" i="35" s="1"/>
  <c r="G11" i="29"/>
  <c r="BB11" s="1"/>
  <c r="I7" i="35" s="1"/>
  <c r="G17" i="29"/>
  <c r="H13" i="35" s="1"/>
  <c r="G35" i="29"/>
  <c r="H31" i="35" s="1"/>
  <c r="F8" i="29"/>
  <c r="G4" i="35" s="1"/>
  <c r="G8" i="29"/>
  <c r="H4" i="35" s="1"/>
  <c r="F42"/>
  <c r="BI46" i="29"/>
  <c r="G7"/>
  <c r="V29" i="38"/>
  <c r="Z29" s="1"/>
  <c r="V32"/>
  <c r="Z32" s="1"/>
  <c r="V31"/>
  <c r="Z31" s="1"/>
  <c r="V33"/>
  <c r="Z33" s="1"/>
  <c r="V28"/>
  <c r="Z28" s="1"/>
  <c r="O32"/>
  <c r="S32" s="1"/>
  <c r="F3" i="35"/>
  <c r="M3" s="1"/>
  <c r="T3" s="1"/>
  <c r="O28" i="38"/>
  <c r="S28" s="1"/>
  <c r="I123"/>
  <c r="V30"/>
  <c r="Z30" s="1"/>
  <c r="V38"/>
  <c r="Z38" s="1"/>
  <c r="O37"/>
  <c r="S37" s="1"/>
  <c r="O31"/>
  <c r="S31" s="1"/>
  <c r="O35"/>
  <c r="S35" s="1"/>
  <c r="O38"/>
  <c r="S38" s="1"/>
  <c r="O36"/>
  <c r="S36" s="1"/>
  <c r="O30"/>
  <c r="S30" s="1"/>
  <c r="O29"/>
  <c r="S29" s="1"/>
  <c r="V35"/>
  <c r="Z35" s="1"/>
  <c r="I124"/>
  <c r="O33"/>
  <c r="S33" s="1"/>
  <c r="I122"/>
  <c r="V36"/>
  <c r="Z36" s="1"/>
  <c r="V37"/>
  <c r="Z37" s="1"/>
  <c r="O27"/>
  <c r="S27" s="1"/>
  <c r="V27"/>
  <c r="Z27" s="1"/>
  <c r="G9" i="29"/>
  <c r="H5" i="35" s="1"/>
  <c r="F9" i="29"/>
  <c r="G5" i="35" s="1"/>
  <c r="C55" i="24"/>
  <c r="AI56" s="1"/>
  <c r="C23" i="19"/>
  <c r="C22"/>
  <c r="C21"/>
  <c r="C20"/>
  <c r="C19"/>
  <c r="C18"/>
  <c r="C17"/>
  <c r="C16"/>
  <c r="C15"/>
  <c r="C14"/>
  <c r="C12"/>
  <c r="C11"/>
  <c r="C10"/>
  <c r="C9"/>
  <c r="BA11" i="6"/>
  <c r="BA46"/>
  <c r="BA45"/>
  <c r="BA44"/>
  <c r="BA43"/>
  <c r="BA42"/>
  <c r="BA41"/>
  <c r="BA40"/>
  <c r="BA39"/>
  <c r="BA38"/>
  <c r="BA37"/>
  <c r="BA36"/>
  <c r="BA35"/>
  <c r="BA34"/>
  <c r="BA33"/>
  <c r="BA32"/>
  <c r="BA31"/>
  <c r="BA30"/>
  <c r="BA29"/>
  <c r="BA28"/>
  <c r="BA27"/>
  <c r="BA26"/>
  <c r="BA25"/>
  <c r="BA24"/>
  <c r="BA23"/>
  <c r="BA22"/>
  <c r="BA21"/>
  <c r="BA20"/>
  <c r="BA19"/>
  <c r="BA18"/>
  <c r="BA17"/>
  <c r="BA16"/>
  <c r="BA15"/>
  <c r="BA14"/>
  <c r="BA13"/>
  <c r="BA12"/>
  <c r="BA10"/>
  <c r="BA9"/>
  <c r="BA8"/>
  <c r="BA7"/>
  <c r="C22" i="17"/>
  <c r="C21"/>
  <c r="C20"/>
  <c r="C19"/>
  <c r="C18"/>
  <c r="C17"/>
  <c r="C16"/>
  <c r="C15"/>
  <c r="C14"/>
  <c r="C13"/>
  <c r="C12"/>
  <c r="C11"/>
  <c r="C10"/>
  <c r="C9"/>
  <c r="C8"/>
  <c r="BD44" i="104" l="1"/>
  <c r="BC44"/>
  <c r="BC44" i="103"/>
  <c r="BD44"/>
  <c r="BC45"/>
  <c r="BD45"/>
  <c r="BD45" i="104"/>
  <c r="BC45"/>
  <c r="M13" i="95"/>
  <c r="O56" i="24"/>
  <c r="O55"/>
  <c r="M42" i="35"/>
  <c r="L42"/>
  <c r="K42"/>
  <c r="T40"/>
  <c r="T39"/>
  <c r="T37"/>
  <c r="T36"/>
  <c r="T38"/>
  <c r="T35"/>
  <c r="T41"/>
  <c r="Q20"/>
  <c r="Q30"/>
  <c r="P30"/>
  <c r="Q36"/>
  <c r="P36"/>
  <c r="Q7"/>
  <c r="Q21"/>
  <c r="Q26"/>
  <c r="P26"/>
  <c r="Q9"/>
  <c r="Q11"/>
  <c r="Q10"/>
  <c r="P39"/>
  <c r="Q39"/>
  <c r="Q22"/>
  <c r="Q42"/>
  <c r="P42"/>
  <c r="P33"/>
  <c r="Q33"/>
  <c r="Q15"/>
  <c r="Q25"/>
  <c r="H20"/>
  <c r="P20" s="1"/>
  <c r="BD7" i="103"/>
  <c r="BD36" i="104"/>
  <c r="BC36"/>
  <c r="BC40" i="103"/>
  <c r="BD40"/>
  <c r="BD34"/>
  <c r="BC34"/>
  <c r="BC38" i="104"/>
  <c r="BD38"/>
  <c r="BD24"/>
  <c r="BC24"/>
  <c r="BC17" i="103"/>
  <c r="BD17"/>
  <c r="BC22" i="104"/>
  <c r="BD22"/>
  <c r="BD8"/>
  <c r="BC8"/>
  <c r="BC13" i="103"/>
  <c r="BD13"/>
  <c r="BD10" i="104"/>
  <c r="BC10"/>
  <c r="BD11"/>
  <c r="BC11"/>
  <c r="BC36" i="103"/>
  <c r="BD36"/>
  <c r="BC22"/>
  <c r="BD22"/>
  <c r="BD20" i="104"/>
  <c r="BC20"/>
  <c r="BC35" i="103"/>
  <c r="BD35"/>
  <c r="BD23" i="104"/>
  <c r="BC23"/>
  <c r="BC15" i="103"/>
  <c r="BD15"/>
  <c r="BC8"/>
  <c r="BD8"/>
  <c r="BD33" i="104"/>
  <c r="BC33"/>
  <c r="BC30" i="103"/>
  <c r="BD30"/>
  <c r="BD27" i="104"/>
  <c r="BC27"/>
  <c r="BD32"/>
  <c r="BC32"/>
  <c r="BC33" i="103"/>
  <c r="BD33"/>
  <c r="BC28"/>
  <c r="BD28"/>
  <c r="BD42" i="104"/>
  <c r="BC42"/>
  <c r="BD31"/>
  <c r="BC31"/>
  <c r="BC25" i="103"/>
  <c r="BD25"/>
  <c r="BC13" i="104"/>
  <c r="BD13"/>
  <c r="BC30"/>
  <c r="BD30"/>
  <c r="BD43" i="103"/>
  <c r="BC43"/>
  <c r="BD42"/>
  <c r="BC42"/>
  <c r="BC10"/>
  <c r="BD10"/>
  <c r="BC37" i="104"/>
  <c r="BD37"/>
  <c r="BD12"/>
  <c r="BC12"/>
  <c r="BC29" i="103"/>
  <c r="BD29"/>
  <c r="BC41"/>
  <c r="BD41"/>
  <c r="BD18" i="104"/>
  <c r="BC18"/>
  <c r="BD43"/>
  <c r="BC43"/>
  <c r="BD11" i="103"/>
  <c r="BC11"/>
  <c r="BC32"/>
  <c r="BD32"/>
  <c r="BD25" i="104"/>
  <c r="BC25"/>
  <c r="BC18" i="103"/>
  <c r="BD18"/>
  <c r="BD23"/>
  <c r="BC23"/>
  <c r="BD35" i="104"/>
  <c r="BC35"/>
  <c r="BC12" i="103"/>
  <c r="BD12"/>
  <c r="BC37"/>
  <c r="BD37"/>
  <c r="BD17" i="104"/>
  <c r="BC17"/>
  <c r="BD34"/>
  <c r="BC34"/>
  <c r="BC31" i="103"/>
  <c r="BD31"/>
  <c r="BC19"/>
  <c r="BD19"/>
  <c r="BC20"/>
  <c r="BD20"/>
  <c r="BD21" i="104"/>
  <c r="BC21"/>
  <c r="BD28"/>
  <c r="BC28"/>
  <c r="BD38" i="103"/>
  <c r="BC38"/>
  <c r="BD24"/>
  <c r="BC24"/>
  <c r="BD40" i="104"/>
  <c r="BC40"/>
  <c r="BD9"/>
  <c r="BC9"/>
  <c r="BC16" i="103"/>
  <c r="BD16"/>
  <c r="BC26"/>
  <c r="BD26"/>
  <c r="BC27"/>
  <c r="BD27"/>
  <c r="BD16" i="104"/>
  <c r="BC16"/>
  <c r="BC26"/>
  <c r="BD26"/>
  <c r="BD39"/>
  <c r="BC39"/>
  <c r="BD19"/>
  <c r="BC19"/>
  <c r="BC14" i="103"/>
  <c r="BD14"/>
  <c r="BC39"/>
  <c r="BD39"/>
  <c r="BD15" i="104"/>
  <c r="BC15"/>
  <c r="BD41"/>
  <c r="BC41"/>
  <c r="BD29"/>
  <c r="BC29"/>
  <c r="BD21" i="103"/>
  <c r="BC21"/>
  <c r="BC9"/>
  <c r="BD9"/>
  <c r="BD14" i="104"/>
  <c r="BC14"/>
  <c r="BD7"/>
  <c r="BB45" i="29"/>
  <c r="I41" i="35" s="1"/>
  <c r="H15"/>
  <c r="P15" s="1"/>
  <c r="H25"/>
  <c r="P25" s="1"/>
  <c r="H11"/>
  <c r="P11" s="1"/>
  <c r="BB44" i="29"/>
  <c r="I40" i="35" s="1"/>
  <c r="BB27" i="29"/>
  <c r="I23" i="35" s="1"/>
  <c r="BB38" i="29"/>
  <c r="I34" i="35" s="1"/>
  <c r="H39"/>
  <c r="H26"/>
  <c r="BB39" i="29"/>
  <c r="I35" i="35" s="1"/>
  <c r="BB20" i="29"/>
  <c r="I16" i="35" s="1"/>
  <c r="H33"/>
  <c r="BB22" i="29"/>
  <c r="I18" i="35" s="1"/>
  <c r="H10"/>
  <c r="P10" s="1"/>
  <c r="BB32" i="29"/>
  <c r="I28" i="35" s="1"/>
  <c r="H9"/>
  <c r="P9" s="1"/>
  <c r="BB36" i="29"/>
  <c r="I32" i="35" s="1"/>
  <c r="BB21" i="29"/>
  <c r="I17" i="35" s="1"/>
  <c r="BB10" i="29"/>
  <c r="I6" i="35" s="1"/>
  <c r="H22"/>
  <c r="P22" s="1"/>
  <c r="BB17" i="29"/>
  <c r="I13" i="35" s="1"/>
  <c r="H42"/>
  <c r="BB18" i="29"/>
  <c r="I14" i="35" s="1"/>
  <c r="BB23" i="29"/>
  <c r="I19" i="35" s="1"/>
  <c r="BB28" i="29"/>
  <c r="I24" i="35" s="1"/>
  <c r="BB12" i="29"/>
  <c r="I8" i="35" s="1"/>
  <c r="H30"/>
  <c r="H7"/>
  <c r="P7" s="1"/>
  <c r="BB42" i="29"/>
  <c r="I38" i="35" s="1"/>
  <c r="BB33" i="29"/>
  <c r="I29" i="35" s="1"/>
  <c r="H36"/>
  <c r="BB16" i="29"/>
  <c r="I12" i="35" s="1"/>
  <c r="H21"/>
  <c r="P21" s="1"/>
  <c r="BB41" i="29"/>
  <c r="I37" i="35" s="1"/>
  <c r="BB35" i="29"/>
  <c r="I31" i="35" s="1"/>
  <c r="BB31" i="29"/>
  <c r="I27" i="35" s="1"/>
  <c r="BB8" i="29"/>
  <c r="I4" i="35" s="1"/>
  <c r="BB7" i="29"/>
  <c r="H3" i="35"/>
  <c r="BC13" i="29"/>
  <c r="BC19"/>
  <c r="BC46"/>
  <c r="BC43"/>
  <c r="BC25"/>
  <c r="BC29"/>
  <c r="BC11"/>
  <c r="BC40"/>
  <c r="BC26"/>
  <c r="BC30"/>
  <c r="BC15"/>
  <c r="BC34"/>
  <c r="BC24"/>
  <c r="BC14"/>
  <c r="BC37"/>
  <c r="BB9"/>
  <c r="E47"/>
  <c r="M16" i="1"/>
  <c r="M19"/>
  <c r="T42" i="35" l="1"/>
  <c r="U42"/>
  <c r="P31"/>
  <c r="Q31"/>
  <c r="P6"/>
  <c r="Q6"/>
  <c r="P27"/>
  <c r="Q27"/>
  <c r="Q12"/>
  <c r="P12"/>
  <c r="Q19"/>
  <c r="P19"/>
  <c r="P4"/>
  <c r="Q4"/>
  <c r="Q38"/>
  <c r="P38"/>
  <c r="P24"/>
  <c r="Q24"/>
  <c r="Q13"/>
  <c r="P13"/>
  <c r="Q32"/>
  <c r="P32"/>
  <c r="P18"/>
  <c r="Q18"/>
  <c r="P40"/>
  <c r="Q40"/>
  <c r="P41"/>
  <c r="Q41"/>
  <c r="Q37"/>
  <c r="P37"/>
  <c r="Q29"/>
  <c r="P29"/>
  <c r="P8"/>
  <c r="Q8"/>
  <c r="Q17"/>
  <c r="P17"/>
  <c r="P35"/>
  <c r="Q35"/>
  <c r="P23"/>
  <c r="Q23"/>
  <c r="P14"/>
  <c r="Q14"/>
  <c r="Q28"/>
  <c r="P28"/>
  <c r="P16"/>
  <c r="Q16"/>
  <c r="Q34"/>
  <c r="P34"/>
  <c r="BC45" i="29"/>
  <c r="BC44"/>
  <c r="BC27"/>
  <c r="BC38"/>
  <c r="BC20"/>
  <c r="BC21"/>
  <c r="BC39"/>
  <c r="BC32"/>
  <c r="BC22"/>
  <c r="BC36"/>
  <c r="AQ40" i="96"/>
  <c r="BC17" i="29"/>
  <c r="BC10"/>
  <c r="BC18"/>
  <c r="BC23"/>
  <c r="BC28"/>
  <c r="BC41"/>
  <c r="BC12"/>
  <c r="BC42"/>
  <c r="BC35"/>
  <c r="BC16"/>
  <c r="BC33"/>
  <c r="BC31"/>
  <c r="O40" i="38"/>
  <c r="BC8" i="29"/>
  <c r="BC7"/>
  <c r="I3" i="35"/>
  <c r="BD46" i="29"/>
  <c r="BL46" s="1"/>
  <c r="I5" i="35"/>
  <c r="BD28" i="29"/>
  <c r="BD19"/>
  <c r="BD7"/>
  <c r="BD26"/>
  <c r="BD20"/>
  <c r="BD39"/>
  <c r="BD40"/>
  <c r="BL40" s="1"/>
  <c r="BD33"/>
  <c r="BD36"/>
  <c r="BD22"/>
  <c r="BD12"/>
  <c r="BD27"/>
  <c r="BD43"/>
  <c r="BL43" s="1"/>
  <c r="BD8"/>
  <c r="BD18"/>
  <c r="BD42"/>
  <c r="BL42" s="1"/>
  <c r="BD13"/>
  <c r="BD31"/>
  <c r="BD30"/>
  <c r="BD32"/>
  <c r="BD21"/>
  <c r="BD37"/>
  <c r="BD44"/>
  <c r="BL44" s="1"/>
  <c r="BD25"/>
  <c r="BD41"/>
  <c r="BL41" s="1"/>
  <c r="BD11"/>
  <c r="BD24"/>
  <c r="BD14"/>
  <c r="BD34"/>
  <c r="BD17"/>
  <c r="BD35"/>
  <c r="BD38"/>
  <c r="BD15"/>
  <c r="BD10"/>
  <c r="BD45"/>
  <c r="BD23"/>
  <c r="BD16"/>
  <c r="BD29"/>
  <c r="BC9"/>
  <c r="BD9"/>
  <c r="G39" i="19"/>
  <c r="G40"/>
  <c r="F18"/>
  <c r="D18"/>
  <c r="G18"/>
  <c r="E18"/>
  <c r="F10"/>
  <c r="D10"/>
  <c r="G10"/>
  <c r="E10"/>
  <c r="G33"/>
  <c r="F19"/>
  <c r="D19"/>
  <c r="G19"/>
  <c r="E19"/>
  <c r="F11"/>
  <c r="E11"/>
  <c r="D11"/>
  <c r="G11"/>
  <c r="F9"/>
  <c r="E9"/>
  <c r="D9"/>
  <c r="G9"/>
  <c r="F21"/>
  <c r="D21"/>
  <c r="G21"/>
  <c r="E21"/>
  <c r="F12"/>
  <c r="D12"/>
  <c r="G12"/>
  <c r="E12"/>
  <c r="G42"/>
  <c r="G43"/>
  <c r="G35"/>
  <c r="F20"/>
  <c r="D20"/>
  <c r="G20"/>
  <c r="E20"/>
  <c r="G34"/>
  <c r="G36"/>
  <c r="G38"/>
  <c r="F16"/>
  <c r="E16"/>
  <c r="D16"/>
  <c r="G16"/>
  <c r="G31"/>
  <c r="G32"/>
  <c r="F22"/>
  <c r="D22"/>
  <c r="G22"/>
  <c r="E22"/>
  <c r="F14"/>
  <c r="D14"/>
  <c r="G14"/>
  <c r="E14"/>
  <c r="G41"/>
  <c r="F13"/>
  <c r="D13"/>
  <c r="G13"/>
  <c r="E13"/>
  <c r="F15"/>
  <c r="D15"/>
  <c r="G15"/>
  <c r="E15"/>
  <c r="F17"/>
  <c r="D17"/>
  <c r="E17"/>
  <c r="G17"/>
  <c r="G37"/>
  <c r="G44"/>
  <c r="F23"/>
  <c r="D23"/>
  <c r="G23"/>
  <c r="E23"/>
  <c r="F3" i="10"/>
  <c r="F4"/>
  <c r="R3" i="35" l="1"/>
  <c r="P3"/>
  <c r="Q3"/>
  <c r="Q5"/>
  <c r="P5"/>
  <c r="I18" i="99"/>
  <c r="I17"/>
  <c r="I23"/>
  <c r="I15"/>
  <c r="I20"/>
  <c r="I14"/>
  <c r="I22"/>
  <c r="I12"/>
  <c r="I19"/>
  <c r="I13"/>
  <c r="I10"/>
  <c r="I21"/>
  <c r="I11"/>
  <c r="I16"/>
  <c r="BL29" i="29"/>
  <c r="I31" i="99"/>
  <c r="BL37" i="29"/>
  <c r="I39" i="99"/>
  <c r="BL31" i="29"/>
  <c r="I33" i="99"/>
  <c r="BL22" i="29"/>
  <c r="I24" i="99"/>
  <c r="BL39" i="29"/>
  <c r="I46" i="99"/>
  <c r="I41"/>
  <c r="I48"/>
  <c r="I42"/>
  <c r="I44"/>
  <c r="I47"/>
  <c r="I43"/>
  <c r="I45"/>
  <c r="BL35" i="29"/>
  <c r="I37" i="99"/>
  <c r="BL24" i="29"/>
  <c r="I26" i="99"/>
  <c r="BL30" i="29"/>
  <c r="I32" i="99"/>
  <c r="I9"/>
  <c r="BL23" i="29"/>
  <c r="I25" i="99"/>
  <c r="BL38" i="29"/>
  <c r="I40" i="99"/>
  <c r="BL25" i="29"/>
  <c r="I27" i="99"/>
  <c r="BL32" i="29"/>
  <c r="I34" i="99"/>
  <c r="BL27" i="29"/>
  <c r="I29" i="99"/>
  <c r="BL33" i="29"/>
  <c r="I35" i="99"/>
  <c r="BL26" i="29"/>
  <c r="I28" i="99"/>
  <c r="BL34" i="29"/>
  <c r="I36" i="99"/>
  <c r="BL36" i="29"/>
  <c r="I38" i="99"/>
  <c r="BL28" i="29"/>
  <c r="I30" i="99"/>
  <c r="BL45" i="29"/>
  <c r="J25" i="35"/>
  <c r="BL17" i="29"/>
  <c r="J13" i="35"/>
  <c r="J33"/>
  <c r="BL8" i="29"/>
  <c r="J4" i="35"/>
  <c r="J35"/>
  <c r="J41"/>
  <c r="J31"/>
  <c r="J20"/>
  <c r="J40"/>
  <c r="J26"/>
  <c r="BL18" i="29"/>
  <c r="J14" i="35"/>
  <c r="BL12" i="29"/>
  <c r="J8" i="35"/>
  <c r="J36"/>
  <c r="BL7" i="29"/>
  <c r="J3" i="35"/>
  <c r="K3" s="1"/>
  <c r="L3" s="1"/>
  <c r="J42"/>
  <c r="BL9" i="29"/>
  <c r="J5" i="35"/>
  <c r="J19"/>
  <c r="J34"/>
  <c r="BL14" i="29"/>
  <c r="J10" i="35"/>
  <c r="J21"/>
  <c r="J28"/>
  <c r="J38"/>
  <c r="J23"/>
  <c r="J29"/>
  <c r="J22"/>
  <c r="BL10" i="29"/>
  <c r="J6" i="35"/>
  <c r="BL11" i="29"/>
  <c r="J7" i="35"/>
  <c r="J27"/>
  <c r="J18"/>
  <c r="BL16" i="29"/>
  <c r="J12" i="35"/>
  <c r="BL15" i="29"/>
  <c r="J11" i="35"/>
  <c r="J30"/>
  <c r="J37"/>
  <c r="BL21" i="29"/>
  <c r="J17" i="35"/>
  <c r="BL13" i="29"/>
  <c r="J9" i="35"/>
  <c r="J39"/>
  <c r="K39" s="1"/>
  <c r="L39" s="1"/>
  <c r="J32"/>
  <c r="BL20" i="29"/>
  <c r="J16" i="35"/>
  <c r="J24"/>
  <c r="BL19" i="29"/>
  <c r="J15" i="35"/>
  <c r="K38" l="1"/>
  <c r="L38" s="1"/>
  <c r="K36"/>
  <c r="L36" s="1"/>
  <c r="K40"/>
  <c r="L40" s="1"/>
  <c r="K35"/>
  <c r="L35" s="1"/>
  <c r="K37"/>
  <c r="L37" s="1"/>
  <c r="K41"/>
  <c r="L41" s="1"/>
  <c r="K6"/>
  <c r="L6" s="1"/>
  <c r="K5"/>
  <c r="L5" s="1"/>
  <c r="K16"/>
  <c r="L16" s="1"/>
  <c r="K9"/>
  <c r="L9" s="1"/>
  <c r="K7"/>
  <c r="L7" s="1"/>
  <c r="O4"/>
  <c r="K4"/>
  <c r="L4" s="1"/>
  <c r="K12"/>
  <c r="L12" s="1"/>
  <c r="K22"/>
  <c r="L22" s="1"/>
  <c r="K28"/>
  <c r="L28" s="1"/>
  <c r="K34"/>
  <c r="L34" s="1"/>
  <c r="K8"/>
  <c r="L8" s="1"/>
  <c r="K26"/>
  <c r="L26" s="1"/>
  <c r="K33"/>
  <c r="L33" s="1"/>
  <c r="K24"/>
  <c r="L24" s="1"/>
  <c r="K27"/>
  <c r="L27" s="1"/>
  <c r="K31"/>
  <c r="L31" s="1"/>
  <c r="K25"/>
  <c r="L25" s="1"/>
  <c r="K32"/>
  <c r="L32" s="1"/>
  <c r="K17"/>
  <c r="L17" s="1"/>
  <c r="K11"/>
  <c r="L11" s="1"/>
  <c r="K18"/>
  <c r="L18" s="1"/>
  <c r="K23"/>
  <c r="L23" s="1"/>
  <c r="K10"/>
  <c r="L10" s="1"/>
  <c r="K14"/>
  <c r="L14" s="1"/>
  <c r="K20"/>
  <c r="L20" s="1"/>
  <c r="K15"/>
  <c r="L15" s="1"/>
  <c r="K30"/>
  <c r="L30" s="1"/>
  <c r="K29"/>
  <c r="L29" s="1"/>
  <c r="K21"/>
  <c r="L21" s="1"/>
  <c r="K19"/>
  <c r="L19" s="1"/>
  <c r="K13"/>
  <c r="L13" s="1"/>
  <c r="B112" i="38"/>
  <c r="O3" i="35"/>
  <c r="N3"/>
  <c r="O42"/>
  <c r="Y42"/>
  <c r="E45" i="20"/>
  <c r="G45" s="1"/>
  <c r="E45" i="6"/>
  <c r="E37" i="20"/>
  <c r="G37" s="1"/>
  <c r="E37" i="6"/>
  <c r="E29" i="20"/>
  <c r="G29" s="1"/>
  <c r="E29" i="6"/>
  <c r="F29" s="1"/>
  <c r="E21" i="20"/>
  <c r="G21" s="1"/>
  <c r="E21" i="6"/>
  <c r="F21" s="1"/>
  <c r="E13" i="20"/>
  <c r="E13" i="6"/>
  <c r="E46" i="20"/>
  <c r="G46" s="1"/>
  <c r="E46" i="6"/>
  <c r="E38" i="20"/>
  <c r="G38" s="1"/>
  <c r="E38" i="6"/>
  <c r="F38" s="1"/>
  <c r="E26" i="20"/>
  <c r="G26" s="1"/>
  <c r="E26" i="6"/>
  <c r="F26" s="1"/>
  <c r="E18" i="20"/>
  <c r="G18" s="1"/>
  <c r="E18" i="6"/>
  <c r="F18" s="1"/>
  <c r="E10" i="20"/>
  <c r="E10" i="6"/>
  <c r="E43" i="20"/>
  <c r="G43" s="1"/>
  <c r="E43" i="6"/>
  <c r="E39" i="20"/>
  <c r="G39" s="1"/>
  <c r="E39" i="6"/>
  <c r="F39" s="1"/>
  <c r="E35" i="20"/>
  <c r="G35" s="1"/>
  <c r="E35" i="6"/>
  <c r="F35" s="1"/>
  <c r="E31" i="20"/>
  <c r="G31" s="1"/>
  <c r="E31" i="6"/>
  <c r="F31" s="1"/>
  <c r="E27" i="20"/>
  <c r="G27" s="1"/>
  <c r="E27" i="6"/>
  <c r="F27" s="1"/>
  <c r="E23" i="20"/>
  <c r="G23" s="1"/>
  <c r="E23" i="6"/>
  <c r="F23" s="1"/>
  <c r="E19" i="20"/>
  <c r="G19" s="1"/>
  <c r="E19" i="6"/>
  <c r="F19" s="1"/>
  <c r="E15" i="20"/>
  <c r="E15" i="6"/>
  <c r="F15" s="1"/>
  <c r="E11" i="20"/>
  <c r="E11" i="6"/>
  <c r="F11" s="1"/>
  <c r="E41" i="20"/>
  <c r="G41" s="1"/>
  <c r="E41" i="6"/>
  <c r="F41" s="1"/>
  <c r="E33" i="20"/>
  <c r="G33" s="1"/>
  <c r="E33" i="6"/>
  <c r="F33" s="1"/>
  <c r="E25" i="20"/>
  <c r="G25" s="1"/>
  <c r="E25" i="6"/>
  <c r="F25" s="1"/>
  <c r="E17" i="20"/>
  <c r="G17" s="1"/>
  <c r="E17" i="6"/>
  <c r="F17" s="1"/>
  <c r="E9" i="20"/>
  <c r="E9" i="6"/>
  <c r="F9" s="1"/>
  <c r="E42" i="20"/>
  <c r="G42" s="1"/>
  <c r="E42" i="6"/>
  <c r="F42" s="1"/>
  <c r="E34" i="20"/>
  <c r="G34" s="1"/>
  <c r="E34" i="6"/>
  <c r="F34" s="1"/>
  <c r="E30" i="20"/>
  <c r="G30" s="1"/>
  <c r="E30" i="6"/>
  <c r="F30" s="1"/>
  <c r="E22" i="20"/>
  <c r="G22" s="1"/>
  <c r="E22" i="6"/>
  <c r="F22" s="1"/>
  <c r="E14" i="20"/>
  <c r="E14" i="6"/>
  <c r="F14" s="1"/>
  <c r="E44" i="20"/>
  <c r="G44" s="1"/>
  <c r="E44" i="6"/>
  <c r="E40" i="20"/>
  <c r="G40" s="1"/>
  <c r="E40" i="6"/>
  <c r="F40" s="1"/>
  <c r="E36" i="20"/>
  <c r="G36" s="1"/>
  <c r="E36" i="6"/>
  <c r="F36" s="1"/>
  <c r="E32" i="20"/>
  <c r="G32" s="1"/>
  <c r="E32" i="6"/>
  <c r="F32" s="1"/>
  <c r="E28" i="20"/>
  <c r="G28" s="1"/>
  <c r="E28" i="6"/>
  <c r="F28" s="1"/>
  <c r="E24" i="20"/>
  <c r="G24" s="1"/>
  <c r="E24" i="6"/>
  <c r="F24" s="1"/>
  <c r="E20" i="20"/>
  <c r="G20" s="1"/>
  <c r="E20" i="6"/>
  <c r="F20" s="1"/>
  <c r="E16" i="20"/>
  <c r="E16" i="6"/>
  <c r="F16" s="1"/>
  <c r="E12" i="20"/>
  <c r="G12" s="1"/>
  <c r="E12" i="6"/>
  <c r="F12" s="1"/>
  <c r="E8" i="20"/>
  <c r="E8" i="6"/>
  <c r="F8" s="1"/>
  <c r="E7" i="20"/>
  <c r="G7" s="1"/>
  <c r="E7" i="6"/>
  <c r="E47" l="1"/>
  <c r="G7"/>
  <c r="I51" i="96"/>
  <c r="O30"/>
  <c r="S30" s="1"/>
  <c r="V37"/>
  <c r="Z37" s="1"/>
  <c r="V32"/>
  <c r="Z32" s="1"/>
  <c r="V28"/>
  <c r="Z28" s="1"/>
  <c r="V31"/>
  <c r="Z31" s="1"/>
  <c r="O28"/>
  <c r="S28" s="1"/>
  <c r="V30"/>
  <c r="Z30" s="1"/>
  <c r="V38"/>
  <c r="Z38" s="1"/>
  <c r="O37"/>
  <c r="S37" s="1"/>
  <c r="O36"/>
  <c r="S36" s="1"/>
  <c r="I49"/>
  <c r="V33"/>
  <c r="Z33" s="1"/>
  <c r="O38"/>
  <c r="S38" s="1"/>
  <c r="O33"/>
  <c r="S33" s="1"/>
  <c r="O29"/>
  <c r="S29" s="1"/>
  <c r="O32"/>
  <c r="S32" s="1"/>
  <c r="V36"/>
  <c r="Z36" s="1"/>
  <c r="I50"/>
  <c r="V29"/>
  <c r="Z29" s="1"/>
  <c r="O31"/>
  <c r="S31" s="1"/>
  <c r="O35"/>
  <c r="S35" s="1"/>
  <c r="V35"/>
  <c r="Z35" s="1"/>
  <c r="V27"/>
  <c r="Z27" s="1"/>
  <c r="O27"/>
  <c r="S27" s="1"/>
  <c r="F10" i="6"/>
  <c r="G10"/>
  <c r="H6" i="7" s="1"/>
  <c r="N4" i="35"/>
  <c r="N6"/>
  <c r="N42"/>
  <c r="N16"/>
  <c r="N34"/>
  <c r="C12" i="36"/>
  <c r="C12" i="37"/>
  <c r="C20" i="36"/>
  <c r="C20" i="37"/>
  <c r="C28" i="36"/>
  <c r="C28" i="37"/>
  <c r="C36" i="36"/>
  <c r="C36" i="37"/>
  <c r="C22" i="36"/>
  <c r="C22" i="37"/>
  <c r="C34" i="36"/>
  <c r="C34" i="37"/>
  <c r="C9" i="36"/>
  <c r="C9" i="37"/>
  <c r="C25" i="36"/>
  <c r="C25" i="37"/>
  <c r="C41" i="36"/>
  <c r="C41" i="37"/>
  <c r="C15" i="36"/>
  <c r="C15" i="37"/>
  <c r="C23" i="36"/>
  <c r="C23" i="37"/>
  <c r="C31" i="36"/>
  <c r="C31" i="37"/>
  <c r="C39" i="36"/>
  <c r="C39" i="37"/>
  <c r="C26" i="36"/>
  <c r="C26" i="37"/>
  <c r="C21" i="36"/>
  <c r="C21" i="37"/>
  <c r="C8" i="36"/>
  <c r="C8" i="37"/>
  <c r="C16" i="36"/>
  <c r="C16" i="37"/>
  <c r="C24" i="36"/>
  <c r="C24" i="37"/>
  <c r="C32" i="36"/>
  <c r="C32" i="37"/>
  <c r="C40" i="36"/>
  <c r="C40" i="37"/>
  <c r="C14" i="36"/>
  <c r="C14" i="37"/>
  <c r="C30" i="36"/>
  <c r="C30" i="37"/>
  <c r="C42" i="36"/>
  <c r="C42" i="37"/>
  <c r="C17" i="36"/>
  <c r="C17" i="37"/>
  <c r="C33" i="36"/>
  <c r="C33" i="37"/>
  <c r="C11" i="36"/>
  <c r="C11" i="37"/>
  <c r="C19" i="36"/>
  <c r="C19" i="37"/>
  <c r="C27" i="36"/>
  <c r="C27" i="37"/>
  <c r="C35" i="36"/>
  <c r="C35" i="37"/>
  <c r="C18" i="36"/>
  <c r="C18" i="37"/>
  <c r="C38" i="36"/>
  <c r="C38" i="37"/>
  <c r="C29" i="36"/>
  <c r="C29" i="37"/>
  <c r="C8" i="32"/>
  <c r="C16"/>
  <c r="C24"/>
  <c r="C32"/>
  <c r="C40"/>
  <c r="C14"/>
  <c r="C30"/>
  <c r="C42"/>
  <c r="C17"/>
  <c r="C33"/>
  <c r="C11"/>
  <c r="C19"/>
  <c r="C27"/>
  <c r="C35"/>
  <c r="C18"/>
  <c r="C38"/>
  <c r="C29"/>
  <c r="C12"/>
  <c r="C20"/>
  <c r="C28"/>
  <c r="C36"/>
  <c r="C22"/>
  <c r="C34"/>
  <c r="C9"/>
  <c r="C25"/>
  <c r="C41"/>
  <c r="C15"/>
  <c r="C23"/>
  <c r="C31"/>
  <c r="C39"/>
  <c r="C26"/>
  <c r="C21"/>
  <c r="G13" i="6"/>
  <c r="F13"/>
  <c r="G37"/>
  <c r="F37"/>
  <c r="F4" i="7"/>
  <c r="G8" i="6"/>
  <c r="F12" i="7"/>
  <c r="G16" i="6"/>
  <c r="G24"/>
  <c r="G32"/>
  <c r="G40"/>
  <c r="F10" i="7"/>
  <c r="G14" i="6"/>
  <c r="G30"/>
  <c r="G42"/>
  <c r="G17"/>
  <c r="G33"/>
  <c r="F7" i="7"/>
  <c r="G11" i="6"/>
  <c r="G19"/>
  <c r="G27"/>
  <c r="G35"/>
  <c r="G43"/>
  <c r="G18"/>
  <c r="G38"/>
  <c r="G29"/>
  <c r="G45"/>
  <c r="F8" i="7"/>
  <c r="G12" i="6"/>
  <c r="G20"/>
  <c r="G28"/>
  <c r="G36"/>
  <c r="G44"/>
  <c r="G22"/>
  <c r="G34"/>
  <c r="F5" i="7"/>
  <c r="G9" i="6"/>
  <c r="G25"/>
  <c r="G41"/>
  <c r="F11" i="7"/>
  <c r="G15" i="6"/>
  <c r="G23"/>
  <c r="G31"/>
  <c r="G39"/>
  <c r="F6" i="7"/>
  <c r="G26" i="6"/>
  <c r="G46"/>
  <c r="G21"/>
  <c r="F9" i="7"/>
  <c r="F8" i="20"/>
  <c r="G8"/>
  <c r="F16"/>
  <c r="G16"/>
  <c r="F14"/>
  <c r="G14"/>
  <c r="F11"/>
  <c r="G11"/>
  <c r="F13"/>
  <c r="G13"/>
  <c r="F9"/>
  <c r="G9"/>
  <c r="F15"/>
  <c r="G15"/>
  <c r="F10"/>
  <c r="G10"/>
  <c r="F24"/>
  <c r="F32"/>
  <c r="F40"/>
  <c r="F30"/>
  <c r="F42"/>
  <c r="F17"/>
  <c r="F33"/>
  <c r="F19"/>
  <c r="F27"/>
  <c r="F35"/>
  <c r="F43"/>
  <c r="F18"/>
  <c r="F38"/>
  <c r="F29"/>
  <c r="F45"/>
  <c r="F20"/>
  <c r="F28"/>
  <c r="F36"/>
  <c r="F44"/>
  <c r="F22"/>
  <c r="F34"/>
  <c r="F25"/>
  <c r="F41"/>
  <c r="F23"/>
  <c r="F31"/>
  <c r="F39"/>
  <c r="F26"/>
  <c r="F46"/>
  <c r="F21"/>
  <c r="F37"/>
  <c r="F3" i="7"/>
  <c r="F20"/>
  <c r="M20" s="1"/>
  <c r="F28"/>
  <c r="F36"/>
  <c r="F26"/>
  <c r="F38"/>
  <c r="F13"/>
  <c r="F29"/>
  <c r="F15"/>
  <c r="F23"/>
  <c r="F31"/>
  <c r="F39"/>
  <c r="F43" i="6"/>
  <c r="F14" i="7"/>
  <c r="F34"/>
  <c r="F25"/>
  <c r="F41"/>
  <c r="F45" i="6"/>
  <c r="F16" i="7"/>
  <c r="F24"/>
  <c r="F32"/>
  <c r="F40"/>
  <c r="F44" i="6"/>
  <c r="F18" i="7"/>
  <c r="F30"/>
  <c r="F21"/>
  <c r="F37"/>
  <c r="F19"/>
  <c r="F27"/>
  <c r="F35"/>
  <c r="F22"/>
  <c r="F42"/>
  <c r="F46" i="6"/>
  <c r="F17" i="7"/>
  <c r="F33"/>
  <c r="F12" i="20"/>
  <c r="F7" i="6"/>
  <c r="F7" i="20"/>
  <c r="K42" i="7" l="1"/>
  <c r="L42"/>
  <c r="O41" i="38"/>
  <c r="AQ41" i="96"/>
  <c r="D7" i="36"/>
  <c r="D7" i="12"/>
  <c r="D12" i="5"/>
  <c r="G12" s="1"/>
  <c r="E6" i="100"/>
  <c r="E22"/>
  <c r="D7" i="32"/>
  <c r="H3" i="7"/>
  <c r="D7" i="37"/>
  <c r="D31"/>
  <c r="B31" s="1"/>
  <c r="D43"/>
  <c r="D21"/>
  <c r="B21" s="1"/>
  <c r="D15"/>
  <c r="B15" s="1"/>
  <c r="D44"/>
  <c r="D38"/>
  <c r="B38" s="1"/>
  <c r="D33"/>
  <c r="B33" s="1"/>
  <c r="D24"/>
  <c r="B24" s="1"/>
  <c r="D23"/>
  <c r="B23" s="1"/>
  <c r="D25"/>
  <c r="B25" s="1"/>
  <c r="D22"/>
  <c r="B22" s="1"/>
  <c r="D20"/>
  <c r="B20" s="1"/>
  <c r="D29"/>
  <c r="B29" s="1"/>
  <c r="D35"/>
  <c r="B35" s="1"/>
  <c r="D30"/>
  <c r="B30" s="1"/>
  <c r="D32"/>
  <c r="B32" s="1"/>
  <c r="D8"/>
  <c r="B8" s="1"/>
  <c r="D26"/>
  <c r="B26" s="1"/>
  <c r="D34"/>
  <c r="B34" s="1"/>
  <c r="D42"/>
  <c r="B42" s="1"/>
  <c r="D41"/>
  <c r="B41" s="1"/>
  <c r="D45"/>
  <c r="D11"/>
  <c r="B11" s="1"/>
  <c r="D40"/>
  <c r="B40" s="1"/>
  <c r="D37"/>
  <c r="D39"/>
  <c r="B39" s="1"/>
  <c r="D36"/>
  <c r="B36" s="1"/>
  <c r="D18"/>
  <c r="B18" s="1"/>
  <c r="D19"/>
  <c r="B19" s="1"/>
  <c r="D17"/>
  <c r="B17" s="1"/>
  <c r="D16"/>
  <c r="B16" s="1"/>
  <c r="D28"/>
  <c r="B28" s="1"/>
  <c r="D9"/>
  <c r="B9" s="1"/>
  <c r="D12"/>
  <c r="B12" s="1"/>
  <c r="D27"/>
  <c r="B27" s="1"/>
  <c r="D14"/>
  <c r="B14" s="1"/>
  <c r="D13"/>
  <c r="C10" i="36"/>
  <c r="C10" i="32"/>
  <c r="C10" i="37"/>
  <c r="M37" i="7"/>
  <c r="T37" s="1"/>
  <c r="M16"/>
  <c r="T16" s="1"/>
  <c r="M13"/>
  <c r="T13" s="1"/>
  <c r="M28"/>
  <c r="T28" s="1"/>
  <c r="M11"/>
  <c r="T11" s="1"/>
  <c r="M10"/>
  <c r="T10" s="1"/>
  <c r="M27"/>
  <c r="T27" s="1"/>
  <c r="M30"/>
  <c r="T30" s="1"/>
  <c r="M32"/>
  <c r="T32" s="1"/>
  <c r="M41"/>
  <c r="T41" s="1"/>
  <c r="M17"/>
  <c r="T17" s="1"/>
  <c r="M35"/>
  <c r="T35" s="1"/>
  <c r="M40"/>
  <c r="T40" s="1"/>
  <c r="M14"/>
  <c r="T14" s="1"/>
  <c r="M23"/>
  <c r="T23" s="1"/>
  <c r="M38"/>
  <c r="T38" s="1"/>
  <c r="M9"/>
  <c r="T9" s="1"/>
  <c r="M12"/>
  <c r="T12" s="1"/>
  <c r="D10" i="36"/>
  <c r="D10" i="37"/>
  <c r="D10" i="32"/>
  <c r="M5" i="7"/>
  <c r="T5" s="1"/>
  <c r="M42"/>
  <c r="M19"/>
  <c r="T19" s="1"/>
  <c r="M18"/>
  <c r="T18" s="1"/>
  <c r="M24"/>
  <c r="T24" s="1"/>
  <c r="M25"/>
  <c r="T25" s="1"/>
  <c r="M39"/>
  <c r="T39" s="1"/>
  <c r="M29"/>
  <c r="T29" s="1"/>
  <c r="M36"/>
  <c r="T36" s="1"/>
  <c r="M6"/>
  <c r="T6" s="1"/>
  <c r="M4"/>
  <c r="T4" s="1"/>
  <c r="M22"/>
  <c r="T22" s="1"/>
  <c r="M34"/>
  <c r="T34" s="1"/>
  <c r="M8"/>
  <c r="T8" s="1"/>
  <c r="M15"/>
  <c r="T15" s="1"/>
  <c r="M3"/>
  <c r="M7"/>
  <c r="T7" s="1"/>
  <c r="C7" i="36"/>
  <c r="C7" i="37"/>
  <c r="C46" i="36"/>
  <c r="C46" i="37"/>
  <c r="C43" i="36"/>
  <c r="C43" i="37"/>
  <c r="C13" i="36"/>
  <c r="C13" i="37"/>
  <c r="C45" i="36"/>
  <c r="C45" i="37"/>
  <c r="C44" i="36"/>
  <c r="C44" i="37"/>
  <c r="D46" i="36"/>
  <c r="D46" i="37"/>
  <c r="C37" i="36"/>
  <c r="C37" i="37"/>
  <c r="D39" i="36"/>
  <c r="B39" s="1"/>
  <c r="D19"/>
  <c r="B19" s="1"/>
  <c r="D16"/>
  <c r="B16" s="1"/>
  <c r="D26"/>
  <c r="B26" s="1"/>
  <c r="D31"/>
  <c r="B31" s="1"/>
  <c r="D41"/>
  <c r="B41" s="1"/>
  <c r="D34"/>
  <c r="B34" s="1"/>
  <c r="D28"/>
  <c r="B28" s="1"/>
  <c r="D45"/>
  <c r="D43"/>
  <c r="D11"/>
  <c r="B11" s="1"/>
  <c r="D42"/>
  <c r="B42" s="1"/>
  <c r="D40"/>
  <c r="B40" s="1"/>
  <c r="D37"/>
  <c r="D18"/>
  <c r="B18" s="1"/>
  <c r="D21"/>
  <c r="B21" s="1"/>
  <c r="D15"/>
  <c r="B15" s="1"/>
  <c r="D9"/>
  <c r="B9" s="1"/>
  <c r="D44"/>
  <c r="D12"/>
  <c r="B12" s="1"/>
  <c r="D38"/>
  <c r="B38" s="1"/>
  <c r="D27"/>
  <c r="B27" s="1"/>
  <c r="D33"/>
  <c r="B33" s="1"/>
  <c r="D14"/>
  <c r="B14" s="1"/>
  <c r="D24"/>
  <c r="B24" s="1"/>
  <c r="D13"/>
  <c r="D36"/>
  <c r="B36" s="1"/>
  <c r="D17"/>
  <c r="B17" s="1"/>
  <c r="D23"/>
  <c r="B23" s="1"/>
  <c r="D25"/>
  <c r="B25" s="1"/>
  <c r="D22"/>
  <c r="B22" s="1"/>
  <c r="D20"/>
  <c r="B20" s="1"/>
  <c r="D29"/>
  <c r="B29" s="1"/>
  <c r="D35"/>
  <c r="B35" s="1"/>
  <c r="D30"/>
  <c r="B30" s="1"/>
  <c r="D32"/>
  <c r="B32" s="1"/>
  <c r="D8"/>
  <c r="B8" s="1"/>
  <c r="C43" i="32"/>
  <c r="C7"/>
  <c r="C45"/>
  <c r="C37"/>
  <c r="C44"/>
  <c r="C46"/>
  <c r="C13"/>
  <c r="H17" i="7"/>
  <c r="D21" i="32"/>
  <c r="B21" s="1"/>
  <c r="H11" i="7"/>
  <c r="D15" i="32"/>
  <c r="B15" s="1"/>
  <c r="H5" i="7"/>
  <c r="D9" i="32"/>
  <c r="B9" s="1"/>
  <c r="D44" i="13"/>
  <c r="D44" i="32"/>
  <c r="H8" i="7"/>
  <c r="D12" i="32"/>
  <c r="B12" s="1"/>
  <c r="D38" i="12"/>
  <c r="D38" i="32"/>
  <c r="B38" s="1"/>
  <c r="H23" i="7"/>
  <c r="D27" i="32"/>
  <c r="B27" s="1"/>
  <c r="H29" i="7"/>
  <c r="D33" i="32"/>
  <c r="B33" s="1"/>
  <c r="H10" i="7"/>
  <c r="D14" i="32"/>
  <c r="B14" s="1"/>
  <c r="H20" i="7"/>
  <c r="D24" i="32"/>
  <c r="B24" s="1"/>
  <c r="H9" i="7"/>
  <c r="D13" i="32"/>
  <c r="D23" i="15"/>
  <c r="D23" i="32"/>
  <c r="B23" s="1"/>
  <c r="D25" i="12"/>
  <c r="D25" i="32"/>
  <c r="B25" s="1"/>
  <c r="D22" i="15"/>
  <c r="D22" i="32"/>
  <c r="B22" s="1"/>
  <c r="H16" i="7"/>
  <c r="D20" i="32"/>
  <c r="B20" s="1"/>
  <c r="H25" i="7"/>
  <c r="D29" i="32"/>
  <c r="B29" s="1"/>
  <c r="D35" i="15"/>
  <c r="D35" i="32"/>
  <c r="B35" s="1"/>
  <c r="D30" i="15"/>
  <c r="D30" i="32"/>
  <c r="B30" s="1"/>
  <c r="D32" i="13"/>
  <c r="D32" i="32"/>
  <c r="B32" s="1"/>
  <c r="H4" i="7"/>
  <c r="D8" i="32"/>
  <c r="B8" s="1"/>
  <c r="D26" i="12"/>
  <c r="D26" i="32"/>
  <c r="B26" s="1"/>
  <c r="D31" i="15"/>
  <c r="D31" i="32"/>
  <c r="B31" s="1"/>
  <c r="D41" i="12"/>
  <c r="D41" i="32"/>
  <c r="B41" s="1"/>
  <c r="D34" i="12"/>
  <c r="D34" i="32"/>
  <c r="B34" s="1"/>
  <c r="D28" i="15"/>
  <c r="D28" i="32"/>
  <c r="B28" s="1"/>
  <c r="D45" i="15"/>
  <c r="D45" i="32"/>
  <c r="D43" i="12"/>
  <c r="D43" i="32"/>
  <c r="H7" i="7"/>
  <c r="D11" i="32"/>
  <c r="B11" s="1"/>
  <c r="H38" i="7"/>
  <c r="D42" i="32"/>
  <c r="B42" s="1"/>
  <c r="D40" i="15"/>
  <c r="D40" i="32"/>
  <c r="B40" s="1"/>
  <c r="BB37" i="6"/>
  <c r="D37" i="32"/>
  <c r="D46" i="12"/>
  <c r="D46" i="32"/>
  <c r="H35" i="7"/>
  <c r="D39" i="32"/>
  <c r="B39" s="1"/>
  <c r="H32" i="7"/>
  <c r="D36" i="32"/>
  <c r="B36" s="1"/>
  <c r="D18" i="12"/>
  <c r="D18" i="32"/>
  <c r="B18" s="1"/>
  <c r="D19" i="15"/>
  <c r="D19" i="32"/>
  <c r="B19" s="1"/>
  <c r="D17" i="12"/>
  <c r="D17" i="32"/>
  <c r="B17" s="1"/>
  <c r="H12" i="7"/>
  <c r="D16" i="32"/>
  <c r="B16" s="1"/>
  <c r="D37" i="15"/>
  <c r="D37" i="13"/>
  <c r="H33" i="7"/>
  <c r="D42" i="13"/>
  <c r="D37" i="12"/>
  <c r="D36" i="13"/>
  <c r="D43" i="15"/>
  <c r="D19" i="12"/>
  <c r="D25" i="15"/>
  <c r="D32"/>
  <c r="D36"/>
  <c r="H30" i="7"/>
  <c r="D46" i="15"/>
  <c r="H27" i="7"/>
  <c r="D35" i="12"/>
  <c r="H42" i="7"/>
  <c r="H21"/>
  <c r="D20" i="13"/>
  <c r="D29" i="12"/>
  <c r="D30" i="13"/>
  <c r="D29" i="15"/>
  <c r="D21" i="12"/>
  <c r="D26" i="13"/>
  <c r="D31"/>
  <c r="D32" i="12"/>
  <c r="D33" i="15"/>
  <c r="D31" i="12"/>
  <c r="D33" i="13"/>
  <c r="D42" i="15"/>
  <c r="D29" i="13"/>
  <c r="D35"/>
  <c r="D46"/>
  <c r="D42" i="12"/>
  <c r="D39"/>
  <c r="H28" i="7"/>
  <c r="D25" i="13"/>
  <c r="D23"/>
  <c r="D19"/>
  <c r="D34"/>
  <c r="D40"/>
  <c r="D28" i="12"/>
  <c r="D27"/>
  <c r="H24" i="7"/>
  <c r="D18" i="13"/>
  <c r="D18" i="15"/>
  <c r="D33" i="12"/>
  <c r="H31" i="7"/>
  <c r="D28" i="13"/>
  <c r="D11" i="15"/>
  <c r="H40" i="7"/>
  <c r="H14"/>
  <c r="D45" i="12"/>
  <c r="H15" i="7"/>
  <c r="D44" i="12"/>
  <c r="D44" i="15"/>
  <c r="D39" i="13"/>
  <c r="D39" i="15"/>
  <c r="D20" i="12"/>
  <c r="D22" i="13"/>
  <c r="D24" i="12"/>
  <c r="D24" i="15"/>
  <c r="D17" i="13"/>
  <c r="D38" i="15"/>
  <c r="D23" i="12"/>
  <c r="D22"/>
  <c r="D20" i="15"/>
  <c r="D11" i="12"/>
  <c r="D26" i="15"/>
  <c r="D34"/>
  <c r="D36" i="12"/>
  <c r="D21" i="15"/>
  <c r="D41"/>
  <c r="D40" i="12"/>
  <c r="D27" i="15"/>
  <c r="D43" i="13"/>
  <c r="D30" i="12"/>
  <c r="D27" i="13"/>
  <c r="D17" i="15"/>
  <c r="D21" i="13"/>
  <c r="D24"/>
  <c r="D38"/>
  <c r="H22" i="7"/>
  <c r="H19"/>
  <c r="H37"/>
  <c r="H18"/>
  <c r="H41"/>
  <c r="H34"/>
  <c r="H39"/>
  <c r="H13"/>
  <c r="H26"/>
  <c r="H36"/>
  <c r="D11" i="13"/>
  <c r="D41"/>
  <c r="D45"/>
  <c r="C9" i="15"/>
  <c r="C8" i="13"/>
  <c r="D14" i="12"/>
  <c r="D9"/>
  <c r="G8" i="7"/>
  <c r="D16" i="15"/>
  <c r="D8" i="12"/>
  <c r="C7"/>
  <c r="D13"/>
  <c r="D10"/>
  <c r="D12"/>
  <c r="C14" i="15"/>
  <c r="G11" i="7"/>
  <c r="G7"/>
  <c r="C16" i="13"/>
  <c r="C13"/>
  <c r="C10"/>
  <c r="C12"/>
  <c r="C12" i="12"/>
  <c r="C12" i="15"/>
  <c r="C8"/>
  <c r="D13" i="13"/>
  <c r="M33" i="7"/>
  <c r="M26"/>
  <c r="T26" s="1"/>
  <c r="C21" i="15"/>
  <c r="C21" i="12"/>
  <c r="G17" i="7"/>
  <c r="C21" i="13"/>
  <c r="C26"/>
  <c r="C26" i="15"/>
  <c r="C26" i="12"/>
  <c r="G22" i="7"/>
  <c r="C31" i="12"/>
  <c r="C31" i="13"/>
  <c r="C31" i="15"/>
  <c r="G27" i="7"/>
  <c r="C41" i="13"/>
  <c r="C41" i="15"/>
  <c r="C41" i="12"/>
  <c r="G37" i="7"/>
  <c r="C34" i="13"/>
  <c r="C34" i="12"/>
  <c r="C34" i="15"/>
  <c r="G30" i="7"/>
  <c r="C44" i="15"/>
  <c r="C44" i="12"/>
  <c r="C44" i="13"/>
  <c r="G40" i="7"/>
  <c r="C28" i="12"/>
  <c r="C28" i="15"/>
  <c r="C28" i="13"/>
  <c r="G24" i="7"/>
  <c r="C45" i="15"/>
  <c r="C45" i="12"/>
  <c r="G41" i="7"/>
  <c r="C45" i="13"/>
  <c r="C38" i="12"/>
  <c r="C38" i="15"/>
  <c r="G34" i="7"/>
  <c r="C38" i="13"/>
  <c r="C43" i="12"/>
  <c r="C43" i="15"/>
  <c r="G39" i="7"/>
  <c r="C43" i="13"/>
  <c r="C27" i="12"/>
  <c r="C27" i="13"/>
  <c r="C27" i="15"/>
  <c r="G23" i="7"/>
  <c r="C33" i="15"/>
  <c r="C33" i="13"/>
  <c r="C33" i="12"/>
  <c r="G29" i="7"/>
  <c r="C42" i="13"/>
  <c r="C42" i="15"/>
  <c r="C42" i="12"/>
  <c r="G38" i="7"/>
  <c r="C40" i="15"/>
  <c r="C40" i="13"/>
  <c r="G36" i="7"/>
  <c r="C40" i="12"/>
  <c r="C24"/>
  <c r="C24" i="15"/>
  <c r="C24" i="13"/>
  <c r="G20" i="7"/>
  <c r="M31"/>
  <c r="T31" s="1"/>
  <c r="M21"/>
  <c r="T21" s="1"/>
  <c r="C37" i="15"/>
  <c r="C37" i="12"/>
  <c r="G33" i="7"/>
  <c r="C37" i="13"/>
  <c r="C46"/>
  <c r="C46" i="15"/>
  <c r="G42" i="7"/>
  <c r="C46" i="12"/>
  <c r="C39"/>
  <c r="C39" i="13"/>
  <c r="C39" i="15"/>
  <c r="G35" i="7"/>
  <c r="C23" i="12"/>
  <c r="C23" i="13"/>
  <c r="C23" i="15"/>
  <c r="G19" i="7"/>
  <c r="C25" i="15"/>
  <c r="C25" i="13"/>
  <c r="C25" i="12"/>
  <c r="G21" i="7"/>
  <c r="C22" i="12"/>
  <c r="C22" i="13"/>
  <c r="C22" i="15"/>
  <c r="G18" i="7"/>
  <c r="C36" i="15"/>
  <c r="C36" i="13"/>
  <c r="G32" i="7"/>
  <c r="C36" i="12"/>
  <c r="C20"/>
  <c r="C20" i="15"/>
  <c r="C20" i="13"/>
  <c r="G16" i="7"/>
  <c r="C29" i="13"/>
  <c r="C29" i="12"/>
  <c r="G25" i="7"/>
  <c r="C29" i="15"/>
  <c r="C18" i="13"/>
  <c r="C18" i="12"/>
  <c r="G14" i="7"/>
  <c r="C18" i="15"/>
  <c r="C35" i="12"/>
  <c r="C35" i="15"/>
  <c r="G31" i="7"/>
  <c r="C35" i="13"/>
  <c r="C19" i="12"/>
  <c r="C19" i="15"/>
  <c r="G15" i="7"/>
  <c r="C19" i="13"/>
  <c r="C17" i="15"/>
  <c r="C17" i="13"/>
  <c r="C17" i="12"/>
  <c r="G13" i="7"/>
  <c r="C30" i="13"/>
  <c r="C30" i="12"/>
  <c r="G26" i="7"/>
  <c r="C30" i="15"/>
  <c r="C32"/>
  <c r="C32" i="13"/>
  <c r="G28" i="7"/>
  <c r="C32" i="12"/>
  <c r="C10" i="15"/>
  <c r="C15" i="12"/>
  <c r="G6" i="7"/>
  <c r="D9" i="15"/>
  <c r="C10" i="12"/>
  <c r="D9" i="13"/>
  <c r="C15" i="15"/>
  <c r="D10"/>
  <c r="D10" i="13"/>
  <c r="C15"/>
  <c r="C16" i="12"/>
  <c r="G3" i="7"/>
  <c r="G4"/>
  <c r="D14" i="15"/>
  <c r="C8" i="12"/>
  <c r="D14" i="13"/>
  <c r="C16" i="15"/>
  <c r="C13"/>
  <c r="D8" i="13"/>
  <c r="G9" i="7"/>
  <c r="C13" i="12"/>
  <c r="G12" i="7"/>
  <c r="C14" i="13"/>
  <c r="D8" i="15"/>
  <c r="C11"/>
  <c r="G5" i="7"/>
  <c r="D16" i="12"/>
  <c r="D13" i="15"/>
  <c r="C14" i="12"/>
  <c r="G10" i="7"/>
  <c r="D12" i="15"/>
  <c r="D16" i="13"/>
  <c r="T20" i="7"/>
  <c r="C11" i="12"/>
  <c r="D12" i="13"/>
  <c r="C9"/>
  <c r="D15" i="12"/>
  <c r="D15" i="15"/>
  <c r="D15" i="13"/>
  <c r="C11"/>
  <c r="C9" i="12"/>
  <c r="C7" i="15"/>
  <c r="C7" i="13"/>
  <c r="D7" i="15"/>
  <c r="D7" i="13"/>
  <c r="BB9" i="6"/>
  <c r="BB10"/>
  <c r="BB11"/>
  <c r="BB12"/>
  <c r="BB13"/>
  <c r="BB8"/>
  <c r="BB14"/>
  <c r="BB15"/>
  <c r="BB16"/>
  <c r="BB17"/>
  <c r="BB18"/>
  <c r="BB19"/>
  <c r="BB20"/>
  <c r="BB21"/>
  <c r="BB22"/>
  <c r="BB23"/>
  <c r="BB24"/>
  <c r="BB25"/>
  <c r="BB26"/>
  <c r="BB27"/>
  <c r="BB28"/>
  <c r="BB29"/>
  <c r="BB30"/>
  <c r="BB31"/>
  <c r="BB32"/>
  <c r="BB33"/>
  <c r="BB34"/>
  <c r="BB35"/>
  <c r="BB36"/>
  <c r="BB38"/>
  <c r="BB39"/>
  <c r="BB40"/>
  <c r="BB41"/>
  <c r="BB42"/>
  <c r="BB43"/>
  <c r="BB44"/>
  <c r="BB45"/>
  <c r="BB46"/>
  <c r="BB7"/>
  <c r="O40" i="96" s="1"/>
  <c r="B37" i="32" l="1"/>
  <c r="B7" i="36"/>
  <c r="B19" i="15"/>
  <c r="B29" i="12"/>
  <c r="B22" i="13"/>
  <c r="B43"/>
  <c r="B21"/>
  <c r="B32" i="12"/>
  <c r="B18" i="15"/>
  <c r="B29"/>
  <c r="B24"/>
  <c r="B42"/>
  <c r="B27" i="13"/>
  <c r="B24" i="12"/>
  <c r="B42" i="13"/>
  <c r="B32" i="15"/>
  <c r="B17"/>
  <c r="B29" i="13"/>
  <c r="B20" i="12"/>
  <c r="B39"/>
  <c r="B33"/>
  <c r="B27" i="15"/>
  <c r="B7" i="37"/>
  <c r="B7" i="32"/>
  <c r="W42" i="7"/>
  <c r="X42"/>
  <c r="B13" i="37"/>
  <c r="B37"/>
  <c r="B44"/>
  <c r="B45" i="36"/>
  <c r="B45" i="37"/>
  <c r="B43"/>
  <c r="B10" i="36"/>
  <c r="T42" i="7"/>
  <c r="B10" i="37"/>
  <c r="B44" i="36"/>
  <c r="B37"/>
  <c r="B10" i="32"/>
  <c r="B43" i="36"/>
  <c r="T3" i="7"/>
  <c r="B40" i="15"/>
  <c r="B45"/>
  <c r="B46" i="36"/>
  <c r="B46" i="32"/>
  <c r="B13" i="36"/>
  <c r="B31" i="15"/>
  <c r="B46" i="37"/>
  <c r="B37" i="15"/>
  <c r="B41" i="12"/>
  <c r="B26"/>
  <c r="B43" i="32"/>
  <c r="B16" i="15"/>
  <c r="B32" i="13"/>
  <c r="B35" i="15"/>
  <c r="B18" i="12"/>
  <c r="B37"/>
  <c r="B13" i="32"/>
  <c r="B17" i="12"/>
  <c r="B43"/>
  <c r="R42" i="35"/>
  <c r="R25"/>
  <c r="R4"/>
  <c r="R35"/>
  <c r="B44" i="32"/>
  <c r="R34" i="35"/>
  <c r="R21"/>
  <c r="R13"/>
  <c r="R39"/>
  <c r="R26"/>
  <c r="R22"/>
  <c r="R14"/>
  <c r="I7" i="7"/>
  <c r="R40" i="35"/>
  <c r="R36"/>
  <c r="R31"/>
  <c r="R27"/>
  <c r="R23"/>
  <c r="R19"/>
  <c r="R15"/>
  <c r="I11" i="7"/>
  <c r="I8"/>
  <c r="B45" i="32"/>
  <c r="R38" i="35"/>
  <c r="R29"/>
  <c r="R17"/>
  <c r="I6" i="7"/>
  <c r="R30" i="35"/>
  <c r="R18"/>
  <c r="I10" i="7"/>
  <c r="R41" i="35"/>
  <c r="R37"/>
  <c r="R32"/>
  <c r="R28"/>
  <c r="R24"/>
  <c r="R20"/>
  <c r="R16"/>
  <c r="I12" i="7"/>
  <c r="R9" i="35"/>
  <c r="I5" i="7"/>
  <c r="R33" i="35"/>
  <c r="B30" i="15"/>
  <c r="B44" i="13"/>
  <c r="B11" i="12"/>
  <c r="B22" i="15"/>
  <c r="B23"/>
  <c r="B38" i="12"/>
  <c r="B25"/>
  <c r="B46"/>
  <c r="B28" i="15"/>
  <c r="B34" i="12"/>
  <c r="B37" i="13"/>
  <c r="B36"/>
  <c r="B43" i="15"/>
  <c r="B19" i="12"/>
  <c r="B36" i="15"/>
  <c r="B25"/>
  <c r="B46"/>
  <c r="B20" i="13"/>
  <c r="B30" i="12"/>
  <c r="B25" i="13"/>
  <c r="B39"/>
  <c r="B11"/>
  <c r="B30"/>
  <c r="B35" i="12"/>
  <c r="B18" i="13"/>
  <c r="B23" i="12"/>
  <c r="B46" i="13"/>
  <c r="B24"/>
  <c r="B28"/>
  <c r="B23"/>
  <c r="B40" i="12"/>
  <c r="B38" i="13"/>
  <c r="B33" i="15"/>
  <c r="B31" i="12"/>
  <c r="B26" i="13"/>
  <c r="B19"/>
  <c r="B35"/>
  <c r="B40"/>
  <c r="B33"/>
  <c r="B45" i="12"/>
  <c r="B41" i="15"/>
  <c r="B31" i="13"/>
  <c r="B26" i="15"/>
  <c r="B21" i="12"/>
  <c r="B28"/>
  <c r="B44" i="15"/>
  <c r="B34" i="13"/>
  <c r="B11" i="15"/>
  <c r="B42" i="12"/>
  <c r="B27"/>
  <c r="B36"/>
  <c r="B44"/>
  <c r="B17" i="13"/>
  <c r="B20" i="15"/>
  <c r="B45" i="13"/>
  <c r="B39" i="15"/>
  <c r="B41" i="13"/>
  <c r="B21" i="15"/>
  <c r="B38"/>
  <c r="B22" i="12"/>
  <c r="B34" i="15"/>
  <c r="B12" i="12"/>
  <c r="I3" i="7"/>
  <c r="B14" i="13"/>
  <c r="B8"/>
  <c r="B16"/>
  <c r="B8" i="12"/>
  <c r="B13"/>
  <c r="B10" i="13"/>
  <c r="B9" i="12"/>
  <c r="B7"/>
  <c r="B9" i="15"/>
  <c r="B13" i="13"/>
  <c r="B14" i="15"/>
  <c r="B10" i="12"/>
  <c r="B14"/>
  <c r="B10" i="15"/>
  <c r="B12" i="13"/>
  <c r="B12" i="15"/>
  <c r="B8"/>
  <c r="T33" i="7"/>
  <c r="B15" i="12"/>
  <c r="B9" i="13"/>
  <c r="B16" i="12"/>
  <c r="B15" i="15"/>
  <c r="B15" i="13"/>
  <c r="B13" i="15"/>
  <c r="B7" i="13"/>
  <c r="B7" i="15"/>
  <c r="BD44" i="6"/>
  <c r="I40" i="7"/>
  <c r="BC40" i="6"/>
  <c r="I36" i="7"/>
  <c r="BD36" i="6"/>
  <c r="I32" i="7"/>
  <c r="BD32" i="6"/>
  <c r="I28" i="7"/>
  <c r="BD28" i="6"/>
  <c r="I24" i="7"/>
  <c r="BC24" i="6"/>
  <c r="I20" i="7"/>
  <c r="BC20" i="6"/>
  <c r="I16" i="7"/>
  <c r="BC13" i="6"/>
  <c r="I9" i="7"/>
  <c r="BC45" i="6"/>
  <c r="I41" i="7"/>
  <c r="BC41" i="6"/>
  <c r="I37" i="7"/>
  <c r="BD37" i="6"/>
  <c r="I33" i="7"/>
  <c r="BD33" i="6"/>
  <c r="I29" i="7"/>
  <c r="BD29" i="6"/>
  <c r="I25" i="7"/>
  <c r="BD25" i="6"/>
  <c r="I21" i="7"/>
  <c r="BD21" i="6"/>
  <c r="I17" i="7"/>
  <c r="BC17" i="6"/>
  <c r="I13" i="7"/>
  <c r="BC8" i="6"/>
  <c r="I4" i="7"/>
  <c r="BC46" i="6"/>
  <c r="I42" i="7"/>
  <c r="BC42" i="6"/>
  <c r="I38" i="7"/>
  <c r="BC38" i="6"/>
  <c r="I34" i="7"/>
  <c r="BC34" i="6"/>
  <c r="I30" i="7"/>
  <c r="BC30" i="6"/>
  <c r="I26" i="7"/>
  <c r="BC26" i="6"/>
  <c r="I22" i="7"/>
  <c r="BD22" i="6"/>
  <c r="I18" i="7"/>
  <c r="BC18" i="6"/>
  <c r="I14" i="7"/>
  <c r="BD43" i="6"/>
  <c r="I39" i="7"/>
  <c r="BD39" i="6"/>
  <c r="I35" i="7"/>
  <c r="BD35" i="6"/>
  <c r="I31" i="7"/>
  <c r="BD31" i="6"/>
  <c r="I27" i="7"/>
  <c r="BD27" i="6"/>
  <c r="I23" i="7"/>
  <c r="BD23" i="6"/>
  <c r="I19" i="7"/>
  <c r="BD19" i="6"/>
  <c r="I15" i="7"/>
  <c r="BD16" i="6"/>
  <c r="BD15"/>
  <c r="BD14"/>
  <c r="BD12"/>
  <c r="BD11"/>
  <c r="BD9"/>
  <c r="BD10"/>
  <c r="BD46"/>
  <c r="BD41"/>
  <c r="BC37"/>
  <c r="BD34"/>
  <c r="BD38"/>
  <c r="BC25"/>
  <c r="BD17"/>
  <c r="BC14"/>
  <c r="BC33"/>
  <c r="BD30"/>
  <c r="BD45"/>
  <c r="BC21"/>
  <c r="BD18"/>
  <c r="BC29"/>
  <c r="BD26"/>
  <c r="BC22"/>
  <c r="BD13"/>
  <c r="BD42"/>
  <c r="BC10"/>
  <c r="BC9"/>
  <c r="BD7"/>
  <c r="BC44"/>
  <c r="BC36"/>
  <c r="BC32"/>
  <c r="BC28"/>
  <c r="BC16"/>
  <c r="BC12"/>
  <c r="BC43"/>
  <c r="BD40"/>
  <c r="BC39"/>
  <c r="BC35"/>
  <c r="BC31"/>
  <c r="BC27"/>
  <c r="BD24"/>
  <c r="BC23"/>
  <c r="BD20"/>
  <c r="BC19"/>
  <c r="BC15"/>
  <c r="BC11"/>
  <c r="BD8"/>
  <c r="BC7"/>
  <c r="Q15" i="7" l="1"/>
  <c r="P15"/>
  <c r="Q31"/>
  <c r="P31"/>
  <c r="P18"/>
  <c r="Q18"/>
  <c r="P34"/>
  <c r="Q34"/>
  <c r="Q13"/>
  <c r="P13"/>
  <c r="Q29"/>
  <c r="P29"/>
  <c r="Q9"/>
  <c r="P9"/>
  <c r="P28"/>
  <c r="Q28"/>
  <c r="R12"/>
  <c r="P12"/>
  <c r="Q12"/>
  <c r="R10"/>
  <c r="P10"/>
  <c r="Q10"/>
  <c r="Q19"/>
  <c r="P19"/>
  <c r="Q27"/>
  <c r="P27"/>
  <c r="Q35"/>
  <c r="P35"/>
  <c r="Q14"/>
  <c r="P14"/>
  <c r="Q22"/>
  <c r="P22"/>
  <c r="Q30"/>
  <c r="P30"/>
  <c r="Q38"/>
  <c r="P38"/>
  <c r="Q17"/>
  <c r="P17"/>
  <c r="Q25"/>
  <c r="P25"/>
  <c r="Q33"/>
  <c r="P33"/>
  <c r="Q41"/>
  <c r="P41"/>
  <c r="P16"/>
  <c r="Q16"/>
  <c r="P24"/>
  <c r="Q24"/>
  <c r="P32"/>
  <c r="Q32"/>
  <c r="P40"/>
  <c r="Q40"/>
  <c r="Q23"/>
  <c r="P23"/>
  <c r="Q39"/>
  <c r="P39"/>
  <c r="P26"/>
  <c r="Q26"/>
  <c r="R42"/>
  <c r="P42"/>
  <c r="Q42"/>
  <c r="Q21"/>
  <c r="P21"/>
  <c r="Q37"/>
  <c r="P37"/>
  <c r="P20"/>
  <c r="Q20"/>
  <c r="P36"/>
  <c r="Q36"/>
  <c r="R8"/>
  <c r="P8"/>
  <c r="Q8"/>
  <c r="R11"/>
  <c r="Q11"/>
  <c r="P11"/>
  <c r="R7"/>
  <c r="Q7"/>
  <c r="P7"/>
  <c r="R6"/>
  <c r="P6"/>
  <c r="Q6"/>
  <c r="R5"/>
  <c r="P5"/>
  <c r="Q5"/>
  <c r="Q3"/>
  <c r="P3"/>
  <c r="P4"/>
  <c r="Q4"/>
  <c r="AO45" i="96"/>
  <c r="AS45" s="1"/>
  <c r="AE44"/>
  <c r="O41" i="24"/>
  <c r="O41" i="96"/>
  <c r="AE45"/>
  <c r="AE46"/>
  <c r="B14"/>
  <c r="F14" s="1"/>
  <c r="M103" i="38"/>
  <c r="AO44" i="96"/>
  <c r="AD21"/>
  <c r="AH21" s="1"/>
  <c r="C109" i="38"/>
  <c r="AO46" i="96"/>
  <c r="AS46" s="1"/>
  <c r="C108" i="38"/>
  <c r="B21"/>
  <c r="F21" s="1"/>
  <c r="AD14" i="96"/>
  <c r="AH14" s="1"/>
  <c r="I10" i="98"/>
  <c r="I12"/>
  <c r="I24"/>
  <c r="I27"/>
  <c r="I34"/>
  <c r="I19"/>
  <c r="I17"/>
  <c r="I22"/>
  <c r="I36"/>
  <c r="I21"/>
  <c r="I37"/>
  <c r="I35"/>
  <c r="I9"/>
  <c r="I15"/>
  <c r="I20"/>
  <c r="I40"/>
  <c r="I14"/>
  <c r="I28"/>
  <c r="I11"/>
  <c r="I16"/>
  <c r="I29"/>
  <c r="I26"/>
  <c r="I32"/>
  <c r="I13"/>
  <c r="I18"/>
  <c r="I25"/>
  <c r="I33"/>
  <c r="I42"/>
  <c r="I44"/>
  <c r="I48"/>
  <c r="I45"/>
  <c r="I41"/>
  <c r="I43"/>
  <c r="I47"/>
  <c r="I46"/>
  <c r="I23"/>
  <c r="I31"/>
  <c r="I39"/>
  <c r="I30"/>
  <c r="I38"/>
  <c r="R3" i="7"/>
  <c r="C44" i="96"/>
  <c r="C45"/>
  <c r="M46"/>
  <c r="C46"/>
  <c r="M45"/>
  <c r="M44"/>
  <c r="B21"/>
  <c r="F21" s="1"/>
  <c r="B14" i="24"/>
  <c r="F14" s="1"/>
  <c r="B21"/>
  <c r="F21" s="1"/>
  <c r="J102"/>
  <c r="C101"/>
  <c r="J103"/>
  <c r="C102"/>
  <c r="C103"/>
  <c r="J101"/>
  <c r="C102" i="38"/>
  <c r="B14"/>
  <c r="F14" s="1"/>
  <c r="C107"/>
  <c r="C103"/>
  <c r="C109" i="24"/>
  <c r="C108"/>
  <c r="C107"/>
  <c r="C101" i="38"/>
  <c r="M101"/>
  <c r="M102"/>
  <c r="O16" i="35"/>
  <c r="O30"/>
  <c r="O6"/>
  <c r="O10"/>
  <c r="O15"/>
  <c r="O23"/>
  <c r="O31"/>
  <c r="O39"/>
  <c r="O18"/>
  <c r="O21"/>
  <c r="O29"/>
  <c r="O28"/>
  <c r="O36"/>
  <c r="O9"/>
  <c r="O14"/>
  <c r="O34"/>
  <c r="O8"/>
  <c r="O20"/>
  <c r="O38"/>
  <c r="O26"/>
  <c r="O37"/>
  <c r="O7"/>
  <c r="O19"/>
  <c r="O27"/>
  <c r="O35"/>
  <c r="O17"/>
  <c r="O25"/>
  <c r="O33"/>
  <c r="O24"/>
  <c r="O32"/>
  <c r="O40"/>
  <c r="O22"/>
  <c r="O41"/>
  <c r="O13"/>
  <c r="O5"/>
  <c r="O11"/>
  <c r="O12"/>
  <c r="R11"/>
  <c r="R7"/>
  <c r="J3" i="7"/>
  <c r="K3" s="1"/>
  <c r="L3" s="1"/>
  <c r="N7" i="35"/>
  <c r="R8"/>
  <c r="R5"/>
  <c r="R12"/>
  <c r="R10"/>
  <c r="N10"/>
  <c r="R6"/>
  <c r="J11" i="7"/>
  <c r="J6"/>
  <c r="K38" s="1"/>
  <c r="L38" s="1"/>
  <c r="J10"/>
  <c r="J9"/>
  <c r="J8"/>
  <c r="J7"/>
  <c r="J4"/>
  <c r="O4" s="1"/>
  <c r="J5"/>
  <c r="R15"/>
  <c r="R23"/>
  <c r="R31"/>
  <c r="R39"/>
  <c r="R13"/>
  <c r="R21"/>
  <c r="R29"/>
  <c r="R37"/>
  <c r="R18"/>
  <c r="R26"/>
  <c r="R34"/>
  <c r="R16"/>
  <c r="R24"/>
  <c r="R32"/>
  <c r="R40"/>
  <c r="R19"/>
  <c r="R27"/>
  <c r="R35"/>
  <c r="R17"/>
  <c r="R25"/>
  <c r="R33"/>
  <c r="R41"/>
  <c r="R14"/>
  <c r="R22"/>
  <c r="R30"/>
  <c r="R38"/>
  <c r="R20"/>
  <c r="R28"/>
  <c r="R36"/>
  <c r="J20"/>
  <c r="J38"/>
  <c r="J26"/>
  <c r="J37"/>
  <c r="O37" s="1"/>
  <c r="J12"/>
  <c r="J15"/>
  <c r="J23"/>
  <c r="J31"/>
  <c r="J39"/>
  <c r="O39" s="1"/>
  <c r="J21"/>
  <c r="J29"/>
  <c r="J24"/>
  <c r="J32"/>
  <c r="J40"/>
  <c r="K40" s="1"/>
  <c r="L40" s="1"/>
  <c r="J22"/>
  <c r="J41"/>
  <c r="O41" s="1"/>
  <c r="J13"/>
  <c r="J16"/>
  <c r="J30"/>
  <c r="J19"/>
  <c r="J27"/>
  <c r="J35"/>
  <c r="O35" s="1"/>
  <c r="J18"/>
  <c r="J17"/>
  <c r="J25"/>
  <c r="J33"/>
  <c r="J28"/>
  <c r="J36"/>
  <c r="K36" s="1"/>
  <c r="L36" s="1"/>
  <c r="J14"/>
  <c r="J34"/>
  <c r="J42"/>
  <c r="R4"/>
  <c r="R9"/>
  <c r="BH8" i="6"/>
  <c r="BK8" s="1"/>
  <c r="BH9"/>
  <c r="BK9" s="1"/>
  <c r="BH10"/>
  <c r="BK10" s="1"/>
  <c r="BH11"/>
  <c r="BK11" s="1"/>
  <c r="BH12"/>
  <c r="BK12" s="1"/>
  <c r="BH13"/>
  <c r="BK13" s="1"/>
  <c r="BH14"/>
  <c r="BK14" s="1"/>
  <c r="BH15"/>
  <c r="BK15" s="1"/>
  <c r="BH16"/>
  <c r="BK16" s="1"/>
  <c r="BH17"/>
  <c r="BK17" s="1"/>
  <c r="BH18"/>
  <c r="BK18" s="1"/>
  <c r="BH19"/>
  <c r="BK19" s="1"/>
  <c r="BH20"/>
  <c r="BK20" s="1"/>
  <c r="BH21"/>
  <c r="BK21" s="1"/>
  <c r="BH22"/>
  <c r="BK22" s="1"/>
  <c r="BH23"/>
  <c r="BK23" s="1"/>
  <c r="BH24"/>
  <c r="BK24" s="1"/>
  <c r="BH25"/>
  <c r="BK25" s="1"/>
  <c r="BH26"/>
  <c r="BK26" s="1"/>
  <c r="BH27"/>
  <c r="BK27" s="1"/>
  <c r="BH28"/>
  <c r="BK28" s="1"/>
  <c r="BH29"/>
  <c r="BK29" s="1"/>
  <c r="BH30"/>
  <c r="BK30" s="1"/>
  <c r="BH31"/>
  <c r="BK31" s="1"/>
  <c r="BH32"/>
  <c r="BK32" s="1"/>
  <c r="BH33"/>
  <c r="BK33" s="1"/>
  <c r="BH34"/>
  <c r="BK34" s="1"/>
  <c r="BH7"/>
  <c r="K39" i="7" l="1"/>
  <c r="L39" s="1"/>
  <c r="K41"/>
  <c r="L41" s="1"/>
  <c r="K37"/>
  <c r="L37" s="1"/>
  <c r="K35"/>
  <c r="L35" s="1"/>
  <c r="Q46" i="96"/>
  <c r="K28" i="7"/>
  <c r="L28" s="1"/>
  <c r="K18"/>
  <c r="L18" s="1"/>
  <c r="K5"/>
  <c r="L5" s="1"/>
  <c r="K4"/>
  <c r="L4" s="1"/>
  <c r="O25"/>
  <c r="K25"/>
  <c r="L25" s="1"/>
  <c r="O27"/>
  <c r="K27"/>
  <c r="L27" s="1"/>
  <c r="O13"/>
  <c r="K13"/>
  <c r="L13" s="1"/>
  <c r="O12"/>
  <c r="K12"/>
  <c r="L12" s="1"/>
  <c r="O7"/>
  <c r="K7"/>
  <c r="L7" s="1"/>
  <c r="O6"/>
  <c r="K6"/>
  <c r="L6" s="1"/>
  <c r="O33"/>
  <c r="K33"/>
  <c r="L33" s="1"/>
  <c r="O21"/>
  <c r="K21"/>
  <c r="L21" s="1"/>
  <c r="O15"/>
  <c r="K15"/>
  <c r="L15" s="1"/>
  <c r="O10"/>
  <c r="K10"/>
  <c r="L10" s="1"/>
  <c r="K14"/>
  <c r="L14" s="1"/>
  <c r="K32"/>
  <c r="L32" s="1"/>
  <c r="K20"/>
  <c r="L20" s="1"/>
  <c r="K34"/>
  <c r="L34" s="1"/>
  <c r="K16"/>
  <c r="L16" s="1"/>
  <c r="O29"/>
  <c r="K29"/>
  <c r="L29" s="1"/>
  <c r="O23"/>
  <c r="K23"/>
  <c r="L23" s="1"/>
  <c r="O9"/>
  <c r="K9"/>
  <c r="L9" s="1"/>
  <c r="O17"/>
  <c r="K17"/>
  <c r="L17" s="1"/>
  <c r="O19"/>
  <c r="K19"/>
  <c r="L19" s="1"/>
  <c r="O31"/>
  <c r="K31"/>
  <c r="L31" s="1"/>
  <c r="O8"/>
  <c r="K8"/>
  <c r="L8" s="1"/>
  <c r="O11"/>
  <c r="K11"/>
  <c r="L11" s="1"/>
  <c r="K30"/>
  <c r="L30" s="1"/>
  <c r="K22"/>
  <c r="L22" s="1"/>
  <c r="K26"/>
  <c r="L26" s="1"/>
  <c r="K24"/>
  <c r="L24" s="1"/>
  <c r="Q45" i="96"/>
  <c r="BK7" i="6"/>
  <c r="B19" i="100"/>
  <c r="E19" s="1"/>
  <c r="AS44" i="96"/>
  <c r="N3" i="7"/>
  <c r="Q44" i="96"/>
  <c r="N40" i="35"/>
  <c r="N20"/>
  <c r="N30"/>
  <c r="N36"/>
  <c r="N5"/>
  <c r="N9"/>
  <c r="N25"/>
  <c r="N22"/>
  <c r="N15"/>
  <c r="N11"/>
  <c r="Q103" i="38"/>
  <c r="Q102"/>
  <c r="Q101"/>
  <c r="O3" i="7"/>
  <c r="N8" i="35"/>
  <c r="O103" i="24"/>
  <c r="O102"/>
  <c r="O101"/>
  <c r="O5" i="7"/>
  <c r="O34"/>
  <c r="O36"/>
  <c r="O16"/>
  <c r="O40"/>
  <c r="O24"/>
  <c r="O38"/>
  <c r="O42"/>
  <c r="O14"/>
  <c r="O28"/>
  <c r="O18"/>
  <c r="O30"/>
  <c r="O22"/>
  <c r="O32"/>
  <c r="O26"/>
  <c r="O20"/>
  <c r="N42" l="1"/>
  <c r="Y42"/>
  <c r="N37"/>
  <c r="N28"/>
  <c r="N35"/>
  <c r="N6"/>
  <c r="N21"/>
  <c r="N24"/>
  <c r="N33"/>
  <c r="N36"/>
  <c r="N13"/>
  <c r="N19"/>
  <c r="N22"/>
  <c r="N8"/>
  <c r="N5"/>
  <c r="N40"/>
  <c r="N29"/>
  <c r="N7"/>
  <c r="N20"/>
  <c r="N41"/>
  <c r="Y4" i="35"/>
  <c r="U4" s="1"/>
  <c r="N14" i="7"/>
  <c r="N38"/>
  <c r="N39"/>
  <c r="N17"/>
  <c r="N31"/>
  <c r="N32"/>
  <c r="N16"/>
  <c r="N10"/>
  <c r="N12"/>
  <c r="N23"/>
  <c r="N26"/>
  <c r="N27"/>
  <c r="N30"/>
  <c r="N15"/>
  <c r="N18"/>
  <c r="N25"/>
  <c r="N34"/>
  <c r="N9"/>
  <c r="N11"/>
  <c r="N4"/>
  <c r="Y3" i="35"/>
  <c r="U3" s="1"/>
  <c r="N28"/>
  <c r="N32"/>
  <c r="N39"/>
  <c r="N37"/>
  <c r="N18"/>
  <c r="N21"/>
  <c r="N17"/>
  <c r="N33"/>
  <c r="N24"/>
  <c r="N27"/>
  <c r="N31"/>
  <c r="N26"/>
  <c r="N13"/>
  <c r="N38"/>
  <c r="N29"/>
  <c r="N19"/>
  <c r="N23"/>
  <c r="N41"/>
  <c r="AY4" i="6"/>
  <c r="AV4"/>
  <c r="AS4"/>
  <c r="AP4"/>
  <c r="AM4"/>
  <c r="AJ4"/>
  <c r="AG4"/>
  <c r="AD4"/>
  <c r="AA4"/>
  <c r="X4"/>
  <c r="U4"/>
  <c r="B12" s="1"/>
  <c r="R4"/>
  <c r="B11" s="1"/>
  <c r="O4"/>
  <c r="B10" s="1"/>
  <c r="L4"/>
  <c r="B9" s="1"/>
  <c r="I4"/>
  <c r="B23"/>
  <c r="B13" l="1"/>
  <c r="D9" i="100"/>
  <c r="D25"/>
  <c r="B14" i="6"/>
  <c r="D10" i="100"/>
  <c r="D26"/>
  <c r="B18" i="6"/>
  <c r="D14" i="100"/>
  <c r="D30"/>
  <c r="B22" i="6"/>
  <c r="D18" i="100"/>
  <c r="D34"/>
  <c r="B20" i="6"/>
  <c r="D16" i="100"/>
  <c r="D32"/>
  <c r="B17" i="6"/>
  <c r="D13" i="100"/>
  <c r="D29"/>
  <c r="B21" i="6"/>
  <c r="D17" i="100"/>
  <c r="D33"/>
  <c r="B8" i="6"/>
  <c r="D8" i="100"/>
  <c r="D24"/>
  <c r="B16" i="6"/>
  <c r="D12" i="100"/>
  <c r="D28"/>
  <c r="B15" i="6"/>
  <c r="D11" i="100"/>
  <c r="D27"/>
  <c r="B19" i="6"/>
  <c r="D15" i="100"/>
  <c r="D31"/>
  <c r="Y6" i="7"/>
  <c r="X6" s="1"/>
  <c r="Y24"/>
  <c r="V24" s="1"/>
  <c r="Y26"/>
  <c r="W26" s="1"/>
  <c r="Y30"/>
  <c r="X30" s="1"/>
  <c r="Y7"/>
  <c r="W7" s="1"/>
  <c r="Y11"/>
  <c r="V11" s="1"/>
  <c r="Y40"/>
  <c r="W40" s="1"/>
  <c r="Y31"/>
  <c r="X31" s="1"/>
  <c r="Y36"/>
  <c r="X36" s="1"/>
  <c r="Y39"/>
  <c r="V39" s="1"/>
  <c r="Y34"/>
  <c r="V34" s="1"/>
  <c r="Y12"/>
  <c r="V12" s="1"/>
  <c r="Y14"/>
  <c r="W14" s="1"/>
  <c r="Y8"/>
  <c r="U8" s="1"/>
  <c r="Y18"/>
  <c r="X18" s="1"/>
  <c r="Y16"/>
  <c r="W16" s="1"/>
  <c r="Y41"/>
  <c r="V41" s="1"/>
  <c r="Y19"/>
  <c r="W19" s="1"/>
  <c r="Y28"/>
  <c r="W28" s="1"/>
  <c r="U42"/>
  <c r="Y4"/>
  <c r="Y9"/>
  <c r="U9" s="1"/>
  <c r="Y25"/>
  <c r="V25" s="1"/>
  <c r="Y15"/>
  <c r="V15" s="1"/>
  <c r="Y27"/>
  <c r="V27" s="1"/>
  <c r="Y23"/>
  <c r="Y10"/>
  <c r="V10" s="1"/>
  <c r="Y32"/>
  <c r="V32" s="1"/>
  <c r="Y17"/>
  <c r="V17" s="1"/>
  <c r="Y38"/>
  <c r="V38" s="1"/>
  <c r="Y3"/>
  <c r="U3" s="1"/>
  <c r="Y20"/>
  <c r="V20" s="1"/>
  <c r="Y29"/>
  <c r="X29" s="1"/>
  <c r="Y5"/>
  <c r="X5" s="1"/>
  <c r="Y22"/>
  <c r="V22" s="1"/>
  <c r="Y13"/>
  <c r="X13" s="1"/>
  <c r="Y33"/>
  <c r="X33" s="1"/>
  <c r="Y21"/>
  <c r="U21" s="1"/>
  <c r="Y35"/>
  <c r="V35" s="1"/>
  <c r="Y37"/>
  <c r="V37" s="1"/>
  <c r="Y29" i="35"/>
  <c r="Y28"/>
  <c r="Y10"/>
  <c r="Y32"/>
  <c r="Y13"/>
  <c r="Y27"/>
  <c r="N12"/>
  <c r="Y14"/>
  <c r="Y35"/>
  <c r="U35" s="1"/>
  <c r="Y37"/>
  <c r="U37" s="1"/>
  <c r="Y33"/>
  <c r="Y5"/>
  <c r="U5" s="1"/>
  <c r="Y12"/>
  <c r="Y40"/>
  <c r="U40" s="1"/>
  <c r="Y15"/>
  <c r="Y41"/>
  <c r="U41" s="1"/>
  <c r="Y26"/>
  <c r="Y22"/>
  <c r="U22" s="1"/>
  <c r="Y7"/>
  <c r="U7" s="1"/>
  <c r="Y20"/>
  <c r="N14"/>
  <c r="N35"/>
  <c r="Y17"/>
  <c r="Y16"/>
  <c r="Y34"/>
  <c r="Y30"/>
  <c r="Y11"/>
  <c r="U11" s="1"/>
  <c r="Y18"/>
  <c r="Y25"/>
  <c r="Y24"/>
  <c r="U24" s="1"/>
  <c r="Y39"/>
  <c r="U39" s="1"/>
  <c r="Y38"/>
  <c r="U38" s="1"/>
  <c r="Y31"/>
  <c r="Y36"/>
  <c r="U36" s="1"/>
  <c r="Y6"/>
  <c r="U6" s="1"/>
  <c r="Y21"/>
  <c r="Y9"/>
  <c r="Y8"/>
  <c r="Y23"/>
  <c r="U23" s="1"/>
  <c r="Y19"/>
  <c r="V42" i="7"/>
  <c r="W41"/>
  <c r="U8" i="35" l="1"/>
  <c r="U30"/>
  <c r="U27"/>
  <c r="U28"/>
  <c r="U17"/>
  <c r="U15"/>
  <c r="U33"/>
  <c r="V4" i="7"/>
  <c r="D9" i="10" s="1"/>
  <c r="U4" i="7"/>
  <c r="U10" i="35"/>
  <c r="U19"/>
  <c r="U21"/>
  <c r="U18"/>
  <c r="U16"/>
  <c r="U20"/>
  <c r="U14"/>
  <c r="U32"/>
  <c r="U9"/>
  <c r="U31"/>
  <c r="U25"/>
  <c r="U34"/>
  <c r="U26"/>
  <c r="U12"/>
  <c r="U13"/>
  <c r="U29"/>
  <c r="W31"/>
  <c r="H36" i="39" s="1"/>
  <c r="X26" i="7"/>
  <c r="I31" i="10" s="1"/>
  <c r="X40" i="7"/>
  <c r="I45" i="10" s="1"/>
  <c r="X24" i="7"/>
  <c r="I29" i="10" s="1"/>
  <c r="V26" i="7"/>
  <c r="D31" i="10" s="1"/>
  <c r="U26" i="7"/>
  <c r="E31" i="10" s="1"/>
  <c r="C31" s="1"/>
  <c r="U6" i="7"/>
  <c r="E11" i="10" s="1"/>
  <c r="C11" s="1"/>
  <c r="V6" i="7"/>
  <c r="D11" i="10" s="1"/>
  <c r="W6" i="7"/>
  <c r="H11" i="10" s="1"/>
  <c r="W24" i="7"/>
  <c r="H29" i="10" s="1"/>
  <c r="U24" i="7"/>
  <c r="E29" i="10" s="1"/>
  <c r="C29" s="1"/>
  <c r="U40" i="7"/>
  <c r="E45" i="10" s="1"/>
  <c r="C45" s="1"/>
  <c r="V40" i="7"/>
  <c r="D45" i="10" s="1"/>
  <c r="D47"/>
  <c r="D22"/>
  <c r="D46"/>
  <c r="I10"/>
  <c r="E13"/>
  <c r="C13" s="1"/>
  <c r="D44"/>
  <c r="D42"/>
  <c r="D25"/>
  <c r="D37"/>
  <c r="D20"/>
  <c r="E47"/>
  <c r="C47" s="1"/>
  <c r="D17"/>
  <c r="I11"/>
  <c r="D32"/>
  <c r="E26"/>
  <c r="C26" s="1"/>
  <c r="D43"/>
  <c r="E14"/>
  <c r="C14" s="1"/>
  <c r="D16"/>
  <c r="D40"/>
  <c r="D27"/>
  <c r="E8"/>
  <c r="C8" s="1"/>
  <c r="D30"/>
  <c r="D39"/>
  <c r="H45"/>
  <c r="D29"/>
  <c r="W33" i="7"/>
  <c r="H38" i="10" s="1"/>
  <c r="W17" i="7"/>
  <c r="H22" i="10" s="1"/>
  <c r="W30" i="7"/>
  <c r="H35" i="10" s="1"/>
  <c r="X27" i="7"/>
  <c r="I32" i="10" s="1"/>
  <c r="V8" i="7"/>
  <c r="U30"/>
  <c r="V30"/>
  <c r="W31"/>
  <c r="X32"/>
  <c r="U33"/>
  <c r="U41"/>
  <c r="W4"/>
  <c r="V29"/>
  <c r="U27"/>
  <c r="X8"/>
  <c r="W18"/>
  <c r="V23"/>
  <c r="U23"/>
  <c r="X23"/>
  <c r="U34"/>
  <c r="V7"/>
  <c r="U20"/>
  <c r="X37"/>
  <c r="U14"/>
  <c r="X39"/>
  <c r="V16"/>
  <c r="X11"/>
  <c r="U32"/>
  <c r="X20"/>
  <c r="U11"/>
  <c r="U39"/>
  <c r="V14"/>
  <c r="U16"/>
  <c r="U29"/>
  <c r="X17"/>
  <c r="X41"/>
  <c r="W8"/>
  <c r="V33"/>
  <c r="W29"/>
  <c r="U17"/>
  <c r="W27"/>
  <c r="X4"/>
  <c r="V18"/>
  <c r="U7"/>
  <c r="W36"/>
  <c r="W13"/>
  <c r="U37"/>
  <c r="W11"/>
  <c r="W39"/>
  <c r="X15"/>
  <c r="X14"/>
  <c r="X12"/>
  <c r="X7"/>
  <c r="X16"/>
  <c r="V28"/>
  <c r="V36"/>
  <c r="V13"/>
  <c r="U15"/>
  <c r="U12"/>
  <c r="V31"/>
  <c r="U36"/>
  <c r="U28"/>
  <c r="X9"/>
  <c r="X21"/>
  <c r="U31"/>
  <c r="U38"/>
  <c r="V19"/>
  <c r="W5"/>
  <c r="U25"/>
  <c r="U22"/>
  <c r="U35"/>
  <c r="X34"/>
  <c r="U19"/>
  <c r="W9"/>
  <c r="W21"/>
  <c r="W34"/>
  <c r="W38"/>
  <c r="X19"/>
  <c r="X28"/>
  <c r="U18"/>
  <c r="U5"/>
  <c r="V9"/>
  <c r="V21"/>
  <c r="W23"/>
  <c r="W12"/>
  <c r="X38"/>
  <c r="V5"/>
  <c r="U10"/>
  <c r="X3"/>
  <c r="W3"/>
  <c r="X25"/>
  <c r="X10"/>
  <c r="X22"/>
  <c r="X35"/>
  <c r="U13"/>
  <c r="W20"/>
  <c r="W25"/>
  <c r="W10"/>
  <c r="W37"/>
  <c r="W22"/>
  <c r="W15"/>
  <c r="W32"/>
  <c r="W35"/>
  <c r="V3"/>
  <c r="W36" i="35"/>
  <c r="X25"/>
  <c r="O40" i="24"/>
  <c r="V35"/>
  <c r="Z35" s="1"/>
  <c r="V30"/>
  <c r="Z30" s="1"/>
  <c r="O37"/>
  <c r="S37" s="1"/>
  <c r="O32"/>
  <c r="S32" s="1"/>
  <c r="O28"/>
  <c r="S28" s="1"/>
  <c r="B112"/>
  <c r="V38"/>
  <c r="Z38" s="1"/>
  <c r="V29"/>
  <c r="Z29" s="1"/>
  <c r="O31"/>
  <c r="S31" s="1"/>
  <c r="I122"/>
  <c r="V36"/>
  <c r="Z36" s="1"/>
  <c r="V31"/>
  <c r="Z31" s="1"/>
  <c r="O38"/>
  <c r="S38" s="1"/>
  <c r="O33"/>
  <c r="S33" s="1"/>
  <c r="O29"/>
  <c r="S29" s="1"/>
  <c r="I123"/>
  <c r="V37"/>
  <c r="Z37" s="1"/>
  <c r="V32"/>
  <c r="Z32" s="1"/>
  <c r="V28"/>
  <c r="Z28" s="1"/>
  <c r="O35"/>
  <c r="S35" s="1"/>
  <c r="O30"/>
  <c r="S30" s="1"/>
  <c r="I124"/>
  <c r="V33"/>
  <c r="Z33" s="1"/>
  <c r="O36"/>
  <c r="S36" s="1"/>
  <c r="V27"/>
  <c r="Z27" s="1"/>
  <c r="O27"/>
  <c r="S27" s="1"/>
  <c r="W25" i="35"/>
  <c r="X22"/>
  <c r="X10"/>
  <c r="W28"/>
  <c r="W22"/>
  <c r="X15"/>
  <c r="V13"/>
  <c r="W10"/>
  <c r="W15"/>
  <c r="V25"/>
  <c r="X8"/>
  <c r="X24"/>
  <c r="W7"/>
  <c r="V22"/>
  <c r="V15"/>
  <c r="V10"/>
  <c r="V11"/>
  <c r="V17"/>
  <c r="X30"/>
  <c r="V34"/>
  <c r="V5"/>
  <c r="X19"/>
  <c r="W21"/>
  <c r="W18"/>
  <c r="V16"/>
  <c r="X9"/>
  <c r="X6"/>
  <c r="V20"/>
  <c r="W27"/>
  <c r="V28"/>
  <c r="W9"/>
  <c r="V9"/>
  <c r="V31"/>
  <c r="V33"/>
  <c r="X31"/>
  <c r="W11"/>
  <c r="W12"/>
  <c r="V32"/>
  <c r="W29"/>
  <c r="W40"/>
  <c r="V37"/>
  <c r="V30"/>
  <c r="X37"/>
  <c r="W41"/>
  <c r="X18"/>
  <c r="V35"/>
  <c r="X13"/>
  <c r="X4"/>
  <c r="V6"/>
  <c r="V8"/>
  <c r="X7"/>
  <c r="V29"/>
  <c r="V24"/>
  <c r="X29"/>
  <c r="X20"/>
  <c r="X12"/>
  <c r="W4"/>
  <c r="X28"/>
  <c r="W26"/>
  <c r="V23"/>
  <c r="V19"/>
  <c r="X16"/>
  <c r="W37"/>
  <c r="X27"/>
  <c r="X21"/>
  <c r="V4"/>
  <c r="V27"/>
  <c r="W13"/>
  <c r="W6"/>
  <c r="X26"/>
  <c r="V12"/>
  <c r="X17"/>
  <c r="W3"/>
  <c r="W20"/>
  <c r="X11"/>
  <c r="V26"/>
  <c r="W17"/>
  <c r="X23"/>
  <c r="X41"/>
  <c r="X14"/>
  <c r="W32"/>
  <c r="W14"/>
  <c r="W34"/>
  <c r="W33"/>
  <c r="V36"/>
  <c r="W30"/>
  <c r="X39"/>
  <c r="W35"/>
  <c r="X40"/>
  <c r="X5"/>
  <c r="X32"/>
  <c r="X42"/>
  <c r="V14"/>
  <c r="X33"/>
  <c r="X36"/>
  <c r="V7"/>
  <c r="W39"/>
  <c r="V41"/>
  <c r="X35"/>
  <c r="V40"/>
  <c r="W5"/>
  <c r="W38"/>
  <c r="W42"/>
  <c r="W24"/>
  <c r="W8"/>
  <c r="X34"/>
  <c r="V39"/>
  <c r="V18"/>
  <c r="V38"/>
  <c r="X3"/>
  <c r="W16"/>
  <c r="X38"/>
  <c r="W19"/>
  <c r="V21"/>
  <c r="W23"/>
  <c r="V42"/>
  <c r="V3"/>
  <c r="I38" i="10"/>
  <c r="I23"/>
  <c r="I47"/>
  <c r="H24"/>
  <c r="H33"/>
  <c r="H21"/>
  <c r="I41"/>
  <c r="I34"/>
  <c r="I18"/>
  <c r="I36"/>
  <c r="I35"/>
  <c r="H46"/>
  <c r="H31"/>
  <c r="H19"/>
  <c r="H12"/>
  <c r="H47"/>
  <c r="D15"/>
  <c r="O31" i="1"/>
  <c r="M7" i="4"/>
  <c r="C49" i="5" s="1"/>
  <c r="M8" i="4"/>
  <c r="C50" i="5" s="1"/>
  <c r="M9" i="4"/>
  <c r="C51" i="5" s="1"/>
  <c r="M10" i="4"/>
  <c r="C52" i="5" s="1"/>
  <c r="M11" i="4"/>
  <c r="C53" i="5" s="1"/>
  <c r="M12" i="4"/>
  <c r="C54" i="5" s="1"/>
  <c r="M13" i="4"/>
  <c r="C55" i="5" s="1"/>
  <c r="M14" i="4"/>
  <c r="C56" i="5" s="1"/>
  <c r="M15" i="4"/>
  <c r="C57" i="5" s="1"/>
  <c r="M16" i="4"/>
  <c r="C58" i="5" s="1"/>
  <c r="M17" i="4"/>
  <c r="C59" i="5" s="1"/>
  <c r="M18" i="4"/>
  <c r="C60" i="5" s="1"/>
  <c r="M19" i="4"/>
  <c r="C61" i="5" s="1"/>
  <c r="M20" i="4"/>
  <c r="C62" i="5" s="1"/>
  <c r="M21" i="4"/>
  <c r="C63" i="5" s="1"/>
  <c r="M22" i="4"/>
  <c r="C64" i="5" s="1"/>
  <c r="M23" i="4"/>
  <c r="C65" i="5" s="1"/>
  <c r="M24" i="4"/>
  <c r="C66" i="5" s="1"/>
  <c r="M25" i="4"/>
  <c r="C67" i="5" s="1"/>
  <c r="M26" i="4"/>
  <c r="C68" i="5" s="1"/>
  <c r="M27" i="4"/>
  <c r="C69" i="5" s="1"/>
  <c r="M28" i="4"/>
  <c r="C70" i="5" s="1"/>
  <c r="M29" i="4"/>
  <c r="C71" i="5" s="1"/>
  <c r="M30" i="4"/>
  <c r="C72" i="5" s="1"/>
  <c r="M31" i="4"/>
  <c r="C73" i="5" s="1"/>
  <c r="M32" i="4"/>
  <c r="M33"/>
  <c r="M34"/>
  <c r="M35"/>
  <c r="M36"/>
  <c r="M37"/>
  <c r="M38"/>
  <c r="M39"/>
  <c r="M40"/>
  <c r="M41"/>
  <c r="M42"/>
  <c r="M43"/>
  <c r="M44"/>
  <c r="M45"/>
  <c r="M46"/>
  <c r="M47"/>
  <c r="M48"/>
  <c r="M49"/>
  <c r="M50"/>
  <c r="M51"/>
  <c r="M52"/>
  <c r="M53"/>
  <c r="M54"/>
  <c r="M55"/>
  <c r="M56"/>
  <c r="M57"/>
  <c r="M58"/>
  <c r="M6"/>
  <c r="C48" i="5" s="1"/>
  <c r="B2" i="38"/>
  <c r="E72" i="6" l="1"/>
  <c r="E72" i="104"/>
  <c r="E72" i="103"/>
  <c r="E72" i="101"/>
  <c r="B69" i="36"/>
  <c r="B69" i="32"/>
  <c r="B69" i="37"/>
  <c r="E72" i="29"/>
  <c r="E72" i="20"/>
  <c r="B69" i="12"/>
  <c r="B69" i="13"/>
  <c r="B69" i="15"/>
  <c r="B68" i="8"/>
  <c r="I37" i="10"/>
  <c r="H15"/>
  <c r="D10"/>
  <c r="E23"/>
  <c r="C23" s="1"/>
  <c r="I39"/>
  <c r="H10"/>
  <c r="E41"/>
  <c r="C41" s="1"/>
  <c r="I12"/>
  <c r="H41"/>
  <c r="H32"/>
  <c r="I16"/>
  <c r="I13"/>
  <c r="D35"/>
  <c r="H40"/>
  <c r="H42"/>
  <c r="I30"/>
  <c r="H28"/>
  <c r="E24"/>
  <c r="C24" s="1"/>
  <c r="E36"/>
  <c r="C36" s="1"/>
  <c r="E20"/>
  <c r="C20" s="1"/>
  <c r="H18"/>
  <c r="D38"/>
  <c r="I22"/>
  <c r="E37"/>
  <c r="C37" s="1"/>
  <c r="E39"/>
  <c r="C39" s="1"/>
  <c r="H9"/>
  <c r="D8"/>
  <c r="H27"/>
  <c r="H25"/>
  <c r="I15"/>
  <c r="E15"/>
  <c r="C15" s="1"/>
  <c r="H17"/>
  <c r="I24"/>
  <c r="H14"/>
  <c r="E27"/>
  <c r="C27" s="1"/>
  <c r="E43"/>
  <c r="C43" s="1"/>
  <c r="E17"/>
  <c r="C17" s="1"/>
  <c r="D33"/>
  <c r="I19"/>
  <c r="E42"/>
  <c r="C42" s="1"/>
  <c r="D23"/>
  <c r="H34"/>
  <c r="I46"/>
  <c r="E21"/>
  <c r="C21" s="1"/>
  <c r="I25"/>
  <c r="I44"/>
  <c r="D12"/>
  <c r="D28"/>
  <c r="D34"/>
  <c r="D13"/>
  <c r="H37"/>
  <c r="I40"/>
  <c r="H8"/>
  <c r="D26"/>
  <c r="H39"/>
  <c r="I26"/>
  <c r="D18"/>
  <c r="H44"/>
  <c r="H13"/>
  <c r="E44"/>
  <c r="C44" s="1"/>
  <c r="I42"/>
  <c r="I28"/>
  <c r="E46"/>
  <c r="C46" s="1"/>
  <c r="E18"/>
  <c r="C18" s="1"/>
  <c r="E10"/>
  <c r="C10" s="1"/>
  <c r="H43"/>
  <c r="E30"/>
  <c r="C30" s="1"/>
  <c r="E33"/>
  <c r="C33" s="1"/>
  <c r="I21"/>
  <c r="I20"/>
  <c r="I9"/>
  <c r="D19"/>
  <c r="E19"/>
  <c r="C19" s="1"/>
  <c r="H23"/>
  <c r="H36"/>
  <c r="H20"/>
  <c r="H30"/>
  <c r="I27"/>
  <c r="I8"/>
  <c r="I43"/>
  <c r="D14"/>
  <c r="I33"/>
  <c r="H26"/>
  <c r="E40"/>
  <c r="C40" s="1"/>
  <c r="D24"/>
  <c r="I14"/>
  <c r="D36"/>
  <c r="D41"/>
  <c r="I17"/>
  <c r="H16"/>
  <c r="E12"/>
  <c r="C12" s="1"/>
  <c r="E22"/>
  <c r="C22" s="1"/>
  <c r="E9"/>
  <c r="C9" s="1"/>
  <c r="E34"/>
  <c r="C34" s="1"/>
  <c r="E16"/>
  <c r="C16" s="1"/>
  <c r="D21"/>
  <c r="E25"/>
  <c r="C25" s="1"/>
  <c r="E28"/>
  <c r="C28" s="1"/>
  <c r="E32"/>
  <c r="C32" s="1"/>
  <c r="E38"/>
  <c r="C38" s="1"/>
  <c r="E35"/>
  <c r="C35" s="1"/>
  <c r="B3" i="31"/>
  <c r="B3" i="32"/>
  <c r="B3" i="36"/>
  <c r="B3" i="37"/>
  <c r="D8" i="39"/>
  <c r="H24"/>
  <c r="I8"/>
  <c r="E21"/>
  <c r="C21" s="1"/>
  <c r="D44"/>
  <c r="H29"/>
  <c r="D45"/>
  <c r="E35"/>
  <c r="C35" s="1"/>
  <c r="E39"/>
  <c r="C39" s="1"/>
  <c r="I10"/>
  <c r="I44"/>
  <c r="H38"/>
  <c r="E13"/>
  <c r="C13" s="1"/>
  <c r="I46"/>
  <c r="E17"/>
  <c r="C17" s="1"/>
  <c r="E18"/>
  <c r="C18" s="1"/>
  <c r="E42"/>
  <c r="C42" s="1"/>
  <c r="E33"/>
  <c r="C33" s="1"/>
  <c r="D32"/>
  <c r="I32"/>
  <c r="E32"/>
  <c r="C32" s="1"/>
  <c r="H9"/>
  <c r="E41"/>
  <c r="C41" s="1"/>
  <c r="I12"/>
  <c r="I9"/>
  <c r="H46"/>
  <c r="H45"/>
  <c r="H17"/>
  <c r="E36"/>
  <c r="C36" s="1"/>
  <c r="H14"/>
  <c r="E31"/>
  <c r="C31" s="1"/>
  <c r="D21"/>
  <c r="D10"/>
  <c r="D16"/>
  <c r="D20"/>
  <c r="H12"/>
  <c r="E15"/>
  <c r="C15" s="1"/>
  <c r="D18"/>
  <c r="H33"/>
  <c r="H30"/>
  <c r="D26"/>
  <c r="E23"/>
  <c r="C23" s="1"/>
  <c r="D43"/>
  <c r="E40"/>
  <c r="C40" s="1"/>
  <c r="H13"/>
  <c r="H10"/>
  <c r="H44"/>
  <c r="I38"/>
  <c r="I37"/>
  <c r="E46"/>
  <c r="C46" s="1"/>
  <c r="D41"/>
  <c r="H37"/>
  <c r="E10"/>
  <c r="C10" s="1"/>
  <c r="H22"/>
  <c r="E11"/>
  <c r="C11" s="1"/>
  <c r="I22"/>
  <c r="E16"/>
  <c r="C16" s="1"/>
  <c r="E25"/>
  <c r="C25" s="1"/>
  <c r="I26"/>
  <c r="D24"/>
  <c r="I33"/>
  <c r="I34"/>
  <c r="D34"/>
  <c r="D11"/>
  <c r="I23"/>
  <c r="D42"/>
  <c r="D37"/>
  <c r="I36"/>
  <c r="D14"/>
  <c r="E8"/>
  <c r="C8" s="1"/>
  <c r="I14"/>
  <c r="I24"/>
  <c r="D22"/>
  <c r="D15"/>
  <c r="E19"/>
  <c r="C19" s="1"/>
  <c r="D30"/>
  <c r="H15"/>
  <c r="E14"/>
  <c r="C14" s="1"/>
  <c r="E20"/>
  <c r="C20" s="1"/>
  <c r="H28"/>
  <c r="H21"/>
  <c r="E24"/>
  <c r="C24" s="1"/>
  <c r="D23"/>
  <c r="I39"/>
  <c r="H43"/>
  <c r="D46"/>
  <c r="I41"/>
  <c r="I47"/>
  <c r="H40"/>
  <c r="E12"/>
  <c r="C12" s="1"/>
  <c r="H19"/>
  <c r="I19"/>
  <c r="I28"/>
  <c r="I16"/>
  <c r="H8"/>
  <c r="I31"/>
  <c r="H18"/>
  <c r="E9"/>
  <c r="C9" s="1"/>
  <c r="I21"/>
  <c r="H31"/>
  <c r="I25"/>
  <c r="D29"/>
  <c r="E22"/>
  <c r="C22" s="1"/>
  <c r="D40"/>
  <c r="D35"/>
  <c r="H34"/>
  <c r="H16"/>
  <c r="D36"/>
  <c r="H32"/>
  <c r="I11"/>
  <c r="H26"/>
  <c r="I35"/>
  <c r="E30"/>
  <c r="C30" s="1"/>
  <c r="E34"/>
  <c r="C34" s="1"/>
  <c r="I13"/>
  <c r="E27"/>
  <c r="C27" s="1"/>
  <c r="H27"/>
  <c r="I27"/>
  <c r="H41"/>
  <c r="D47"/>
  <c r="I43"/>
  <c r="E26"/>
  <c r="C26" s="1"/>
  <c r="E47"/>
  <c r="C47" s="1"/>
  <c r="E38"/>
  <c r="C38" s="1"/>
  <c r="H47"/>
  <c r="I40"/>
  <c r="D12"/>
  <c r="D19"/>
  <c r="I45"/>
  <c r="H35"/>
  <c r="H39"/>
  <c r="E29"/>
  <c r="C29" s="1"/>
  <c r="E45"/>
  <c r="C45" s="1"/>
  <c r="D31"/>
  <c r="H25"/>
  <c r="D17"/>
  <c r="H11"/>
  <c r="D9"/>
  <c r="H42"/>
  <c r="D28"/>
  <c r="I17"/>
  <c r="E37"/>
  <c r="C37" s="1"/>
  <c r="D13"/>
  <c r="I18"/>
  <c r="I42"/>
  <c r="E43"/>
  <c r="C43" s="1"/>
  <c r="E44"/>
  <c r="C44" s="1"/>
  <c r="D38"/>
  <c r="D33"/>
  <c r="D25"/>
  <c r="H23"/>
  <c r="D39"/>
  <c r="E28"/>
  <c r="C28" s="1"/>
  <c r="D27"/>
  <c r="I29"/>
  <c r="H20"/>
  <c r="I20"/>
  <c r="I15"/>
  <c r="I30"/>
  <c r="Y51" i="38"/>
  <c r="BI13" i="29"/>
  <c r="BI17"/>
  <c r="BI21"/>
  <c r="BI25"/>
  <c r="BI29"/>
  <c r="BI33"/>
  <c r="BI37"/>
  <c r="BI41"/>
  <c r="BI45"/>
  <c r="BI11"/>
  <c r="BI15"/>
  <c r="BI23"/>
  <c r="BI27"/>
  <c r="BI35"/>
  <c r="BI43"/>
  <c r="BI10"/>
  <c r="BI14"/>
  <c r="BI18"/>
  <c r="BI22"/>
  <c r="BI30"/>
  <c r="BI34"/>
  <c r="BI38"/>
  <c r="Y82" i="38"/>
  <c r="BI8" i="29"/>
  <c r="BI12"/>
  <c r="BI16"/>
  <c r="BI20"/>
  <c r="BI24"/>
  <c r="BI28"/>
  <c r="BI32"/>
  <c r="BI36"/>
  <c r="BI40"/>
  <c r="BI44"/>
  <c r="BI19"/>
  <c r="BI31"/>
  <c r="BI39"/>
  <c r="BI7"/>
  <c r="BI26"/>
  <c r="BI42"/>
  <c r="BI2"/>
  <c r="B24" s="1"/>
  <c r="X48" i="35"/>
  <c r="U55" s="1"/>
  <c r="I4" i="39"/>
  <c r="Y7" i="38"/>
  <c r="B3" i="34"/>
  <c r="H2" i="29"/>
  <c r="G2" i="30"/>
  <c r="P31" i="1"/>
  <c r="O9" i="5"/>
  <c r="C32"/>
  <c r="C33"/>
  <c r="C29"/>
  <c r="C30"/>
  <c r="C31"/>
  <c r="C20"/>
  <c r="C21"/>
  <c r="C22"/>
  <c r="C23"/>
  <c r="C24"/>
  <c r="C25"/>
  <c r="C26"/>
  <c r="C27"/>
  <c r="C28"/>
  <c r="C19"/>
  <c r="D43"/>
  <c r="D44"/>
  <c r="D49"/>
  <c r="E49"/>
  <c r="D50"/>
  <c r="E50"/>
  <c r="D51"/>
  <c r="E51"/>
  <c r="D52"/>
  <c r="E52"/>
  <c r="E48"/>
  <c r="D48"/>
  <c r="D6" s="1"/>
  <c r="U59" i="35" l="1"/>
  <c r="U58"/>
  <c r="X50"/>
  <c r="X51"/>
  <c r="D7" i="5"/>
  <c r="D42"/>
  <c r="D46"/>
  <c r="D36"/>
  <c r="D37"/>
  <c r="D38"/>
  <c r="D39"/>
  <c r="D40"/>
  <c r="D41"/>
  <c r="D26"/>
  <c r="D27"/>
  <c r="D28"/>
  <c r="D29"/>
  <c r="D30"/>
  <c r="D31"/>
  <c r="D32"/>
  <c r="D33"/>
  <c r="D34"/>
  <c r="D35"/>
  <c r="D20"/>
  <c r="D21"/>
  <c r="D22"/>
  <c r="D23"/>
  <c r="D24"/>
  <c r="D25"/>
  <c r="D19"/>
  <c r="G55" i="99" l="1"/>
  <c r="G54" i="10"/>
  <c r="G55" i="98"/>
  <c r="G54" i="39"/>
  <c r="AQ51" i="96"/>
  <c r="G54" i="99"/>
  <c r="G54" i="98"/>
  <c r="H10" i="1"/>
  <c r="T132" i="38"/>
  <c r="T132" i="24"/>
  <c r="O124" i="38"/>
  <c r="G53" i="39"/>
  <c r="G53" i="10"/>
  <c r="H12" i="1" l="1"/>
  <c r="T133" i="38"/>
  <c r="T133" i="24"/>
</calcChain>
</file>

<file path=xl/comments1.xml><?xml version="1.0" encoding="utf-8"?>
<comments xmlns="http://schemas.openxmlformats.org/spreadsheetml/2006/main">
  <authors>
    <author>djie</author>
  </authors>
  <commentList>
    <comment ref="K2" authorId="0">
      <text>
        <r>
          <rPr>
            <b/>
            <sz val="9"/>
            <color indexed="81"/>
            <rFont val="Tahoma"/>
            <family val="2"/>
          </rPr>
          <t>djie:</t>
        </r>
        <r>
          <rPr>
            <sz val="9"/>
            <color indexed="81"/>
            <rFont val="Tahoma"/>
            <family val="2"/>
          </rPr>
          <t xml:space="preserve">
ditambah 1 jika duplikat
</t>
        </r>
      </text>
    </comment>
  </commentList>
</comments>
</file>

<file path=xl/comments2.xml><?xml version="1.0" encoding="utf-8"?>
<comments xmlns="http://schemas.openxmlformats.org/spreadsheetml/2006/main">
  <authors>
    <author>djie</author>
  </authors>
  <commentList>
    <comment ref="K2" authorId="0">
      <text>
        <r>
          <rPr>
            <b/>
            <sz val="9"/>
            <color indexed="81"/>
            <rFont val="Tahoma"/>
            <family val="2"/>
          </rPr>
          <t>djie:</t>
        </r>
        <r>
          <rPr>
            <sz val="9"/>
            <color indexed="81"/>
            <rFont val="Tahoma"/>
            <family val="2"/>
          </rPr>
          <t xml:space="preserve">
ditambah 1 jika duplikat
</t>
        </r>
      </text>
    </comment>
  </commentList>
</comments>
</file>

<file path=xl/comments3.xml><?xml version="1.0" encoding="utf-8"?>
<comments xmlns="http://schemas.openxmlformats.org/spreadsheetml/2006/main">
  <authors>
    <author>ADJI</author>
  </authors>
  <commentList>
    <comment ref="AH19" authorId="0">
      <text>
        <r>
          <rPr>
            <b/>
            <sz val="9"/>
            <color indexed="81"/>
            <rFont val="Tahoma"/>
            <family val="2"/>
          </rPr>
          <t>ADJI:</t>
        </r>
        <r>
          <rPr>
            <sz val="9"/>
            <color indexed="81"/>
            <rFont val="Tahoma"/>
            <family val="2"/>
          </rPr>
          <t xml:space="preserve">
Input di Data Kelas
</t>
        </r>
      </text>
    </comment>
    <comment ref="AH20" authorId="0">
      <text>
        <r>
          <rPr>
            <b/>
            <sz val="9"/>
            <color indexed="81"/>
            <rFont val="Tahoma"/>
            <family val="2"/>
          </rPr>
          <t>ADJI:</t>
        </r>
        <r>
          <rPr>
            <sz val="9"/>
            <color indexed="81"/>
            <rFont val="Tahoma"/>
            <family val="2"/>
          </rPr>
          <t xml:space="preserve">
Input di Data Kelas</t>
        </r>
      </text>
    </comment>
  </commentList>
</comments>
</file>

<file path=xl/sharedStrings.xml><?xml version="1.0" encoding="utf-8"?>
<sst xmlns="http://schemas.openxmlformats.org/spreadsheetml/2006/main" count="5917" uniqueCount="953">
  <si>
    <t>Nama Wali Kelas</t>
  </si>
  <si>
    <t>NIP.</t>
  </si>
  <si>
    <t>:</t>
  </si>
  <si>
    <t>Tahun Pelajaran</t>
  </si>
  <si>
    <t>Semester</t>
  </si>
  <si>
    <t>Kelas</t>
  </si>
  <si>
    <t>MATA PELAJARAN</t>
  </si>
  <si>
    <t xml:space="preserve">Ilmu Pengetahuan Alam </t>
  </si>
  <si>
    <t>KELAS</t>
  </si>
  <si>
    <t>SEMESTER</t>
  </si>
  <si>
    <t>2 ( GENAP )</t>
  </si>
  <si>
    <t>TAHUN PELAJARAN</t>
  </si>
  <si>
    <t>NILAI</t>
  </si>
  <si>
    <t>1 ( GANJIL )</t>
  </si>
  <si>
    <t>PKn</t>
  </si>
  <si>
    <t>3 ( GANJIL )</t>
  </si>
  <si>
    <t xml:space="preserve">Bahasa Indonesia </t>
  </si>
  <si>
    <t>4 ( GENAP )</t>
  </si>
  <si>
    <t xml:space="preserve">Matematika </t>
  </si>
  <si>
    <t>5 ( GANJIL )</t>
  </si>
  <si>
    <t>6 ( GENAP )</t>
  </si>
  <si>
    <t xml:space="preserve">Ilmu Pengetahuan Sosial </t>
  </si>
  <si>
    <t xml:space="preserve">Bahasa Inggris </t>
  </si>
  <si>
    <t>Seni Budaya</t>
  </si>
  <si>
    <t>Penjaskes</t>
  </si>
  <si>
    <t>Prakarya</t>
  </si>
  <si>
    <t>DATA KELAS</t>
  </si>
  <si>
    <t>Wali Kelas</t>
  </si>
  <si>
    <t>Nama Wali  Kelas</t>
  </si>
  <si>
    <t>Jumlah Siswa</t>
  </si>
  <si>
    <t>DROP DOWN LIST</t>
  </si>
  <si>
    <t>INPUT DATA KELAS</t>
  </si>
  <si>
    <t>NIP</t>
  </si>
  <si>
    <t>DATA WALI KELAS</t>
  </si>
  <si>
    <t>WALI KELAS</t>
  </si>
  <si>
    <t>Semester Ganjil</t>
  </si>
  <si>
    <t>2015 / 2016</t>
  </si>
  <si>
    <t>2017 / 2018</t>
  </si>
  <si>
    <t>2018 / 2019</t>
  </si>
  <si>
    <t>2019 / 2020</t>
  </si>
  <si>
    <t>2020 / 2021</t>
  </si>
  <si>
    <t>2021 / 2022</t>
  </si>
  <si>
    <t>2022 / 2023</t>
  </si>
  <si>
    <t>2023 / 2024</t>
  </si>
  <si>
    <t>2024 / 2025</t>
  </si>
  <si>
    <t>2025 / 2026</t>
  </si>
  <si>
    <t>2026 / 2027</t>
  </si>
  <si>
    <t>2027 / 2028</t>
  </si>
  <si>
    <t>2028 / 2029</t>
  </si>
  <si>
    <t>2029 / 2030</t>
  </si>
  <si>
    <t>No.</t>
  </si>
  <si>
    <t>NIS</t>
  </si>
  <si>
    <t>Nama Lengkap</t>
  </si>
  <si>
    <t>Kelompok A</t>
  </si>
  <si>
    <t>Peng.</t>
  </si>
  <si>
    <t>Ket.</t>
  </si>
  <si>
    <t>KP</t>
  </si>
  <si>
    <t>LEGER  SEMESTER</t>
  </si>
  <si>
    <t>Kelompok B</t>
  </si>
  <si>
    <t>Nilai</t>
  </si>
  <si>
    <t>Jumlah</t>
  </si>
  <si>
    <t>Rangking</t>
  </si>
  <si>
    <t>Absensi</t>
  </si>
  <si>
    <t>Sakit</t>
  </si>
  <si>
    <t>Izin</t>
  </si>
  <si>
    <t>Alfa</t>
  </si>
  <si>
    <t>Rata - Rata</t>
  </si>
  <si>
    <t>Catatan u/ Orang Tua</t>
  </si>
  <si>
    <t>Pendidikan Agama Kristen</t>
  </si>
  <si>
    <t>Pendidikan Agama Islam</t>
  </si>
  <si>
    <t>Pendidikan Agama Katolik</t>
  </si>
  <si>
    <t>Pendidikan Agama Hindu</t>
  </si>
  <si>
    <t>Pendidikan Agama Budha</t>
  </si>
  <si>
    <t>Klik Shortcut</t>
  </si>
  <si>
    <t xml:space="preserve"> (tidak wajib diisi)</t>
  </si>
  <si>
    <t>Untuk Orang  Tua / Wali</t>
  </si>
  <si>
    <t>Catatan 1</t>
  </si>
  <si>
    <t>Catatan Untuk Orang  Tua / Wali Otomatis (yang akan tercetak) jika catatan 1 tidak diisi</t>
  </si>
  <si>
    <t>-</t>
  </si>
  <si>
    <t>A</t>
  </si>
  <si>
    <t>KKM</t>
  </si>
  <si>
    <t>D</t>
  </si>
  <si>
    <t>C</t>
  </si>
  <si>
    <t>B</t>
  </si>
  <si>
    <t>PK</t>
  </si>
  <si>
    <t>Kode Predikat</t>
  </si>
  <si>
    <t>DATA SISWA</t>
  </si>
  <si>
    <t>NISN</t>
  </si>
  <si>
    <t>Ayah Kandung</t>
  </si>
  <si>
    <t>Ibu Kandung</t>
  </si>
  <si>
    <t>Nama Wali</t>
  </si>
  <si>
    <t>Nama Ayah</t>
  </si>
  <si>
    <t>Masih Hidup / Meninggal Dunia</t>
  </si>
  <si>
    <t>Nama Ibu</t>
  </si>
  <si>
    <t>Wali</t>
  </si>
  <si>
    <t>Semester  Saat Ini</t>
  </si>
  <si>
    <t>No</t>
  </si>
  <si>
    <t>Nama Siswa</t>
  </si>
  <si>
    <t>DATA PERINGKAT KELAS</t>
  </si>
  <si>
    <t>Tabel Leger 1</t>
  </si>
  <si>
    <t>Nama</t>
  </si>
  <si>
    <t>Nilai Unik</t>
  </si>
  <si>
    <t>Tabel dibalik</t>
  </si>
  <si>
    <t>Nilai Asli</t>
  </si>
  <si>
    <t>Niai Unik</t>
  </si>
  <si>
    <t>Nilai Urut Final</t>
  </si>
  <si>
    <t>Ekstrakurikuler 1</t>
  </si>
  <si>
    <t>Ekstrakurikuler 2</t>
  </si>
  <si>
    <t>INPUT NILAI EKSTRAKURIKULER</t>
  </si>
  <si>
    <t>INPUT DATA PRESTASI</t>
  </si>
  <si>
    <t>Prestasi 1</t>
  </si>
  <si>
    <t>Prestasi 2</t>
  </si>
  <si>
    <t>Prestasi 3</t>
  </si>
  <si>
    <t>Predikat</t>
  </si>
  <si>
    <t>PRESTASI YANG PERNAH DICAPAI</t>
  </si>
  <si>
    <t>Nilai Sikap Sosial</t>
  </si>
  <si>
    <t>Deskripsi Nilai Sikap Sosial</t>
  </si>
  <si>
    <t>PREDIKAT</t>
  </si>
  <si>
    <t>INPUT DESKRIPSI MATA  PELAJARAN</t>
  </si>
  <si>
    <t>Mata Pelajaran</t>
  </si>
  <si>
    <t>URAIAN KOMPETENSI DASAR</t>
  </si>
  <si>
    <t>Pengetahuan</t>
  </si>
  <si>
    <t>Keterampilan</t>
  </si>
  <si>
    <t>&lt;65</t>
  </si>
  <si>
    <t>65 - 76</t>
  </si>
  <si>
    <t>77 - 88</t>
  </si>
  <si>
    <t>89 - 100</t>
  </si>
  <si>
    <t>A. Pengetahuan</t>
  </si>
  <si>
    <t>Kode Predikat Pengetahuan</t>
  </si>
  <si>
    <t>Urutan Mapel</t>
  </si>
  <si>
    <t>B. Keterampilan</t>
  </si>
  <si>
    <t>DESKRIPSI MATA  PELAJARAN</t>
  </si>
  <si>
    <t>Tempat Lahir</t>
  </si>
  <si>
    <t>Tanggal Lahir</t>
  </si>
  <si>
    <t>Jenis Kelamin</t>
  </si>
  <si>
    <t>Agama</t>
  </si>
  <si>
    <t>Status dalam Keluarga</t>
  </si>
  <si>
    <t>Alamat Siswa</t>
  </si>
  <si>
    <t>Telepon</t>
  </si>
  <si>
    <t>Sekolah Asal</t>
  </si>
  <si>
    <t>Tanggal</t>
  </si>
  <si>
    <t xml:space="preserve">Diterima di </t>
  </si>
  <si>
    <t>Pekerjaan</t>
  </si>
  <si>
    <t>Alamat</t>
  </si>
  <si>
    <t>No. Telepon</t>
  </si>
  <si>
    <t>Data Pribadi Siswa</t>
  </si>
  <si>
    <t>Nomor Telepon</t>
  </si>
  <si>
    <t>Data Pribadi</t>
  </si>
  <si>
    <t>1</t>
  </si>
  <si>
    <t>Wali Kelas,</t>
  </si>
  <si>
    <t>INPUT DATA SEKOLAH (ADMIN PAGE)</t>
  </si>
  <si>
    <t>DATA SEKOLAH</t>
  </si>
  <si>
    <t>PERINGATAN !</t>
  </si>
  <si>
    <t>Nama Sekolah</t>
  </si>
  <si>
    <t>Email Sekolah</t>
  </si>
  <si>
    <t>Website Sekolah</t>
  </si>
  <si>
    <t>Alamat Sekolah</t>
  </si>
  <si>
    <t>Desa / Kelurahan</t>
  </si>
  <si>
    <t>Kecamatan</t>
  </si>
  <si>
    <t>Kabupaten  / Kota</t>
  </si>
  <si>
    <t>Provinsi</t>
  </si>
  <si>
    <t>Kode Pos</t>
  </si>
  <si>
    <t>Telp. / Fax</t>
  </si>
  <si>
    <t>Nama Kepala Sekolah</t>
  </si>
  <si>
    <t>NIP / NIK Kepala Sekolah</t>
  </si>
  <si>
    <t>LAPORAN HASIL BELAJAR</t>
  </si>
  <si>
    <t>NIS / NISN</t>
  </si>
  <si>
    <t>1 (Satu)</t>
  </si>
  <si>
    <t>5 (Lima)</t>
  </si>
  <si>
    <t>3 (Tiga)</t>
  </si>
  <si>
    <t>2 (Dua)</t>
  </si>
  <si>
    <t>4 (Empat)</t>
  </si>
  <si>
    <t>6 (Enam)</t>
  </si>
  <si>
    <t>A. Sikap</t>
  </si>
  <si>
    <t>Deskripsi</t>
  </si>
  <si>
    <t>2. Sikap Sosial</t>
  </si>
  <si>
    <t>B. Pengetahuan dan Keterampilan</t>
  </si>
  <si>
    <t>Jumlah Nilai Kognitif</t>
  </si>
  <si>
    <t>Peringkat Kelas</t>
  </si>
  <si>
    <t>*)Muatan Lokal</t>
  </si>
  <si>
    <t>Deskripsi Pengetahuan dan Keterampilan</t>
  </si>
  <si>
    <t>Aspek</t>
  </si>
  <si>
    <t>Bahasa dan Aksara Lampung</t>
  </si>
  <si>
    <t>Tabel Bantu Agama</t>
  </si>
  <si>
    <t>C. Extrakurikuler</t>
  </si>
  <si>
    <t>Kegiatan Ekstrakurikuler</t>
  </si>
  <si>
    <t>Tanpa Keterangan</t>
  </si>
  <si>
    <t>hari</t>
  </si>
  <si>
    <t>Prestasi yang telah dicapai</t>
  </si>
  <si>
    <t>Mengetahui,</t>
  </si>
  <si>
    <t>Orang Tua / Wali,</t>
  </si>
  <si>
    <t>D. Ketidakhadiran Siswa</t>
  </si>
  <si>
    <r>
      <t xml:space="preserve">Halaman ini hanya boleh diubah atas izin pembuat program. </t>
    </r>
    <r>
      <rPr>
        <b/>
        <i/>
        <sz val="12"/>
        <color theme="1"/>
        <rFont val="Calibri"/>
        <family val="2"/>
        <scheme val="minor"/>
      </rPr>
      <t>(08/05/2017)</t>
    </r>
  </si>
  <si>
    <t>Aji Lutfi (SMP Negeri 7 Kotabumi) - 0822 8228 4990</t>
  </si>
  <si>
    <t>Tabel interval predikat berdasarkan KKM</t>
  </si>
  <si>
    <t>D=Kurang</t>
  </si>
  <si>
    <t>C=Cukup</t>
  </si>
  <si>
    <t>B=Baik</t>
  </si>
  <si>
    <t>A=Sangat Baik</t>
  </si>
  <si>
    <t>N&lt;60</t>
  </si>
  <si>
    <t>N&lt;65</t>
  </si>
  <si>
    <t>N&lt;70</t>
  </si>
  <si>
    <t>N&lt;75</t>
  </si>
  <si>
    <t>N&lt;80</t>
  </si>
  <si>
    <t>INPUT DATA POKOK</t>
  </si>
  <si>
    <t>RAPOR SISWA</t>
  </si>
  <si>
    <t>SEKOLAH MENENGAH PERTAMA</t>
  </si>
  <si>
    <t>(SMP)</t>
  </si>
  <si>
    <t>KEMENTERIAN PENDIDIKAN DAN KEBUDAYAAN</t>
  </si>
  <si>
    <t>REPUBLIK INDONESIA</t>
  </si>
  <si>
    <t>Nama Siswa :</t>
  </si>
  <si>
    <t>NIS / NISN :</t>
  </si>
  <si>
    <t>NPSN</t>
  </si>
  <si>
    <t>NIS / NSS / NDS</t>
  </si>
  <si>
    <t>Kelurahan</t>
  </si>
  <si>
    <t>Kota / Kabupaten</t>
  </si>
  <si>
    <t>Website</t>
  </si>
  <si>
    <t>E-Mail</t>
  </si>
  <si>
    <t>Tempat Penyerahan Rapor</t>
  </si>
  <si>
    <t>Tgl. Pembagian  Rapor</t>
  </si>
  <si>
    <t>KETERANGAN TENTANG DIRI SISWA</t>
  </si>
  <si>
    <t>Nama Siswa (Lengkap)</t>
  </si>
  <si>
    <t>Tempat, Tanggal Lahir</t>
  </si>
  <si>
    <t>Anak ke</t>
  </si>
  <si>
    <t>Nomor Telepon Rumah</t>
  </si>
  <si>
    <t>Diterima di Sekolah Ini</t>
  </si>
  <si>
    <t>Pada tanggal</t>
  </si>
  <si>
    <t>Di kelas</t>
  </si>
  <si>
    <t>Nama Orang Tua</t>
  </si>
  <si>
    <t>a. Ayah</t>
  </si>
  <si>
    <t>b. Ibu</t>
  </si>
  <si>
    <t>Alamat Orang Tua</t>
  </si>
  <si>
    <t>Nomor Telepon / HP</t>
  </si>
  <si>
    <t>Pekerjaan Orang Tua</t>
  </si>
  <si>
    <t>Nama Wali Siswa</t>
  </si>
  <si>
    <t>Alamat Wali Siswa</t>
  </si>
  <si>
    <t>Pekerjaan Wali Siswa</t>
  </si>
  <si>
    <t>Pas Foto</t>
  </si>
  <si>
    <t>3 x 4</t>
  </si>
  <si>
    <t>Bulan</t>
  </si>
  <si>
    <t>Tahun</t>
  </si>
  <si>
    <t>Januari</t>
  </si>
  <si>
    <t>Februari</t>
  </si>
  <si>
    <t>Maret</t>
  </si>
  <si>
    <t>April</t>
  </si>
  <si>
    <t>Mei</t>
  </si>
  <si>
    <t>Juni</t>
  </si>
  <si>
    <t>Juli</t>
  </si>
  <si>
    <t>Agustus</t>
  </si>
  <si>
    <t>September</t>
  </si>
  <si>
    <t>Oktober</t>
  </si>
  <si>
    <t>November</t>
  </si>
  <si>
    <t>Desember</t>
  </si>
  <si>
    <t>Tabel Bantu</t>
  </si>
  <si>
    <t>Tanggal Rapor Semester Ganjil</t>
  </si>
  <si>
    <t>Tanggal Rapor Semester Genap</t>
  </si>
  <si>
    <t>Anak ke -</t>
  </si>
  <si>
    <t>Satu</t>
  </si>
  <si>
    <t>Dua</t>
  </si>
  <si>
    <t>Tiga</t>
  </si>
  <si>
    <t>Empat</t>
  </si>
  <si>
    <t>Lima</t>
  </si>
  <si>
    <t xml:space="preserve">Enam </t>
  </si>
  <si>
    <t>Tujuh</t>
  </si>
  <si>
    <t>Delapan</t>
  </si>
  <si>
    <t>Sembilan</t>
  </si>
  <si>
    <t>Sepuluh</t>
  </si>
  <si>
    <t>Sebelas</t>
  </si>
  <si>
    <t>Dua Belas</t>
  </si>
  <si>
    <t xml:space="preserve">Tiga Belas </t>
  </si>
  <si>
    <t>Empat Belas</t>
  </si>
  <si>
    <t>Lima Belas</t>
  </si>
  <si>
    <t>Enam Belas</t>
  </si>
  <si>
    <t>Tujuh Belas</t>
  </si>
  <si>
    <t>Delapan Belas</t>
  </si>
  <si>
    <t>Sembilan Belas</t>
  </si>
  <si>
    <t>Dua Puluh</t>
  </si>
  <si>
    <t>KETERANGAN PINDAH  SEKOLAH</t>
  </si>
  <si>
    <t>Nama Peserta Didik</t>
  </si>
  <si>
    <t>Kelas yang ditinggalkan</t>
  </si>
  <si>
    <t>KELUAR</t>
  </si>
  <si>
    <t>Sebab Keluar atau atas permintaan (tertulis)</t>
  </si>
  <si>
    <t>Tanda tangan Kepala Sekolah, Stempel Sekolah, dan Tanda Tangan Orang Tua / Wali</t>
  </si>
  <si>
    <t>Kepala Sekolah,</t>
  </si>
  <si>
    <t>……………………………………………</t>
  </si>
  <si>
    <t>MASUK</t>
  </si>
  <si>
    <t>NO.</t>
  </si>
  <si>
    <t>Nomor Induk</t>
  </si>
  <si>
    <t>a.</t>
  </si>
  <si>
    <t>b.</t>
  </si>
  <si>
    <t>Di Kelas</t>
  </si>
  <si>
    <t>Masuk di Sekolah ini</t>
  </si>
  <si>
    <t>NIP. ……………………………………</t>
  </si>
  <si>
    <t>……………....………….,  …………..</t>
  </si>
  <si>
    <t>1. Sikap Spiritual</t>
  </si>
  <si>
    <t>Deskripsi Nilai Sikap Spiritual</t>
  </si>
  <si>
    <t>Nilai Sikap Spiritual</t>
  </si>
  <si>
    <t>INPUT NILAI SIKAP SOSIAL DAN SPIRITUAL</t>
  </si>
  <si>
    <t>Nilai Unik1</t>
  </si>
  <si>
    <t>Nilai Unik2</t>
  </si>
  <si>
    <t>Nilai Unik 2 (Urut Final)</t>
  </si>
  <si>
    <t>APLIKASI RAPOR</t>
  </si>
  <si>
    <t>Petunjuk Penggunaan Aplikasi Rapor</t>
  </si>
  <si>
    <t>1.</t>
  </si>
  <si>
    <t>Sebelum mengisi lapor, aktifkan terlebih dahulu fungsi macro yaitu dengan cara sbb :</t>
  </si>
  <si>
    <t xml:space="preserve">d. </t>
  </si>
  <si>
    <t>klik Enable All macros (not recommended, potentially dangerous code can run)</t>
  </si>
  <si>
    <t>Pilih Macro Settings</t>
  </si>
  <si>
    <t>e.</t>
  </si>
  <si>
    <t xml:space="preserve">c. </t>
  </si>
  <si>
    <t>Pilih Trust Center (sebelah kiri) dan kemudian klik  Trust Center Setting.</t>
  </si>
  <si>
    <t xml:space="preserve">b. </t>
  </si>
  <si>
    <t xml:space="preserve">Klik Excel Option (bagian bawah) </t>
  </si>
  <si>
    <t xml:space="preserve">a. </t>
  </si>
  <si>
    <t>Klik tombol ribon (di sebelah kiri atas) seperti pada gambar</t>
  </si>
  <si>
    <t>Fungsi Macro digunakan untuk fasilitas tombol cetak dan pratinjau</t>
  </si>
  <si>
    <t>2.</t>
  </si>
  <si>
    <t>1).</t>
  </si>
  <si>
    <t>Input Drop Down List</t>
  </si>
  <si>
    <t>Meliputi tabel : Kelas, Tahun Pelajaran, Mata Pelajaran, Nilai, Nama Wali Kelas dan NIP Wali Kelas.</t>
  </si>
  <si>
    <t>2).</t>
  </si>
  <si>
    <t>Input Data Kelas</t>
  </si>
  <si>
    <t>Meliputi isian : Kelas, Nama dan NIP Wali Kelas (otomatis), Tahun Pelajaran, Semester Ganjil, Semester Genap (otomatis), Tanggal Penyerahan Rapor, Tempat Penyerahan Rapor, Jumlah Siswa dan Semester Berjalan</t>
  </si>
  <si>
    <t>3).</t>
  </si>
  <si>
    <t>Meliputfi : Data Pribadi Siswa, Data Ayah, Data Ibu dan Data Wali</t>
  </si>
  <si>
    <t>Urutan Pengisian Rapor oleh Admin adalah sbb :</t>
  </si>
  <si>
    <t>Perlu diperhatikan pengisian status hidup / meninggal dunia orang tua wajib diisi, karena terkait dengan penandatangan rapor oleh orang tua / wali.</t>
  </si>
  <si>
    <t>3.</t>
  </si>
  <si>
    <t>Menu Leger</t>
  </si>
  <si>
    <t>Pengisian Rapor oleh Wali Kelas adalah sbb :</t>
  </si>
  <si>
    <t>Pengisian KKM</t>
  </si>
  <si>
    <t>Pengisian Nilai Pengetahuan dan Keterampilan</t>
  </si>
  <si>
    <t>Untuk pengisian nilai Pendidikan Agama sesuaikan dengan Agama dari siswa masing-masing.</t>
  </si>
  <si>
    <t>Absensi silahkan isi jumlah ketidakhadiran siswa.</t>
  </si>
  <si>
    <t>Catatan untuk Orang Tua / Wali silahkan dikosongkan bila ingin menggunakan isian standar Aplikasi</t>
  </si>
  <si>
    <t>Silahkan isi deskripsi pengetahuan dan keterampilan dari setiap mata pelajaran.</t>
  </si>
  <si>
    <t>Pisahkan setiap kompetensi dasar dengan tanda koma (,).</t>
  </si>
  <si>
    <t>Menu Deskripsi Mata Pelajaran (Kompetensi Dasar)</t>
  </si>
  <si>
    <t>Menu Sikap Spiritual dan Sosial</t>
  </si>
  <si>
    <t>Silahkan input nilai Sikap Spritual dan Sosial dari masing-masing siswa dengan predikat A s.d. D</t>
  </si>
  <si>
    <t>Sesuaikan dengan deskripsi yang ada di tabel disamping tabel isian.</t>
  </si>
  <si>
    <t>Menu Nilai Ekstrakurikuler</t>
  </si>
  <si>
    <t>Silahkan masukan nama Ekstrakurikuler yang diikuti oleh siswa kemudian input nilai dengan predikat A s.d. D</t>
  </si>
  <si>
    <t>4).</t>
  </si>
  <si>
    <t>5).</t>
  </si>
  <si>
    <t>Menu Nilai Prestasi Siswa</t>
  </si>
  <si>
    <t>Silahkan masukan nama prestasi yang didapat oleh siswa, beserta keterangannya.</t>
  </si>
  <si>
    <t>6).</t>
  </si>
  <si>
    <t>Menu Cetak Rapor</t>
  </si>
  <si>
    <t>Silahkan pilih nama siswa yang rapornya akan dicetak (klik tanda lingkaran merah)</t>
  </si>
  <si>
    <t>Klik Tombol Pratinjau untuk melihat preview sebelum dicetak (Print Preview)</t>
  </si>
  <si>
    <t>Klik Tombol Cetak untuk mencetak, pastikan printer sudah menyala dan terkoneksi.</t>
  </si>
  <si>
    <t>Semua tombol akan berfungsi jika sudah dilakukan langkah awal (pengaktifan fungsi macro)</t>
  </si>
  <si>
    <t>7).</t>
  </si>
  <si>
    <t>Menu Rangking Kelas</t>
  </si>
  <si>
    <t>Fasilitas untuk menampilkan dan mencetak rangking kelas yang sudah diurutkan.</t>
  </si>
  <si>
    <t>8).</t>
  </si>
  <si>
    <t>Menu Lihat Leger Predikat</t>
  </si>
  <si>
    <t>Fasilitas untuk menampilkan dan mencetak leger predikat dari nilai pengetahuan dan nilai keterampilan yang diperoleh siswa.</t>
  </si>
  <si>
    <t>Aji Lutfi - SMPN 7 Kotabumi @2017</t>
  </si>
  <si>
    <t>Nilai Unik 2</t>
  </si>
  <si>
    <t>Kenaikan / Kelulusan Kelas</t>
  </si>
  <si>
    <t>Semester Genap Berjalan</t>
  </si>
  <si>
    <t>Semester Ganjil Berjalan</t>
  </si>
  <si>
    <t>Naik / Lulus</t>
  </si>
  <si>
    <t>Tidak Naik / Tidak Lulus</t>
  </si>
  <si>
    <t>Keputusan :</t>
  </si>
  <si>
    <t>Keterangan Naik Kelas</t>
  </si>
  <si>
    <t>Naik ke Kelas</t>
  </si>
  <si>
    <t>Keterangan</t>
  </si>
  <si>
    <t>Silahkan pilih tombol bertanda panah (&gt;&gt;)</t>
  </si>
  <si>
    <t>3?CczbSqh7TKWXJrvRd$n+NXKeEHJ^CzS+Vtp2Ub2+gsh!eXC!ZEAgHJSp^C2J!%r7F6mnHz9A-rmT-vbHfKbFCUuvDz2^njSMu=srrXyy?Qf4cBE-Z72rQ46qsd&amp;BM&amp;</t>
  </si>
  <si>
    <t>dk=pg$4rK37h63nvjw24UxjsnAf!Jf2h2FXbEJgesSNrQGquSep$fW7LL4#mBxcuvuDNwFg8NcdNrfnPZ&amp;u&amp;psJMzdqU?@amcT=*D^ZqBVJZAD7u_S8wbVSJEK-$xJv$</t>
  </si>
  <si>
    <t>rg=_B7zn%6VD59QeNTwQ_D6bTcHMJz9EPZ_-t992m@z&amp;azks7=sQ#dDJ3fRrPhQY-9MsHP8LLYfrnLfADytgCy8@cugQqGqJ^Z8GEu!zKWdXBT^Qv6zE8mYBHS-du7bc</t>
  </si>
  <si>
    <t>ZGp-LT2sXVv&amp;rV?C4Z-N!X4aHb2SWLd$zx-Ra2BjKpD5*-%BT--7LwAYbpj^&amp;6Dn^x@A67CYcZnWURJu6LJhvJ$aZy6cvrjn7423V_b!vdJHGTWPdNXP=GRH3xEFSdYx</t>
  </si>
  <si>
    <t>Mp_$J=t9Q9@@VUSsP7&amp;pg2KS2d=^NS!fUJTU3fx&amp;?Zu=88XKrsKS-%9kcvmfHA4m%ADLSR&amp;Y@XCXvH_QK=B+*HUsr-%_BD@5-wP6%beZMdwVSDsaS9qDPx^9Y4kn2bw$</t>
  </si>
  <si>
    <t>us7qjKA^--en3n?Gm2DkSLUHV=a5Wy%Pnf4pBd6fhq7@^Cm^xK*WJVm4MpFcK3BujbtcF*&amp;gheUhzZ7GNy+hKg#DJZVjPG?^Ajp7A9_STYsYkBY?4Z%RT*M6kjN*%G4G</t>
  </si>
  <si>
    <t>gqy7wThReKP?!46qxEM7?%+$xYrqmZB^@mEPzK6@fcUaa$eKnSZ*EME?ymkPm?*CQm2ErxJHN6D@zgB8zwTbA8xyq2K=Q68t?7P*YTm&amp;fcrkfbH+U+%H$pDz_?rRRxMh</t>
  </si>
  <si>
    <t>sF=jUpq*GfGd%m$7mhfEJLg!9hTBUkMDrMu+V+$qU?gsCUa=PQ@NTH$aM@wSar%2PWdYXX2^HAz%2z#krJu9G9*yUV8@2rZ_AydA2d+TQz%p3tb?7B=#swrLr@DxBHYb</t>
  </si>
  <si>
    <t>HrQUZ?SmYP#qWgeNZrkSj2phT%NF=3XgvYq^bZ23pFd^%V2NFE$2czYRX2QE=%kZ9U6@+dMpWG?R#3Ky@y*-XdkGGs%pNGYbtXg75aKb*7yfW=BsGd6snF*HMjJh%cRB</t>
  </si>
  <si>
    <t>U6@LT6Rcz_w#bJAvB+VFGGr$$aPqSsQjmMkGX2aK?MSrqxqT8#%4DUKP@gCubF4S&amp;4sf2qM!JrSu%s?jLBc3^6P^N&amp;+$T-f4h8S3MZ6fPe+V*85qJ$kNst=EZpD!dh$&amp;</t>
  </si>
  <si>
    <t>Raport1</t>
  </si>
  <si>
    <t>Raport2</t>
  </si>
  <si>
    <t>Leger1</t>
  </si>
  <si>
    <t>Leger2</t>
  </si>
  <si>
    <t>Cover</t>
  </si>
  <si>
    <t>Data Sekolah</t>
  </si>
  <si>
    <t>Biodata</t>
  </si>
  <si>
    <t>Petunjuk</t>
  </si>
  <si>
    <t>Admin</t>
  </si>
  <si>
    <t>Menu Utama</t>
  </si>
  <si>
    <t>AE2</t>
  </si>
  <si>
    <t>Hide it!</t>
  </si>
  <si>
    <t>AK11</t>
  </si>
  <si>
    <t>Hide It!</t>
  </si>
  <si>
    <r>
      <t xml:space="preserve">Kemudian Klik OK. </t>
    </r>
    <r>
      <rPr>
        <b/>
        <u/>
        <sz val="12"/>
        <color theme="1"/>
        <rFont val="Calibri"/>
        <family val="2"/>
        <scheme val="minor"/>
      </rPr>
      <t>Tutup aplikasi dan buka kembali.</t>
    </r>
    <r>
      <rPr>
        <sz val="12"/>
        <color theme="1"/>
        <rFont val="Calibri"/>
        <family val="2"/>
        <scheme val="minor"/>
      </rPr>
      <t xml:space="preserve"> Aplikasi siap digunakan.</t>
    </r>
  </si>
  <si>
    <t>selalu bersyukur dan berdoa sebelum melakukan kegiatan serta memiliki toleran yang sangat tinggi pada pemeluk agama yang berbeda, ketaatan beribadah sangat baik dan selalu mengingatkan teman-temannya untuk melaksanakan ajaran agamanya dengan baik.</t>
  </si>
  <si>
    <t>selalu bersyukur dan berdoa sebelum melakukan kegiatan serta memiliki toleran yang tinggi pada pemeluk agama yang berbeda, ketaatan beribadah baik dan sering mengingatkan teman-temannya untuk melaksanakan ajaran agamanya dengan baik.</t>
  </si>
  <si>
    <t>selalu bersyukur dan berdoa sebelum melakukan kegiatan akan tetapi memiliki sikap kurang toleran pada pemeluk agama yang berbeda, ketaatan beribadah masih belum menunjukan perkembangan yang baik.</t>
  </si>
  <si>
    <t>selalu bersikap santun pada orang lain, peduli pada sesama teman, memiliki kepercayaan diri yang baik, responsif dalam pergaulan, memiliki sikap jujur, disiplin, dan tanggungjawab yang tinggi.</t>
  </si>
  <si>
    <t>memiliki sikap santun pada orang lain, peduli pada sesama teman, memiliki kepercaya diri yang baik, cukup responsif dalam pergaulan, memiliki sikap jujur, disiplin, dan tanggungjawab yang cukup tinggi.</t>
  </si>
  <si>
    <t>memiliki sikap yang cukup santun pada orang lain, cukup peduli pada sesama teman, memiliki kepercayaan diri yang cukup baik, responsif dalam pergaulan, memiliki sikap jujur, cukup disiplin, dan tanggungjawab yang cukup baik</t>
  </si>
  <si>
    <t>sering bersikap kurang santun pada orang lain, kurang peduli pada sesama teman, kepercayaan diri kurang baik , tidak responsif dalam pergaulan, kurang memiliki sikap jujur, disiplin, dan tanggungjawab yang rendah.</t>
  </si>
  <si>
    <t>KARTU PELAJAR</t>
  </si>
  <si>
    <t>PEMERINTAH KABUPATEN LAMPUNG UTARA</t>
  </si>
  <si>
    <t>DINAS PENDIDIKAN DAN KEBUDAYAAN</t>
  </si>
  <si>
    <t>TTL</t>
  </si>
  <si>
    <t>J. Kelamin</t>
  </si>
  <si>
    <t>Sekolah :</t>
  </si>
  <si>
    <t>TATA TERTIB SEKOLAH</t>
  </si>
  <si>
    <t>4.</t>
  </si>
  <si>
    <t>5.</t>
  </si>
  <si>
    <t>Taqwa kepada Tuhan Yang Maha Esa</t>
  </si>
  <si>
    <t>Selalu menjunjung tinggi nama baik sekolah.</t>
  </si>
  <si>
    <t>Hormat terhadap guru, orang tua dan sesama siswa.</t>
  </si>
  <si>
    <t>Mentaati tata tertib sekolah.</t>
  </si>
  <si>
    <t>Halaman</t>
  </si>
  <si>
    <t>Nomor</t>
  </si>
  <si>
    <t>Konten</t>
  </si>
  <si>
    <t>Nomor :</t>
  </si>
  <si>
    <t>Sanggup mematuhi tata tertib dan sanggup melaksakan</t>
  </si>
  <si>
    <t>tugas, di dalam maupun di luar sekolah.</t>
  </si>
  <si>
    <t>Ekstrakurikuler 3</t>
  </si>
  <si>
    <t>selalu bersyukur dan berdoa sebelum melakukan kegiatan serta memiliki toleran yang cukup tinggi pada pemeluk agama yang berbeda, ketaatan beribadah mulai berkembang dari waktu ke waktu.</t>
  </si>
  <si>
    <t>VIII</t>
  </si>
  <si>
    <t xml:space="preserve">VII </t>
  </si>
  <si>
    <t xml:space="preserve">IX </t>
  </si>
  <si>
    <t>HP. 0822 8228 4990</t>
  </si>
  <si>
    <t xml:space="preserve"> D96F9C05</t>
  </si>
  <si>
    <t>WhatsApp 089632630849</t>
  </si>
  <si>
    <t>Copyright@Aji Lutfi, A.Md - SMPN 7 KTB</t>
  </si>
  <si>
    <t>BUKU INDUK SISWA</t>
  </si>
  <si>
    <t>Nama Panggilan</t>
  </si>
  <si>
    <t>Kewarganegaraan</t>
  </si>
  <si>
    <t>Anak ke-</t>
  </si>
  <si>
    <t>Status Dlm Rumah Tangga</t>
  </si>
  <si>
    <t>Jumlah Sdr Kandung</t>
  </si>
  <si>
    <t>Jumlah Sdr Tiri</t>
  </si>
  <si>
    <t>Jumlah Sdr Angkat</t>
  </si>
  <si>
    <t>Anak  Yatim/Piatu</t>
  </si>
  <si>
    <t>Bahasa Sehari-hari</t>
  </si>
  <si>
    <t>DATA DIRI SISWA</t>
  </si>
  <si>
    <t>TEMPAT TINGGAL</t>
  </si>
  <si>
    <t>No. Telp</t>
  </si>
  <si>
    <t>Tinggal Dengan</t>
  </si>
  <si>
    <t>Jarak Tempat Tinggal</t>
  </si>
  <si>
    <t>Gol. Darah</t>
  </si>
  <si>
    <t>Penyakit yg Pernah Diderita</t>
  </si>
  <si>
    <t>Kelainan Jasmani</t>
  </si>
  <si>
    <t>Tinggi dan Berat Badan</t>
  </si>
  <si>
    <t>KESEHATAN</t>
  </si>
  <si>
    <t>DI TERIMA DI SEKOLAH INI</t>
  </si>
  <si>
    <t>Diterima di Kelas</t>
  </si>
  <si>
    <t>Tanggal Diterima</t>
  </si>
  <si>
    <t>PENDIDIKAN SEBELUMNYA</t>
  </si>
  <si>
    <t>Nama Sekolah  Asal</t>
  </si>
  <si>
    <t>Alamat Sekolah Asal</t>
  </si>
  <si>
    <t>No. Ijazah</t>
  </si>
  <si>
    <t>Tahun Ijazah</t>
  </si>
  <si>
    <t>No. STL Sekolah Asal</t>
  </si>
  <si>
    <t>Tahun STL</t>
  </si>
  <si>
    <t>No. Peserta Ujian SD</t>
  </si>
  <si>
    <t>Lama Belajar</t>
  </si>
  <si>
    <t>PINDAHAN</t>
  </si>
  <si>
    <t>Dari Sekolah</t>
  </si>
  <si>
    <t>Alasan</t>
  </si>
  <si>
    <t>KETERANGAN AYAH KANDUNG</t>
  </si>
  <si>
    <t>Pendidikan</t>
  </si>
  <si>
    <t>Pekerjaan Ayah</t>
  </si>
  <si>
    <t>Penghasilan Perbulan</t>
  </si>
  <si>
    <t>Alamat Ayah</t>
  </si>
  <si>
    <t>Masih Hidup/Sudah Meninggal</t>
  </si>
  <si>
    <t>Islam</t>
  </si>
  <si>
    <t>Indonesia</t>
  </si>
  <si>
    <t>KETERANGAN IBU KANDUNG</t>
  </si>
  <si>
    <t>Pekerjaan Ibu</t>
  </si>
  <si>
    <t>Alamat Ibu</t>
  </si>
  <si>
    <t>KETERANGAN WALI</t>
  </si>
  <si>
    <t>Alamat Wali</t>
  </si>
  <si>
    <t>Pekerjaan Wali</t>
  </si>
  <si>
    <t>KEGEMARAN</t>
  </si>
  <si>
    <t>Olahraga</t>
  </si>
  <si>
    <t>Organisasi</t>
  </si>
  <si>
    <t>Lain-lain</t>
  </si>
  <si>
    <t>Meninggalkan Sekolah Tgl</t>
  </si>
  <si>
    <t>Alasan Meninggalkan Sekolah</t>
  </si>
  <si>
    <t>Nomor Ijazah</t>
  </si>
  <si>
    <t>Tahun Tamat Belajar</t>
  </si>
  <si>
    <t>Perkembangan Peserta Didik</t>
  </si>
  <si>
    <t>Melanjutkan  Ke</t>
  </si>
  <si>
    <t>BIODATA SISWA (BUKU INDUK)</t>
  </si>
  <si>
    <t>DITERIMA DISINI</t>
  </si>
  <si>
    <t>PEND. SEBELUMNYA</t>
  </si>
  <si>
    <t>DATA AYAH</t>
  </si>
  <si>
    <t>DATA IBU</t>
  </si>
  <si>
    <t>DATA WALI</t>
  </si>
  <si>
    <t>PERKEMBANGAN</t>
  </si>
  <si>
    <t>SETELAH SEKOLAH</t>
  </si>
  <si>
    <t>LEMBAR BUKU INDUK</t>
  </si>
  <si>
    <t>LEMBAR BUKU INDUK SISWA</t>
  </si>
  <si>
    <t>A.</t>
  </si>
  <si>
    <t>KETERANGAN PRIBADI</t>
  </si>
  <si>
    <t>Tempat dan Tanggal Lahir</t>
  </si>
  <si>
    <t>6.</t>
  </si>
  <si>
    <t>Anak Ke-</t>
  </si>
  <si>
    <t>7.</t>
  </si>
  <si>
    <t>Jumlah Saudara Kandung</t>
  </si>
  <si>
    <t>8.</t>
  </si>
  <si>
    <t>Jumlah Saudara Tiri</t>
  </si>
  <si>
    <t>9.</t>
  </si>
  <si>
    <t>Jumlah Saudara Angkat</t>
  </si>
  <si>
    <t>10.</t>
  </si>
  <si>
    <t>Bahasa Sehari-hari di Rumah</t>
  </si>
  <si>
    <t>B.</t>
  </si>
  <si>
    <t>KETERANGAN TEMPAT TINGGAL</t>
  </si>
  <si>
    <t>11.</t>
  </si>
  <si>
    <t>12.</t>
  </si>
  <si>
    <t>13.</t>
  </si>
  <si>
    <t>14.</t>
  </si>
  <si>
    <t>Tinggal Bersama dengan</t>
  </si>
  <si>
    <t>Jarak Tempat Tinggal ke Sekolah</t>
  </si>
  <si>
    <t>KETERANGAN KESEHATAN</t>
  </si>
  <si>
    <t>C.</t>
  </si>
  <si>
    <t>15.</t>
  </si>
  <si>
    <t>Golongan Darah</t>
  </si>
  <si>
    <t>16.</t>
  </si>
  <si>
    <t>Penyakit yang pernah diderita</t>
  </si>
  <si>
    <t>17.</t>
  </si>
  <si>
    <t>18.</t>
  </si>
  <si>
    <t>D.</t>
  </si>
  <si>
    <t>KETERANGAN PENDIDIKAN</t>
  </si>
  <si>
    <t>19.</t>
  </si>
  <si>
    <t>Pendidikan Sebelumnya</t>
  </si>
  <si>
    <t>Lulusan dari</t>
  </si>
  <si>
    <t>Nomor Ijazah/Tahun Ijazah</t>
  </si>
  <si>
    <t>20.</t>
  </si>
  <si>
    <t>Pindahan</t>
  </si>
  <si>
    <t>21.</t>
  </si>
  <si>
    <t>Diterma di sekolah ini pada</t>
  </si>
  <si>
    <t>Tingkat</t>
  </si>
  <si>
    <t>E.</t>
  </si>
  <si>
    <t>KETERANGAN TENTANG AYAH KANDUNG</t>
  </si>
  <si>
    <t>22.</t>
  </si>
  <si>
    <t>23.</t>
  </si>
  <si>
    <t>24.</t>
  </si>
  <si>
    <t>25.</t>
  </si>
  <si>
    <t>26.</t>
  </si>
  <si>
    <t>27.</t>
  </si>
  <si>
    <t>28.</t>
  </si>
  <si>
    <t>Penghasilan  per-bulan</t>
  </si>
  <si>
    <t>29.</t>
  </si>
  <si>
    <t>Alamat Rumah</t>
  </si>
  <si>
    <t>30.</t>
  </si>
  <si>
    <t>Masih Hidup/Meninggal Dunia</t>
  </si>
  <si>
    <t>F.</t>
  </si>
  <si>
    <t>31.</t>
  </si>
  <si>
    <t>32.</t>
  </si>
  <si>
    <t>33.</t>
  </si>
  <si>
    <t>34.</t>
  </si>
  <si>
    <t>35.</t>
  </si>
  <si>
    <t>36.</t>
  </si>
  <si>
    <t>37.</t>
  </si>
  <si>
    <t>38.</t>
  </si>
  <si>
    <t>40.</t>
  </si>
  <si>
    <t>G.</t>
  </si>
  <si>
    <t>KETERANGAN TENTANG WALI</t>
  </si>
  <si>
    <t>42.</t>
  </si>
  <si>
    <t>43.</t>
  </si>
  <si>
    <t>44.</t>
  </si>
  <si>
    <t>45.</t>
  </si>
  <si>
    <t>46.</t>
  </si>
  <si>
    <t>47.</t>
  </si>
  <si>
    <t>48.</t>
  </si>
  <si>
    <t>49.</t>
  </si>
  <si>
    <t>Tinggi/Berat Badan</t>
  </si>
  <si>
    <t>H.</t>
  </si>
  <si>
    <t>39.</t>
  </si>
  <si>
    <t>41.</t>
  </si>
  <si>
    <t>50.</t>
  </si>
  <si>
    <t>51.</t>
  </si>
  <si>
    <t>I.</t>
  </si>
  <si>
    <t>KETERANGAN PERKEMBANGAN SISWA</t>
  </si>
  <si>
    <t>52.</t>
  </si>
  <si>
    <t>Meninggalkan Sekolah</t>
  </si>
  <si>
    <t>Tanggal Meninggalkan Sekolah</t>
  </si>
  <si>
    <t>53.</t>
  </si>
  <si>
    <t>Akhir Pendidikan</t>
  </si>
  <si>
    <t>Tamat Belajar</t>
  </si>
  <si>
    <t>J.</t>
  </si>
  <si>
    <t>KETERANGAN SETELAH SELESAI PENDIDIKAN</t>
  </si>
  <si>
    <t>Melanjutkan Sekolah di</t>
  </si>
  <si>
    <t>LAPORAN PENCAPAIAN PESERTA DIDIK</t>
  </si>
  <si>
    <t>LAPORAN PENCAPAIAN KOMPETENSI SISWA</t>
  </si>
  <si>
    <t>TANDA TERIMA PENGAMBILAN RAPOR</t>
  </si>
  <si>
    <t>Tanda Tangan Orang Tua / Wali / Siswa</t>
  </si>
  <si>
    <t>Ket : Data pada kolom yang berwarna abu-abu diambil dari biodata Rapor, silahkan isi kolom berwarna putih !</t>
  </si>
  <si>
    <t>Kepramukaan</t>
  </si>
  <si>
    <t>VALIDASI PENGISIAN RAPOR</t>
  </si>
  <si>
    <t>Deskripsi Mapel</t>
  </si>
  <si>
    <t>Leger</t>
  </si>
  <si>
    <t>P</t>
  </si>
  <si>
    <t>K</t>
  </si>
  <si>
    <t>VIII A</t>
  </si>
  <si>
    <t>DAFTAR EKSTRAKURIKULER</t>
  </si>
  <si>
    <t>Paskibra</t>
  </si>
  <si>
    <t>DAFTAR NAMA MAPEL</t>
  </si>
  <si>
    <t>Rohani Islam</t>
  </si>
  <si>
    <t>PMR</t>
  </si>
  <si>
    <t>Lampung Utara</t>
  </si>
  <si>
    <t>FFFF</t>
  </si>
  <si>
    <t>Lampung</t>
  </si>
  <si>
    <t>KETERANGAN TENTANG IBU KANDUNG</t>
  </si>
  <si>
    <t xml:space="preserve"> </t>
  </si>
  <si>
    <t>INPUT DESKRIPSI MAPEL</t>
  </si>
  <si>
    <t>Silahkan paste deskripsi yang telah di-copy dari Aplikasi Penilaian pada kolom yang sesuai dengan mapel</t>
  </si>
  <si>
    <t>C. Ekstrakurikuler</t>
  </si>
  <si>
    <t>D. Prestasi</t>
  </si>
  <si>
    <t>E. Catatan wali kelas</t>
  </si>
  <si>
    <t>F. Tanggapan Orang Tua / Wali</t>
  </si>
  <si>
    <t>G. Ketidakhadiran Siswa</t>
  </si>
  <si>
    <t>SMP NEGERI 1 ABUNG SURAKARTA</t>
  </si>
  <si>
    <t>10802887</t>
  </si>
  <si>
    <t>20.1.12.03.14.001</t>
  </si>
  <si>
    <t>Jl. Pendidikan No. 24</t>
  </si>
  <si>
    <t>Tatakarya</t>
  </si>
  <si>
    <t>Abung Surakarta</t>
  </si>
  <si>
    <t>smpnegeri1abungsurakarta@yahoo.com</t>
  </si>
  <si>
    <t>Hj. YURNILAWATI, S.Pd.I</t>
  </si>
  <si>
    <t>19590208 198102 2 001</t>
  </si>
  <si>
    <t>Yulliani, S.Pd.</t>
  </si>
  <si>
    <t>Siti Kotijah, S.Pd.</t>
  </si>
  <si>
    <t>19620808198601 2 001</t>
  </si>
  <si>
    <t>19700120199501 2 001</t>
  </si>
  <si>
    <t>VIII B</t>
  </si>
  <si>
    <t>VIII C</t>
  </si>
  <si>
    <t>Kesenian</t>
  </si>
  <si>
    <t>Sains</t>
  </si>
  <si>
    <t>Sulam Tapis</t>
  </si>
  <si>
    <t>Olah Raga</t>
  </si>
  <si>
    <t>Ahmad Zaki Aufa</t>
  </si>
  <si>
    <t>Andini Dwi Aryanti</t>
  </si>
  <si>
    <t>Anggun Suci Rahmadani</t>
  </si>
  <si>
    <t>Anisa Julia Tasya</t>
  </si>
  <si>
    <t>Aulia Rahmawati</t>
  </si>
  <si>
    <t>Ayu Emelia Putri</t>
  </si>
  <si>
    <t>Bayu Anggoro</t>
  </si>
  <si>
    <t>Calissta Sabrina Salwa Aurelia</t>
  </si>
  <si>
    <t>Dea Safitri</t>
  </si>
  <si>
    <t>Dewi Wulandari</t>
  </si>
  <si>
    <t>Hikmatullah Umar Malik Abdul Aziz</t>
  </si>
  <si>
    <t>Indah Purnama Ningsih</t>
  </si>
  <si>
    <t>Ladiva Nurrosa Laila</t>
  </si>
  <si>
    <t>Mellanie Bunga Aprilia</t>
  </si>
  <si>
    <t>Mirra Tusolickak</t>
  </si>
  <si>
    <t>Muhammad Daffa Rifa'i</t>
  </si>
  <si>
    <t>Nova Laila Khusna</t>
  </si>
  <si>
    <t>Sawal Ramadian</t>
  </si>
  <si>
    <t>Tio Ardinata</t>
  </si>
  <si>
    <t>Tutik Dillayanti</t>
  </si>
  <si>
    <t>0061139155</t>
  </si>
  <si>
    <t>0042577294</t>
  </si>
  <si>
    <t>0057109584</t>
  </si>
  <si>
    <t>0063116933</t>
  </si>
  <si>
    <t>0051698770</t>
  </si>
  <si>
    <t>0042024472</t>
  </si>
  <si>
    <t>0058921491</t>
  </si>
  <si>
    <t>0055373501</t>
  </si>
  <si>
    <t>0051698793</t>
  </si>
  <si>
    <t>0042577296</t>
  </si>
  <si>
    <t>0045430012</t>
  </si>
  <si>
    <t>0058585843</t>
  </si>
  <si>
    <t>0051698787</t>
  </si>
  <si>
    <t>0058622820</t>
  </si>
  <si>
    <t>0051698692</t>
  </si>
  <si>
    <t>0051698781</t>
  </si>
  <si>
    <t>0051698775</t>
  </si>
  <si>
    <t>0055783779</t>
  </si>
  <si>
    <t>0045430128</t>
  </si>
  <si>
    <t>SURAKARTA</t>
  </si>
  <si>
    <t>SDN 1 Surakarta</t>
  </si>
  <si>
    <t>ANDI CAWARMAN</t>
  </si>
  <si>
    <t>Wiraswasta</t>
  </si>
  <si>
    <t>TRI HUSPITA SARI</t>
  </si>
  <si>
    <t>26/01/2006</t>
  </si>
  <si>
    <t>Laki-Laki</t>
  </si>
  <si>
    <t>TATAKARYA</t>
  </si>
  <si>
    <t>SDN 2 Tatakarya</t>
  </si>
  <si>
    <t>WALUYO</t>
  </si>
  <si>
    <t>Petani</t>
  </si>
  <si>
    <t>MUNAWAROH</t>
  </si>
  <si>
    <t>Perempuan</t>
  </si>
  <si>
    <t>Anak Kandung</t>
  </si>
  <si>
    <t>05/08/2004</t>
  </si>
  <si>
    <t>Masih Hidup</t>
  </si>
  <si>
    <t>MI Al Munawwarah</t>
  </si>
  <si>
    <t>SHOLIKHIN</t>
  </si>
  <si>
    <t>SUMIATUN</t>
  </si>
  <si>
    <t>PNS</t>
  </si>
  <si>
    <t>Ibu Rumah Tangga</t>
  </si>
  <si>
    <t>SOLEH</t>
  </si>
  <si>
    <t>TUPARIYAH</t>
  </si>
  <si>
    <t>ROMLAN</t>
  </si>
  <si>
    <t>SUPRIHATIN</t>
  </si>
  <si>
    <t>TANGERANG</t>
  </si>
  <si>
    <t>SUTAN GAJAH</t>
  </si>
  <si>
    <t>SDN Bandar Abung</t>
  </si>
  <si>
    <t>SAMSUL BAHRI</t>
  </si>
  <si>
    <t>RATNA JUWITA</t>
  </si>
  <si>
    <t>Laki-laki</t>
  </si>
  <si>
    <t>KARTONO</t>
  </si>
  <si>
    <t>Buruh</t>
  </si>
  <si>
    <t>SRI HALINA</t>
  </si>
  <si>
    <t>HERRY SUWANTO</t>
  </si>
  <si>
    <t>MARSINAH</t>
  </si>
  <si>
    <t>SUYITNO</t>
  </si>
  <si>
    <t>ENI SULISTIA NINGSIH</t>
  </si>
  <si>
    <t>KOSIM</t>
  </si>
  <si>
    <t>DASMINI</t>
  </si>
  <si>
    <t>SDN 1 Tatakarya</t>
  </si>
  <si>
    <t>SRI HARTATI</t>
  </si>
  <si>
    <t>SDN 3 Tatakarya</t>
  </si>
  <si>
    <t>JUMADI</t>
  </si>
  <si>
    <t>SUPARMI</t>
  </si>
  <si>
    <t>KOTABUMI</t>
  </si>
  <si>
    <t>EDI SURYANTO</t>
  </si>
  <si>
    <t>ISGIYANTI</t>
  </si>
  <si>
    <t>JA'UN</t>
  </si>
  <si>
    <t>KURNIA WATI</t>
  </si>
  <si>
    <t>M. TOYEB</t>
  </si>
  <si>
    <t>SARNI</t>
  </si>
  <si>
    <t>MARKUAT</t>
  </si>
  <si>
    <t>SARIKEM</t>
  </si>
  <si>
    <t>SENEN EFENDI</t>
  </si>
  <si>
    <t>KARLENA</t>
  </si>
  <si>
    <t>PENAGAN RATU</t>
  </si>
  <si>
    <t>MI Negeri 1 LU</t>
  </si>
  <si>
    <t>TARZI MUKRAM</t>
  </si>
  <si>
    <t>Karyawan Swasta</t>
  </si>
  <si>
    <t>DARMANTO</t>
  </si>
  <si>
    <t>NANIK</t>
  </si>
  <si>
    <t>01/11/2005</t>
  </si>
  <si>
    <t>14/07/2004</t>
  </si>
  <si>
    <t>24/02/2005</t>
  </si>
  <si>
    <t>09/09/2004</t>
  </si>
  <si>
    <t>15/03/2005</t>
  </si>
  <si>
    <t>07/10/2005</t>
  </si>
  <si>
    <t>04/12/2005</t>
  </si>
  <si>
    <t>24/09/2004</t>
  </si>
  <si>
    <t>22/05/2005</t>
  </si>
  <si>
    <t>21/07/2005</t>
  </si>
  <si>
    <t>24/04/2005</t>
  </si>
  <si>
    <t>03/08/2005</t>
  </si>
  <si>
    <t>09/05/2005</t>
  </si>
  <si>
    <t>02/04/2005</t>
  </si>
  <si>
    <t>06/12/2005</t>
  </si>
  <si>
    <t>28/02/2005</t>
  </si>
  <si>
    <t>27/04/2004</t>
  </si>
  <si>
    <t>Pensiunan PNS</t>
  </si>
  <si>
    <t>ARIF RAHMAN</t>
  </si>
  <si>
    <t>PARTINAH</t>
  </si>
  <si>
    <t>HAMYUDI</t>
  </si>
  <si>
    <t>petani</t>
  </si>
  <si>
    <t>082314017905</t>
  </si>
  <si>
    <t>0041028078</t>
  </si>
  <si>
    <t>6 (Enam )</t>
  </si>
  <si>
    <t>BANGUN SARI</t>
  </si>
  <si>
    <t>MASNONA YESI S.</t>
  </si>
  <si>
    <t>7 (Tujuh)</t>
  </si>
  <si>
    <t>Bambang Setiahadi</t>
  </si>
  <si>
    <t>19650609198903 1 006</t>
  </si>
  <si>
    <t>Anandhita Nafra Wilova</t>
  </si>
  <si>
    <t>11/12/2005</t>
  </si>
  <si>
    <t>16/07/2018</t>
  </si>
  <si>
    <t>HASNAWI</t>
  </si>
  <si>
    <t>ARMIYATI</t>
  </si>
  <si>
    <t>0058537945</t>
  </si>
  <si>
    <t>0051698761</t>
  </si>
  <si>
    <t>Ayu Chumaira</t>
  </si>
  <si>
    <t>BANDAR ABUNG</t>
  </si>
  <si>
    <t>02/10/2005</t>
  </si>
  <si>
    <t>ALEK SAHDER</t>
  </si>
  <si>
    <t>YULIA</t>
  </si>
  <si>
    <t>0054049953</t>
  </si>
  <si>
    <t>Dony Pratama</t>
  </si>
  <si>
    <t>0053269368</t>
  </si>
  <si>
    <t>Faris Febram</t>
  </si>
  <si>
    <t>0045430015</t>
  </si>
  <si>
    <t>Mefa Novita Putri</t>
  </si>
  <si>
    <t>0036168520</t>
  </si>
  <si>
    <t>Muhammad Jaupanto</t>
  </si>
  <si>
    <t>0039684656</t>
  </si>
  <si>
    <t>Sofyan Romansyah</t>
  </si>
  <si>
    <t>0053308281</t>
  </si>
  <si>
    <t>I Gede Nyoman Bagiyasa</t>
  </si>
  <si>
    <t>10/09/2005</t>
  </si>
  <si>
    <t>PAISOL</t>
  </si>
  <si>
    <t>NURMAH</t>
  </si>
  <si>
    <t>26/06/2005</t>
  </si>
  <si>
    <t>Hindu</t>
  </si>
  <si>
    <t>SDN 2 Pakuan Agung</t>
  </si>
  <si>
    <t>WAYAN SOTER</t>
  </si>
  <si>
    <t>SUPRIANATIN</t>
  </si>
  <si>
    <t>10/11/2004</t>
  </si>
  <si>
    <t>FAISOL</t>
  </si>
  <si>
    <t>MEDIA WATI</t>
  </si>
  <si>
    <t>18/03/2003</t>
  </si>
  <si>
    <t>NUR SALIM</t>
  </si>
  <si>
    <t>BONIAH</t>
  </si>
  <si>
    <t>SDN 1 Bangun Sari</t>
  </si>
  <si>
    <t>05/12/2003</t>
  </si>
  <si>
    <t>cukup baik dalam beriman kepada kitab-kitab dan Rasul Allah Swt, cukup baik dalam menghindari minuman keras, judi dan makanan/minuman halal, baik dalam shalat sunah dan hikmah sujud syukur, sahwi, tilawah dan cukup baik dalam hadis tentang rendah hati,hemat dan masa umayyah.</t>
  </si>
  <si>
    <t>baik dalam mengumpulkan artikel tentang kitab-kitab Allah Swt, cukup baik dalam mengumpulkan gambar minuman/makanan halal dan haram, baik dalam praktek sujud syukur, sahwi, tilawah di musolla sekolah dan baik dalam diskusi kandungan Q.S Al isra (27) Q.S Al Furqon (25).</t>
  </si>
  <si>
    <t>cukup baik dalam beriman kepada kitab-kitab dan Rasul Allah Swt, cukup baik dalam menghindari minuman keras, judi dan makanan/minuman halal, baik dalam shalat sunah dan hikmah sujud syukur, sahwi, tilawah dan baik dalam hadis tentang rendah hati,hemat dan masa umayyah.</t>
  </si>
  <si>
    <t>cukup baik dalam mengumpulkan artikel tentang kitab-kitab Allah Swt, cukup baik dalam mengumpulkan gambar minuman/makanan halal dan haram, baik dalam praktek sujud syukur, sahwi, tilawah di musolla sekolah dan baik dalam diskusi kandungan Q.S Al isra (27) Q.S Al Furqon (25).</t>
  </si>
  <si>
    <t>cukup baik dalam beriman kepada kitab-kitab dan Rasul Allah Swt, baik dalam menghindari minuman keras, judi dan makanan/minuman halal, cukup baik dalam shalat sunah dan hikmah sujud syukur, sahwi, tilawah dan cukup baik dalam hadis tentang rendah hati,hemat dan masa umayyah.</t>
  </si>
  <si>
    <t>cukup baik dalam beriman kepada kitab-kitab dan Rasul Allah Swt, cukup baik dalam menghindari minuman keras, judi dan makanan/minuman halal, cukup baik dalam shalat sunah dan hikmah sujud syukur, sahwi, tilawah dan baik dalam hadis tentang rendah hati,hemat dan masa umayyah.</t>
  </si>
  <si>
    <t>baik dalam beriman kepada kitab-kitab dan Rasul Allah Swt, cukup baik dalam menghindari minuman keras, judi dan makanan/minuman halal, baik dalam shalat sunah dan hikmah sujud syukur, sahwi, tilawah dan cukup baik dalam hadis tentang rendah hati,hemat dan masa umayyah.</t>
  </si>
  <si>
    <t>baik dalam beriman kepada kitab-kitab dan Rasul Allah Swt, cukup baik dalam menghindari minuman keras, judi dan makanan/minuman halal, baik dalam shalat sunah dan hikmah sujud syukur, sahwi, tilawah dan baik dalam hadis tentang rendah hati,hemat dan masa umayyah.</t>
  </si>
  <si>
    <t>baik dalam mengumpulkan artikel tentang kitab-kitab Allah Swt, baik dalam mengumpulkan gambar minuman/makanan halal dan haram, baik dalam praktek sujud syukur, sahwi, tilawah di musolla sekolah dan baik dalam diskusi kandungan Q.S Al isra (27) Q.S Al Furqon (25).</t>
  </si>
  <si>
    <t>cukup baik dalam mengumpulkan artikel tentang kitab-kitab Allah Swt, cukup baik dalam mengumpulkan gambar minuman/makanan halal dan haram, baik dalam praktek sujud syukur, sahwi, tilawah di musolla sekolah dan cukup baik dalam diskusi kandungan Q.S Al isra (27) Q.S Al Furqon (25).</t>
  </si>
  <si>
    <t>cukup baik dalam beriman kepada kitab-kitab dan Rasul Allah Swt, cukup baik dalam menghindari minuman keras, judi dan makanan/minuman halal, cukup baik dalam shalat sunah dan hikmah sujud syukur, sahwi, tilawah dan cukup baik dalam hadis tentang rendah hati,hemat dan masa umayyah.</t>
  </si>
  <si>
    <t>cukup baik dalam mengumpulkan artikel tentang kitab-kitab Allah Swt, baik dalam mengumpulkan gambar minuman/makanan halal dan haram, baik dalam praktek sujud syukur, sahwi, tilawah di musolla sekolah dan baik dalam diskusi kandungan Q.S Al isra (27) Q.S Al Furqon (25).</t>
  </si>
  <si>
    <t>cukup baik dalam beriman kepada kitab-kitab dan Rasul Allah Swt, baik dalam menghindari minuman keras, judi dan makanan/minuman halal, cukup baik dalam shalat sunah dan hikmah sujud syukur, sahwi, tilawah dan baik dalam hadis tentang rendah hati,hemat dan masa umayyah.</t>
  </si>
  <si>
    <t>baik dalam beriman kepada kitab-kitab dan Rasul Allah Swt, baik dalam menghindari minuman keras, judi dan makanan/minuman halal, baik dalam shalat sunah dan hikmah sujud syukur, sahwi, tilawah dan cukup baik dalam hadis tentang rendah hati,hemat dan masa umayyah.</t>
  </si>
  <si>
    <t>cukup baik dalam mengumpulkan artikel tentang kitab-kitab Allah Swt, cukup baik dalam mengumpulkan gambar minuman/makanan halal dan haram, cukup baik dalam praktek sujud syukur, sahwi, tilawah di musolla sekolah dan cukup baik dalam diskusi kandungan Q.S Al isra (27) Q.S Al Furqon (25).</t>
  </si>
  <si>
    <t>baik dalam mengumpulkan artikel tentang kitab-kitab Allah Swt, cukup baik dalam mengumpulkan gambar minuman/makanan halal dan haram, baik dalam praktek sujud syukur, sahwi, tilawah di musolla sekolah dan cukup baik dalam diskusi kandungan Q.S Al isra (27) Q.S Al Furqon (25).</t>
  </si>
  <si>
    <t>cukup baik dalam menelaah pancasila sebagai dasar negara dan pandangan hidup bangsa, cukup baik dalam menelaah makna kedudukan dan fungsi UUD.N.R.I. th 1945 dan cukup baik dalam memahami tataurutan peraturan perundang undangan dalam sistem hukum nasional di indonesia..</t>
  </si>
  <si>
    <t>cukup baik dalam menyajikan hasil telaah nilai-nilai pancasila sebagai dasar negara dan pandangan hidup bangsa dalam kehidupan sehari-hari., cukup baik dalam menyajikan hasil telaah makna kedudukan dan fungsi UUD.N.R.I.th 1945 dan baik dalam mendemostrasikan pola pengembangan tataurutan peraturan perundang undangan dalam sistem hukum nasional di indonesia..</t>
  </si>
  <si>
    <t>cukup baik dalam menelaah pancasila sebagai dasar negara dan pandangan hidup bangsa, cukup baik dalam menelaah makna kedudukan dan fungsi UUD.N.R.I. th 1945 dan baik dalam memahami tataurutan peraturan perundang undangan dalam sistem hukum nasional di indonesia..</t>
  </si>
  <si>
    <t>cukup baik dalam menyajikan hasil telaah nilai-nilai pancasila sebagai dasar negara dan pandangan hidup bangsa dalam kehidupan sehari-hari., cukup baik dalam menyajikan hasil telaah makna kedudukan dan fungsi UUD.N.R.I.th 1945 dan cukup baik dalam mendemostrasikan pola pengembangan tataurutan peraturan perundang undangan dalam sistem hukum nasional di indonesia..</t>
  </si>
  <si>
    <t>cukup baik dalam mengidentifikasi unsur berita, baik dalam menelaah struktur dan kebahasaan teks berita, cukup baik dalam mengidentifikasi informasi teks iklan,slogan, poster, baik dalam menelaah pola penyajian dan kebahasaan teks, cukup baik dalam mengidentifikasi informasi teks eksposisi, cukup baik dalam mengidentifikasi struktur teks eksposisi, cukup baik dalam mengidentifikasi unsur pembangun teks puisi, cukup baik dalam menelaah unsur pembangun teks puisi, cukup baik dalam mengidentifikasi informasi dari teks eksplanasi dan cukup baik dalam menelaah teks eksplanasi kejadian fenomena alam.</t>
  </si>
  <si>
    <t>cukup baik dalam menyimpulkan isi berita, baik dalam menyajikan data dan informasi, cukup baik dalam menyimpulkan isi iklan,slogan,atau poster, cukup baik dalam menyajikan gagasan,pesan,dan ajakan, cukup baik dalam menyimpulkan isi teks eksposisi., cukup baik dalam menyajikan pendapat , bentuk teks eksposisi, cukup baik dalam menyimpulkan unsur pembangun teks puisi, cukup baik dalam menyajikan perasaan dalam teks puisi, cukup baik dalam meringkas isi teks eksplanasi dan cukup baik dalam menyajikan informasi ,bentuk teks eksplanasi.</t>
  </si>
  <si>
    <t>baik dalam mengidentifikasi unsur berita, cukup baik dalam menelaah struktur dan kebahasaan teks berita, cukup baik dalam mengidentifikasi informasi teks iklan,slogan, poster, cukup baik dalam menelaah pola penyajian dan kebahasaan teks, baik dalam mengidentifikasi informasi teks eksposisi, cukup baik dalam mengidentifikasi struktur teks eksposisi, cukup baik dalam mengidentifikasi unsur pembangun teks puisi, cukup baik dalam menelaah unsur pembangun teks puisi, cukup baik dalam mengidentifikasi informasi dari teks eksplanasi dan cukup baik dalam menelaah teks eksplanasi kejadian fenomena alam.</t>
  </si>
  <si>
    <t>cukup baik dalam menyimpulkan isi berita, cukup baik dalam menyajikan data dan informasi, cukup baik dalam menyimpulkan isi iklan,slogan,atau poster, cukup baik dalam menyajikan gagasan,pesan,dan ajakan, cukup baik dalam menyimpulkan isi teks eksposisi., cukup baik dalam menyajikan pendapat , bentuk teks eksposisi, cukup baik dalam menyimpulkan unsur pembangun teks puisi, cukup baik dalam menyajikan perasaan dalam teks puisi, cukup baik dalam meringkas isi teks eksplanasi dan cukup baik dalam menyajikan informasi ,bentuk teks eksplanasi.</t>
  </si>
  <si>
    <t>cukup baik dalam mengidentifikasi unsur berita, cukup baik dalam menelaah struktur dan kebahasaan teks berita, cukup baik dalam mengidentifikasi informasi teks iklan,slogan, poster, cukup baik dalam menelaah pola penyajian dan kebahasaan teks, cukup baik dalam mengidentifikasi informasi teks eksposisi, cukup baik dalam mengidentifikasi struktur teks eksposisi, cukup baik dalam mengidentifikasi unsur pembangun teks puisi, cukup baik dalam menelaah unsur pembangun teks puisi, cukup baik dalam mengidentifikasi informasi dari teks eksplanasi dan cukup baik dalam menelaah teks eksplanasi kejadian fenomena alam.</t>
  </si>
  <si>
    <t>baik dalam mengidentifikasi unsur berita, baik dalam menelaah struktur dan kebahasaan teks berita, cukup baik dalam mengidentifikasi informasi teks iklan,slogan, poster, cukup baik dalam menelaah pola penyajian dan kebahasaan teks, cukup baik dalam mengidentifikasi informasi teks eksposisi, cukup baik dalam mengidentifikasi struktur teks eksposisi, cukup baik dalam mengidentifikasi unsur pembangun teks puisi, cukup baik dalam menelaah unsur pembangun teks puisi, cukup baik dalam mengidentifikasi informasi dari teks eksplanasi dan cukup baik dalam menelaah teks eksplanasi kejadian fenomena alam.</t>
  </si>
  <si>
    <t>baik dalam menyimpulkan isi berita, cukup baik dalam menyajikan data dan informasi, cukup baik dalam menyimpulkan isi iklan,slogan,atau poster, cukup baik dalam menyajikan gagasan,pesan,dan ajakan, cukup baik dalam menyimpulkan isi teks eksposisi., cukup baik dalam menyajikan pendapat , bentuk teks eksposisi, cukup baik dalam menyimpulkan unsur pembangun teks puisi, cukup baik dalam menyajikan perasaan dalam teks puisi, cukup baik dalam meringkas isi teks eksplanasi dan cukup baik dalam menyajikan informasi ,bentuk teks eksplanasi.</t>
  </si>
  <si>
    <t>sangat baik dalam mengidentifikasi unsur berita, cukup baik dalam menelaah struktur dan kebahasaan teks berita, cukup baik dalam mengidentifikasi informasi teks iklan,slogan, poster, cukup baik dalam menelaah pola penyajian dan kebahasaan teks, cukup baik dalam mengidentifikasi informasi teks eksposisi, cukup baik dalam mengidentifikasi struktur teks eksposisi, cukup baik dalam mengidentifikasi unsur pembangun teks puisi, cukup baik dalam menelaah unsur pembangun teks puisi, cukup baik dalam mengidentifikasi informasi dari teks eksplanasi dan cukup baik dalam menelaah teks eksplanasi kejadian fenomena alam.</t>
  </si>
  <si>
    <t>baik dalam mengidentifikasi unsur berita, cukup baik dalam menelaah struktur dan kebahasaan teks berita, cukup baik dalam mengidentifikasi informasi teks iklan,slogan, poster, cukup baik dalam menelaah pola penyajian dan kebahasaan teks, cukup baik dalam mengidentifikasi informasi teks eksposisi, cukup baik dalam mengidentifikasi struktur teks eksposisi, cukup baik dalam mengidentifikasi unsur pembangun teks puisi, cukup baik dalam menelaah unsur pembangun teks puisi, cukup baik dalam mengidentifikasi informasi dari teks eksplanasi dan cukup baik dalam menelaah teks eksplanasi kejadian fenomena alam.</t>
  </si>
  <si>
    <t>cukup baik dalam membuat pola pada barisan bilangan, cukup baik dalam menjelaskan kedudukan titik pada bidang koordinat , baik dalam mendeskripsikan relasi dan fungsi, cukup baik dalam menganalisis fungsi linear sebagai persamaan garis lurus dan cukup baik dalam menjelaskan sistem persamaan linear dua variabel.</t>
  </si>
  <si>
    <t>cukup baik dalam menyelesaikan masalah pola pada barisan bilangan, cukup baik dalam menyelesaikan masalah kedudukan titik dalam bidang koordinat, baik dalam menyelesaikan masalah relasi dan fungsi, cukup baik dalam menyelesaikan masalah kontekstual sebagai persamaan garis lurus dan cukup baik dalam menyelesaikan masalah sistem persamaan linear dua variabel.</t>
  </si>
  <si>
    <t>cukup baik dalam membuat pola pada barisan bilangan, cukup baik dalam menjelaskan kedudukan titik pada bidang koordinat , cukup baik dalam mendeskripsikan relasi dan fungsi, cukup baik dalam menganalisis fungsi linear sebagai persamaan garis lurus dan cukup baik dalam menjelaskan sistem persamaan linear dua variabel.</t>
  </si>
  <si>
    <t>cukup baik dalam menyelesaikan masalah pola pada barisan bilangan, cukup baik dalam menyelesaikan masalah kedudukan titik dalam bidang koordinat, cukup baik dalam menyelesaikan masalah relasi dan fungsi, cukup baik dalam menyelesaikan masalah kontekstual sebagai persamaan garis lurus dan cukup baik dalam menyelesaikan masalah sistem persamaan linear dua variabel.</t>
  </si>
  <si>
    <t>cukup baik dalam membuat pola pada barisan bilangan, cukup baik dalam menjelaskan kedudukan titik pada bidang koordinat , baik dalam mendeskripsikan relasi dan fungsi, baik dalam menganalisis fungsi linear sebagai persamaan garis lurus dan cukup baik dalam menjelaskan sistem persamaan linear dua variabel.</t>
  </si>
  <si>
    <t>cukup baik dalam menyelesaikan masalah pola pada barisan bilangan, cukup baik dalam menyelesaikan masalah kedudukan titik dalam bidang koordinat, baik dalam menyelesaikan masalah relasi dan fungsi, baik dalam menyelesaikan masalah kontekstual sebagai persamaan garis lurus dan cukup baik dalam menyelesaikan masalah sistem persamaan linear dua variabel.</t>
  </si>
  <si>
    <t>cukup baik dalam menyelesaikan masalah pola pada barisan bilangan, baik dalam menyelesaikan masalah kedudukan titik dalam bidang koordinat, cukup baik dalam menyelesaikan masalah relasi dan fungsi, cukup baik dalam menyelesaikan masalah kontekstual sebagai persamaan garis lurus dan cukup baik dalam menyelesaikan masalah sistem persamaan linear dua variabel.</t>
  </si>
  <si>
    <t>baik dalam membuat pola pada barisan bilangan, baik dalam menjelaskan kedudukan titik pada bidang koordinat , baik dalam mendeskripsikan relasi dan fungsi, baik dalam menganalisis fungsi linear sebagai persamaan garis lurus dan baik dalam menjelaskan sistem persamaan linear dua variabel.</t>
  </si>
  <si>
    <t>cukup baik dalam menyelesaikan masalah pola pada barisan bilangan, cukup baik dalam menyelesaikan masalah kedudukan titik dalam bidang koordinat, baik dalam menyelesaikan masalah relasi dan fungsi, baik dalam menyelesaikan masalah kontekstual sebagai persamaan garis lurus dan baik dalam menyelesaikan masalah sistem persamaan linear dua variabel.</t>
  </si>
  <si>
    <t>cukup baik dalam membuat pola pada barisan bilangan, baik dalam menjelaskan kedudukan titik pada bidang koordinat , cukup baik dalam mendeskripsikan relasi dan fungsi, baik dalam menganalisis fungsi linear sebagai persamaan garis lurus dan cukup baik dalam menjelaskan sistem persamaan linear dua variabel.</t>
  </si>
  <si>
    <t>cukup baik dalam menyelesaikan masalah pola pada barisan bilangan, baik dalam menyelesaikan masalah kedudukan titik dalam bidang koordinat, cukup baik dalam menyelesaikan masalah relasi dan fungsi, baik dalam menyelesaikan masalah kontekstual sebagai persamaan garis lurus dan cukup baik dalam menyelesaikan masalah sistem persamaan linear dua variabel.</t>
  </si>
  <si>
    <t>baik dalam membuat pola pada barisan bilangan, cukup baik dalam menjelaskan kedudukan titik pada bidang koordinat , sangat baik dalam mendeskripsikan relasi dan fungsi, baik dalam menganalisis fungsi linear sebagai persamaan garis lurus dan cukup baik dalam menjelaskan sistem persamaan linear dua variabel.</t>
  </si>
  <si>
    <t>baik dalam menyelesaikan masalah pola pada barisan bilangan, cukup baik dalam menyelesaikan masalah kedudukan titik dalam bidang koordinat, sangat baik dalam menyelesaikan masalah relasi dan fungsi, baik dalam menyelesaikan masalah kontekstual sebagai persamaan garis lurus dan cukup baik dalam menyelesaikan masalah sistem persamaan linear dua variabel.</t>
  </si>
  <si>
    <t>sangat baik dalam membuat pola pada barisan bilangan, baik dalam menjelaskan kedudukan titik pada bidang koordinat , sangat baik dalam mendeskripsikan relasi dan fungsi, baik dalam menganalisis fungsi linear sebagai persamaan garis lurus dan cukup baik dalam menjelaskan sistem persamaan linear dua variabel.</t>
  </si>
  <si>
    <t>baik dalam menyelesaikan masalah pola pada barisan bilangan, baik dalam menyelesaikan masalah kedudukan titik dalam bidang koordinat, sangat baik dalam menyelesaikan masalah relasi dan fungsi, baik dalam menyelesaikan masalah kontekstual sebagai persamaan garis lurus dan cukup baik dalam menyelesaikan masalah sistem persamaan linear dua variabel.</t>
  </si>
  <si>
    <t>baik dalam membuat pola pada barisan bilangan, cukup baik dalam menjelaskan kedudukan titik pada bidang koordinat , cukup baik dalam mendeskripsikan relasi dan fungsi, cukup baik dalam menganalisis fungsi linear sebagai persamaan garis lurus dan cukup baik dalam menjelaskan sistem persamaan linear dua variabel.</t>
  </si>
  <si>
    <t>baik dalam menyelesaikan masalah pola pada barisan bilangan, cukup baik dalam menyelesaikan masalah kedudukan titik dalam bidang koordinat, cukup baik dalam menyelesaikan masalah relasi dan fungsi, cukup baik dalam menyelesaikan masalah kontekstual sebagai persamaan garis lurus dan cukup baik dalam menyelesaikan masalah sistem persamaan linear dua variabel.</t>
  </si>
  <si>
    <t>sangat baik dalam membuat pola pada barisan bilangan, cukup baik dalam menjelaskan kedudukan titik pada bidang koordinat , sangat baik dalam mendeskripsikan relasi dan fungsi, sangat baik dalam menganalisis fungsi linear sebagai persamaan garis lurus dan baik dalam menjelaskan sistem persamaan linear dua variabel.</t>
  </si>
  <si>
    <t>sangat baik dalam menyelesaikan masalah pola pada barisan bilangan, cukup baik dalam menyelesaikan masalah kedudukan titik dalam bidang koordinat, sangat baik dalam menyelesaikan masalah relasi dan fungsi, sangat baik dalam menyelesaikan masalah kontekstual sebagai persamaan garis lurus dan baik dalam menyelesaikan masalah sistem persamaan linear dua variabel.</t>
  </si>
  <si>
    <t>sangat baik dalam membuat pola pada barisan bilangan, sangat baik dalam menjelaskan kedudukan titik pada bidang koordinat , sangat baik dalam mendeskripsikan relasi dan fungsi, cukup baik dalam menganalisis fungsi linear sebagai persamaan garis lurus dan cukup baik dalam menjelaskan sistem persamaan linear dua variabel.</t>
  </si>
  <si>
    <t>sangat baik dalam menyelesaikan masalah pola pada barisan bilangan, sangat baik dalam menyelesaikan masalah kedudukan titik dalam bidang koordinat, baik dalam menyelesaikan masalah relasi dan fungsi, cukup baik dalam menyelesaikan masalah kontekstual sebagai persamaan garis lurus dan cukup baik dalam menyelesaikan masalah sistem persamaan linear dua variabel.</t>
  </si>
  <si>
    <t>baik dalam menelaah perubahan &amp; interaksi ruang Indonesia &amp; ASEAN dan cukup baik dalam menganalisis pengaruh interaksi sosial dalam ruang berbeda.</t>
  </si>
  <si>
    <t>baik dalam menyajikan interaksi antar ruang Indonesia dan ASEAN dan baik dalam menyajikan hasil analisis pengaruh interaksi sosial.</t>
  </si>
  <si>
    <t>baik dalam menelaah perubahan &amp; interaksi ruang Indonesia &amp; ASEAN dan baik dalam menganalisis pengaruh interaksi sosial dalam ruang berbeda.</t>
  </si>
  <si>
    <t>cukup baik dalam menelaah perubahan &amp; interaksi ruang Indonesia &amp; ASEAN dan baik dalam menganalisis pengaruh interaksi sosial dalam ruang berbeda.</t>
  </si>
  <si>
    <t>baik dalam menyajikan interaksi antar ruang Indonesia dan ASEAN dan cukup baik dalam menyajikan hasil analisis pengaruh interaksi sosial.</t>
  </si>
  <si>
    <t>cukup baik dalam menelaah perubahan &amp; interaksi ruang Indonesia &amp; ASEAN dan cukup baik dalam menganalisis pengaruh interaksi sosial dalam ruang berbeda.</t>
  </si>
  <si>
    <t>cukup baik dalam menyajikan interaksi antar ruang Indonesia dan ASEAN dan cukup baik dalam menyajikan hasil analisis pengaruh interaksi sosial.</t>
  </si>
  <si>
    <t>baik dalam menelaah perubahan &amp; interaksi ruang Indonesia &amp; ASEAN dan sangat baik dalam menganalisis pengaruh interaksi sosial dalam ruang berbeda.</t>
  </si>
  <si>
    <t>cukup baik dalam memahami unsur prinsip tekhnik dan prosedur menggambar menggunakan model dengan berbagai bahan, cukup baik dalam memahami prosedur menggambar ilustrasi dgn  tekhnik gambar/ digital, cukup baik dalam memahami tekhnik dan gaya menyanyi lagu-lagu daerah, baik dalam memahami keunikan gerak tari tradisional dengan menggunakan pendukung tari dan cukup baik dalam memahami konsep, teknik dan prosedur dasar seni peran sesuai kaidahpementasan pantomim.</t>
  </si>
  <si>
    <t>cukup baik dalam menggambar dengan menggunakan model pada berbagai bahan dan beragam tekhnik berdasarkan pengamatan, cukup baik dalam menggambar ilustrasi pada berbagai bahan dan beragam tekhnik, cukup baik dalam menyanyikan lagu-lagu daerah yang sesuai dengan tekhnik, gaya, dan dialektika atau intonasi kedaerahan, baik dalam memeragakan tari tradisional dengan menggunakan unsur pendukung tari dan cukup baik dalam meragakan gerak pantomim sesuai konsep, teknik dan prosedur seni peran.</t>
  </si>
  <si>
    <t>cukup baik dalam memahami unsur prinsip tekhnik dan prosedur menggambar menggunakan model dengan berbagai bahan, cukup baik dalam memahami prosedur menggambar ilustrasi dgn  tekhnik gambar/ digital, cukup baik dalam memahami tekhnik dan gaya menyanyi lagu-lagu daerah, cukup baik dalam memahami keunikan gerak tari tradisional dengan menggunakan pendukung tari dan cukup baik dalam memahami konsep, teknik dan prosedur dasar seni peran sesuai kaidahpementasan pantomim.</t>
  </si>
  <si>
    <t>cukup baik dalam menggambar dengan menggunakan model pada berbagai bahan dan beragam tekhnik berdasarkan pengamatan, baik dalam menggambar ilustrasi pada berbagai bahan dan beragam tekhnik, cukup baik dalam menyanyikan lagu-lagu daerah yang sesuai dengan tekhnik, gaya, dan dialektika atau intonasi kedaerahan, cukup baik dalam memeragakan tari tradisional dengan menggunakan unsur pendukung tari dan cukup baik dalam meragakan gerak pantomim sesuai konsep, teknik dan prosedur seni peran.</t>
  </si>
  <si>
    <t>cukup baik dalam menggambar dengan menggunakan model pada berbagai bahan dan beragam tekhnik berdasarkan pengamatan, cukup baik dalam menggambar ilustrasi pada berbagai bahan dan beragam tekhnik, cukup baik dalam menyanyikan lagu-lagu daerah yang sesuai dengan tekhnik, gaya, dan dialektika atau intonasi kedaerahan, cukup baik dalam memeragakan tari tradisional dengan menggunakan unsur pendukung tari dan cukup baik dalam meragakan gerak pantomim sesuai konsep, teknik dan prosedur seni peran.</t>
  </si>
  <si>
    <t>cukup baik dalam memahami unsur prinsip tekhnik dan prosedur menggambar menggunakan model dengan berbagai bahan, baik dalam memahami prosedur menggambar ilustrasi dgn  tekhnik gambar/ digital, cukup baik dalam memahami tekhnik dan gaya menyanyi lagu-lagu daerah, cukup baik dalam memahami keunikan gerak tari tradisional dengan menggunakan pendukung tari dan cukup baik dalam memahami konsep, teknik dan prosedur dasar seni peran sesuai kaidahpementasan pantomim.</t>
  </si>
  <si>
    <t>cukup baik dalam memahami unsur prinsip tekhnik dan prosedur menggambar menggunakan model dengan berbagai bahan, cukup baik dalam memahami prosedur menggambar ilustrasi dgn  tekhnik gambar/ digital, baik dalam memahami tekhnik dan gaya menyanyi lagu-lagu daerah, cukup baik dalam memahami keunikan gerak tari tradisional dengan menggunakan pendukung tari dan cukup baik dalam memahami konsep, teknik dan prosedur dasar seni peran sesuai kaidahpementasan pantomim.</t>
  </si>
  <si>
    <t>cukup baik dalam menggambar dengan menggunakan model pada berbagai bahan dan beragam tekhnik berdasarkan pengamatan, baik dalam menggambar ilustrasi pada berbagai bahan dan beragam tekhnik, cukup baik dalam menyanyikan lagu-lagu daerah yang sesuai dengan tekhnik, gaya, dan dialektika atau intonasi kedaerahan, baik dalam memeragakan tari tradisional dengan menggunakan unsur pendukung tari dan cukup baik dalam meragakan gerak pantomim sesuai konsep, teknik dan prosedur seni peran.</t>
  </si>
  <si>
    <t>baik dalam menggambar dengan menggunakan model pada berbagai bahan dan beragam tekhnik berdasarkan pengamatan, cukup baik dalam menggambar ilustrasi pada berbagai bahan dan beragam tekhnik, cukup baik dalam menyanyikan lagu-lagu daerah yang sesuai dengan tekhnik, gaya, dan dialektika atau intonasi kedaerahan, baik dalam memeragakan tari tradisional dengan menggunakan unsur pendukung tari dan cukup baik dalam meragakan gerak pantomim sesuai konsep, teknik dan prosedur seni peran.</t>
  </si>
  <si>
    <t>cukup baik dalam memahami unsur prinsip tekhnik dan prosedur menggambar menggunakan model dengan berbagai bahan, baik dalam memahami prosedur menggambar ilustrasi dgn  tekhnik gambar/ digital, cukup baik dalam memahami tekhnik dan gaya menyanyi lagu-lagu daerah, baik dalam memahami keunikan gerak tari tradisional dengan menggunakan pendukung tari dan cukup baik dalam memahami konsep, teknik dan prosedur dasar seni peran sesuai kaidahpementasan pantomim.</t>
  </si>
  <si>
    <t>cukup baik dalam memahami unsur prinsip tekhnik dan prosedur menggambar menggunakan model dengan berbagai bahan, baik dalam memahami prosedur menggambar ilustrasi dgn  tekhnik gambar/ digital, baik dalam memahami tekhnik dan gaya menyanyi lagu-lagu daerah, cukup baik dalam memahami keunikan gerak tari tradisional dengan menggunakan pendukung tari dan cukup baik dalam memahami konsep, teknik dan prosedur dasar seni peran sesuai kaidahpementasan pantomim.</t>
  </si>
  <si>
    <t>cukup baik dalam memahami permainan sepak bola, basket, voly, cukup baik dalam memahami variasi bola kecil, tenis meja, cukup baik dalam memahami jalan cepat, lari lompat jauh dan cukup baik dalam memahami seni bela diri.</t>
  </si>
  <si>
    <t>cukup baik dalam teknik dasar, menendang bola, pasing bawah, atas, cukup baik dalam teknik pukulan, cukup baik dalam teknik jalan cepat, lari jarak pendek dan cukup baik dalam teknik tangkisan, pukulan, kuda-kuda.</t>
  </si>
  <si>
    <t>baik dalam teknik dasar, menendang bola, pasing bawah, atas, cukup baik dalam teknik pukulan, cukup baik dalam teknik jalan cepat, lari jarak pendek dan cukup baik dalam teknik tangkisan, pukulan, kuda-kuda.</t>
  </si>
  <si>
    <t>baik dalam memahami permainan sepak bola, basket, voly, cukup baik dalam memahami variasi bola kecil, tenis meja, cukup baik dalam memahami jalan cepat, lari lompat jauh dan baik dalam memahami seni bela diri.</t>
  </si>
  <si>
    <t>cukup baik dalam puisi Pepaccur, cukup baik dalam Nuwo atau Lamban Lampung, cukup baik dalam Mantra (Memmang / Jappei) dan cukup baik dalam Surat.</t>
  </si>
  <si>
    <t>cukup baik dalam menunjukkan perilaku fiil pesengiri dan proaktif dalam menggunakan bahasa lampung, cukup baik dalam mengungkapkan dan menjelaskan informasi pada teks wacana deskripsi, cukup baik dalam menjelaskan pengertian dan kegunaan memmang/jappei (Mantra) dan cukup baik dalam menulis surat dalam Bahasa Lampung dengan  tanda baca yang benar.</t>
  </si>
  <si>
    <t>cukup baik dalam puisi Pepaccur, baik dalam Nuwo atau Lamban Lampung, cukup baik dalam Mantra (Memmang / Jappei) dan cukup baik dalam Surat.</t>
  </si>
  <si>
    <t>cukup baik dalam menunjukkan perilaku fiil pesengiri dan proaktif dalam menggunakan bahasa lampung, baik dalam mengungkapkan dan menjelaskan informasi pada teks wacana deskripsi, cukup baik dalam menjelaskan pengertian dan kegunaan memmang/jappei (Mantra) dan cukup baik dalam menulis surat dalam Bahasa Lampung dengan  tanda baca yang benar.</t>
  </si>
  <si>
    <t>cukup baik dalam puisi Pepaccur, cukup baik dalam Nuwo atau Lamban Lampung, baik dalam Mantra (Memmang / Jappei) dan cukup baik dalam Surat.</t>
  </si>
  <si>
    <t>cukup baik dalam menunjukkan perilaku fiil pesengiri dan proaktif dalam menggunakan bahasa lampung, cukup baik dalam mengungkapkan dan menjelaskan informasi pada teks wacana deskripsi, baik dalam menjelaskan pengertian dan kegunaan memmang/jappei (Mantra) dan cukup baik dalam menulis surat dalam Bahasa Lampung dengan  tanda baca yang benar.</t>
  </si>
  <si>
    <t>baik dalam memahami jenis dan rancangan kerajian bahan lunak, baik dalam memahami tentang perkembangan dan penerapan TIK, baik dalam memahami budidaya komonitas ternak kesayangan, cukup baik dalam menganalisis pemanfaatan bahan pangan serealia dan cukup baik dalam menganalisis pemanfaatan bahan kacang dan umbi.</t>
  </si>
  <si>
    <t>baik dalam memahami jenis dan rancangan kerajian bahan lunak, baik dalam memahami tentang perkembangan dan penerapan TIK, baik dalam memahami budidaya komonitas ternak kesayangan, baik dalam menganalisis pemanfaatan bahan pangan serealia dan baik dalam menganalisis pemanfaatan bahan kacang dan umbi.</t>
  </si>
  <si>
    <t>baik dalam memahami jenis dan rancangan kerajian bahan lunak, baik dalam memahami tentang perkembangan dan penerapan TIK, cukup baik dalam memahami budidaya komonitas ternak kesayangan, baik dalam menganalisis pemanfaatan bahan pangan serealia dan baik dalam menganalisis pemanfaatan bahan kacang dan umbi.</t>
  </si>
  <si>
    <t>baik dalam memahami jenis dan rancangan kerajian bahan lunak, baik dalam memahami tentang perkembangan dan penerapan TIK, baik dalam memahami budidaya komonitas ternak kesayangan, cukup baik dalam menganalisis pemanfaatan bahan pangan serealia dan baik dalam menganalisis pemanfaatan bahan kacang dan umbi.</t>
  </si>
  <si>
    <t>baik dalam memahami jenis dan rancangan kerajian bahan lunak, baik dalam memahami tentang perkembangan dan penerapan TIK, baik dalam memahami budidaya komonitas ternak kesayangan, baik dalam menganalisis pemanfaatan bahan pangan serealia dan cukup baik dalam menganalisis pemanfaatan bahan kacang dan umbi.</t>
  </si>
  <si>
    <t>baik dalam memahami jenis dan rancangan kerajian bahan lunak, cukup baik dalam memahami tentang perkembangan dan penerapan TIK, baik dalam memahami budidaya komonitas ternak kesayangan, baik dalam menganalisis pemanfaatan bahan pangan serealia dan baik dalam menganalisis pemanfaatan bahan kacang dan umbi.</t>
  </si>
  <si>
    <t>cukup baik dalam memahami jenis dan rancangan kerajian bahan lunak, baik dalam memahami tentang perkembangan dan penerapan TIK, baik dalam memahami budidaya komonitas ternak kesayangan, baik dalam menganalisis pemanfaatan bahan pangan serealia dan baik dalam menganalisis pemanfaatan bahan kacang dan umbi.</t>
  </si>
  <si>
    <t>cukup baik dalam memahami jenis dan rancangan kerajian bahan lunak, cukup baik dalam memahami tentang perkembangan dan penerapan TIK, cukup baik dalam memahami budidaya komonitas ternak kesayangan, baik dalam menganalisis pemanfaatan bahan pangan serealia dan baik dalam menganalisis pemanfaatan bahan kacang dan umbi.</t>
  </si>
  <si>
    <t>cukup baik dalam memahami jenis dan rancangan kerajian bahan lunak, cukup baik dalam memahami tentang perkembangan dan penerapan TIK, baik dalam memahami budidaya komonitas ternak kesayangan, baik dalam menganalisis pemanfaatan bahan pangan serealia dan baik dalam menganalisis pemanfaatan bahan kacang dan umbi.</t>
  </si>
  <si>
    <t>cukup baik dalam memahami jenis dan rancangan kerajian bahan lunak, cukup baik dalam memahami tentang perkembangan dan penerapan TIK, baik dalam memahami budidaya komonitas ternak kesayangan, cukup baik dalam menganalisis pemanfaatan bahan pangan serealia dan baik dalam menganalisis pemanfaatan bahan kacang dan umbi.</t>
  </si>
  <si>
    <t>cukup baik dalam memahami jenis dan rancangan kerajian bahan lunak, baik dalam memahami tentang perkembangan dan penerapan TIK, cukup baik dalam memahami budidaya komonitas ternak kesayangan, cukup baik dalam menganalisis pemanfaatan bahan pangan serealia dan cukup baik dalam menganalisis pemanfaatan bahan kacang dan umbi.</t>
  </si>
  <si>
    <t>cukup baik dalam mengidentifikasi teks  meminta perhatian dan pendapat, cukup baik dalam mengidentifikasi  teks meminta dan memberi informasi, cukup baik dalam mengidentifikasi teks  keharusan, larangan, dan himbauan, cukup baik dalam mengidentifikasi teks  menyuruh,mengajak &amp; meminta ijin, cukup baik dalam membandingkan teks ttg  greeting card sesuai konteknya, cukup baik dalam mengidentifikasi teks ttg keberadaan orang,benda, &amp; hewan dan cukup baik dalam mengidentifikasi teks  ttg keadaan, tindakan/kegiatan rutin.</t>
  </si>
  <si>
    <t>cukup baik dalam menyusun teks meminta perhatian,pendapat, menghargai kinerja, cukup baik dalam menyusun teks meminta/memberi informasi, cukup baik dalam menyusun teks keharusan,larangan dan himbauan, cukup baik dalam menyusun teks menyuruh,mengajak dan meminta ijin, cukup baik dalam menyusun teks  greeting card, sangat pendek,sederhana, cukup baik dalam menyusun teks tentang keberadaan orang,benda dan binatang dan cukup baik dalam menyusun teks tentang  keadaan,tindakan ,dan kegiatan  rutin.</t>
  </si>
  <si>
    <t>cukup baik dalam mengidentifikasi teks  meminta perhatian dan pendapat, cukup baik dalam mengidentifikasi  teks meminta dan memberi informasi, cukup baik dalam mengidentifikasi teks  keharusan, larangan, dan himbauan, baik dalam mengidentifikasi teks  menyuruh,mengajak &amp; meminta ijin, cukup baik dalam membandingkan teks ttg  greeting card sesuai konteknya, baik dalam mengidentifikasi teks ttg keberadaan orang,benda, &amp; hewan dan baik dalam mengidentifikasi teks  ttg keadaan, tindakan/kegiatan rutin.</t>
  </si>
  <si>
    <t>baik dalam mengidentifikasi teks  meminta perhatian dan pendapat, cukup baik dalam mengidentifikasi  teks meminta dan memberi informasi, baik dalam mengidentifikasi teks  keharusan, larangan, dan himbauan, cukup baik dalam mengidentifikasi teks  menyuruh,mengajak &amp; meminta ijin, cukup baik dalam membandingkan teks ttg  greeting card sesuai konteknya, cukup baik dalam mengidentifikasi teks ttg keberadaan orang,benda, &amp; hewan dan baik dalam mengidentifikasi teks  ttg keadaan, tindakan/kegiatan rutin.</t>
  </si>
  <si>
    <t>cukup baik dalam mengidentifikasi teks  meminta perhatian dan pendapat, cukup baik dalam mengidentifikasi  teks meminta dan memberi informasi, cukup baik dalam mengidentifikasi teks  keharusan, larangan, dan himbauan, cukup baik dalam mengidentifikasi teks  menyuruh,mengajak &amp; meminta ijin, cukup baik dalam membandingkan teks ttg  greeting card sesuai konteknya, baik dalam mengidentifikasi teks ttg keberadaan orang,benda, &amp; hewan dan cukup baik dalam mengidentifikasi teks  ttg keadaan, tindakan/kegiatan rutin.</t>
  </si>
  <si>
    <t>cukup baik dalam mengidentifikasi teks  meminta perhatian dan pendapat, cukup baik dalam mengidentifikasi  teks meminta dan memberi informasi, cukup baik dalam mengidentifikasi teks  keharusan, larangan, dan himbauan, cukup baik dalam mengidentifikasi teks  menyuruh,mengajak &amp; meminta ijin, baik dalam membandingkan teks ttg  greeting card sesuai konteknya, cukup baik dalam mengidentifikasi teks ttg keberadaan orang,benda, &amp; hewan dan cukup baik dalam mengidentifikasi teks  ttg keadaan, tindakan/kegiatan rutin.</t>
  </si>
  <si>
    <t>baik dalam mengidentifikasi teks  meminta perhatian dan pendapat, baik dalam mengidentifikasi  teks meminta dan memberi informasi, baik dalam mengidentifikasi teks  keharusan, larangan, dan himbauan, baik dalam mengidentifikasi teks  menyuruh,mengajak &amp; meminta ijin, baik dalam membandingkan teks ttg  greeting card sesuai konteknya, baik dalam mengidentifikasi teks ttg keberadaan orang,benda, &amp; hewan dan baik dalam mengidentifikasi teks  ttg keadaan, tindakan/kegiatan rutin.</t>
  </si>
  <si>
    <t>cukup baik dalam mengidentifikasi teks  meminta perhatian dan pendapat, baik dalam mengidentifikasi  teks meminta dan memberi informasi, baik dalam mengidentifikasi teks  keharusan, larangan, dan himbauan, cukup baik dalam mengidentifikasi teks  menyuruh,mengajak &amp; meminta ijin, cukup baik dalam membandingkan teks ttg  greeting card sesuai konteknya, cukup baik dalam mengidentifikasi teks ttg keberadaan orang,benda, &amp; hewan dan baik dalam mengidentifikasi teks  ttg keadaan, tindakan/kegiatan rutin.</t>
  </si>
  <si>
    <t>cukup baik dalam menyusun teks meminta perhatian,pendapat, menghargai kinerja, cukup baik dalam menyusun teks meminta/memberi informasi, cukup baik dalam menyusun teks keharusan,larangan dan himbauan, cukup baik dalam menyusun teks menyuruh,mengajak dan meminta ijin, cukup baik dalam menyusun teks  greeting card, sangat pendek,sederhana, baik dalam menyusun teks tentang keberadaan orang,benda dan binatang dan cukup baik dalam menyusun teks tentang  keadaan,tindakan ,dan kegiatan  rutin.</t>
  </si>
  <si>
    <t>baik dalam menyusun teks meminta perhatian,pendapat, menghargai kinerja, baik dalam menyusun teks meminta/memberi informasi, baik dalam menyusun teks keharusan,larangan dan himbauan, baik dalam menyusun teks menyuruh,mengajak dan meminta ijin, baik dalam menyusun teks  greeting card, sangat pendek,sederhana, baik dalam menyusun teks tentang keberadaan orang,benda dan binatang dan baik dalam menyusun teks tentang  keadaan,tindakan ,dan kegiatan  rutin.</t>
  </si>
  <si>
    <t>cukup baik dalam mengidentifikasi teks  meminta perhatian dan pendapat, cukup baik dalam mengidentifikasi  teks meminta dan memberi informasi, baik dalam mengidentifikasi teks  keharusan, larangan, dan himbauan, baik dalam mengidentifikasi teks  menyuruh,mengajak &amp; meminta ijin, cukup baik dalam membandingkan teks ttg  greeting card sesuai konteknya, baik dalam mengidentifikasi teks ttg keberadaan orang,benda, &amp; hewan dan cukup baik dalam mengidentifikasi teks  ttg keadaan, tindakan/kegiatan rutin.</t>
  </si>
  <si>
    <t>cukup baik dalam mengidentifikasi teks  meminta perhatian dan pendapat, cukup baik dalam mengidentifikasi  teks meminta dan memberi informasi, cukup baik dalam mengidentifikasi teks  keharusan, larangan, dan himbauan, cukup baik dalam mengidentifikasi teks  menyuruh,mengajak &amp; meminta ijin, cukup baik dalam membandingkan teks ttg  greeting card sesuai konteknya, cukup baik dalam mengidentifikasi teks ttg keberadaan orang,benda, &amp; hewan dan baik dalam mengidentifikasi teks  ttg keadaan, tindakan/kegiatan rutin.</t>
  </si>
  <si>
    <t>cukup baik dalam menyusun teks meminta perhatian,pendapat, menghargai kinerja, baik dalam menyusun teks meminta/memberi informasi, cukup baik dalam menyusun teks keharusan,larangan dan himbauan, baik dalam menyusun teks menyuruh,mengajak dan meminta ijin, baik dalam menyusun teks  greeting card, sangat pendek,sederhana, cukup baik dalam menyusun teks tentang keberadaan orang,benda dan binatang dan baik dalam menyusun teks tentang  keadaan,tindakan ,dan kegiatan  rutin.</t>
  </si>
  <si>
    <t>cukup baik dalam mengidentifikasi teks  meminta perhatian dan pendapat, cukup baik dalam mengidentifikasi  teks meminta dan memberi informasi, baik dalam mengidentifikasi teks  keharusan, larangan, dan himbauan, cukup baik dalam mengidentifikasi teks  menyuruh,mengajak &amp; meminta ijin, cukup baik dalam membandingkan teks ttg  greeting card sesuai konteknya, cukup baik dalam mengidentifikasi teks ttg keberadaan orang,benda, &amp; hewan dan cukup baik dalam mengidentifikasi teks  ttg keadaan, tindakan/kegiatan rutin.</t>
  </si>
  <si>
    <t>cukup baik dalam menyusun teks meminta perhatian,pendapat, menghargai kinerja, baik dalam menyusun teks meminta/memberi informasi, baik dalam menyusun teks keharusan,larangan dan himbauan, cukup baik dalam menyusun teks menyuruh,mengajak dan meminta ijin, cukup baik dalam menyusun teks  greeting card, sangat pendek,sederhana, cukup baik dalam menyusun teks tentang keberadaan orang,benda dan binatang dan cukup baik dalam menyusun teks tentang  keadaan,tindakan ,dan kegiatan  rutin.</t>
  </si>
  <si>
    <t>cukup baik dalam mengidentifikasi teks  meminta perhatian dan pendapat, baik dalam mengidentifikasi  teks meminta dan memberi informasi, baik dalam mengidentifikasi teks  keharusan, larangan, dan himbauan, baik dalam mengidentifikasi teks  menyuruh,mengajak &amp; meminta ijin, cukup baik dalam membandingkan teks ttg  greeting card sesuai konteknya, baik dalam mengidentifikasi teks ttg keberadaan orang,benda, &amp; hewan dan baik dalam mengidentifikasi teks  ttg keadaan, tindakan/kegiatan rutin.</t>
  </si>
  <si>
    <t>cukup baik dalam menyusun teks meminta perhatian,pendapat, menghargai kinerja, cukup baik dalam menyusun teks meminta/memberi informasi, cukup baik dalam menyusun teks keharusan,larangan dan himbauan, cukup baik dalam menyusun teks menyuruh,mengajak dan meminta ijin, baik dalam menyusun teks  greeting card, sangat pendek,sederhana, cukup baik dalam menyusun teks tentang keberadaan orang,benda dan binatang dan baik dalam menyusun teks tentang  keadaan,tindakan ,dan kegiatan  rutin.</t>
  </si>
  <si>
    <t>baik dalam mengidentifikasi teks  meminta perhatian dan pendapat, baik dalam mengidentifikasi  teks meminta dan memberi informasi, baik dalam mengidentifikasi teks  keharusan, larangan, dan himbauan, baik dalam mengidentifikasi teks  menyuruh,mengajak &amp; meminta ijin, cukup baik dalam membandingkan teks ttg  greeting card sesuai konteknya, cukup baik dalam mengidentifikasi teks ttg keberadaan orang,benda, &amp; hewan dan cukup baik dalam mengidentifikasi teks  ttg keadaan, tindakan/kegiatan rutin.</t>
  </si>
  <si>
    <t>baik dalam mengidentifikasi teks  meminta perhatian dan pendapat, cukup baik dalam mengidentifikasi  teks meminta dan memberi informasi, baik dalam mengidentifikasi teks  keharusan, larangan, dan himbauan, baik dalam mengidentifikasi teks  menyuruh,mengajak &amp; meminta ijin, cukup baik dalam membandingkan teks ttg  greeting card sesuai konteknya, baik dalam mengidentifikasi teks ttg keberadaan orang,benda, &amp; hewan dan baik dalam mengidentifikasi teks  ttg keadaan, tindakan/kegiatan rutin.</t>
  </si>
  <si>
    <t>cukup baik dalam menyusun teks meminta perhatian,pendapat, menghargai kinerja, baik dalam menyusun teks meminta/memberi informasi, cukup baik dalam menyusun teks keharusan,larangan dan himbauan, cukup baik dalam menyusun teks menyuruh,mengajak dan meminta ijin, cukup baik dalam menyusun teks  greeting card, sangat pendek,sederhana, cukup baik dalam menyusun teks tentang keberadaan orang,benda dan binatang dan cukup baik dalam menyusun teks tentang  keadaan,tindakan ,dan kegiatan  rutin.</t>
  </si>
  <si>
    <t>baik dalam memilih jenis dan rancangan pembuatan kerajinan bahan lunak, cukup baik dalam memanipulasi dan membuat produk TIK, cukup baik dalam mempraktekkan tahapan budidaya komoditas ternak kesayangan, baik dalam mengolah, menyaji dan mengemas bahan pangan serealia dan baik dalam mengolah, menyaji dan mengemas bahan kacang dan umbi.</t>
  </si>
  <si>
    <t>baik dalam memilih jenis dan rancangan pembuatan kerajinan bahan lunak, baik dalam memanipulasi dan membuat produk TIK, cukup baik dalam mempraktekkan tahapan budidaya komoditas ternak kesayangan, baik dalam mengolah, menyaji dan mengemas bahan pangan serealia dan baik dalam mengolah, menyaji dan mengemas bahan kacang dan umbi.</t>
  </si>
  <si>
    <t>baik dalam memilih jenis dan rancangan pembuatan kerajinan bahan lunak, baik dalam memanipulasi dan membuat produk TIK, baik dalam mempraktekkan tahapan budidaya komoditas ternak kesayangan, cukup baik dalam mengolah, menyaji dan mengemas bahan pangan serealia dan cukup baik dalam mengolah, menyaji dan mengemas bahan kacang dan umbi.</t>
  </si>
  <si>
    <t>baik dalam memilih jenis dan rancangan pembuatan kerajinan bahan lunak, baik dalam memanipulasi dan membuat produk TIK, cukup baik dalam mempraktekkan tahapan budidaya komoditas ternak kesayangan, baik dalam mengolah, menyaji dan mengemas bahan pangan serealia dan cukup baik dalam mengolah, menyaji dan mengemas bahan kacang dan umbi.</t>
  </si>
  <si>
    <t>baik dalam memilih jenis dan rancangan pembuatan kerajinan bahan lunak, baik dalam memanipulasi dan membuat produk TIK, baik dalam mempraktekkan tahapan budidaya komoditas ternak kesayangan, baik dalam mengolah, menyaji dan mengemas bahan pangan serealia dan baik dalam mengolah, menyaji dan mengemas bahan kacang dan umbi.</t>
  </si>
  <si>
    <t>baik dalam memilih jenis dan rancangan pembuatan kerajinan bahan lunak, cukup baik dalam memanipulasi dan membuat produk TIK, baik dalam mempraktekkan tahapan budidaya komoditas ternak kesayangan, baik dalam mengolah, menyaji dan mengemas bahan pangan serealia dan baik dalam mengolah, menyaji dan mengemas bahan kacang dan umbi.</t>
  </si>
  <si>
    <t>baik dalam memilih jenis dan rancangan pembuatan kerajinan bahan lunak, baik dalam memanipulasi dan membuat produk TIK, cukup baik dalam mempraktekkan tahapan budidaya komoditas ternak kesayangan, cukup baik dalam mengolah, menyaji dan mengemas bahan pangan serealia dan cukup baik dalam mengolah, menyaji dan mengemas bahan kacang dan umbi.</t>
  </si>
  <si>
    <t>baik dalam memilih jenis dan rancangan pembuatan kerajinan bahan lunak, baik dalam memanipulasi dan membuat produk TIK, baik dalam mempraktekkan tahapan budidaya komoditas ternak kesayangan, baik dalam mengolah, menyaji dan mengemas bahan pangan serealia dan cukup baik dalam mengolah, menyaji dan mengemas bahan kacang dan umbi.</t>
  </si>
  <si>
    <t>cukup baik dalam memilih jenis dan rancangan pembuatan kerajinan bahan lunak, baik dalam memanipulasi dan membuat produk TIK, cukup baik dalam mempraktekkan tahapan budidaya komoditas ternak kesayangan, cukup baik dalam mengolah, menyaji dan mengemas bahan pangan serealia dan cukup baik dalam mengolah, menyaji dan mengemas bahan kacang dan umbi.</t>
  </si>
  <si>
    <t>cukup baik dalam memilih jenis dan rancangan pembuatan kerajinan bahan lunak, cukup baik dalam memanipulasi dan membuat produk TIK, cukup baik dalam mempraktekkan tahapan budidaya komoditas ternak kesayangan, baik dalam mengolah, menyaji dan mengemas bahan pangan serealia dan baik dalam mengolah, menyaji dan mengemas bahan kacang dan umbi.</t>
  </si>
  <si>
    <t>baik dalam memilih jenis dan rancangan pembuatan kerajinan bahan lunak, cukup baik dalam memanipulasi dan membuat produk TIK, cukup baik dalam mempraktekkan tahapan budidaya komoditas ternak kesayangan, baik dalam mengolah, menyaji dan mengemas bahan pangan serealia dan cukup baik dalam mengolah, menyaji dan mengemas bahan kacang dan umbi.</t>
  </si>
  <si>
    <t>cukup baik dalam memilih jenis dan rancangan pembuatan kerajinan bahan lunak, baik dalam memanipulasi dan membuat produk TIK, baik dalam mempraktekkan tahapan budidaya komoditas ternak kesayangan, baik dalam mengolah, menyaji dan mengemas bahan pangan serealia dan baik dalam mengolah, menyaji dan mengemas bahan kacang dan umbi.</t>
  </si>
  <si>
    <t>cukup baik dalam memilih jenis dan rancangan pembuatan kerajinan bahan lunak, cukup baik dalam memanipulasi dan membuat produk TIK, baik dalam mempraktekkan tahapan budidaya komoditas ternak kesayangan, baik dalam mengolah, menyaji dan mengemas bahan pangan serealia dan baik dalam mengolah, menyaji dan mengemas bahan kacang dan umbi.</t>
  </si>
  <si>
    <t>cukup baik dalam memilih jenis dan rancangan pembuatan kerajinan bahan lunak, cukup baik dalam memanipulasi dan membuat produk TIK, baik dalam mempraktekkan tahapan budidaya komoditas ternak kesayangan, cukup baik dalam mengolah, menyaji dan mengemas bahan pangan serealia dan baik dalam mengolah, menyaji dan mengemas bahan kacang dan umbi.</t>
  </si>
  <si>
    <t>baik dalam memilih jenis dan rancangan pembuatan kerajinan bahan lunak, baik dalam memanipulasi dan membuat produk TIK, cukup baik dalam mempraktekkan tahapan budidaya komoditas ternak kesayangan, cukup baik dalam mengolah, menyaji dan mengemas bahan pangan serealia dan baik dalam mengolah, menyaji dan mengemas bahan kacang dan umbi.</t>
  </si>
  <si>
    <t>cukup baik dalam memilih jenis dan rancangan pembuatan kerajinan bahan lunak, cukup baik dalam memanipulasi dan membuat produk TIK, baik dalam mempraktekkan tahapan budidaya komoditas ternak kesayangan, cukup baik dalam mengolah, menyaji dan mengemas bahan pangan serealia dan cukup baik dalam mengolah, menyaji dan mengemas bahan kacang dan umbi.</t>
  </si>
  <si>
    <t>cukup baik dalam memilih jenis dan rancangan pembuatan kerajinan bahan lunak, baik dalam memanipulasi dan membuat produk TIK, cukup baik dalam mempraktekkan tahapan budidaya komoditas ternak kesayangan, baik dalam mengolah, menyaji dan mengemas bahan pangan serealia dan cukup baik dalam mengolah, menyaji dan mengemas bahan kacang dan umbi.</t>
  </si>
  <si>
    <t>baik dalam gerak benda dan mahluk hidup, baik dalam usaha dan pesawat sederhana, baik dalam stuktur dan fungsi tumbuhan, baik dalam sistem pencernaan manusia, baik dalam zat adiktif dan zat adiktif dan baik dalam sistem peredaran darah manusia.</t>
  </si>
  <si>
    <t>baik dalam mempratektekkan gerak benda, baik dalam mempresentasikan jenis pesawat sederhana, baik dalam mempresentasikan fungsi tumbuhan, baik dalam mempresentasikan urutan saluran pencernaan, baik dalam mempresentasikan jenis zat aditif dan adiktif dan baik dalam mempresentasikan fungsi darah.</t>
  </si>
  <si>
    <t>cukup baik dalam gerak benda dan mahluk hidup, cukup baik dalam usaha dan pesawat sederhana, baik dalam stuktur dan fungsi tumbuhan, cukup baik dalam sistem pencernaan manusia, cukup baik dalam zat adiktif dan zat adiktif dan cukup baik dalam sistem peredaran darah manusia.</t>
  </si>
  <si>
    <t>cukup baik dalam gerak benda dan mahluk hidup, cukup baik dalam usaha dan pesawat sederhana, cukup baik dalam stuktur dan fungsi tumbuhan, cukup baik dalam sistem pencernaan manusia, cukup baik dalam zat adiktif dan zat adiktif dan cukup baik dalam sistem peredaran darah manusia.</t>
  </si>
  <si>
    <t>cukup baik dalam mempratektekkan gerak benda, cukup baik dalam mempresentasikan jenis pesawat sederhana, cukup baik dalam mempresentasikan fungsi tumbuhan, cukup baik dalam mempresentasikan urutan saluran pencernaan, cukup baik dalam mempresentasikan jenis zat aditif dan adiktif dan cukup baik dalam mempresentasikan fungsi darah.</t>
  </si>
  <si>
    <t>baik dalam gerak benda dan mahluk hidup, sangat baik dalam usaha dan pesawat sederhana, baik dalam stuktur dan fungsi tumbuhan, baik dalam sistem pencernaan manusia, baik dalam zat adiktif dan zat adiktif dan baik dalam sistem peredaran darah manusia.</t>
  </si>
  <si>
    <t>baik dalam mempratektekkan gerak benda, sangat baik dalam mempresentasikan jenis pesawat sederhana, baik dalam mempresentasikan fungsi tumbuhan, baik dalam mempresentasikan urutan saluran pencernaan, baik dalam mempresentasikan jenis zat aditif dan adiktif dan baik dalam mempresentasikan fungsi darah.</t>
  </si>
  <si>
    <t>0059735742</t>
  </si>
  <si>
    <t>Melati Sabilla Rochmah</t>
  </si>
  <si>
    <t>SERANG</t>
  </si>
  <si>
    <t>04/02/2005</t>
  </si>
  <si>
    <t>SDN KEMANG</t>
  </si>
  <si>
    <t>YUSUF ABADI</t>
  </si>
  <si>
    <t>LING.KEPANDEAN</t>
  </si>
  <si>
    <t>MIRA M</t>
  </si>
  <si>
    <t>Meninggal Dunia</t>
  </si>
</sst>
</file>

<file path=xl/styles.xml><?xml version="1.0" encoding="utf-8"?>
<styleSheet xmlns="http://schemas.openxmlformats.org/spreadsheetml/2006/main">
  <numFmts count="6">
    <numFmt numFmtId="164" formatCode="0\ &quot;cm&quot;"/>
    <numFmt numFmtId="165" formatCode="0\ &quot;kg&quot;"/>
    <numFmt numFmtId="166" formatCode="0\ &quot;Tahun&quot;"/>
    <numFmt numFmtId="167" formatCode="_([$Rp-421]* #,##0_);_([$Rp-421]* \(#,##0\);_([$Rp-421]* &quot;-&quot;_);_(@_)"/>
    <numFmt numFmtId="168" formatCode="[$Rp-421]#,##0_);\([$Rp-421]#,##0\)"/>
    <numFmt numFmtId="169" formatCode="[$Rp-421]#,##0"/>
  </numFmts>
  <fonts count="130">
    <font>
      <sz val="11"/>
      <color theme="1"/>
      <name val="Calibri"/>
      <family val="2"/>
      <scheme val="minor"/>
    </font>
    <font>
      <b/>
      <sz val="11"/>
      <color theme="1"/>
      <name val="Calibri"/>
      <family val="2"/>
      <scheme val="minor"/>
    </font>
    <font>
      <sz val="14"/>
      <color theme="1"/>
      <name val="Calibri"/>
      <family val="2"/>
      <scheme val="minor"/>
    </font>
    <font>
      <b/>
      <sz val="14"/>
      <color theme="1"/>
      <name val="Calibri"/>
      <family val="2"/>
      <scheme val="minor"/>
    </font>
    <font>
      <i/>
      <sz val="11"/>
      <color theme="1"/>
      <name val="Calibri"/>
      <family val="2"/>
      <scheme val="minor"/>
    </font>
    <font>
      <b/>
      <i/>
      <sz val="14"/>
      <color theme="1"/>
      <name val="Calibri"/>
      <family val="2"/>
      <scheme val="minor"/>
    </font>
    <font>
      <sz val="11"/>
      <color theme="1"/>
      <name val="Segoe UI"/>
      <family val="2"/>
    </font>
    <font>
      <b/>
      <sz val="11"/>
      <color rgb="FF002060"/>
      <name val="Segoe UI"/>
      <family val="2"/>
    </font>
    <font>
      <sz val="11"/>
      <color rgb="FF000000"/>
      <name val="Calibri"/>
      <family val="2"/>
    </font>
    <font>
      <u/>
      <sz val="18"/>
      <color rgb="FFFF0000"/>
      <name val="Aharoni"/>
      <charset val="177"/>
    </font>
    <font>
      <sz val="12"/>
      <color theme="1"/>
      <name val="Calibri"/>
      <family val="2"/>
      <scheme val="minor"/>
    </font>
    <font>
      <b/>
      <sz val="12"/>
      <color theme="1"/>
      <name val="Calibri"/>
      <family val="2"/>
      <scheme val="minor"/>
    </font>
    <font>
      <b/>
      <sz val="14"/>
      <color theme="0"/>
      <name val="Calibri"/>
      <family val="2"/>
      <scheme val="minor"/>
    </font>
    <font>
      <b/>
      <sz val="11"/>
      <color theme="0"/>
      <name val="Calibri"/>
      <family val="2"/>
      <scheme val="minor"/>
    </font>
    <font>
      <sz val="11"/>
      <color theme="1"/>
      <name val="Arial Narrow"/>
      <family val="2"/>
    </font>
    <font>
      <b/>
      <sz val="11"/>
      <color theme="0"/>
      <name val="Arial Narrow"/>
      <family val="2"/>
    </font>
    <font>
      <b/>
      <sz val="11"/>
      <name val="Calibri"/>
      <family val="2"/>
      <scheme val="minor"/>
    </font>
    <font>
      <sz val="14"/>
      <name val="Aharoni"/>
      <charset val="177"/>
    </font>
    <font>
      <b/>
      <sz val="14"/>
      <name val="Aharoni"/>
      <charset val="177"/>
    </font>
    <font>
      <b/>
      <sz val="18"/>
      <color theme="0"/>
      <name val="Calibri"/>
      <family val="2"/>
      <scheme val="minor"/>
    </font>
    <font>
      <sz val="11"/>
      <color theme="1"/>
      <name val="Calibri"/>
      <family val="2"/>
      <scheme val="minor"/>
    </font>
    <font>
      <b/>
      <sz val="16"/>
      <name val="Calibri"/>
      <family val="2"/>
      <scheme val="minor"/>
    </font>
    <font>
      <b/>
      <sz val="24"/>
      <color rgb="FFFF0000"/>
      <name val="Calibri"/>
      <family val="2"/>
      <scheme val="minor"/>
    </font>
    <font>
      <sz val="12"/>
      <name val="Calibri"/>
      <family val="2"/>
      <scheme val="minor"/>
    </font>
    <font>
      <b/>
      <sz val="10"/>
      <color theme="1"/>
      <name val="Adobe Gothic Std B"/>
      <family val="2"/>
      <charset val="128"/>
    </font>
    <font>
      <sz val="9"/>
      <color indexed="81"/>
      <name val="Tahoma"/>
      <family val="2"/>
    </font>
    <font>
      <b/>
      <sz val="9"/>
      <color indexed="81"/>
      <name val="Tahoma"/>
      <family val="2"/>
    </font>
    <font>
      <b/>
      <sz val="18"/>
      <color rgb="FFFF0000"/>
      <name val="Calibri"/>
      <family val="2"/>
      <scheme val="minor"/>
    </font>
    <font>
      <b/>
      <sz val="11"/>
      <color rgb="FF0070C0"/>
      <name val="Arial Black"/>
      <family val="2"/>
    </font>
    <font>
      <sz val="28"/>
      <color theme="1"/>
      <name val="Calibri"/>
      <family val="2"/>
      <scheme val="minor"/>
    </font>
    <font>
      <b/>
      <sz val="11"/>
      <color theme="1"/>
      <name val="Arial Narrow"/>
      <family val="2"/>
    </font>
    <font>
      <u/>
      <sz val="11"/>
      <color theme="10"/>
      <name val="Calibri"/>
      <family val="2"/>
    </font>
    <font>
      <b/>
      <sz val="12"/>
      <color theme="0"/>
      <name val="Calibri"/>
      <family val="2"/>
      <scheme val="minor"/>
    </font>
    <font>
      <b/>
      <u/>
      <sz val="11"/>
      <color theme="1"/>
      <name val="Calibri"/>
      <family val="2"/>
      <scheme val="minor"/>
    </font>
    <font>
      <b/>
      <u/>
      <sz val="11"/>
      <color theme="1"/>
      <name val="Bookman Old Style"/>
      <family val="1"/>
    </font>
    <font>
      <b/>
      <sz val="10"/>
      <color theme="1"/>
      <name val="Bookman Old Style"/>
      <family val="1"/>
    </font>
    <font>
      <b/>
      <i/>
      <sz val="12"/>
      <color theme="1"/>
      <name val="Calibri"/>
      <family val="2"/>
      <scheme val="minor"/>
    </font>
    <font>
      <sz val="12"/>
      <color theme="1"/>
      <name val="Tahoma"/>
      <family val="2"/>
    </font>
    <font>
      <b/>
      <sz val="12"/>
      <color theme="1"/>
      <name val="Tahoma"/>
      <family val="2"/>
    </font>
    <font>
      <sz val="10"/>
      <name val="Arial"/>
      <family val="2"/>
    </font>
    <font>
      <b/>
      <sz val="50"/>
      <color theme="1"/>
      <name val="Calibri"/>
      <family val="2"/>
      <scheme val="minor"/>
    </font>
    <font>
      <sz val="11"/>
      <color rgb="FFF8DE96"/>
      <name val="Calibri"/>
      <family val="2"/>
      <scheme val="minor"/>
    </font>
    <font>
      <b/>
      <sz val="11"/>
      <color rgb="FF002060"/>
      <name val="Calibri"/>
      <family val="2"/>
      <scheme val="minor"/>
    </font>
    <font>
      <sz val="10"/>
      <color theme="1"/>
      <name val="Calibri"/>
      <family val="2"/>
      <scheme val="minor"/>
    </font>
    <font>
      <b/>
      <sz val="10"/>
      <color theme="1"/>
      <name val="Calibri"/>
      <family val="2"/>
      <scheme val="minor"/>
    </font>
    <font>
      <sz val="48"/>
      <color rgb="FFFF0000"/>
      <name val="Calibri"/>
      <family val="2"/>
      <scheme val="minor"/>
    </font>
    <font>
      <b/>
      <i/>
      <sz val="11"/>
      <color theme="1"/>
      <name val="Calibri"/>
      <family val="2"/>
      <scheme val="minor"/>
    </font>
    <font>
      <b/>
      <sz val="11"/>
      <color rgb="FFFF0000"/>
      <name val="Arial Black"/>
      <family val="2"/>
    </font>
    <font>
      <u/>
      <sz val="24"/>
      <color rgb="FFFF0000"/>
      <name val="Aharoni"/>
      <charset val="177"/>
    </font>
    <font>
      <b/>
      <u/>
      <sz val="24"/>
      <color rgb="FFFF0000"/>
      <name val="Agency FB"/>
      <family val="2"/>
    </font>
    <font>
      <b/>
      <sz val="10"/>
      <color rgb="FF3F3F3F"/>
      <name val="Calibri"/>
      <family val="2"/>
      <scheme val="minor"/>
    </font>
    <font>
      <sz val="20"/>
      <color theme="1"/>
      <name val="Calibri"/>
      <family val="2"/>
      <scheme val="minor"/>
    </font>
    <font>
      <sz val="18"/>
      <color theme="1"/>
      <name val="Calibri"/>
      <family val="2"/>
      <scheme val="minor"/>
    </font>
    <font>
      <sz val="24"/>
      <color theme="1"/>
      <name val="Calibri"/>
      <family val="2"/>
      <scheme val="minor"/>
    </font>
    <font>
      <b/>
      <sz val="8"/>
      <color theme="1"/>
      <name val="Calibri"/>
      <family val="2"/>
      <scheme val="minor"/>
    </font>
    <font>
      <b/>
      <sz val="16"/>
      <color theme="1"/>
      <name val="Calibri"/>
      <family val="2"/>
      <scheme val="minor"/>
    </font>
    <font>
      <sz val="11"/>
      <color theme="1"/>
      <name val="Calibri"/>
      <family val="2"/>
      <charset val="1"/>
      <scheme val="minor"/>
    </font>
    <font>
      <sz val="11"/>
      <color rgb="FF006100"/>
      <name val="Calibri"/>
      <family val="2"/>
      <scheme val="minor"/>
    </font>
    <font>
      <i/>
      <sz val="12"/>
      <color theme="1"/>
      <name val="Calibri"/>
      <family val="2"/>
      <scheme val="minor"/>
    </font>
    <font>
      <b/>
      <u/>
      <sz val="12"/>
      <color theme="1"/>
      <name val="Calibri"/>
      <family val="2"/>
      <scheme val="minor"/>
    </font>
    <font>
      <b/>
      <sz val="14"/>
      <color rgb="FFFF0000"/>
      <name val="Calibri"/>
      <family val="2"/>
      <scheme val="minor"/>
    </font>
    <font>
      <b/>
      <u/>
      <sz val="24"/>
      <name val="Agency FB"/>
      <family val="2"/>
    </font>
    <font>
      <b/>
      <sz val="14"/>
      <color rgb="FF0070C0"/>
      <name val="Arial Black"/>
      <family val="2"/>
    </font>
    <font>
      <b/>
      <sz val="9"/>
      <color theme="1"/>
      <name val="Bookman Old Style"/>
      <family val="1"/>
    </font>
    <font>
      <b/>
      <sz val="11"/>
      <color rgb="FF3F3F3F"/>
      <name val="Calibri"/>
      <family val="2"/>
      <scheme val="minor"/>
    </font>
    <font>
      <b/>
      <sz val="14"/>
      <color rgb="FF0070C0"/>
      <name val="Calibri"/>
      <family val="2"/>
      <scheme val="minor"/>
    </font>
    <font>
      <b/>
      <sz val="16"/>
      <color rgb="FFFF0000"/>
      <name val="Calibri"/>
      <family val="2"/>
      <scheme val="minor"/>
    </font>
    <font>
      <b/>
      <i/>
      <sz val="11"/>
      <color rgb="FFFF0000"/>
      <name val="Calibri"/>
      <family val="2"/>
      <scheme val="minor"/>
    </font>
    <font>
      <i/>
      <sz val="11"/>
      <color theme="3"/>
      <name val="Calibri"/>
      <family val="2"/>
      <scheme val="minor"/>
    </font>
    <font>
      <b/>
      <sz val="26"/>
      <color theme="1"/>
      <name val="Calibri"/>
      <family val="2"/>
      <scheme val="minor"/>
    </font>
    <font>
      <b/>
      <sz val="18"/>
      <color theme="1"/>
      <name val="Calibri"/>
      <family val="2"/>
      <scheme val="minor"/>
    </font>
    <font>
      <sz val="16"/>
      <color theme="1"/>
      <name val="Calibri"/>
      <family val="2"/>
      <scheme val="minor"/>
    </font>
    <font>
      <b/>
      <i/>
      <sz val="16"/>
      <color theme="1"/>
      <name val="Calibri"/>
      <family val="2"/>
      <scheme val="minor"/>
    </font>
    <font>
      <b/>
      <sz val="18"/>
      <color rgb="FFFF0000"/>
      <name val="Arial"/>
      <family val="2"/>
    </font>
    <font>
      <i/>
      <sz val="18"/>
      <color theme="1"/>
      <name val="Calibri"/>
      <family val="2"/>
      <scheme val="minor"/>
    </font>
    <font>
      <sz val="18"/>
      <color rgb="FFFF0000"/>
      <name val="Arial"/>
      <family val="2"/>
    </font>
    <font>
      <b/>
      <sz val="20"/>
      <color theme="0"/>
      <name val="Calibri"/>
      <family val="2"/>
      <scheme val="minor"/>
    </font>
    <font>
      <b/>
      <sz val="20"/>
      <color rgb="FFFFFF00"/>
      <name val="Calibri"/>
      <family val="2"/>
      <scheme val="minor"/>
    </font>
    <font>
      <sz val="28"/>
      <name val="Eras Demi ITC"/>
      <family val="2"/>
    </font>
    <font>
      <sz val="24"/>
      <color theme="1"/>
      <name val="Franklin Gothic Demi Cond"/>
      <family val="2"/>
    </font>
    <font>
      <b/>
      <sz val="14"/>
      <name val="Calibri"/>
      <family val="2"/>
      <scheme val="minor"/>
    </font>
    <font>
      <b/>
      <sz val="22"/>
      <name val="Calibri"/>
      <family val="2"/>
      <scheme val="minor"/>
    </font>
    <font>
      <b/>
      <sz val="16"/>
      <color theme="0"/>
      <name val="Arial"/>
      <family val="2"/>
    </font>
    <font>
      <i/>
      <sz val="8"/>
      <color theme="0" tint="-0.499984740745262"/>
      <name val="Eras Medium ITC"/>
      <family val="2"/>
    </font>
    <font>
      <i/>
      <sz val="9"/>
      <color theme="0" tint="-0.499984740745262"/>
      <name val="Simplified Arabic Fixed"/>
      <family val="3"/>
    </font>
    <font>
      <i/>
      <sz val="11"/>
      <color rgb="FF7F7F7F"/>
      <name val="Calibri"/>
      <family val="2"/>
      <scheme val="minor"/>
    </font>
    <font>
      <b/>
      <sz val="11"/>
      <color rgb="FFFF0000"/>
      <name val="Calibri"/>
      <family val="2"/>
    </font>
    <font>
      <b/>
      <sz val="12"/>
      <color rgb="FFFF0000"/>
      <name val="Calibri"/>
      <family val="2"/>
      <scheme val="minor"/>
    </font>
    <font>
      <i/>
      <sz val="11"/>
      <color theme="0"/>
      <name val="Calibri"/>
      <family val="2"/>
      <scheme val="minor"/>
    </font>
    <font>
      <u/>
      <sz val="11"/>
      <color theme="0"/>
      <name val="Calibri"/>
      <family val="2"/>
    </font>
    <font>
      <sz val="9"/>
      <color theme="1"/>
      <name val="Calibri"/>
      <family val="2"/>
      <scheme val="minor"/>
    </font>
    <font>
      <sz val="9"/>
      <color theme="0"/>
      <name val="Calibri"/>
      <family val="2"/>
      <scheme val="minor"/>
    </font>
    <font>
      <b/>
      <sz val="9"/>
      <color theme="0"/>
      <name val="Calibri"/>
      <family val="2"/>
      <scheme val="minor"/>
    </font>
    <font>
      <b/>
      <sz val="8"/>
      <color theme="0"/>
      <name val="Calibri"/>
      <family val="2"/>
      <scheme val="minor"/>
    </font>
    <font>
      <b/>
      <sz val="12"/>
      <color rgb="FFFFFF00"/>
      <name val="Arial Rounded MT Bold"/>
      <family val="2"/>
    </font>
    <font>
      <sz val="9"/>
      <name val="Calibri"/>
      <family val="2"/>
      <scheme val="minor"/>
    </font>
    <font>
      <sz val="8"/>
      <color theme="0"/>
      <name val="Calibri"/>
      <family val="2"/>
      <scheme val="minor"/>
    </font>
    <font>
      <sz val="6"/>
      <color theme="0"/>
      <name val="Calibri"/>
      <family val="2"/>
      <scheme val="minor"/>
    </font>
    <font>
      <u/>
      <sz val="5"/>
      <color theme="0"/>
      <name val="Calibri"/>
      <family val="2"/>
      <scheme val="minor"/>
    </font>
    <font>
      <sz val="5"/>
      <color theme="0"/>
      <name val="Calibri"/>
      <family val="2"/>
      <scheme val="minor"/>
    </font>
    <font>
      <b/>
      <sz val="14"/>
      <color rgb="FFFFFF00"/>
      <name val="Calibri"/>
      <family val="2"/>
      <scheme val="minor"/>
    </font>
    <font>
      <b/>
      <u/>
      <sz val="6"/>
      <color theme="0"/>
      <name val="Calibri"/>
      <family val="2"/>
      <scheme val="minor"/>
    </font>
    <font>
      <b/>
      <sz val="10"/>
      <color theme="0"/>
      <name val="Calibri"/>
      <family val="2"/>
      <scheme val="minor"/>
    </font>
    <font>
      <b/>
      <sz val="18"/>
      <color rgb="FFC00000"/>
      <name val="Agency FB"/>
      <family val="2"/>
    </font>
    <font>
      <sz val="11"/>
      <color theme="0"/>
      <name val="Calibri"/>
      <family val="2"/>
      <scheme val="minor"/>
    </font>
    <font>
      <b/>
      <sz val="12"/>
      <name val="Script MT Bold"/>
      <family val="4"/>
    </font>
    <font>
      <b/>
      <sz val="20"/>
      <color theme="1"/>
      <name val="Calibri"/>
      <family val="2"/>
      <scheme val="minor"/>
    </font>
    <font>
      <b/>
      <sz val="20"/>
      <color rgb="FFFF0000"/>
      <name val="Arial Rounded MT Bold"/>
      <family val="2"/>
    </font>
    <font>
      <b/>
      <sz val="16"/>
      <color rgb="FFC00000"/>
      <name val="Calibri"/>
      <family val="2"/>
      <scheme val="minor"/>
    </font>
    <font>
      <b/>
      <sz val="10"/>
      <color rgb="FFC00000"/>
      <name val="Calibri"/>
      <family val="2"/>
      <scheme val="minor"/>
    </font>
    <font>
      <sz val="10"/>
      <name val="Calibri"/>
      <family val="2"/>
      <scheme val="minor"/>
    </font>
    <font>
      <i/>
      <sz val="11"/>
      <color theme="0" tint="-0.499984740745262"/>
      <name val="Eras Medium ITC"/>
      <family val="2"/>
    </font>
    <font>
      <b/>
      <sz val="9"/>
      <color theme="1"/>
      <name val="Calibri"/>
      <family val="2"/>
      <scheme val="minor"/>
    </font>
    <font>
      <b/>
      <sz val="20"/>
      <color rgb="FFFF0000"/>
      <name val="Calibri"/>
      <family val="2"/>
      <scheme val="minor"/>
    </font>
    <font>
      <b/>
      <sz val="11"/>
      <color theme="1"/>
      <name val="Bookman Old Style"/>
      <family val="1"/>
    </font>
    <font>
      <u/>
      <sz val="10"/>
      <color indexed="12"/>
      <name val="Arial"/>
      <family val="2"/>
    </font>
    <font>
      <sz val="9"/>
      <name val="Arial"/>
      <family val="2"/>
    </font>
    <font>
      <b/>
      <sz val="16"/>
      <color rgb="FF0070C0"/>
      <name val="Calibri"/>
      <family val="2"/>
      <scheme val="minor"/>
    </font>
    <font>
      <sz val="11"/>
      <name val="Calibri"/>
      <family val="2"/>
      <scheme val="minor"/>
    </font>
    <font>
      <b/>
      <sz val="10"/>
      <name val="Calibri"/>
      <family val="2"/>
      <scheme val="minor"/>
    </font>
    <font>
      <b/>
      <sz val="9.5"/>
      <color theme="0"/>
      <name val="Calibri"/>
      <family val="2"/>
      <scheme val="minor"/>
    </font>
    <font>
      <sz val="9.5"/>
      <color theme="1"/>
      <name val="Calibri"/>
      <family val="2"/>
      <scheme val="minor"/>
    </font>
    <font>
      <b/>
      <sz val="16"/>
      <color rgb="FFF8DE96"/>
      <name val="Calibri"/>
      <family val="2"/>
      <scheme val="minor"/>
    </font>
    <font>
      <b/>
      <sz val="24"/>
      <color rgb="FFF8DE96"/>
      <name val="Calibri"/>
      <family val="2"/>
      <scheme val="minor"/>
    </font>
    <font>
      <u/>
      <sz val="14"/>
      <color rgb="FFFF0000"/>
      <name val="Aharoni"/>
      <charset val="177"/>
    </font>
    <font>
      <b/>
      <sz val="24"/>
      <name val="Adobe Heiti Std R"/>
      <family val="2"/>
      <charset val="128"/>
    </font>
    <font>
      <sz val="11"/>
      <name val="Arial Rounded MT Bold"/>
      <family val="2"/>
    </font>
    <font>
      <sz val="10"/>
      <color theme="1"/>
      <name val="Arial Rounded MT Bold"/>
      <family val="2"/>
    </font>
    <font>
      <sz val="8"/>
      <color theme="1"/>
      <name val="Calibri"/>
      <family val="2"/>
      <scheme val="minor"/>
    </font>
    <font>
      <sz val="7"/>
      <color theme="1"/>
      <name val="Calibri"/>
      <family val="2"/>
      <scheme val="minor"/>
    </font>
  </fonts>
  <fills count="4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F8DE96"/>
        <bgColor indexed="64"/>
      </patternFill>
    </fill>
    <fill>
      <patternFill patternType="solid">
        <fgColor theme="2"/>
        <bgColor indexed="64"/>
      </patternFill>
    </fill>
    <fill>
      <patternFill patternType="solid">
        <fgColor theme="1" tint="0.34998626667073579"/>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FF0000"/>
        <bgColor indexed="64"/>
      </patternFill>
    </fill>
    <fill>
      <patternFill patternType="solid">
        <fgColor rgb="FF002060"/>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theme="5" tint="-0.499984740745262"/>
        <bgColor indexed="64"/>
      </patternFill>
    </fill>
    <fill>
      <patternFill patternType="solid">
        <fgColor theme="6"/>
        <bgColor indexed="64"/>
      </patternFill>
    </fill>
    <fill>
      <patternFill patternType="solid">
        <fgColor theme="4" tint="0.79998168889431442"/>
        <bgColor indexed="64"/>
      </patternFill>
    </fill>
    <fill>
      <patternFill patternType="solid">
        <fgColor rgb="FFFFFFCC"/>
      </patternFill>
    </fill>
    <fill>
      <patternFill patternType="solid">
        <fgColor rgb="FF00B0F0"/>
        <bgColor indexed="64"/>
      </patternFill>
    </fill>
    <fill>
      <patternFill patternType="solid">
        <fgColor theme="5"/>
        <bgColor indexed="64"/>
      </patternFill>
    </fill>
    <fill>
      <patternFill patternType="solid">
        <fgColor theme="3" tint="-0.249977111117893"/>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C00000"/>
        <bgColor indexed="64"/>
      </patternFill>
    </fill>
    <fill>
      <patternFill patternType="solid">
        <fgColor theme="9" tint="-0.249977111117893"/>
        <bgColor indexed="64"/>
      </patternFill>
    </fill>
    <fill>
      <patternFill patternType="solid">
        <fgColor theme="1"/>
        <bgColor indexed="64"/>
      </patternFill>
    </fill>
    <fill>
      <patternFill patternType="solid">
        <fgColor rgb="FFF2F2F2"/>
      </patternFill>
    </fill>
    <fill>
      <patternFill patternType="solid">
        <fgColor theme="3"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theme="3" tint="0.79998168889431442"/>
        <bgColor indexed="64"/>
      </patternFill>
    </fill>
    <fill>
      <patternFill patternType="lightUp">
        <bgColor rgb="FF002060"/>
      </patternFill>
    </fill>
    <fill>
      <patternFill patternType="solid">
        <fgColor theme="3"/>
        <bgColor indexed="64"/>
      </patternFill>
    </fill>
    <fill>
      <patternFill patternType="solid">
        <fgColor theme="1" tint="0.14999847407452621"/>
        <bgColor indexed="64"/>
      </patternFill>
    </fill>
    <fill>
      <patternFill patternType="solid">
        <fgColor rgb="FF00B050"/>
        <bgColor indexed="64"/>
      </patternFill>
    </fill>
    <fill>
      <patternFill patternType="solid">
        <fgColor rgb="FF7030A0"/>
        <bgColor indexed="64"/>
      </patternFill>
    </fill>
    <fill>
      <patternFill patternType="solid">
        <fgColor theme="8" tint="-0.499984740745262"/>
        <bgColor indexed="64"/>
      </patternFill>
    </fill>
    <fill>
      <patternFill patternType="solid">
        <fgColor theme="9" tint="-0.499984740745262"/>
        <bgColor indexed="64"/>
      </patternFill>
    </fill>
    <fill>
      <patternFill patternType="solid">
        <fgColor theme="7" tint="-0.499984740745262"/>
        <bgColor indexed="64"/>
      </patternFill>
    </fill>
  </fills>
  <borders count="191">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dotted">
        <color auto="1"/>
      </top>
      <bottom style="dotted">
        <color auto="1"/>
      </bottom>
      <diagonal/>
    </border>
    <border>
      <left style="thin">
        <color indexed="64"/>
      </left>
      <right style="thin">
        <color indexed="64"/>
      </right>
      <top/>
      <bottom style="dotted">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dotted">
        <color indexed="64"/>
      </top>
      <bottom style="dotted">
        <color indexed="64"/>
      </bottom>
      <diagonal/>
    </border>
    <border>
      <left style="thin">
        <color auto="1"/>
      </left>
      <right/>
      <top/>
      <bottom style="dotted">
        <color auto="1"/>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style="medium">
        <color indexed="64"/>
      </bottom>
      <diagonal/>
    </border>
    <border>
      <left/>
      <right style="medium">
        <color indexed="64"/>
      </right>
      <top style="medium">
        <color indexed="64"/>
      </top>
      <bottom/>
      <diagonal/>
    </border>
    <border>
      <left style="thin">
        <color indexed="64"/>
      </left>
      <right style="medium">
        <color indexed="64"/>
      </right>
      <top/>
      <bottom/>
      <diagonal/>
    </border>
    <border>
      <left style="medium">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medium">
        <color indexed="64"/>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dashed">
        <color indexed="64"/>
      </top>
      <bottom style="medium">
        <color indexed="64"/>
      </bottom>
      <diagonal/>
    </border>
    <border>
      <left style="thin">
        <color indexed="64"/>
      </left>
      <right style="thin">
        <color indexed="64"/>
      </right>
      <top style="dashed">
        <color indexed="64"/>
      </top>
      <bottom style="medium">
        <color indexed="64"/>
      </bottom>
      <diagonal/>
    </border>
    <border>
      <left style="thin">
        <color indexed="64"/>
      </left>
      <right style="thin">
        <color indexed="64"/>
      </right>
      <top/>
      <bottom/>
      <diagonal/>
    </border>
    <border>
      <left style="medium">
        <color indexed="64"/>
      </left>
      <right style="thin">
        <color indexed="64"/>
      </right>
      <top style="thin">
        <color indexed="64"/>
      </top>
      <bottom style="dotted">
        <color indexed="64"/>
      </bottom>
      <diagonal/>
    </border>
    <border>
      <left style="thin">
        <color indexed="64"/>
      </left>
      <right style="thin">
        <color indexed="64"/>
      </right>
      <top style="thin">
        <color indexed="64"/>
      </top>
      <bottom style="dotted">
        <color indexed="64"/>
      </bottom>
      <diagonal/>
    </border>
    <border>
      <left style="thin">
        <color indexed="64"/>
      </left>
      <right style="medium">
        <color indexed="64"/>
      </right>
      <top style="thin">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right/>
      <top style="thin">
        <color indexed="64"/>
      </top>
      <bottom style="medium">
        <color indexed="64"/>
      </bottom>
      <diagonal/>
    </border>
    <border>
      <left style="medium">
        <color indexed="64"/>
      </left>
      <right style="thin">
        <color indexed="64"/>
      </right>
      <top/>
      <bottom style="dashed">
        <color indexed="64"/>
      </bottom>
      <diagonal/>
    </border>
    <border>
      <left style="thin">
        <color indexed="64"/>
      </left>
      <right style="thin">
        <color indexed="64"/>
      </right>
      <top/>
      <bottom style="dashed">
        <color indexed="64"/>
      </bottom>
      <diagonal/>
    </border>
    <border>
      <left style="thin">
        <color indexed="64"/>
      </left>
      <right/>
      <top style="medium">
        <color indexed="64"/>
      </top>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thin">
        <color indexed="64"/>
      </left>
      <right style="medium">
        <color indexed="64"/>
      </right>
      <top/>
      <bottom style="medium">
        <color indexed="64"/>
      </bottom>
      <diagonal/>
    </border>
    <border>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style="hair">
        <color auto="1"/>
      </left>
      <right style="hair">
        <color auto="1"/>
      </right>
      <top style="hair">
        <color auto="1"/>
      </top>
      <bottom style="hair">
        <color auto="1"/>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thin">
        <color indexed="64"/>
      </left>
      <right style="hair">
        <color indexed="64"/>
      </right>
      <top style="hair">
        <color indexed="64"/>
      </top>
      <bottom style="hair">
        <color indexed="64"/>
      </bottom>
      <diagonal/>
    </border>
    <border>
      <left/>
      <right/>
      <top/>
      <bottom style="dashed">
        <color indexed="64"/>
      </bottom>
      <diagonal/>
    </border>
    <border>
      <left style="thin">
        <color rgb="FF3F3F3F"/>
      </left>
      <right style="thin">
        <color rgb="FF3F3F3F"/>
      </right>
      <top style="thin">
        <color rgb="FF3F3F3F"/>
      </top>
      <bottom style="thin">
        <color rgb="FF3F3F3F"/>
      </bottom>
      <diagonal/>
    </border>
    <border>
      <left style="thin">
        <color rgb="FFFF0000"/>
      </left>
      <right style="thin">
        <color indexed="64"/>
      </right>
      <top style="thin">
        <color rgb="FFFF0000"/>
      </top>
      <bottom style="thin">
        <color indexed="64"/>
      </bottom>
      <diagonal/>
    </border>
    <border>
      <left style="thin">
        <color indexed="64"/>
      </left>
      <right style="thin">
        <color indexed="64"/>
      </right>
      <top style="thin">
        <color rgb="FFFF0000"/>
      </top>
      <bottom style="thin">
        <color indexed="64"/>
      </bottom>
      <diagonal/>
    </border>
    <border>
      <left style="thin">
        <color indexed="64"/>
      </left>
      <right style="thin">
        <color rgb="FFFF0000"/>
      </right>
      <top style="thin">
        <color rgb="FFFF0000"/>
      </top>
      <bottom style="thin">
        <color indexed="64"/>
      </bottom>
      <diagonal/>
    </border>
    <border>
      <left style="thin">
        <color rgb="FFFF0000"/>
      </left>
      <right style="thin">
        <color indexed="64"/>
      </right>
      <top style="thin">
        <color indexed="64"/>
      </top>
      <bottom style="thin">
        <color rgb="FFFF0000"/>
      </bottom>
      <diagonal/>
    </border>
    <border>
      <left style="thin">
        <color indexed="64"/>
      </left>
      <right style="thin">
        <color indexed="64"/>
      </right>
      <top style="thin">
        <color indexed="64"/>
      </top>
      <bottom style="thin">
        <color rgb="FFFF0000"/>
      </bottom>
      <diagonal/>
    </border>
    <border>
      <left style="thin">
        <color indexed="64"/>
      </left>
      <right style="thin">
        <color rgb="FFFF0000"/>
      </right>
      <top style="thin">
        <color indexed="64"/>
      </top>
      <bottom style="thin">
        <color rgb="FFFF0000"/>
      </bottom>
      <diagonal/>
    </border>
    <border>
      <left/>
      <right style="thin">
        <color indexed="64"/>
      </right>
      <top style="double">
        <color indexed="64"/>
      </top>
      <bottom style="thin">
        <color indexed="64"/>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medium">
        <color theme="0" tint="-4.9989318521683403E-2"/>
      </left>
      <right/>
      <top style="medium">
        <color theme="0" tint="-4.9989318521683403E-2"/>
      </top>
      <bottom style="medium">
        <color theme="0" tint="-4.9989318521683403E-2"/>
      </bottom>
      <diagonal/>
    </border>
    <border>
      <left/>
      <right/>
      <top style="medium">
        <color theme="0" tint="-4.9989318521683403E-2"/>
      </top>
      <bottom style="medium">
        <color theme="0" tint="-4.9989318521683403E-2"/>
      </bottom>
      <diagonal/>
    </border>
    <border>
      <left/>
      <right style="medium">
        <color theme="0" tint="-4.9989318521683403E-2"/>
      </right>
      <top style="medium">
        <color theme="0" tint="-4.9989318521683403E-2"/>
      </top>
      <bottom style="medium">
        <color theme="0" tint="-4.9989318521683403E-2"/>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right/>
      <top/>
      <bottom style="medium">
        <color theme="0"/>
      </bottom>
      <diagonal/>
    </border>
    <border>
      <left/>
      <right style="medium">
        <color auto="1"/>
      </right>
      <top/>
      <bottom style="medium">
        <color theme="0"/>
      </bottom>
      <diagonal/>
    </border>
    <border>
      <left/>
      <right/>
      <top/>
      <bottom style="thick">
        <color rgb="FFC00000"/>
      </bottom>
      <diagonal/>
    </border>
    <border>
      <left style="thick">
        <color rgb="FFC00000"/>
      </left>
      <right/>
      <top style="thick">
        <color rgb="FFC00000"/>
      </top>
      <bottom/>
      <diagonal/>
    </border>
    <border>
      <left style="medium">
        <color auto="1"/>
      </left>
      <right/>
      <top/>
      <bottom style="thick">
        <color rgb="FFC00000"/>
      </bottom>
      <diagonal/>
    </border>
    <border>
      <left/>
      <right style="medium">
        <color auto="1"/>
      </right>
      <top/>
      <bottom style="thick">
        <color rgb="FFC00000"/>
      </bottom>
      <diagonal/>
    </border>
    <border>
      <left style="medium">
        <color auto="1"/>
      </left>
      <right/>
      <top/>
      <bottom style="medium">
        <color theme="0"/>
      </bottom>
      <diagonal/>
    </border>
    <border>
      <left/>
      <right style="dashed">
        <color auto="1"/>
      </right>
      <top/>
      <bottom/>
      <diagonal/>
    </border>
    <border>
      <left/>
      <right/>
      <top style="medium">
        <color indexed="64"/>
      </top>
      <bottom style="dashed">
        <color indexed="64"/>
      </bottom>
      <diagonal/>
    </border>
    <border>
      <left style="dashed">
        <color auto="1"/>
      </left>
      <right/>
      <top/>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style="medium">
        <color indexed="64"/>
      </left>
      <right/>
      <top style="thin">
        <color theme="0"/>
      </top>
      <bottom style="medium">
        <color indexed="64"/>
      </bottom>
      <diagonal/>
    </border>
    <border>
      <left/>
      <right/>
      <top style="thin">
        <color theme="0"/>
      </top>
      <bottom style="medium">
        <color indexed="64"/>
      </bottom>
      <diagonal/>
    </border>
    <border>
      <left/>
      <right style="medium">
        <color indexed="64"/>
      </right>
      <top style="hair">
        <color indexed="64"/>
      </top>
      <bottom style="hair">
        <color indexed="64"/>
      </bottom>
      <diagonal/>
    </border>
    <border>
      <left style="hair">
        <color indexed="64"/>
      </left>
      <right style="medium">
        <color indexed="64"/>
      </right>
      <top style="hair">
        <color indexed="64"/>
      </top>
      <bottom/>
      <diagonal/>
    </border>
    <border>
      <left style="hair">
        <color indexed="64"/>
      </left>
      <right style="medium">
        <color indexed="64"/>
      </right>
      <top style="hair">
        <color indexed="64"/>
      </top>
      <bottom style="hair">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right/>
      <top/>
      <bottom style="dotted">
        <color auto="1"/>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style="medium">
        <color indexed="64"/>
      </right>
      <top style="double">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right style="medium">
        <color indexed="64"/>
      </right>
      <top style="double">
        <color indexed="64"/>
      </top>
      <bottom style="thin">
        <color indexed="64"/>
      </bottom>
      <diagonal/>
    </border>
    <border>
      <left/>
      <right style="medium">
        <color indexed="64"/>
      </right>
      <top style="thin">
        <color indexed="64"/>
      </top>
      <bottom style="medium">
        <color indexed="64"/>
      </bottom>
      <diagonal/>
    </border>
    <border>
      <left/>
      <right/>
      <top/>
      <bottom style="double">
        <color indexed="64"/>
      </bottom>
      <diagonal/>
    </border>
    <border>
      <left style="thin">
        <color indexed="64"/>
      </left>
      <right style="thin">
        <color indexed="64"/>
      </right>
      <top style="medium">
        <color indexed="64"/>
      </top>
      <bottom style="dashed">
        <color indexed="64"/>
      </bottom>
      <diagonal/>
    </border>
    <border>
      <left style="medium">
        <color indexed="64"/>
      </left>
      <right style="thin">
        <color indexed="64"/>
      </right>
      <top/>
      <bottom style="medium">
        <color indexed="64"/>
      </bottom>
      <diagonal/>
    </border>
    <border>
      <left/>
      <right style="thin">
        <color indexed="64"/>
      </right>
      <top style="medium">
        <color indexed="64"/>
      </top>
      <bottom style="dashed">
        <color indexed="64"/>
      </bottom>
      <diagonal/>
    </border>
    <border>
      <left/>
      <right style="thin">
        <color indexed="64"/>
      </right>
      <top style="dashed">
        <color indexed="64"/>
      </top>
      <bottom style="dashed">
        <color indexed="64"/>
      </bottom>
      <diagonal/>
    </border>
    <border>
      <left/>
      <right style="thin">
        <color indexed="64"/>
      </right>
      <top style="dashed">
        <color indexed="64"/>
      </top>
      <bottom style="medium">
        <color indexed="64"/>
      </bottom>
      <diagonal/>
    </border>
    <border>
      <left style="thin">
        <color indexed="64"/>
      </left>
      <right style="medium">
        <color indexed="64"/>
      </right>
      <top style="dashed">
        <color indexed="64"/>
      </top>
      <bottom style="dashed">
        <color indexed="64"/>
      </bottom>
      <diagonal/>
    </border>
    <border>
      <left/>
      <right/>
      <top style="dashed">
        <color indexed="64"/>
      </top>
      <bottom style="dashed">
        <color indexed="64"/>
      </bottom>
      <diagonal/>
    </border>
    <border>
      <left/>
      <right/>
      <top style="dashed">
        <color indexed="64"/>
      </top>
      <bottom style="medium">
        <color indexed="64"/>
      </bottom>
      <diagonal/>
    </border>
    <border>
      <left style="thin">
        <color indexed="64"/>
      </left>
      <right/>
      <top style="medium">
        <color indexed="64"/>
      </top>
      <bottom style="dashed">
        <color indexed="64"/>
      </bottom>
      <diagonal/>
    </border>
    <border>
      <left style="thin">
        <color indexed="64"/>
      </left>
      <right/>
      <top style="dashed">
        <color indexed="64"/>
      </top>
      <bottom style="dashed">
        <color indexed="64"/>
      </bottom>
      <diagonal/>
    </border>
    <border>
      <left style="thin">
        <color indexed="64"/>
      </left>
      <right/>
      <top style="dashed">
        <color indexed="64"/>
      </top>
      <bottom style="medium">
        <color indexed="64"/>
      </bottom>
      <diagonal/>
    </border>
    <border>
      <left/>
      <right style="medium">
        <color indexed="64"/>
      </right>
      <top style="medium">
        <color indexed="64"/>
      </top>
      <bottom style="dashed">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style="medium">
        <color indexed="64"/>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s>
  <cellStyleXfs count="17">
    <xf numFmtId="0" fontId="0" fillId="0" borderId="0"/>
    <xf numFmtId="0" fontId="8" fillId="0" borderId="0"/>
    <xf numFmtId="0" fontId="20" fillId="18" borderId="49" applyNumberFormat="0" applyFont="0" applyAlignment="0" applyProtection="0"/>
    <xf numFmtId="0" fontId="31" fillId="0" borderId="0" applyNumberFormat="0" applyFill="0" applyBorder="0" applyAlignment="0" applyProtection="0">
      <alignment vertical="top"/>
      <protection locked="0"/>
    </xf>
    <xf numFmtId="0" fontId="39" fillId="0" borderId="0"/>
    <xf numFmtId="0" fontId="64" fillId="27" borderId="123" applyNumberFormat="0" applyAlignment="0" applyProtection="0"/>
    <xf numFmtId="0" fontId="85" fillId="0" borderId="0" applyNumberFormat="0" applyFill="0" applyBorder="0" applyAlignment="0" applyProtection="0"/>
    <xf numFmtId="0" fontId="56" fillId="0" borderId="0"/>
    <xf numFmtId="0" fontId="39" fillId="0" borderId="0"/>
    <xf numFmtId="0" fontId="115" fillId="0" borderId="0" applyNumberFormat="0" applyFill="0" applyBorder="0" applyAlignment="0" applyProtection="0">
      <alignment vertical="top"/>
      <protection locked="0"/>
    </xf>
    <xf numFmtId="0" fontId="20" fillId="0" borderId="0"/>
    <xf numFmtId="0" fontId="56" fillId="0" borderId="0"/>
    <xf numFmtId="0" fontId="39" fillId="0" borderId="0"/>
    <xf numFmtId="0" fontId="20" fillId="0" borderId="0"/>
    <xf numFmtId="0" fontId="115" fillId="0" borderId="0" applyNumberFormat="0" applyFill="0" applyBorder="0" applyAlignment="0" applyProtection="0">
      <alignment vertical="top"/>
      <protection locked="0"/>
    </xf>
    <xf numFmtId="0" fontId="115" fillId="0" borderId="0" applyNumberFormat="0" applyFill="0" applyBorder="0" applyAlignment="0" applyProtection="0">
      <alignment vertical="top"/>
      <protection locked="0"/>
    </xf>
    <xf numFmtId="0" fontId="115" fillId="0" borderId="0" applyNumberFormat="0" applyFill="0" applyBorder="0" applyAlignment="0" applyProtection="0">
      <alignment vertical="top"/>
      <protection locked="0"/>
    </xf>
  </cellStyleXfs>
  <cellXfs count="1602">
    <xf numFmtId="0" fontId="0" fillId="0" borderId="0" xfId="0"/>
    <xf numFmtId="0" fontId="0" fillId="0" borderId="0" xfId="0" applyAlignment="1">
      <alignment horizontal="center"/>
    </xf>
    <xf numFmtId="0" fontId="0" fillId="4" borderId="0" xfId="0" applyFill="1"/>
    <xf numFmtId="0" fontId="7" fillId="3" borderId="1" xfId="0" applyFont="1" applyFill="1" applyBorder="1" applyAlignment="1" applyProtection="1">
      <alignment horizontal="center" vertical="center"/>
    </xf>
    <xf numFmtId="0" fontId="7" fillId="3" borderId="1" xfId="0" applyFont="1" applyFill="1" applyBorder="1" applyAlignment="1" applyProtection="1">
      <alignment horizontal="center" vertical="center" wrapText="1"/>
    </xf>
    <xf numFmtId="0" fontId="6" fillId="3" borderId="3" xfId="0" applyFont="1" applyFill="1" applyBorder="1" applyAlignment="1" applyProtection="1">
      <alignment horizontal="center"/>
      <protection locked="0"/>
    </xf>
    <xf numFmtId="0" fontId="0" fillId="3" borderId="3" xfId="0" applyFill="1" applyBorder="1"/>
    <xf numFmtId="0" fontId="6" fillId="3" borderId="4" xfId="0" applyFont="1" applyFill="1" applyBorder="1" applyAlignment="1" applyProtection="1">
      <alignment horizontal="center"/>
      <protection locked="0"/>
    </xf>
    <xf numFmtId="0" fontId="0" fillId="4" borderId="0" xfId="0" applyFill="1" applyAlignment="1">
      <alignment horizontal="center"/>
    </xf>
    <xf numFmtId="0" fontId="9" fillId="4" borderId="0" xfId="0" applyFont="1" applyFill="1" applyAlignment="1"/>
    <xf numFmtId="0" fontId="0" fillId="4" borderId="0" xfId="0" applyFill="1" applyBorder="1"/>
    <xf numFmtId="0" fontId="7" fillId="7" borderId="1" xfId="0" applyFont="1" applyFill="1" applyBorder="1" applyAlignment="1" applyProtection="1">
      <alignment horizontal="center" vertical="center" wrapText="1"/>
    </xf>
    <xf numFmtId="0" fontId="0" fillId="7" borderId="7" xfId="0" applyFill="1" applyBorder="1"/>
    <xf numFmtId="0" fontId="0" fillId="7" borderId="8" xfId="0" applyFill="1" applyBorder="1" applyAlignment="1">
      <alignment horizontal="center"/>
    </xf>
    <xf numFmtId="0" fontId="0" fillId="4" borderId="0" xfId="0" applyFill="1" applyAlignment="1"/>
    <xf numFmtId="0" fontId="10" fillId="0" borderId="19" xfId="0" applyFont="1" applyFill="1" applyBorder="1" applyAlignment="1" applyProtection="1">
      <alignment horizontal="center" vertical="center"/>
    </xf>
    <xf numFmtId="0" fontId="0" fillId="4" borderId="0" xfId="0" applyFill="1" applyProtection="1"/>
    <xf numFmtId="0" fontId="0" fillId="4" borderId="0" xfId="0" applyFill="1" applyAlignment="1" applyProtection="1">
      <alignment horizontal="center"/>
    </xf>
    <xf numFmtId="0" fontId="6" fillId="3" borderId="3" xfId="0" applyFont="1" applyFill="1" applyBorder="1" applyAlignment="1" applyProtection="1">
      <alignment horizontal="left"/>
      <protection locked="0"/>
    </xf>
    <xf numFmtId="0" fontId="14" fillId="4" borderId="0" xfId="0" applyFont="1" applyFill="1" applyProtection="1"/>
    <xf numFmtId="0" fontId="14" fillId="4" borderId="0" xfId="0" applyFont="1" applyFill="1" applyAlignment="1" applyProtection="1">
      <alignment horizontal="center"/>
    </xf>
    <xf numFmtId="0" fontId="14" fillId="4" borderId="0" xfId="0" applyFont="1" applyFill="1" applyAlignment="1" applyProtection="1">
      <alignment vertical="center"/>
    </xf>
    <xf numFmtId="0" fontId="0" fillId="4" borderId="0" xfId="0" applyFill="1" applyAlignment="1" applyProtection="1">
      <alignment vertical="center"/>
    </xf>
    <xf numFmtId="0" fontId="0" fillId="3" borderId="19" xfId="0" applyFill="1" applyBorder="1" applyAlignment="1" applyProtection="1">
      <alignment horizontal="center"/>
      <protection locked="0"/>
    </xf>
    <xf numFmtId="0" fontId="0" fillId="3" borderId="1" xfId="0" applyFill="1" applyBorder="1" applyAlignment="1" applyProtection="1">
      <alignment horizontal="center"/>
      <protection locked="0"/>
    </xf>
    <xf numFmtId="0" fontId="0" fillId="3" borderId="17" xfId="0" applyFill="1" applyBorder="1" applyProtection="1">
      <protection locked="0"/>
    </xf>
    <xf numFmtId="1" fontId="0" fillId="0" borderId="1" xfId="0" applyNumberFormat="1" applyBorder="1" applyAlignment="1" applyProtection="1">
      <alignment horizontal="center" vertical="center"/>
      <protection hidden="1"/>
    </xf>
    <xf numFmtId="2" fontId="0" fillId="0" borderId="1" xfId="0" applyNumberFormat="1" applyBorder="1" applyAlignment="1" applyProtection="1">
      <alignment horizontal="center"/>
      <protection hidden="1"/>
    </xf>
    <xf numFmtId="0" fontId="0" fillId="4" borderId="0" xfId="0" applyFill="1" applyAlignment="1" applyProtection="1">
      <alignment wrapText="1"/>
    </xf>
    <xf numFmtId="0" fontId="10" fillId="0" borderId="39" xfId="0" applyFont="1" applyFill="1" applyBorder="1" applyAlignment="1" applyProtection="1">
      <alignment horizontal="center" vertical="center"/>
    </xf>
    <xf numFmtId="0" fontId="11" fillId="10" borderId="30" xfId="0" applyFont="1" applyFill="1" applyBorder="1" applyAlignment="1" applyProtection="1">
      <alignment horizontal="center" vertical="center" wrapText="1"/>
    </xf>
    <xf numFmtId="0" fontId="11" fillId="10" borderId="36" xfId="0" applyFont="1" applyFill="1" applyBorder="1" applyAlignment="1" applyProtection="1">
      <alignment horizontal="center" vertical="center" wrapText="1"/>
    </xf>
    <xf numFmtId="0" fontId="11" fillId="10" borderId="27" xfId="0" applyFont="1" applyFill="1" applyBorder="1" applyAlignment="1" applyProtection="1">
      <alignment horizontal="center" vertical="center" wrapText="1"/>
    </xf>
    <xf numFmtId="0" fontId="11" fillId="16" borderId="44" xfId="0" applyFont="1" applyFill="1" applyBorder="1" applyAlignment="1" applyProtection="1">
      <alignment horizontal="center" vertical="center" wrapText="1"/>
    </xf>
    <xf numFmtId="0" fontId="11" fillId="16" borderId="45" xfId="0" applyFont="1" applyFill="1" applyBorder="1" applyAlignment="1" applyProtection="1">
      <alignment horizontal="center" vertical="center" wrapText="1"/>
    </xf>
    <xf numFmtId="0" fontId="10" fillId="0" borderId="14" xfId="0" applyFont="1" applyFill="1" applyBorder="1" applyAlignment="1" applyProtection="1">
      <alignment horizontal="center" vertical="center"/>
      <protection locked="0"/>
    </xf>
    <xf numFmtId="0" fontId="10" fillId="0" borderId="26" xfId="0" applyFont="1" applyFill="1" applyBorder="1" applyAlignment="1" applyProtection="1">
      <alignment horizontal="center" vertical="center"/>
      <protection locked="0"/>
    </xf>
    <xf numFmtId="0" fontId="10" fillId="0" borderId="20" xfId="0" applyFont="1" applyFill="1" applyBorder="1" applyAlignment="1" applyProtection="1">
      <alignment horizontal="left" vertical="center" indent="1"/>
      <protection locked="0"/>
    </xf>
    <xf numFmtId="0" fontId="10" fillId="0" borderId="48" xfId="0" applyFont="1" applyFill="1" applyBorder="1" applyAlignment="1" applyProtection="1">
      <alignment horizontal="left" vertical="center" indent="1"/>
      <protection locked="0"/>
    </xf>
    <xf numFmtId="0" fontId="0" fillId="0" borderId="1" xfId="0" applyFill="1" applyBorder="1" applyAlignment="1">
      <alignment horizontal="center"/>
    </xf>
    <xf numFmtId="0" fontId="0" fillId="3" borderId="40" xfId="0" applyFill="1" applyBorder="1" applyAlignment="1" applyProtection="1">
      <alignment horizontal="center"/>
      <protection locked="0"/>
    </xf>
    <xf numFmtId="0" fontId="0" fillId="3" borderId="47" xfId="0" applyFill="1" applyBorder="1" applyProtection="1">
      <protection locked="0"/>
    </xf>
    <xf numFmtId="0" fontId="0" fillId="0" borderId="1" xfId="0" applyBorder="1"/>
    <xf numFmtId="0" fontId="0" fillId="0" borderId="1" xfId="0" applyBorder="1" applyAlignment="1">
      <alignment horizontal="center"/>
    </xf>
    <xf numFmtId="0" fontId="0" fillId="0" borderId="0" xfId="0" applyAlignment="1">
      <alignment horizontal="left"/>
    </xf>
    <xf numFmtId="0" fontId="27" fillId="4" borderId="0" xfId="0" applyFont="1" applyFill="1" applyAlignment="1" applyProtection="1">
      <alignment horizontal="left"/>
    </xf>
    <xf numFmtId="0" fontId="10" fillId="0" borderId="1" xfId="0" quotePrefix="1" applyFont="1" applyFill="1" applyBorder="1" applyAlignment="1" applyProtection="1">
      <alignment horizontal="center" vertical="center"/>
    </xf>
    <xf numFmtId="0" fontId="10" fillId="0" borderId="14" xfId="0" applyFont="1" applyFill="1" applyBorder="1" applyAlignment="1" applyProtection="1">
      <alignment horizontal="left" vertical="center" indent="1"/>
    </xf>
    <xf numFmtId="0" fontId="10" fillId="0" borderId="26" xfId="0" applyFont="1" applyFill="1" applyBorder="1" applyAlignment="1" applyProtection="1">
      <alignment horizontal="left" vertical="center" indent="1"/>
    </xf>
    <xf numFmtId="0" fontId="10" fillId="0" borderId="67" xfId="0" applyFont="1" applyFill="1" applyBorder="1" applyAlignment="1" applyProtection="1">
      <alignment horizontal="left" vertical="center" indent="1"/>
      <protection locked="0"/>
    </xf>
    <xf numFmtId="0" fontId="10" fillId="0" borderId="68" xfId="0" applyFont="1" applyFill="1" applyBorder="1" applyAlignment="1" applyProtection="1">
      <alignment horizontal="center" vertical="center"/>
      <protection locked="0"/>
    </xf>
    <xf numFmtId="0" fontId="10" fillId="0" borderId="68" xfId="0" applyFont="1" applyFill="1" applyBorder="1" applyAlignment="1" applyProtection="1">
      <alignment horizontal="left" vertical="center" indent="1"/>
      <protection locked="0"/>
    </xf>
    <xf numFmtId="0" fontId="10" fillId="0" borderId="69" xfId="0" applyFont="1" applyFill="1" applyBorder="1" applyAlignment="1" applyProtection="1">
      <alignment horizontal="center" vertical="center"/>
      <protection locked="0"/>
    </xf>
    <xf numFmtId="0" fontId="10" fillId="0" borderId="3" xfId="0" applyFont="1" applyFill="1" applyBorder="1" applyAlignment="1" applyProtection="1">
      <alignment horizontal="center" vertical="center"/>
      <protection locked="0"/>
    </xf>
    <xf numFmtId="0" fontId="10" fillId="0" borderId="70" xfId="0" applyFont="1" applyFill="1" applyBorder="1" applyAlignment="1" applyProtection="1">
      <alignment horizontal="center" vertical="center"/>
      <protection locked="0"/>
    </xf>
    <xf numFmtId="0" fontId="10" fillId="0" borderId="71" xfId="0" applyFont="1" applyFill="1" applyBorder="1" applyAlignment="1" applyProtection="1">
      <alignment horizontal="left" vertical="center" indent="1"/>
      <protection locked="0"/>
    </xf>
    <xf numFmtId="0" fontId="10" fillId="0" borderId="72" xfId="0" applyFont="1" applyFill="1" applyBorder="1" applyAlignment="1" applyProtection="1">
      <alignment horizontal="center" vertical="center"/>
      <protection locked="0"/>
    </xf>
    <xf numFmtId="0" fontId="10" fillId="0" borderId="72" xfId="0" applyFont="1" applyFill="1" applyBorder="1" applyAlignment="1" applyProtection="1">
      <alignment horizontal="left" vertical="center" indent="1"/>
      <protection locked="0"/>
    </xf>
    <xf numFmtId="0" fontId="10" fillId="0" borderId="73" xfId="0" applyFont="1" applyFill="1" applyBorder="1" applyAlignment="1" applyProtection="1">
      <alignment horizontal="center" vertical="center"/>
      <protection locked="0"/>
    </xf>
    <xf numFmtId="0" fontId="11" fillId="16" borderId="74" xfId="0" applyFont="1" applyFill="1" applyBorder="1" applyAlignment="1" applyProtection="1">
      <alignment horizontal="center" vertical="center" wrapText="1"/>
    </xf>
    <xf numFmtId="0" fontId="28" fillId="4" borderId="0" xfId="0" applyFont="1" applyFill="1" applyAlignment="1" applyProtection="1">
      <alignment horizontal="left" vertical="top"/>
    </xf>
    <xf numFmtId="0" fontId="10" fillId="0" borderId="40" xfId="0" quotePrefix="1" applyFont="1" applyFill="1" applyBorder="1" applyAlignment="1" applyProtection="1">
      <alignment horizontal="center" vertical="center"/>
    </xf>
    <xf numFmtId="0" fontId="11" fillId="16" borderId="27" xfId="0" applyFont="1" applyFill="1" applyBorder="1" applyAlignment="1" applyProtection="1">
      <alignment horizontal="center" vertical="center" wrapText="1"/>
    </xf>
    <xf numFmtId="0" fontId="10" fillId="0" borderId="5" xfId="0" applyFont="1" applyFill="1" applyBorder="1" applyAlignment="1" applyProtection="1">
      <alignment horizontal="left" vertical="center" indent="1"/>
    </xf>
    <xf numFmtId="0" fontId="10" fillId="0" borderId="41" xfId="0" applyFont="1" applyFill="1" applyBorder="1" applyAlignment="1" applyProtection="1">
      <alignment horizontal="left" vertical="center" indent="1"/>
    </xf>
    <xf numFmtId="0" fontId="11" fillId="10" borderId="74" xfId="0" applyFont="1" applyFill="1" applyBorder="1" applyAlignment="1" applyProtection="1">
      <alignment horizontal="center" vertical="center" wrapText="1"/>
    </xf>
    <xf numFmtId="0" fontId="1" fillId="19" borderId="1" xfId="0" applyFont="1" applyFill="1" applyBorder="1" applyAlignment="1">
      <alignment horizontal="center"/>
    </xf>
    <xf numFmtId="0" fontId="1" fillId="0" borderId="0" xfId="0" applyFont="1"/>
    <xf numFmtId="0" fontId="0" fillId="0" borderId="1" xfId="0" applyBorder="1" applyAlignment="1">
      <alignment horizontal="center" vertical="center"/>
    </xf>
    <xf numFmtId="0" fontId="0" fillId="0" borderId="1" xfId="0" applyBorder="1" applyAlignment="1">
      <alignment vertical="top" wrapText="1"/>
    </xf>
    <xf numFmtId="0" fontId="0" fillId="0" borderId="1" xfId="0" applyBorder="1" applyAlignment="1">
      <alignment horizontal="left" vertical="top" wrapText="1"/>
    </xf>
    <xf numFmtId="0" fontId="0" fillId="4" borderId="0" xfId="0" applyFill="1" applyAlignment="1">
      <alignment horizontal="center"/>
    </xf>
    <xf numFmtId="0" fontId="0" fillId="17" borderId="1" xfId="0" applyFill="1" applyBorder="1" applyAlignment="1">
      <alignment horizontal="center" vertical="center"/>
    </xf>
    <xf numFmtId="0" fontId="0" fillId="17" borderId="1" xfId="0" applyFill="1" applyBorder="1" applyAlignment="1">
      <alignment vertical="top" wrapText="1"/>
    </xf>
    <xf numFmtId="0" fontId="0" fillId="17" borderId="1" xfId="0" applyFill="1" applyBorder="1" applyAlignment="1">
      <alignment horizontal="left" vertical="top" wrapText="1"/>
    </xf>
    <xf numFmtId="0" fontId="27" fillId="0" borderId="0" xfId="0" applyFont="1" applyFill="1" applyAlignment="1" applyProtection="1">
      <alignment horizontal="left"/>
    </xf>
    <xf numFmtId="0" fontId="28" fillId="0" borderId="0" xfId="0" applyFont="1" applyFill="1" applyAlignment="1" applyProtection="1">
      <alignment horizontal="left" vertical="top"/>
    </xf>
    <xf numFmtId="0" fontId="0" fillId="0" borderId="1" xfId="0" applyFill="1" applyBorder="1" applyAlignment="1">
      <alignment horizontal="left" vertical="top" wrapText="1"/>
    </xf>
    <xf numFmtId="0" fontId="11" fillId="4" borderId="1" xfId="0" applyFont="1" applyFill="1" applyBorder="1" applyAlignment="1" applyProtection="1">
      <alignment horizontal="center" vertical="center" wrapText="1"/>
    </xf>
    <xf numFmtId="0" fontId="11" fillId="10" borderId="88" xfId="0" applyFont="1" applyFill="1" applyBorder="1" applyAlignment="1" applyProtection="1">
      <alignment horizontal="center" vertical="center" wrapText="1"/>
    </xf>
    <xf numFmtId="0" fontId="11" fillId="10" borderId="66" xfId="0" applyFont="1" applyFill="1" applyBorder="1" applyAlignment="1" applyProtection="1">
      <alignment horizontal="center" vertical="center" wrapText="1"/>
    </xf>
    <xf numFmtId="0" fontId="11" fillId="10" borderId="92" xfId="0" applyFont="1" applyFill="1" applyBorder="1" applyAlignment="1" applyProtection="1">
      <alignment horizontal="center" vertical="center" wrapText="1"/>
    </xf>
    <xf numFmtId="0" fontId="11" fillId="16" borderId="76" xfId="0" applyFont="1" applyFill="1" applyBorder="1" applyAlignment="1" applyProtection="1">
      <alignment horizontal="center" vertical="center" wrapText="1"/>
    </xf>
    <xf numFmtId="0" fontId="11" fillId="16" borderId="93" xfId="0" applyFont="1" applyFill="1" applyBorder="1" applyAlignment="1" applyProtection="1">
      <alignment horizontal="center" vertical="center" wrapText="1"/>
    </xf>
    <xf numFmtId="0" fontId="11" fillId="16" borderId="80" xfId="0" applyFont="1" applyFill="1" applyBorder="1" applyAlignment="1" applyProtection="1">
      <alignment horizontal="center" vertical="center" wrapText="1"/>
    </xf>
    <xf numFmtId="0" fontId="11" fillId="10" borderId="76" xfId="0" applyFont="1" applyFill="1" applyBorder="1" applyAlignment="1" applyProtection="1">
      <alignment horizontal="center" vertical="center" wrapText="1"/>
    </xf>
    <xf numFmtId="0" fontId="11" fillId="16" borderId="94" xfId="0" applyFont="1" applyFill="1" applyBorder="1" applyAlignment="1" applyProtection="1">
      <alignment horizontal="center" vertical="center" wrapText="1"/>
    </xf>
    <xf numFmtId="0" fontId="11" fillId="4" borderId="14" xfId="0" applyFont="1" applyFill="1" applyBorder="1" applyAlignment="1" applyProtection="1">
      <alignment horizontal="center" vertical="center" wrapText="1"/>
    </xf>
    <xf numFmtId="0" fontId="11" fillId="4" borderId="6" xfId="0" applyFont="1" applyFill="1" applyBorder="1" applyAlignment="1" applyProtection="1">
      <alignment horizontal="center" vertical="center" wrapText="1"/>
    </xf>
    <xf numFmtId="0" fontId="11" fillId="10" borderId="33" xfId="0" applyFont="1" applyFill="1" applyBorder="1" applyAlignment="1" applyProtection="1">
      <alignment horizontal="center" vertical="center" wrapText="1"/>
    </xf>
    <xf numFmtId="0" fontId="11" fillId="10" borderId="11" xfId="0" applyFont="1" applyFill="1" applyBorder="1" applyAlignment="1" applyProtection="1">
      <alignment horizontal="center" vertical="center" wrapText="1"/>
    </xf>
    <xf numFmtId="0" fontId="11" fillId="16" borderId="96" xfId="0" applyFont="1" applyFill="1" applyBorder="1" applyAlignment="1" applyProtection="1">
      <alignment horizontal="center" vertical="center" wrapText="1"/>
    </xf>
    <xf numFmtId="0" fontId="11" fillId="16" borderId="91" xfId="0" applyFont="1" applyFill="1" applyBorder="1" applyAlignment="1" applyProtection="1">
      <alignment horizontal="center" vertical="center" wrapText="1"/>
    </xf>
    <xf numFmtId="0" fontId="10" fillId="0" borderId="39" xfId="0" applyFont="1" applyFill="1" applyBorder="1" applyAlignment="1" applyProtection="1">
      <alignment horizontal="left" vertical="center" indent="1"/>
      <protection locked="0"/>
    </xf>
    <xf numFmtId="0" fontId="13" fillId="9" borderId="50" xfId="0" applyFont="1" applyFill="1" applyBorder="1" applyAlignment="1" applyProtection="1">
      <alignment horizontal="center"/>
    </xf>
    <xf numFmtId="0" fontId="37" fillId="0" borderId="14" xfId="0" applyFont="1" applyFill="1" applyBorder="1" applyAlignment="1" applyProtection="1">
      <alignment horizontal="left" vertical="center" indent="1"/>
    </xf>
    <xf numFmtId="0" fontId="38" fillId="0" borderId="27" xfId="0" applyFont="1" applyFill="1" applyBorder="1" applyAlignment="1" applyProtection="1">
      <alignment horizontal="left" vertical="center" indent="1"/>
    </xf>
    <xf numFmtId="0" fontId="0" fillId="0" borderId="0" xfId="0" applyFill="1" applyBorder="1" applyAlignment="1" applyProtection="1"/>
    <xf numFmtId="0" fontId="0" fillId="4" borderId="0" xfId="0" applyFont="1" applyFill="1" applyProtection="1"/>
    <xf numFmtId="0" fontId="0" fillId="0" borderId="0" xfId="0" applyFont="1" applyFill="1" applyBorder="1" applyAlignment="1" applyProtection="1"/>
    <xf numFmtId="0" fontId="1" fillId="0" borderId="0" xfId="0" applyFont="1" applyFill="1" applyBorder="1" applyAlignment="1" applyProtection="1"/>
    <xf numFmtId="0" fontId="4" fillId="0" borderId="0" xfId="0" applyFont="1" applyFill="1" applyBorder="1" applyAlignment="1" applyProtection="1"/>
    <xf numFmtId="0" fontId="0" fillId="4" borderId="0" xfId="0" applyFill="1" applyAlignment="1" applyProtection="1">
      <alignment horizontal="center" vertical="center"/>
    </xf>
    <xf numFmtId="0" fontId="4" fillId="0" borderId="0" xfId="0" applyFont="1" applyFill="1" applyBorder="1" applyAlignment="1" applyProtection="1">
      <alignment vertical="center" wrapText="1"/>
    </xf>
    <xf numFmtId="0" fontId="43" fillId="0" borderId="19" xfId="0" applyFont="1" applyFill="1" applyBorder="1" applyAlignment="1" applyProtection="1">
      <alignment horizontal="center" vertical="center"/>
    </xf>
    <xf numFmtId="0" fontId="43" fillId="0" borderId="39" xfId="0" applyFont="1" applyFill="1" applyBorder="1" applyAlignment="1" applyProtection="1">
      <alignment horizontal="center" vertical="center"/>
    </xf>
    <xf numFmtId="0" fontId="0" fillId="0" borderId="0" xfId="0" applyFont="1" applyFill="1" applyBorder="1" applyAlignment="1" applyProtection="1">
      <alignment vertical="top"/>
    </xf>
    <xf numFmtId="0" fontId="43" fillId="0" borderId="6" xfId="0" applyFont="1" applyFill="1" applyBorder="1" applyAlignment="1" applyProtection="1">
      <alignment horizontal="left" vertical="center"/>
      <protection locked="0"/>
    </xf>
    <xf numFmtId="49" fontId="43" fillId="0" borderId="1" xfId="0" applyNumberFormat="1" applyFont="1" applyFill="1" applyBorder="1" applyAlignment="1" applyProtection="1">
      <alignment horizontal="left" vertical="center"/>
      <protection locked="0"/>
    </xf>
    <xf numFmtId="0" fontId="43" fillId="0" borderId="1" xfId="0" applyFont="1" applyFill="1" applyBorder="1" applyAlignment="1" applyProtection="1">
      <alignment horizontal="left" vertical="center"/>
      <protection locked="0"/>
    </xf>
    <xf numFmtId="0" fontId="43" fillId="0" borderId="19" xfId="0" applyFont="1" applyFill="1" applyBorder="1" applyAlignment="1" applyProtection="1">
      <alignment horizontal="left" vertical="center" indent="1"/>
      <protection locked="0"/>
    </xf>
    <xf numFmtId="0" fontId="43" fillId="0" borderId="1" xfId="0" applyFont="1" applyFill="1" applyBorder="1" applyAlignment="1" applyProtection="1">
      <alignment horizontal="left" vertical="center" indent="1"/>
      <protection locked="0"/>
    </xf>
    <xf numFmtId="0" fontId="43" fillId="0" borderId="14" xfId="0" applyFont="1" applyFill="1" applyBorder="1" applyAlignment="1" applyProtection="1">
      <alignment horizontal="center" vertical="center"/>
      <protection locked="0"/>
    </xf>
    <xf numFmtId="0" fontId="43" fillId="0" borderId="6" xfId="0" applyFont="1" applyFill="1" applyBorder="1" applyAlignment="1" applyProtection="1">
      <alignment horizontal="left" vertical="center" indent="1"/>
      <protection locked="0"/>
    </xf>
    <xf numFmtId="0" fontId="43" fillId="0" borderId="5" xfId="0" applyFont="1" applyFill="1" applyBorder="1" applyAlignment="1" applyProtection="1">
      <alignment horizontal="center" vertical="center"/>
      <protection locked="0"/>
    </xf>
    <xf numFmtId="0" fontId="43" fillId="0" borderId="1" xfId="0" applyFont="1" applyFill="1" applyBorder="1" applyAlignment="1" applyProtection="1">
      <alignment horizontal="center" vertical="center"/>
      <protection locked="0"/>
    </xf>
    <xf numFmtId="49" fontId="43" fillId="0" borderId="40" xfId="0" applyNumberFormat="1" applyFont="1" applyFill="1" applyBorder="1" applyAlignment="1" applyProtection="1">
      <alignment horizontal="left" vertical="center"/>
      <protection locked="0"/>
    </xf>
    <xf numFmtId="0" fontId="43" fillId="0" borderId="40" xfId="0" applyFont="1" applyFill="1" applyBorder="1" applyAlignment="1" applyProtection="1">
      <alignment horizontal="left" vertical="center"/>
      <protection locked="0"/>
    </xf>
    <xf numFmtId="0" fontId="43" fillId="0" borderId="39" xfId="0" applyFont="1" applyFill="1" applyBorder="1" applyAlignment="1" applyProtection="1">
      <alignment horizontal="left" vertical="center" indent="1"/>
      <protection locked="0"/>
    </xf>
    <xf numFmtId="0" fontId="43" fillId="0" borderId="40" xfId="0" applyFont="1" applyFill="1" applyBorder="1" applyAlignment="1" applyProtection="1">
      <alignment horizontal="left" vertical="center" indent="1"/>
      <protection locked="0"/>
    </xf>
    <xf numFmtId="0" fontId="43" fillId="0" borderId="26" xfId="0" applyFont="1" applyFill="1" applyBorder="1" applyAlignment="1" applyProtection="1">
      <alignment horizontal="center" vertical="center"/>
      <protection locked="0"/>
    </xf>
    <xf numFmtId="0" fontId="43" fillId="0" borderId="40" xfId="0" applyFont="1" applyFill="1" applyBorder="1" applyAlignment="1" applyProtection="1">
      <alignment horizontal="center" vertical="center"/>
      <protection locked="0"/>
    </xf>
    <xf numFmtId="0" fontId="49" fillId="4" borderId="0" xfId="0" applyFont="1" applyFill="1" applyAlignment="1"/>
    <xf numFmtId="0" fontId="49" fillId="4" borderId="0" xfId="0" applyFont="1" applyFill="1" applyAlignment="1">
      <alignment horizontal="center"/>
    </xf>
    <xf numFmtId="0" fontId="3" fillId="4" borderId="0" xfId="0" applyFont="1" applyFill="1" applyAlignment="1"/>
    <xf numFmtId="0" fontId="3" fillId="4" borderId="0" xfId="0" applyFont="1" applyFill="1" applyAlignment="1">
      <alignment horizontal="center"/>
    </xf>
    <xf numFmtId="0" fontId="0" fillId="0" borderId="0" xfId="0" applyFont="1" applyFill="1" applyBorder="1" applyAlignment="1" applyProtection="1">
      <alignment horizontal="center"/>
    </xf>
    <xf numFmtId="0" fontId="0" fillId="3" borderId="3" xfId="0" applyFill="1" applyBorder="1" applyProtection="1">
      <protection locked="0"/>
    </xf>
    <xf numFmtId="0" fontId="0" fillId="0" borderId="1" xfId="0" applyFill="1" applyBorder="1" applyAlignment="1" applyProtection="1">
      <alignment horizontal="left" vertical="top" wrapText="1"/>
      <protection locked="0"/>
    </xf>
    <xf numFmtId="0" fontId="0" fillId="0" borderId="36" xfId="0" applyFill="1" applyBorder="1" applyAlignment="1" applyProtection="1">
      <alignment horizontal="left" vertical="top" wrapText="1"/>
      <protection locked="0"/>
    </xf>
    <xf numFmtId="0" fontId="44" fillId="0" borderId="0" xfId="0" applyFont="1" applyFill="1" applyBorder="1" applyAlignment="1" applyProtection="1">
      <alignment horizontal="center" vertical="center"/>
    </xf>
    <xf numFmtId="0" fontId="43" fillId="0" borderId="0" xfId="0" applyFont="1" applyFill="1" applyBorder="1" applyAlignment="1" applyProtection="1">
      <alignment horizontal="center" vertical="center"/>
    </xf>
    <xf numFmtId="0" fontId="1" fillId="0" borderId="0" xfId="0" applyFont="1" applyFill="1" applyBorder="1" applyAlignment="1" applyProtection="1">
      <alignment horizontal="center" vertical="center"/>
    </xf>
    <xf numFmtId="0" fontId="3" fillId="0" borderId="0" xfId="0" applyFont="1" applyFill="1" applyBorder="1" applyAlignment="1" applyProtection="1"/>
    <xf numFmtId="0" fontId="40" fillId="0" borderId="0" xfId="0" applyFont="1" applyFill="1" applyBorder="1" applyAlignment="1" applyProtection="1">
      <alignment vertical="center"/>
    </xf>
    <xf numFmtId="0" fontId="0" fillId="0" borderId="0" xfId="0" applyFont="1" applyFill="1" applyBorder="1" applyAlignment="1" applyProtection="1">
      <alignment vertical="top" wrapText="1"/>
    </xf>
    <xf numFmtId="0" fontId="1" fillId="0" borderId="0" xfId="0" applyFont="1" applyFill="1" applyBorder="1" applyAlignment="1" applyProtection="1">
      <alignment vertical="center"/>
    </xf>
    <xf numFmtId="0" fontId="44" fillId="0" borderId="0" xfId="0" applyFont="1" applyFill="1" applyBorder="1" applyAlignment="1" applyProtection="1">
      <alignment vertical="center"/>
    </xf>
    <xf numFmtId="0" fontId="44" fillId="0" borderId="0" xfId="0" applyFont="1" applyFill="1" applyBorder="1" applyAlignment="1" applyProtection="1"/>
    <xf numFmtId="0" fontId="43" fillId="0" borderId="0" xfId="0" applyFont="1" applyFill="1" applyBorder="1" applyAlignment="1" applyProtection="1">
      <alignment vertical="center"/>
    </xf>
    <xf numFmtId="0" fontId="43" fillId="0" borderId="0" xfId="0" applyFont="1" applyFill="1" applyBorder="1" applyAlignment="1" applyProtection="1">
      <alignment vertical="top" wrapText="1"/>
    </xf>
    <xf numFmtId="0" fontId="33" fillId="0" borderId="0" xfId="0" applyFont="1" applyFill="1" applyBorder="1" applyAlignment="1" applyProtection="1"/>
    <xf numFmtId="0" fontId="53" fillId="0" borderId="0" xfId="0" applyFont="1" applyFill="1" applyBorder="1" applyAlignment="1" applyProtection="1"/>
    <xf numFmtId="0" fontId="51" fillId="0" borderId="0" xfId="0" applyFont="1" applyFill="1" applyBorder="1" applyAlignment="1" applyProtection="1">
      <alignment vertical="center"/>
    </xf>
    <xf numFmtId="0" fontId="54" fillId="0" borderId="0" xfId="0" applyFont="1" applyFill="1" applyBorder="1" applyAlignment="1" applyProtection="1">
      <alignment vertical="center"/>
    </xf>
    <xf numFmtId="0" fontId="10" fillId="0" borderId="0" xfId="0" applyFont="1" applyFill="1" applyBorder="1" applyAlignment="1" applyProtection="1">
      <alignment horizontal="center" vertical="center"/>
    </xf>
    <xf numFmtId="0" fontId="10" fillId="0" borderId="0" xfId="0" applyFont="1" applyFill="1" applyBorder="1" applyAlignment="1" applyProtection="1">
      <alignment horizontal="left" vertical="top" wrapText="1"/>
    </xf>
    <xf numFmtId="0" fontId="0" fillId="0" borderId="0" xfId="0" applyFill="1" applyBorder="1" applyAlignment="1" applyProtection="1">
      <alignment vertical="top"/>
    </xf>
    <xf numFmtId="0" fontId="10" fillId="0" borderId="0" xfId="0" applyFont="1" applyFill="1" applyBorder="1" applyAlignment="1" applyProtection="1">
      <alignment vertical="center"/>
    </xf>
    <xf numFmtId="0" fontId="10" fillId="0" borderId="0" xfId="0" applyFont="1" applyFill="1" applyBorder="1" applyAlignment="1" applyProtection="1"/>
    <xf numFmtId="0" fontId="11" fillId="0" borderId="0" xfId="0" applyFont="1" applyFill="1" applyBorder="1" applyAlignment="1" applyProtection="1">
      <alignment vertical="center"/>
    </xf>
    <xf numFmtId="0" fontId="0" fillId="4" borderId="1" xfId="0" applyFill="1" applyBorder="1"/>
    <xf numFmtId="0" fontId="11" fillId="4" borderId="20" xfId="0" quotePrefix="1" applyFont="1" applyFill="1" applyBorder="1" applyAlignment="1" applyProtection="1">
      <alignment horizontal="center" vertical="center" wrapText="1"/>
    </xf>
    <xf numFmtId="0" fontId="11" fillId="4" borderId="6" xfId="0" quotePrefix="1" applyFont="1" applyFill="1" applyBorder="1" applyAlignment="1" applyProtection="1">
      <alignment horizontal="center" vertical="center" wrapText="1"/>
    </xf>
    <xf numFmtId="0" fontId="11" fillId="4" borderId="1" xfId="0" quotePrefix="1" applyFont="1" applyFill="1" applyBorder="1" applyAlignment="1" applyProtection="1">
      <alignment horizontal="center" vertical="center" wrapText="1"/>
    </xf>
    <xf numFmtId="0" fontId="11" fillId="4" borderId="14" xfId="0" quotePrefix="1" applyFont="1" applyFill="1" applyBorder="1" applyAlignment="1" applyProtection="1">
      <alignment horizontal="center" vertical="center" wrapText="1"/>
    </xf>
    <xf numFmtId="0" fontId="56" fillId="0" borderId="1" xfId="4" applyFont="1" applyBorder="1" applyAlignment="1">
      <alignment horizontal="center" vertical="center"/>
    </xf>
    <xf numFmtId="0" fontId="56" fillId="0" borderId="1" xfId="4" applyFont="1" applyBorder="1"/>
    <xf numFmtId="0" fontId="0" fillId="0" borderId="0" xfId="0" applyFont="1" applyFill="1" applyBorder="1" applyAlignment="1" applyProtection="1">
      <alignment horizontal="left"/>
    </xf>
    <xf numFmtId="0" fontId="57" fillId="18" borderId="49" xfId="2" applyFont="1" applyAlignment="1" applyProtection="1">
      <alignment horizontal="center"/>
    </xf>
    <xf numFmtId="0" fontId="10" fillId="0" borderId="0" xfId="0" applyFont="1" applyFill="1" applyBorder="1" applyAlignment="1" applyProtection="1">
      <alignment horizontal="center"/>
    </xf>
    <xf numFmtId="0" fontId="58" fillId="0" borderId="0" xfId="0" applyFont="1" applyFill="1" applyBorder="1" applyAlignment="1" applyProtection="1">
      <alignment vertical="center"/>
    </xf>
    <xf numFmtId="0" fontId="59" fillId="0" borderId="0" xfId="0" applyFont="1" applyFill="1" applyBorder="1" applyAlignment="1" applyProtection="1"/>
    <xf numFmtId="0" fontId="10" fillId="0" borderId="109" xfId="0" applyFont="1" applyFill="1" applyBorder="1" applyAlignment="1" applyProtection="1"/>
    <xf numFmtId="0" fontId="10" fillId="0" borderId="110" xfId="0" applyFont="1" applyFill="1" applyBorder="1" applyAlignment="1" applyProtection="1"/>
    <xf numFmtId="0" fontId="10" fillId="0" borderId="111" xfId="0" applyFont="1" applyFill="1" applyBorder="1" applyAlignment="1" applyProtection="1"/>
    <xf numFmtId="0" fontId="10" fillId="0" borderId="112" xfId="0" applyFont="1" applyFill="1" applyBorder="1" applyAlignment="1" applyProtection="1"/>
    <xf numFmtId="0" fontId="10" fillId="0" borderId="113" xfId="0" applyFont="1" applyFill="1" applyBorder="1" applyAlignment="1" applyProtection="1"/>
    <xf numFmtId="0" fontId="10" fillId="0" borderId="114" xfId="0" applyFont="1" applyFill="1" applyBorder="1" applyAlignment="1" applyProtection="1"/>
    <xf numFmtId="0" fontId="10" fillId="0" borderId="115" xfId="0" applyFont="1" applyFill="1" applyBorder="1" applyAlignment="1" applyProtection="1"/>
    <xf numFmtId="0" fontId="10" fillId="0" borderId="116" xfId="0" applyFont="1" applyFill="1" applyBorder="1" applyAlignment="1" applyProtection="1"/>
    <xf numFmtId="0" fontId="11" fillId="0" borderId="0" xfId="0" applyFont="1" applyFill="1" applyBorder="1" applyAlignment="1" applyProtection="1">
      <alignment horizontal="center"/>
    </xf>
    <xf numFmtId="0" fontId="0" fillId="0" borderId="92" xfId="0" applyFont="1" applyFill="1" applyBorder="1" applyAlignment="1" applyProtection="1"/>
    <xf numFmtId="0" fontId="0" fillId="0" borderId="98" xfId="0" applyFont="1" applyFill="1" applyBorder="1" applyAlignment="1" applyProtection="1"/>
    <xf numFmtId="0" fontId="4" fillId="0" borderId="92" xfId="0" applyFont="1" applyFill="1" applyBorder="1" applyAlignment="1" applyProtection="1">
      <alignment vertical="center" wrapText="1"/>
    </xf>
    <xf numFmtId="0" fontId="4" fillId="0" borderId="98" xfId="0" applyFont="1" applyFill="1" applyBorder="1" applyAlignment="1" applyProtection="1">
      <alignment vertical="center" wrapText="1"/>
    </xf>
    <xf numFmtId="0" fontId="4" fillId="0" borderId="12" xfId="0" applyFont="1" applyFill="1" applyBorder="1" applyAlignment="1" applyProtection="1">
      <alignment vertical="center" wrapText="1"/>
    </xf>
    <xf numFmtId="0" fontId="4" fillId="0" borderId="10" xfId="0" applyFont="1" applyFill="1" applyBorder="1" applyAlignment="1" applyProtection="1">
      <alignment vertical="center" wrapText="1"/>
    </xf>
    <xf numFmtId="0" fontId="4" fillId="0" borderId="52" xfId="0" applyFont="1" applyFill="1" applyBorder="1" applyAlignment="1" applyProtection="1">
      <alignment vertical="center" wrapText="1"/>
    </xf>
    <xf numFmtId="0" fontId="0" fillId="0" borderId="11" xfId="0" applyFill="1" applyBorder="1" applyAlignment="1" applyProtection="1"/>
    <xf numFmtId="0" fontId="0" fillId="0" borderId="13" xfId="0" applyFont="1" applyFill="1" applyBorder="1" applyAlignment="1" applyProtection="1"/>
    <xf numFmtId="0" fontId="0" fillId="0" borderId="95" xfId="0" applyFont="1" applyFill="1" applyBorder="1" applyAlignment="1" applyProtection="1"/>
    <xf numFmtId="0" fontId="0" fillId="0" borderId="92" xfId="0" applyFont="1" applyFill="1" applyBorder="1" applyAlignment="1" applyProtection="1">
      <alignment horizontal="left" indent="1"/>
    </xf>
    <xf numFmtId="0" fontId="0" fillId="0" borderId="0" xfId="0" applyFont="1" applyFill="1" applyBorder="1" applyAlignment="1" applyProtection="1">
      <alignment horizontal="left" indent="1"/>
    </xf>
    <xf numFmtId="0" fontId="0" fillId="0" borderId="98" xfId="0" applyFont="1" applyFill="1" applyBorder="1" applyAlignment="1" applyProtection="1">
      <alignment horizontal="left" indent="1"/>
    </xf>
    <xf numFmtId="0" fontId="0" fillId="0" borderId="10" xfId="0" applyFont="1" applyFill="1" applyBorder="1" applyAlignment="1" applyProtection="1"/>
    <xf numFmtId="0" fontId="0" fillId="0" borderId="52" xfId="0" applyFont="1" applyFill="1" applyBorder="1" applyAlignment="1" applyProtection="1"/>
    <xf numFmtId="0" fontId="0" fillId="0" borderId="11" xfId="0" applyFont="1" applyFill="1" applyBorder="1" applyAlignment="1" applyProtection="1"/>
    <xf numFmtId="0" fontId="0" fillId="0" borderId="12" xfId="0" applyFont="1" applyFill="1" applyBorder="1" applyAlignment="1" applyProtection="1"/>
    <xf numFmtId="0" fontId="0" fillId="0" borderId="0" xfId="0" applyFill="1" applyBorder="1" applyAlignment="1" applyProtection="1">
      <alignment horizontal="left" indent="1"/>
    </xf>
    <xf numFmtId="0" fontId="0" fillId="0" borderId="10" xfId="0" applyFont="1" applyFill="1" applyBorder="1" applyAlignment="1" applyProtection="1">
      <alignment horizontal="left"/>
    </xf>
    <xf numFmtId="0" fontId="0" fillId="0" borderId="0" xfId="0" applyFill="1" applyBorder="1" applyAlignment="1" applyProtection="1">
      <alignment horizontal="left" indent="1"/>
    </xf>
    <xf numFmtId="0" fontId="0" fillId="0" borderId="10" xfId="0" applyFont="1" applyFill="1" applyBorder="1" applyAlignment="1" applyProtection="1">
      <alignment horizontal="center"/>
    </xf>
    <xf numFmtId="0" fontId="10" fillId="0" borderId="0" xfId="0" applyFont="1" applyFill="1" applyBorder="1" applyAlignment="1" applyProtection="1">
      <alignment horizontal="left" vertical="center"/>
    </xf>
    <xf numFmtId="0" fontId="0" fillId="0" borderId="9" xfId="0" applyFont="1" applyFill="1" applyBorder="1" applyAlignment="1" applyProtection="1"/>
    <xf numFmtId="0" fontId="0" fillId="4" borderId="0" xfId="0" applyFill="1" applyProtection="1">
      <protection locked="0"/>
    </xf>
    <xf numFmtId="0" fontId="10" fillId="0" borderId="0" xfId="0" applyFont="1" applyFill="1" applyBorder="1" applyAlignment="1" applyProtection="1">
      <alignment horizontal="right" vertical="center"/>
    </xf>
    <xf numFmtId="0" fontId="14" fillId="4" borderId="0" xfId="0" applyFont="1" applyFill="1" applyProtection="1">
      <protection hidden="1"/>
    </xf>
    <xf numFmtId="0" fontId="0" fillId="4" borderId="0" xfId="0" applyFill="1" applyProtection="1">
      <protection hidden="1"/>
    </xf>
    <xf numFmtId="0" fontId="0" fillId="4" borderId="0" xfId="0" applyFill="1" applyAlignment="1" applyProtection="1">
      <alignment horizontal="center"/>
      <protection hidden="1"/>
    </xf>
    <xf numFmtId="0" fontId="14" fillId="4" borderId="0" xfId="0" applyFont="1" applyFill="1" applyAlignment="1" applyProtection="1">
      <alignment vertical="center"/>
      <protection hidden="1"/>
    </xf>
    <xf numFmtId="0" fontId="0" fillId="4" borderId="0" xfId="0" applyFill="1" applyAlignment="1" applyProtection="1">
      <alignment vertical="center"/>
      <protection hidden="1"/>
    </xf>
    <xf numFmtId="0" fontId="22" fillId="3" borderId="53" xfId="0" applyFont="1" applyFill="1" applyBorder="1" applyAlignment="1" applyProtection="1">
      <alignment horizontal="center" vertical="center"/>
      <protection locked="0" hidden="1"/>
    </xf>
    <xf numFmtId="0" fontId="13" fillId="13" borderId="25" xfId="0" applyFont="1" applyFill="1" applyBorder="1" applyAlignment="1" applyProtection="1">
      <alignment horizontal="center" vertical="center" wrapText="1"/>
      <protection hidden="1"/>
    </xf>
    <xf numFmtId="0" fontId="13" fillId="24" borderId="60" xfId="0" applyFont="1" applyFill="1" applyBorder="1" applyAlignment="1" applyProtection="1">
      <alignment horizontal="center" vertical="center"/>
      <protection hidden="1"/>
    </xf>
    <xf numFmtId="0" fontId="13" fillId="24" borderId="62" xfId="0" applyFont="1" applyFill="1" applyBorder="1" applyAlignment="1" applyProtection="1">
      <alignment horizontal="center" vertical="center"/>
      <protection hidden="1"/>
    </xf>
    <xf numFmtId="0" fontId="13" fillId="24" borderId="29" xfId="0" applyFont="1" applyFill="1" applyBorder="1" applyAlignment="1" applyProtection="1">
      <alignment horizontal="center" vertical="center"/>
      <protection hidden="1"/>
    </xf>
    <xf numFmtId="0" fontId="13" fillId="24" borderId="87" xfId="0" applyFont="1" applyFill="1" applyBorder="1" applyAlignment="1" applyProtection="1">
      <alignment horizontal="center" vertical="center"/>
      <protection hidden="1"/>
    </xf>
    <xf numFmtId="0" fontId="13" fillId="24" borderId="31" xfId="0" applyFont="1" applyFill="1" applyBorder="1" applyAlignment="1" applyProtection="1">
      <alignment horizontal="center" vertical="center"/>
      <protection hidden="1"/>
    </xf>
    <xf numFmtId="0" fontId="13" fillId="24" borderId="51" xfId="0" applyFont="1" applyFill="1" applyBorder="1" applyAlignment="1" applyProtection="1">
      <alignment horizontal="center" vertical="center"/>
      <protection hidden="1"/>
    </xf>
    <xf numFmtId="0" fontId="13" fillId="11" borderId="51" xfId="0" applyFont="1" applyFill="1" applyBorder="1" applyAlignment="1" applyProtection="1">
      <alignment horizontal="center" vertical="center"/>
      <protection hidden="1"/>
    </xf>
    <xf numFmtId="0" fontId="10" fillId="0" borderId="19" xfId="0" applyFont="1" applyFill="1" applyBorder="1" applyAlignment="1" applyProtection="1">
      <alignment horizontal="center" vertical="center"/>
      <protection hidden="1"/>
    </xf>
    <xf numFmtId="0" fontId="10" fillId="0" borderId="1" xfId="0" applyFont="1" applyFill="1" applyBorder="1" applyAlignment="1" applyProtection="1">
      <alignment horizontal="center" vertical="center"/>
      <protection hidden="1"/>
    </xf>
    <xf numFmtId="0" fontId="10" fillId="17" borderId="27" xfId="0" applyFont="1" applyFill="1" applyBorder="1" applyAlignment="1" applyProtection="1">
      <alignment horizontal="center" vertical="center"/>
      <protection hidden="1"/>
    </xf>
    <xf numFmtId="0" fontId="10" fillId="14" borderId="14" xfId="0" applyFont="1" applyFill="1" applyBorder="1" applyAlignment="1" applyProtection="1">
      <alignment horizontal="center" vertical="center"/>
      <protection hidden="1"/>
    </xf>
    <xf numFmtId="0" fontId="0" fillId="14" borderId="14" xfId="0" applyFill="1" applyBorder="1" applyAlignment="1" applyProtection="1">
      <alignment horizontal="center"/>
      <protection hidden="1"/>
    </xf>
    <xf numFmtId="0" fontId="1" fillId="19" borderId="1" xfId="0" applyFont="1" applyFill="1" applyBorder="1" applyAlignment="1" applyProtection="1">
      <alignment horizontal="center"/>
      <protection hidden="1"/>
    </xf>
    <xf numFmtId="0" fontId="0" fillId="0" borderId="1" xfId="0" applyBorder="1" applyAlignment="1" applyProtection="1">
      <alignment horizontal="center"/>
      <protection hidden="1"/>
    </xf>
    <xf numFmtId="0" fontId="10" fillId="0" borderId="39" xfId="0" applyFont="1" applyFill="1" applyBorder="1" applyAlignment="1" applyProtection="1">
      <alignment horizontal="center" vertical="center"/>
      <protection hidden="1"/>
    </xf>
    <xf numFmtId="0" fontId="10" fillId="0" borderId="40" xfId="0" applyFont="1" applyFill="1" applyBorder="1" applyAlignment="1" applyProtection="1">
      <alignment horizontal="center" vertical="center"/>
      <protection hidden="1"/>
    </xf>
    <xf numFmtId="0" fontId="10" fillId="17" borderId="26" xfId="0" applyFont="1" applyFill="1" applyBorder="1" applyAlignment="1" applyProtection="1">
      <alignment horizontal="center" vertical="center"/>
      <protection hidden="1"/>
    </xf>
    <xf numFmtId="0" fontId="10" fillId="14" borderId="26" xfId="0" applyFont="1" applyFill="1" applyBorder="1" applyAlignment="1" applyProtection="1">
      <alignment horizontal="center" vertical="center"/>
      <protection hidden="1"/>
    </xf>
    <xf numFmtId="0" fontId="0" fillId="14" borderId="26" xfId="0" applyFill="1" applyBorder="1" applyAlignment="1" applyProtection="1">
      <alignment horizontal="center"/>
      <protection hidden="1"/>
    </xf>
    <xf numFmtId="0" fontId="41" fillId="4" borderId="0" xfId="0" applyFont="1" applyFill="1" applyAlignment="1" applyProtection="1">
      <alignment horizontal="left"/>
      <protection hidden="1"/>
    </xf>
    <xf numFmtId="0" fontId="14" fillId="4" borderId="0" xfId="0" applyFont="1" applyFill="1" applyAlignment="1" applyProtection="1">
      <alignment horizontal="center"/>
      <protection hidden="1"/>
    </xf>
    <xf numFmtId="0" fontId="35" fillId="0" borderId="0" xfId="0" applyFont="1" applyFill="1" applyBorder="1" applyAlignment="1" applyProtection="1">
      <alignment horizontal="center"/>
      <protection hidden="1"/>
    </xf>
    <xf numFmtId="0" fontId="35" fillId="0" borderId="0" xfId="0" applyFont="1" applyFill="1" applyBorder="1" applyAlignment="1" applyProtection="1">
      <alignment horizontal="left" vertical="center"/>
      <protection hidden="1"/>
    </xf>
    <xf numFmtId="0" fontId="63" fillId="0" borderId="0" xfId="0" applyFont="1" applyFill="1" applyBorder="1" applyAlignment="1" applyProtection="1">
      <alignment vertical="top"/>
      <protection hidden="1"/>
    </xf>
    <xf numFmtId="0" fontId="35" fillId="0" borderId="0" xfId="0" applyFont="1" applyFill="1" applyBorder="1" applyAlignment="1" applyProtection="1">
      <alignment horizontal="left" vertical="top"/>
      <protection hidden="1"/>
    </xf>
    <xf numFmtId="0" fontId="35" fillId="0" borderId="0" xfId="0" applyFont="1" applyFill="1" applyBorder="1" applyAlignment="1" applyProtection="1">
      <alignment vertical="center"/>
      <protection hidden="1"/>
    </xf>
    <xf numFmtId="0" fontId="35" fillId="0" borderId="0" xfId="0" applyFont="1" applyFill="1" applyBorder="1" applyAlignment="1" applyProtection="1">
      <alignment vertical="top"/>
      <protection hidden="1"/>
    </xf>
    <xf numFmtId="0" fontId="24" fillId="0" borderId="2" xfId="0" applyFont="1" applyFill="1" applyBorder="1" applyAlignment="1" applyProtection="1">
      <alignment horizontal="left" vertical="top"/>
      <protection hidden="1"/>
    </xf>
    <xf numFmtId="0" fontId="0" fillId="0" borderId="2" xfId="0" applyFill="1" applyBorder="1" applyProtection="1">
      <protection hidden="1"/>
    </xf>
    <xf numFmtId="0" fontId="24" fillId="0" borderId="2" xfId="0" applyFont="1" applyFill="1" applyBorder="1" applyAlignment="1" applyProtection="1">
      <alignment vertical="top"/>
      <protection hidden="1"/>
    </xf>
    <xf numFmtId="0" fontId="13" fillId="9" borderId="60" xfId="0" applyFont="1" applyFill="1" applyBorder="1" applyAlignment="1" applyProtection="1">
      <alignment horizontal="center" vertical="center"/>
      <protection hidden="1"/>
    </xf>
    <xf numFmtId="0" fontId="13" fillId="9" borderId="62" xfId="0" applyFont="1" applyFill="1" applyBorder="1" applyAlignment="1" applyProtection="1">
      <alignment horizontal="center" vertical="center"/>
      <protection hidden="1"/>
    </xf>
    <xf numFmtId="0" fontId="0" fillId="0" borderId="30" xfId="0" applyFill="1" applyBorder="1" applyAlignment="1" applyProtection="1">
      <alignment horizontal="center"/>
      <protection hidden="1"/>
    </xf>
    <xf numFmtId="0" fontId="0" fillId="0" borderId="36" xfId="0" applyFill="1" applyBorder="1" applyAlignment="1" applyProtection="1">
      <alignment horizontal="center"/>
      <protection hidden="1"/>
    </xf>
    <xf numFmtId="0" fontId="0" fillId="0" borderId="27" xfId="0" applyFill="1" applyBorder="1" applyAlignment="1" applyProtection="1">
      <alignment horizontal="center"/>
      <protection hidden="1"/>
    </xf>
    <xf numFmtId="0" fontId="0" fillId="0" borderId="39" xfId="0" applyFill="1" applyBorder="1" applyAlignment="1" applyProtection="1">
      <alignment horizontal="center"/>
      <protection hidden="1"/>
    </xf>
    <xf numFmtId="0" fontId="0" fillId="0" borderId="40" xfId="0" applyFill="1" applyBorder="1" applyAlignment="1" applyProtection="1">
      <alignment horizontal="center"/>
      <protection hidden="1"/>
    </xf>
    <xf numFmtId="0" fontId="0" fillId="0" borderId="26" xfId="0" applyFill="1" applyBorder="1" applyAlignment="1" applyProtection="1">
      <alignment horizontal="center"/>
      <protection hidden="1"/>
    </xf>
    <xf numFmtId="0" fontId="0" fillId="0" borderId="0" xfId="0" applyFill="1" applyBorder="1" applyAlignment="1" applyProtection="1">
      <alignment horizontal="center"/>
      <protection hidden="1"/>
    </xf>
    <xf numFmtId="0" fontId="0" fillId="0" borderId="0" xfId="0" applyFill="1" applyBorder="1" applyAlignment="1" applyProtection="1">
      <alignment horizontal="left" indent="1"/>
      <protection hidden="1"/>
    </xf>
    <xf numFmtId="0" fontId="0" fillId="0" borderId="0" xfId="0" applyFill="1" applyBorder="1" applyAlignment="1" applyProtection="1">
      <alignment horizontal="left"/>
      <protection hidden="1"/>
    </xf>
    <xf numFmtId="0" fontId="0" fillId="3" borderId="0" xfId="0" applyFill="1" applyProtection="1">
      <protection hidden="1"/>
    </xf>
    <xf numFmtId="0" fontId="33" fillId="0" borderId="0" xfId="0" applyFont="1" applyFill="1" applyBorder="1" applyAlignment="1" applyProtection="1">
      <alignment horizontal="left"/>
      <protection hidden="1"/>
    </xf>
    <xf numFmtId="0" fontId="10" fillId="0" borderId="30" xfId="0" applyFont="1" applyFill="1" applyBorder="1" applyAlignment="1" applyProtection="1">
      <alignment horizontal="center" vertical="center"/>
      <protection hidden="1"/>
    </xf>
    <xf numFmtId="0" fontId="10" fillId="0" borderId="36" xfId="0" applyFont="1" applyFill="1" applyBorder="1" applyAlignment="1" applyProtection="1">
      <alignment horizontal="center" vertical="center"/>
      <protection hidden="1"/>
    </xf>
    <xf numFmtId="0" fontId="23" fillId="0" borderId="78" xfId="0" applyFont="1" applyFill="1" applyBorder="1" applyAlignment="1" applyProtection="1">
      <alignment horizontal="center" vertical="center"/>
      <protection hidden="1"/>
    </xf>
    <xf numFmtId="0" fontId="23" fillId="0" borderId="86" xfId="0" applyFont="1" applyFill="1" applyBorder="1" applyAlignment="1" applyProtection="1">
      <alignment horizontal="center" vertical="center"/>
      <protection hidden="1"/>
    </xf>
    <xf numFmtId="0" fontId="23" fillId="0" borderId="85" xfId="0" applyFont="1" applyFill="1" applyBorder="1" applyAlignment="1" applyProtection="1">
      <alignment horizontal="center" vertical="center"/>
      <protection hidden="1"/>
    </xf>
    <xf numFmtId="0" fontId="23" fillId="0" borderId="83" xfId="0" applyFont="1" applyFill="1" applyBorder="1" applyAlignment="1" applyProtection="1">
      <alignment horizontal="center" vertical="center"/>
      <protection hidden="1"/>
    </xf>
    <xf numFmtId="0" fontId="23" fillId="0" borderId="64" xfId="0" applyFont="1" applyFill="1" applyBorder="1" applyAlignment="1" applyProtection="1">
      <alignment horizontal="center" vertical="center"/>
      <protection hidden="1"/>
    </xf>
    <xf numFmtId="0" fontId="23" fillId="0" borderId="84" xfId="0" applyFont="1" applyFill="1" applyBorder="1" applyAlignment="1" applyProtection="1">
      <alignment horizontal="center" vertical="center"/>
      <protection hidden="1"/>
    </xf>
    <xf numFmtId="0" fontId="27" fillId="4" borderId="0" xfId="0" applyFont="1" applyFill="1" applyAlignment="1" applyProtection="1">
      <alignment horizontal="left"/>
      <protection hidden="1"/>
    </xf>
    <xf numFmtId="0" fontId="28" fillId="4" borderId="0" xfId="0" applyFont="1" applyFill="1" applyAlignment="1" applyProtection="1">
      <alignment horizontal="left" vertical="top"/>
      <protection hidden="1"/>
    </xf>
    <xf numFmtId="0" fontId="12" fillId="11" borderId="50" xfId="0" applyFont="1" applyFill="1" applyBorder="1" applyAlignment="1" applyProtection="1">
      <alignment horizontal="center" vertical="center" wrapText="1"/>
      <protection hidden="1"/>
    </xf>
    <xf numFmtId="0" fontId="0" fillId="23" borderId="44" xfId="0" applyFont="1" applyFill="1" applyBorder="1" applyAlignment="1" applyProtection="1">
      <alignment horizontal="center" vertical="center"/>
      <protection hidden="1"/>
    </xf>
    <xf numFmtId="0" fontId="0" fillId="23" borderId="74" xfId="0" applyFill="1" applyBorder="1" applyAlignment="1" applyProtection="1">
      <alignment horizontal="left" vertical="top" wrapText="1"/>
      <protection hidden="1"/>
    </xf>
    <xf numFmtId="0" fontId="0" fillId="23" borderId="19" xfId="0" applyFont="1" applyFill="1" applyBorder="1" applyAlignment="1" applyProtection="1">
      <alignment horizontal="center" vertical="center"/>
      <protection hidden="1"/>
    </xf>
    <xf numFmtId="0" fontId="0" fillId="23" borderId="1" xfId="0" applyFill="1" applyBorder="1" applyAlignment="1" applyProtection="1">
      <alignment horizontal="left" vertical="top" wrapText="1"/>
      <protection hidden="1"/>
    </xf>
    <xf numFmtId="0" fontId="0" fillId="0" borderId="30" xfId="0" applyFont="1" applyFill="1" applyBorder="1" applyAlignment="1" applyProtection="1">
      <alignment horizontal="center" vertical="center"/>
      <protection hidden="1"/>
    </xf>
    <xf numFmtId="0" fontId="0" fillId="3" borderId="36" xfId="0" applyFill="1" applyBorder="1" applyAlignment="1" applyProtection="1">
      <alignment horizontal="left" vertical="top" wrapText="1"/>
      <protection hidden="1"/>
    </xf>
    <xf numFmtId="0" fontId="0" fillId="0" borderId="19" xfId="0" applyFont="1" applyFill="1" applyBorder="1" applyAlignment="1" applyProtection="1">
      <alignment horizontal="center" vertical="center"/>
      <protection hidden="1"/>
    </xf>
    <xf numFmtId="0" fontId="0" fillId="3" borderId="1" xfId="0" applyFill="1" applyBorder="1" applyAlignment="1" applyProtection="1">
      <alignment horizontal="left" vertical="top" wrapText="1"/>
      <protection hidden="1"/>
    </xf>
    <xf numFmtId="0" fontId="0" fillId="0" borderId="39" xfId="0" applyFont="1" applyFill="1" applyBorder="1" applyAlignment="1" applyProtection="1">
      <alignment horizontal="center" vertical="center"/>
      <protection hidden="1"/>
    </xf>
    <xf numFmtId="0" fontId="0" fillId="3" borderId="40" xfId="0" applyFill="1" applyBorder="1" applyAlignment="1" applyProtection="1">
      <alignment horizontal="left" vertical="top" wrapText="1"/>
      <protection hidden="1"/>
    </xf>
    <xf numFmtId="0" fontId="0" fillId="0" borderId="40" xfId="0" applyFill="1" applyBorder="1" applyAlignment="1" applyProtection="1">
      <alignment horizontal="left" vertical="top" wrapText="1"/>
      <protection locked="0"/>
    </xf>
    <xf numFmtId="0" fontId="0" fillId="0" borderId="0" xfId="0" applyAlignment="1">
      <alignment horizontal="center" vertical="center" wrapText="1"/>
    </xf>
    <xf numFmtId="0" fontId="35" fillId="0" borderId="0" xfId="0" applyFont="1" applyFill="1" applyBorder="1" applyAlignment="1" applyProtection="1">
      <alignment horizontal="left" vertical="center"/>
      <protection hidden="1"/>
    </xf>
    <xf numFmtId="0" fontId="35" fillId="0" borderId="0" xfId="0" applyFont="1" applyFill="1" applyBorder="1" applyAlignment="1" applyProtection="1">
      <alignment horizontal="left" vertical="top"/>
      <protection hidden="1"/>
    </xf>
    <xf numFmtId="0" fontId="0" fillId="0" borderId="0" xfId="0" applyFill="1" applyBorder="1" applyAlignment="1" applyProtection="1">
      <alignment horizontal="left"/>
      <protection hidden="1"/>
    </xf>
    <xf numFmtId="0" fontId="10" fillId="0" borderId="0" xfId="0" applyFont="1" applyFill="1" applyBorder="1" applyAlignment="1" applyProtection="1">
      <alignment horizontal="left" vertical="center"/>
    </xf>
    <xf numFmtId="0" fontId="10" fillId="0" borderId="0" xfId="0" applyFont="1" applyFill="1" applyBorder="1" applyAlignment="1" applyProtection="1">
      <alignment horizontal="left" vertical="center" indent="6"/>
    </xf>
    <xf numFmtId="0" fontId="52" fillId="0" borderId="0" xfId="0" applyFont="1" applyFill="1" applyBorder="1" applyAlignment="1" applyProtection="1">
      <alignment horizontal="center" vertical="center"/>
    </xf>
    <xf numFmtId="0" fontId="10" fillId="0" borderId="0" xfId="0" applyFont="1" applyFill="1" applyBorder="1" applyAlignment="1" applyProtection="1">
      <alignment horizontal="left"/>
    </xf>
    <xf numFmtId="0" fontId="0" fillId="0" borderId="0" xfId="0" applyFont="1" applyFill="1" applyBorder="1" applyAlignment="1" applyProtection="1">
      <alignment horizontal="center"/>
    </xf>
    <xf numFmtId="0" fontId="0" fillId="0" borderId="0" xfId="0" applyFill="1" applyBorder="1" applyAlignment="1" applyProtection="1">
      <alignment horizontal="center"/>
    </xf>
    <xf numFmtId="0" fontId="10" fillId="0" borderId="69" xfId="0" applyFont="1" applyFill="1" applyBorder="1" applyAlignment="1" applyProtection="1">
      <alignment horizontal="left" vertical="center" indent="1"/>
      <protection locked="0"/>
    </xf>
    <xf numFmtId="0" fontId="10" fillId="0" borderId="73" xfId="0" applyFont="1" applyFill="1" applyBorder="1" applyAlignment="1" applyProtection="1">
      <alignment horizontal="left" vertical="center" indent="1"/>
      <protection locked="0"/>
    </xf>
    <xf numFmtId="0" fontId="0" fillId="3" borderId="17" xfId="0" applyFill="1" applyBorder="1" applyAlignment="1" applyProtection="1">
      <alignment horizontal="center"/>
      <protection hidden="1"/>
    </xf>
    <xf numFmtId="0" fontId="0" fillId="3" borderId="47" xfId="0" applyFill="1" applyBorder="1" applyAlignment="1" applyProtection="1">
      <alignment horizontal="center"/>
      <protection hidden="1"/>
    </xf>
    <xf numFmtId="0" fontId="0" fillId="3" borderId="24" xfId="0" applyFill="1" applyBorder="1" applyAlignment="1" applyProtection="1">
      <alignment horizontal="center"/>
      <protection hidden="1"/>
    </xf>
    <xf numFmtId="0" fontId="0" fillId="3" borderId="24" xfId="0" applyFill="1" applyBorder="1" applyProtection="1">
      <protection locked="0"/>
    </xf>
    <xf numFmtId="0" fontId="13" fillId="13" borderId="53" xfId="0" applyFont="1" applyFill="1" applyBorder="1" applyAlignment="1" applyProtection="1">
      <alignment vertical="center" wrapText="1"/>
      <protection hidden="1"/>
    </xf>
    <xf numFmtId="0" fontId="65" fillId="4" borderId="0" xfId="0" applyFont="1" applyFill="1" applyAlignment="1" applyProtection="1">
      <alignment horizontal="left" vertical="top"/>
    </xf>
    <xf numFmtId="0" fontId="0" fillId="0" borderId="44" xfId="0" applyBorder="1" applyAlignment="1">
      <alignment horizontal="center"/>
    </xf>
    <xf numFmtId="0" fontId="0" fillId="0" borderId="74" xfId="0" applyBorder="1" applyAlignment="1">
      <alignment horizontal="center"/>
    </xf>
    <xf numFmtId="0" fontId="0" fillId="0" borderId="74" xfId="0" applyFill="1" applyBorder="1" applyAlignment="1">
      <alignment horizontal="center"/>
    </xf>
    <xf numFmtId="0" fontId="0" fillId="0" borderId="45" xfId="0" applyFill="1" applyBorder="1" applyAlignment="1">
      <alignment horizontal="center"/>
    </xf>
    <xf numFmtId="0" fontId="0" fillId="0" borderId="19" xfId="0" applyBorder="1" applyAlignment="1">
      <alignment horizontal="center"/>
    </xf>
    <xf numFmtId="0" fontId="0" fillId="0" borderId="14" xfId="0" applyBorder="1"/>
    <xf numFmtId="0" fontId="0" fillId="0" borderId="39" xfId="0" applyBorder="1" applyAlignment="1">
      <alignment horizontal="center"/>
    </xf>
    <xf numFmtId="0" fontId="0" fillId="0" borderId="40" xfId="0" applyBorder="1" applyAlignment="1">
      <alignment horizontal="center"/>
    </xf>
    <xf numFmtId="0" fontId="0" fillId="0" borderId="40" xfId="0" applyBorder="1"/>
    <xf numFmtId="0" fontId="0" fillId="0" borderId="44" xfId="0" applyFill="1" applyBorder="1" applyAlignment="1">
      <alignment horizontal="center"/>
    </xf>
    <xf numFmtId="0" fontId="0" fillId="0" borderId="14" xfId="0" applyBorder="1" applyAlignment="1">
      <alignment horizontal="center"/>
    </xf>
    <xf numFmtId="0" fontId="0" fillId="0" borderId="26" xfId="0" applyBorder="1" applyAlignment="1">
      <alignment horizontal="center"/>
    </xf>
    <xf numFmtId="0" fontId="43" fillId="0" borderId="0" xfId="0" applyFont="1" applyFill="1" applyBorder="1" applyAlignment="1" applyProtection="1">
      <alignment horizontal="left" vertical="center"/>
    </xf>
    <xf numFmtId="0" fontId="43" fillId="0" borderId="0" xfId="0" applyFont="1" applyFill="1" applyBorder="1" applyAlignment="1" applyProtection="1">
      <alignment horizontal="left" vertical="top" wrapText="1"/>
    </xf>
    <xf numFmtId="0" fontId="4" fillId="0" borderId="0" xfId="0" applyFont="1" applyFill="1" applyBorder="1" applyAlignment="1" applyProtection="1">
      <alignment vertical="center"/>
    </xf>
    <xf numFmtId="0" fontId="1" fillId="0" borderId="0" xfId="0" applyFont="1" applyFill="1" applyBorder="1" applyAlignment="1" applyProtection="1">
      <alignment horizontal="center"/>
    </xf>
    <xf numFmtId="0" fontId="46" fillId="0" borderId="0" xfId="0" applyFont="1" applyFill="1" applyBorder="1" applyAlignment="1" applyProtection="1">
      <alignment vertical="center"/>
    </xf>
    <xf numFmtId="0" fontId="43" fillId="0" borderId="0" xfId="0" applyFont="1" applyFill="1" applyBorder="1" applyAlignment="1" applyProtection="1">
      <alignment vertical="center" wrapText="1"/>
    </xf>
    <xf numFmtId="0" fontId="0" fillId="0" borderId="0" xfId="0" applyFont="1" applyFill="1" applyBorder="1" applyAlignment="1" applyProtection="1">
      <alignment vertical="center"/>
    </xf>
    <xf numFmtId="0" fontId="0" fillId="0" borderId="0" xfId="0" applyFill="1" applyBorder="1" applyAlignment="1"/>
    <xf numFmtId="0" fontId="11" fillId="0" borderId="0" xfId="0" quotePrefix="1" applyFont="1" applyFill="1" applyBorder="1" applyAlignment="1" applyProtection="1">
      <alignment horizontal="center"/>
    </xf>
    <xf numFmtId="0" fontId="11" fillId="0" borderId="0" xfId="0" applyFont="1" applyFill="1" applyBorder="1" applyAlignment="1" applyProtection="1"/>
    <xf numFmtId="0" fontId="43" fillId="0" borderId="0" xfId="0" quotePrefix="1" applyFont="1" applyFill="1" applyBorder="1" applyAlignment="1" applyProtection="1">
      <alignment vertical="center"/>
    </xf>
    <xf numFmtId="0" fontId="67" fillId="0" borderId="0" xfId="0" applyFont="1" applyFill="1" applyBorder="1" applyAlignment="1" applyProtection="1"/>
    <xf numFmtId="0" fontId="1" fillId="0" borderId="1" xfId="0" applyFont="1" applyBorder="1"/>
    <xf numFmtId="0" fontId="0" fillId="14" borderId="1" xfId="0" applyFill="1" applyBorder="1" applyAlignment="1">
      <alignment horizontal="center"/>
    </xf>
    <xf numFmtId="0" fontId="0" fillId="28" borderId="1" xfId="0" applyFill="1" applyBorder="1" applyAlignment="1">
      <alignment horizontal="center"/>
    </xf>
    <xf numFmtId="0" fontId="0" fillId="0" borderId="0" xfId="0" applyFill="1" applyBorder="1"/>
    <xf numFmtId="0" fontId="0" fillId="0" borderId="0" xfId="0" applyFill="1" applyBorder="1" applyAlignment="1">
      <alignment horizontal="center"/>
    </xf>
    <xf numFmtId="0" fontId="13" fillId="13" borderId="51" xfId="0" applyFont="1" applyFill="1" applyBorder="1" applyAlignment="1" applyProtection="1">
      <alignment horizontal="center" vertical="center" wrapText="1"/>
      <protection hidden="1"/>
    </xf>
    <xf numFmtId="0" fontId="13" fillId="13" borderId="43" xfId="0" applyFont="1" applyFill="1" applyBorder="1" applyAlignment="1" applyProtection="1">
      <alignment vertical="center" wrapText="1"/>
      <protection hidden="1"/>
    </xf>
    <xf numFmtId="0" fontId="10" fillId="14" borderId="27" xfId="0" applyFont="1" applyFill="1" applyBorder="1" applyAlignment="1" applyProtection="1">
      <alignment horizontal="center" vertical="center"/>
      <protection hidden="1"/>
    </xf>
    <xf numFmtId="0" fontId="0" fillId="3" borderId="30" xfId="0" applyFill="1" applyBorder="1" applyAlignment="1" applyProtection="1">
      <alignment horizontal="center"/>
      <protection locked="0"/>
    </xf>
    <xf numFmtId="0" fontId="0" fillId="3" borderId="36" xfId="0" applyFill="1" applyBorder="1" applyAlignment="1" applyProtection="1">
      <alignment horizontal="center"/>
      <protection locked="0"/>
    </xf>
    <xf numFmtId="0" fontId="0" fillId="14" borderId="27" xfId="0" applyFill="1" applyBorder="1" applyAlignment="1" applyProtection="1">
      <alignment horizontal="center"/>
      <protection hidden="1"/>
    </xf>
    <xf numFmtId="0" fontId="13" fillId="24" borderId="43" xfId="0" applyFont="1" applyFill="1" applyBorder="1" applyAlignment="1" applyProtection="1">
      <alignment horizontal="center" vertical="center"/>
      <protection hidden="1"/>
    </xf>
    <xf numFmtId="0" fontId="13" fillId="11" borderId="43" xfId="0" applyFont="1" applyFill="1" applyBorder="1" applyAlignment="1" applyProtection="1">
      <alignment horizontal="center" vertical="center"/>
      <protection hidden="1"/>
    </xf>
    <xf numFmtId="0" fontId="0" fillId="14" borderId="1" xfId="0" applyFill="1" applyBorder="1"/>
    <xf numFmtId="0" fontId="0" fillId="0" borderId="5" xfId="0" applyFont="1" applyFill="1" applyBorder="1" applyAlignment="1" applyProtection="1">
      <alignment horizontal="center" vertical="center"/>
    </xf>
    <xf numFmtId="0" fontId="4" fillId="0" borderId="92" xfId="0" applyFont="1" applyFill="1" applyBorder="1" applyAlignment="1" applyProtection="1">
      <alignment vertical="center"/>
    </xf>
    <xf numFmtId="0" fontId="0" fillId="0" borderId="37" xfId="0" applyBorder="1"/>
    <xf numFmtId="0" fontId="0" fillId="0" borderId="38" xfId="0" applyBorder="1"/>
    <xf numFmtId="0" fontId="0" fillId="0" borderId="32" xfId="0" applyBorder="1"/>
    <xf numFmtId="0" fontId="0" fillId="0" borderId="21" xfId="0" applyBorder="1"/>
    <xf numFmtId="0" fontId="0" fillId="0" borderId="0" xfId="0" applyBorder="1"/>
    <xf numFmtId="0" fontId="0" fillId="0" borderId="51" xfId="0" applyBorder="1"/>
    <xf numFmtId="0" fontId="0" fillId="0" borderId="0" xfId="0" applyBorder="1" applyAlignment="1">
      <alignment horizontal="center"/>
    </xf>
    <xf numFmtId="0" fontId="2" fillId="0" borderId="0" xfId="0" applyFont="1" applyBorder="1" applyAlignment="1">
      <alignment vertical="center"/>
    </xf>
    <xf numFmtId="0" fontId="0" fillId="0" borderId="0" xfId="0" applyBorder="1" applyAlignment="1">
      <alignment vertical="center"/>
    </xf>
    <xf numFmtId="0" fontId="0" fillId="0" borderId="42" xfId="0" applyBorder="1"/>
    <xf numFmtId="0" fontId="0" fillId="0" borderId="2" xfId="0" applyBorder="1"/>
    <xf numFmtId="0" fontId="0" fillId="0" borderId="43" xfId="0" applyBorder="1"/>
    <xf numFmtId="0" fontId="52" fillId="0" borderId="0" xfId="0" applyFont="1" applyBorder="1" applyAlignment="1">
      <alignment horizontal="center"/>
    </xf>
    <xf numFmtId="0" fontId="70" fillId="0" borderId="0" xfId="0" applyFont="1" applyFill="1" applyBorder="1"/>
    <xf numFmtId="0" fontId="70" fillId="0" borderId="0" xfId="0" applyFont="1" applyBorder="1" applyAlignment="1">
      <alignment vertical="center"/>
    </xf>
    <xf numFmtId="0" fontId="73" fillId="0" borderId="0" xfId="0" applyFont="1" applyFill="1" applyBorder="1" applyAlignment="1">
      <alignment horizontal="left"/>
    </xf>
    <xf numFmtId="0" fontId="75" fillId="0" borderId="0" xfId="0" applyFont="1" applyFill="1" applyBorder="1" applyAlignment="1">
      <alignment horizontal="left"/>
    </xf>
    <xf numFmtId="0" fontId="11" fillId="0" borderId="0" xfId="0" applyFont="1" applyBorder="1"/>
    <xf numFmtId="0" fontId="70" fillId="0" borderId="0" xfId="0" applyFont="1" applyBorder="1" applyAlignment="1">
      <alignment horizontal="left" vertical="center"/>
    </xf>
    <xf numFmtId="0" fontId="74" fillId="0" borderId="0" xfId="0" applyFont="1" applyBorder="1" applyAlignment="1">
      <alignment horizontal="left"/>
    </xf>
    <xf numFmtId="0" fontId="78" fillId="0" borderId="0" xfId="0" applyFont="1" applyBorder="1" applyAlignment="1">
      <alignment vertical="center"/>
    </xf>
    <xf numFmtId="0" fontId="0" fillId="0" borderId="0" xfId="0" applyBorder="1" applyAlignment="1">
      <alignment horizontal="left"/>
    </xf>
    <xf numFmtId="0" fontId="78" fillId="0" borderId="51" xfId="0" applyFont="1" applyBorder="1" applyAlignment="1">
      <alignment vertical="center"/>
    </xf>
    <xf numFmtId="0" fontId="0" fillId="14" borderId="22" xfId="0" applyFill="1" applyBorder="1" applyAlignment="1" applyProtection="1">
      <alignment horizontal="center"/>
      <protection locked="0" hidden="1"/>
    </xf>
    <xf numFmtId="0" fontId="0" fillId="14" borderId="47" xfId="0" applyFill="1" applyBorder="1" applyAlignment="1" applyProtection="1">
      <alignment horizontal="center"/>
      <protection locked="0" hidden="1"/>
    </xf>
    <xf numFmtId="0" fontId="70" fillId="0" borderId="0" xfId="0" applyFont="1" applyBorder="1" applyAlignment="1">
      <alignment horizontal="center"/>
    </xf>
    <xf numFmtId="0" fontId="71" fillId="0" borderId="0" xfId="0" applyFont="1" applyBorder="1" applyAlignment="1">
      <alignment horizontal="left"/>
    </xf>
    <xf numFmtId="0" fontId="55" fillId="0" borderId="0" xfId="0" applyFont="1" applyFill="1" applyBorder="1" applyAlignment="1">
      <alignment horizontal="left"/>
    </xf>
    <xf numFmtId="0" fontId="72" fillId="0" borderId="0" xfId="0" applyFont="1" applyFill="1" applyBorder="1" applyAlignment="1">
      <alignment horizontal="left"/>
    </xf>
    <xf numFmtId="0" fontId="55" fillId="0" borderId="0" xfId="0" applyFont="1" applyFill="1" applyBorder="1" applyAlignment="1"/>
    <xf numFmtId="0" fontId="0" fillId="30" borderId="0" xfId="0" applyFill="1"/>
    <xf numFmtId="0" fontId="31" fillId="30" borderId="0" xfId="3" applyFill="1" applyAlignment="1" applyProtection="1"/>
    <xf numFmtId="0" fontId="0" fillId="0" borderId="0" xfId="0" applyFill="1" applyProtection="1"/>
    <xf numFmtId="0" fontId="0" fillId="0" borderId="0" xfId="0" applyFill="1" applyAlignment="1" applyProtection="1">
      <alignment horizontal="center"/>
    </xf>
    <xf numFmtId="0" fontId="0" fillId="0" borderId="0" xfId="0" applyFill="1" applyAlignment="1" applyProtection="1">
      <alignment vertical="center"/>
    </xf>
    <xf numFmtId="0" fontId="0" fillId="0" borderId="0" xfId="0" applyFill="1" applyAlignment="1" applyProtection="1">
      <alignment wrapText="1"/>
    </xf>
    <xf numFmtId="0" fontId="37" fillId="0" borderId="30" xfId="0" applyFont="1" applyFill="1" applyBorder="1" applyAlignment="1" applyProtection="1">
      <alignment horizontal="center" vertical="center"/>
    </xf>
    <xf numFmtId="0" fontId="37" fillId="0" borderId="36" xfId="0" applyFont="1" applyFill="1" applyBorder="1" applyAlignment="1" applyProtection="1">
      <alignment horizontal="left" vertical="center" indent="1"/>
    </xf>
    <xf numFmtId="0" fontId="37" fillId="0" borderId="12" xfId="0" applyFont="1" applyFill="1" applyBorder="1" applyAlignment="1" applyProtection="1">
      <alignment horizontal="center" vertical="center"/>
    </xf>
    <xf numFmtId="0" fontId="37" fillId="0" borderId="19" xfId="0" applyFont="1" applyFill="1" applyBorder="1" applyAlignment="1" applyProtection="1">
      <alignment horizontal="center" vertical="center"/>
    </xf>
    <xf numFmtId="0" fontId="37" fillId="0" borderId="1" xfId="0" applyFont="1" applyFill="1" applyBorder="1" applyAlignment="1" applyProtection="1">
      <alignment horizontal="left" vertical="center" indent="1"/>
    </xf>
    <xf numFmtId="0" fontId="37" fillId="0" borderId="5" xfId="0" applyFont="1" applyFill="1" applyBorder="1" applyAlignment="1" applyProtection="1">
      <alignment horizontal="center" vertical="center"/>
    </xf>
    <xf numFmtId="0" fontId="37" fillId="0" borderId="39" xfId="0" applyFont="1" applyFill="1" applyBorder="1" applyAlignment="1" applyProtection="1">
      <alignment horizontal="center" vertical="center"/>
    </xf>
    <xf numFmtId="0" fontId="37" fillId="0" borderId="40" xfId="0" applyFont="1" applyFill="1" applyBorder="1" applyAlignment="1" applyProtection="1">
      <alignment horizontal="left" vertical="center" indent="1"/>
    </xf>
    <xf numFmtId="0" fontId="37" fillId="0" borderId="41" xfId="0" applyFont="1" applyFill="1" applyBorder="1" applyAlignment="1" applyProtection="1">
      <alignment horizontal="center" vertical="center"/>
    </xf>
    <xf numFmtId="0" fontId="31" fillId="0" borderId="0" xfId="3" applyFill="1" applyAlignment="1" applyProtection="1"/>
    <xf numFmtId="0" fontId="88" fillId="0" borderId="0" xfId="6" applyFont="1" applyFill="1" applyProtection="1"/>
    <xf numFmtId="0" fontId="89" fillId="0" borderId="0" xfId="3" applyFont="1" applyFill="1" applyAlignment="1" applyProtection="1"/>
    <xf numFmtId="0" fontId="0" fillId="0" borderId="0" xfId="0" applyFont="1" applyFill="1" applyProtection="1"/>
    <xf numFmtId="0" fontId="0" fillId="0" borderId="0" xfId="0" applyFont="1" applyFill="1" applyAlignment="1" applyProtection="1">
      <alignment horizontal="center"/>
    </xf>
    <xf numFmtId="0" fontId="0" fillId="0" borderId="0" xfId="0" applyFill="1"/>
    <xf numFmtId="0" fontId="0" fillId="31" borderId="0" xfId="0" applyFill="1"/>
    <xf numFmtId="0" fontId="31" fillId="0" borderId="0" xfId="3" applyAlignment="1" applyProtection="1"/>
    <xf numFmtId="1" fontId="23" fillId="0" borderId="78" xfId="0" applyNumberFormat="1" applyFont="1" applyFill="1" applyBorder="1" applyAlignment="1" applyProtection="1">
      <alignment horizontal="center" vertical="center"/>
      <protection locked="0" hidden="1"/>
    </xf>
    <xf numFmtId="1" fontId="23" fillId="0" borderId="79" xfId="0" applyNumberFormat="1" applyFont="1" applyFill="1" applyBorder="1" applyAlignment="1" applyProtection="1">
      <alignment horizontal="center" vertical="center"/>
      <protection locked="0" hidden="1"/>
    </xf>
    <xf numFmtId="1" fontId="10" fillId="17" borderId="27" xfId="0" applyNumberFormat="1" applyFont="1" applyFill="1" applyBorder="1" applyAlignment="1" applyProtection="1">
      <alignment horizontal="center" vertical="center"/>
      <protection locked="0" hidden="1"/>
    </xf>
    <xf numFmtId="1" fontId="23" fillId="0" borderId="64" xfId="0" applyNumberFormat="1" applyFont="1" applyFill="1" applyBorder="1" applyAlignment="1" applyProtection="1">
      <alignment horizontal="center" vertical="center"/>
      <protection locked="0" hidden="1"/>
    </xf>
    <xf numFmtId="1" fontId="23" fillId="0" borderId="65" xfId="0" applyNumberFormat="1" applyFont="1" applyFill="1" applyBorder="1" applyAlignment="1" applyProtection="1">
      <alignment horizontal="center" vertical="center"/>
      <protection locked="0" hidden="1"/>
    </xf>
    <xf numFmtId="1" fontId="10" fillId="17" borderId="97" xfId="0" applyNumberFormat="1" applyFont="1" applyFill="1" applyBorder="1" applyAlignment="1" applyProtection="1">
      <alignment horizontal="center" vertical="center"/>
      <protection locked="0" hidden="1"/>
    </xf>
    <xf numFmtId="1" fontId="23" fillId="0" borderId="34" xfId="0" applyNumberFormat="1" applyFont="1" applyFill="1" applyBorder="1" applyAlignment="1" applyProtection="1">
      <alignment horizontal="center" vertical="center"/>
      <protection locked="0" hidden="1"/>
    </xf>
    <xf numFmtId="1" fontId="23" fillId="0" borderId="35" xfId="0" applyNumberFormat="1" applyFont="1" applyFill="1" applyBorder="1" applyAlignment="1" applyProtection="1">
      <alignment horizontal="center" vertical="center"/>
      <protection locked="0" hidden="1"/>
    </xf>
    <xf numFmtId="1" fontId="10" fillId="17" borderId="26" xfId="0" applyNumberFormat="1" applyFont="1" applyFill="1" applyBorder="1" applyAlignment="1" applyProtection="1">
      <alignment horizontal="center" vertical="center"/>
      <protection locked="0" hidden="1"/>
    </xf>
    <xf numFmtId="1" fontId="10" fillId="14" borderId="19" xfId="0" applyNumberFormat="1" applyFont="1" applyFill="1" applyBorder="1" applyAlignment="1" applyProtection="1">
      <alignment horizontal="center" vertical="center"/>
      <protection hidden="1"/>
    </xf>
    <xf numFmtId="1" fontId="10" fillId="14" borderId="1" xfId="0" applyNumberFormat="1" applyFont="1" applyFill="1" applyBorder="1" applyAlignment="1" applyProtection="1">
      <alignment horizontal="center" vertical="center"/>
      <protection hidden="1"/>
    </xf>
    <xf numFmtId="1" fontId="10" fillId="14" borderId="39" xfId="0" applyNumberFormat="1" applyFont="1" applyFill="1" applyBorder="1" applyAlignment="1" applyProtection="1">
      <alignment horizontal="center" vertical="center"/>
      <protection hidden="1"/>
    </xf>
    <xf numFmtId="1" fontId="10" fillId="14" borderId="40" xfId="0" applyNumberFormat="1" applyFont="1" applyFill="1" applyBorder="1" applyAlignment="1" applyProtection="1">
      <alignment horizontal="center" vertical="center"/>
      <protection hidden="1"/>
    </xf>
    <xf numFmtId="1" fontId="10" fillId="14" borderId="30" xfId="0" applyNumberFormat="1" applyFont="1" applyFill="1" applyBorder="1" applyAlignment="1" applyProtection="1">
      <alignment horizontal="center" vertical="center"/>
      <protection hidden="1"/>
    </xf>
    <xf numFmtId="1" fontId="10" fillId="14" borderId="36" xfId="0" applyNumberFormat="1" applyFont="1" applyFill="1" applyBorder="1" applyAlignment="1" applyProtection="1">
      <alignment horizontal="center" vertical="center"/>
      <protection hidden="1"/>
    </xf>
    <xf numFmtId="1" fontId="0" fillId="0" borderId="10" xfId="0" applyNumberFormat="1" applyFill="1" applyBorder="1" applyAlignment="1" applyProtection="1">
      <alignment horizontal="center"/>
      <protection hidden="1"/>
    </xf>
    <xf numFmtId="1" fontId="0" fillId="0" borderId="40" xfId="0" applyNumberFormat="1" applyFill="1" applyBorder="1" applyAlignment="1" applyProtection="1">
      <alignment horizontal="center"/>
      <protection hidden="1"/>
    </xf>
    <xf numFmtId="1" fontId="23" fillId="3" borderId="78" xfId="0" applyNumberFormat="1" applyFont="1" applyFill="1" applyBorder="1" applyAlignment="1" applyProtection="1">
      <alignment horizontal="center" vertical="center"/>
      <protection locked="0" hidden="1"/>
    </xf>
    <xf numFmtId="1" fontId="23" fillId="3" borderId="79" xfId="0" applyNumberFormat="1" applyFont="1" applyFill="1" applyBorder="1" applyAlignment="1" applyProtection="1">
      <alignment horizontal="center" vertical="center"/>
      <protection locked="0" hidden="1"/>
    </xf>
    <xf numFmtId="0" fontId="0" fillId="0" borderId="0" xfId="0" applyAlignment="1">
      <alignment horizontal="center"/>
    </xf>
    <xf numFmtId="0" fontId="0" fillId="3" borderId="21" xfId="0" applyFill="1" applyBorder="1" applyProtection="1"/>
    <xf numFmtId="0" fontId="0" fillId="3" borderId="0" xfId="0" applyFill="1" applyBorder="1" applyProtection="1"/>
    <xf numFmtId="0" fontId="0" fillId="3" borderId="51" xfId="0" applyFill="1" applyBorder="1" applyProtection="1"/>
    <xf numFmtId="0" fontId="0" fillId="3" borderId="21" xfId="0" applyFill="1" applyBorder="1" applyAlignment="1" applyProtection="1">
      <alignment horizontal="center"/>
    </xf>
    <xf numFmtId="0" fontId="90" fillId="3" borderId="0" xfId="0" applyFont="1" applyFill="1" applyBorder="1" applyProtection="1"/>
    <xf numFmtId="0" fontId="90" fillId="3" borderId="51" xfId="0" applyFont="1" applyFill="1" applyBorder="1" applyProtection="1"/>
    <xf numFmtId="0" fontId="90" fillId="3" borderId="0" xfId="0" applyFont="1" applyFill="1" applyBorder="1" applyAlignment="1" applyProtection="1">
      <alignment vertical="center"/>
    </xf>
    <xf numFmtId="0" fontId="90" fillId="3" borderId="0" xfId="0" applyFont="1" applyFill="1" applyBorder="1" applyAlignment="1" applyProtection="1">
      <alignment vertical="top"/>
    </xf>
    <xf numFmtId="0" fontId="91" fillId="32" borderId="21" xfId="0" applyFont="1" applyFill="1" applyBorder="1" applyAlignment="1" applyProtection="1"/>
    <xf numFmtId="0" fontId="91" fillId="32" borderId="0" xfId="0" applyFont="1" applyFill="1" applyBorder="1" applyAlignment="1" applyProtection="1"/>
    <xf numFmtId="0" fontId="91" fillId="32" borderId="51" xfId="0" applyFont="1" applyFill="1" applyBorder="1" applyAlignment="1" applyProtection="1"/>
    <xf numFmtId="0" fontId="95" fillId="3" borderId="0" xfId="0" applyFont="1" applyFill="1" applyBorder="1" applyAlignment="1" applyProtection="1">
      <alignment vertical="top" wrapText="1"/>
    </xf>
    <xf numFmtId="0" fontId="91" fillId="32" borderId="146" xfId="0" applyFont="1" applyFill="1" applyBorder="1" applyAlignment="1" applyProtection="1"/>
    <xf numFmtId="0" fontId="95" fillId="3" borderId="21" xfId="0" quotePrefix="1" applyFont="1" applyFill="1" applyBorder="1" applyAlignment="1" applyProtection="1">
      <alignment horizontal="right"/>
    </xf>
    <xf numFmtId="0" fontId="98" fillId="32" borderId="51" xfId="0" applyFont="1" applyFill="1" applyBorder="1" applyAlignment="1" applyProtection="1">
      <alignment vertical="top"/>
    </xf>
    <xf numFmtId="0" fontId="99" fillId="32" borderId="43" xfId="0" applyFont="1" applyFill="1" applyBorder="1" applyAlignment="1" applyProtection="1">
      <alignment vertical="top"/>
    </xf>
    <xf numFmtId="0" fontId="91" fillId="32" borderId="51" xfId="0" applyFont="1" applyFill="1" applyBorder="1" applyAlignment="1" applyProtection="1">
      <alignment vertical="top"/>
    </xf>
    <xf numFmtId="0" fontId="99" fillId="32" borderId="21" xfId="0" applyFont="1" applyFill="1" applyBorder="1" applyAlignment="1" applyProtection="1">
      <alignment vertical="top"/>
    </xf>
    <xf numFmtId="0" fontId="99" fillId="32" borderId="0" xfId="0" applyFont="1" applyFill="1" applyBorder="1" applyAlignment="1" applyProtection="1">
      <alignment vertical="top"/>
    </xf>
    <xf numFmtId="0" fontId="12" fillId="26" borderId="21" xfId="0" applyFont="1" applyFill="1" applyBorder="1" applyAlignment="1" applyProtection="1">
      <alignment horizontal="center"/>
    </xf>
    <xf numFmtId="0" fontId="12" fillId="26" borderId="0" xfId="0" applyFont="1" applyFill="1" applyBorder="1" applyAlignment="1" applyProtection="1">
      <alignment horizontal="center"/>
    </xf>
    <xf numFmtId="0" fontId="12" fillId="26" borderId="51" xfId="0" applyFont="1" applyFill="1" applyBorder="1" applyAlignment="1" applyProtection="1">
      <alignment horizontal="center"/>
    </xf>
    <xf numFmtId="0" fontId="0" fillId="0" borderId="0" xfId="0" applyAlignment="1"/>
    <xf numFmtId="0" fontId="96" fillId="32" borderId="21" xfId="0" applyFont="1" applyFill="1" applyBorder="1" applyAlignment="1" applyProtection="1">
      <alignment vertical="center"/>
    </xf>
    <xf numFmtId="0" fontId="96" fillId="32" borderId="0" xfId="0" applyFont="1" applyFill="1" applyBorder="1" applyAlignment="1" applyProtection="1">
      <alignment vertical="center"/>
    </xf>
    <xf numFmtId="0" fontId="96" fillId="32" borderId="51" xfId="0" applyFont="1" applyFill="1" applyBorder="1" applyAlignment="1" applyProtection="1">
      <alignment vertical="center"/>
    </xf>
    <xf numFmtId="0" fontId="102" fillId="33" borderId="28" xfId="0" applyFont="1" applyFill="1" applyBorder="1" applyAlignment="1" applyProtection="1">
      <alignment horizontal="right" vertical="center"/>
    </xf>
    <xf numFmtId="0" fontId="0" fillId="4" borderId="2" xfId="0" applyFill="1" applyBorder="1" applyAlignment="1" applyProtection="1">
      <alignment horizontal="center"/>
    </xf>
    <xf numFmtId="0" fontId="0" fillId="3" borderId="0" xfId="0" applyFill="1" applyBorder="1" applyAlignment="1" applyProtection="1">
      <alignment horizontal="center"/>
    </xf>
    <xf numFmtId="0" fontId="0" fillId="4" borderId="0" xfId="0" applyFill="1" applyAlignment="1" applyProtection="1">
      <alignment horizontal="center"/>
    </xf>
    <xf numFmtId="0" fontId="95" fillId="3" borderId="21" xfId="0" quotePrefix="1" applyFont="1" applyFill="1" applyBorder="1" applyAlignment="1" applyProtection="1">
      <alignment horizontal="right" vertical="top"/>
    </xf>
    <xf numFmtId="0" fontId="0" fillId="3" borderId="150" xfId="0" applyFill="1" applyBorder="1" applyAlignment="1" applyProtection="1">
      <alignment horizontal="center"/>
    </xf>
    <xf numFmtId="0" fontId="95" fillId="3" borderId="0" xfId="0" applyFont="1" applyFill="1" applyBorder="1" applyAlignment="1" applyProtection="1">
      <alignment horizontal="left" vertical="top" wrapText="1"/>
    </xf>
    <xf numFmtId="0" fontId="95" fillId="3" borderId="51" xfId="0" applyFont="1" applyFill="1" applyBorder="1" applyAlignment="1" applyProtection="1">
      <alignment horizontal="left" vertical="top" wrapText="1"/>
    </xf>
    <xf numFmtId="0" fontId="95" fillId="3" borderId="51" xfId="0" applyFont="1" applyFill="1" applyBorder="1" applyAlignment="1" applyProtection="1">
      <alignment vertical="top" wrapText="1"/>
    </xf>
    <xf numFmtId="0" fontId="0" fillId="3" borderId="152" xfId="0" applyFill="1" applyBorder="1" applyProtection="1"/>
    <xf numFmtId="0" fontId="0" fillId="3" borderId="150" xfId="0" applyFill="1" applyBorder="1" applyProtection="1"/>
    <xf numFmtId="0" fontId="99" fillId="32" borderId="0" xfId="0" applyFont="1" applyFill="1" applyBorder="1" applyAlignment="1" applyProtection="1">
      <alignment horizontal="right" vertical="top"/>
    </xf>
    <xf numFmtId="0" fontId="91" fillId="32" borderId="0" xfId="0" applyFont="1" applyFill="1" applyBorder="1" applyAlignment="1" applyProtection="1">
      <alignment horizontal="right"/>
    </xf>
    <xf numFmtId="0" fontId="0" fillId="4" borderId="0" xfId="0" applyFill="1" applyBorder="1" applyAlignment="1" applyProtection="1">
      <alignment horizontal="center"/>
    </xf>
    <xf numFmtId="0" fontId="0" fillId="4" borderId="38" xfId="0" applyFill="1" applyBorder="1" applyProtection="1"/>
    <xf numFmtId="0" fontId="0" fillId="4" borderId="38" xfId="0" applyFill="1" applyBorder="1" applyAlignment="1" applyProtection="1">
      <alignment horizontal="center"/>
    </xf>
    <xf numFmtId="0" fontId="0" fillId="4" borderId="32" xfId="0" applyFill="1" applyBorder="1" applyProtection="1"/>
    <xf numFmtId="0" fontId="0" fillId="4" borderId="21" xfId="0" applyFill="1" applyBorder="1" applyProtection="1"/>
    <xf numFmtId="0" fontId="0" fillId="4" borderId="0" xfId="0" applyFill="1" applyBorder="1" applyProtection="1"/>
    <xf numFmtId="0" fontId="27" fillId="4" borderId="0" xfId="0" applyFont="1" applyFill="1" applyBorder="1" applyAlignment="1" applyProtection="1">
      <alignment horizontal="left"/>
    </xf>
    <xf numFmtId="0" fontId="0" fillId="4" borderId="51" xfId="0" applyFill="1" applyBorder="1" applyProtection="1"/>
    <xf numFmtId="0" fontId="62" fillId="4" borderId="0" xfId="0" applyFont="1" applyFill="1" applyBorder="1" applyAlignment="1" applyProtection="1">
      <alignment horizontal="left" vertical="top"/>
    </xf>
    <xf numFmtId="0" fontId="0" fillId="4" borderId="42" xfId="0" applyFill="1" applyBorder="1" applyProtection="1"/>
    <xf numFmtId="0" fontId="0" fillId="4" borderId="2" xfId="0" applyFill="1" applyBorder="1" applyProtection="1"/>
    <xf numFmtId="0" fontId="0" fillId="4" borderId="43" xfId="0" applyFill="1" applyBorder="1" applyProtection="1"/>
    <xf numFmtId="0" fontId="10" fillId="0" borderId="108" xfId="0" applyFont="1" applyFill="1" applyBorder="1" applyAlignment="1" applyProtection="1">
      <alignment horizontal="center" vertical="center"/>
      <protection locked="0"/>
    </xf>
    <xf numFmtId="0" fontId="10" fillId="0" borderId="121" xfId="0" applyFont="1" applyFill="1" applyBorder="1" applyAlignment="1" applyProtection="1">
      <alignment horizontal="center" vertical="center"/>
      <protection locked="0"/>
    </xf>
    <xf numFmtId="0" fontId="0" fillId="0" borderId="0" xfId="0" applyBorder="1"/>
    <xf numFmtId="0" fontId="0" fillId="0" borderId="51" xfId="0" applyBorder="1"/>
    <xf numFmtId="0" fontId="0" fillId="0" borderId="0" xfId="0"/>
    <xf numFmtId="0" fontId="0" fillId="0" borderId="21" xfId="0" applyBorder="1"/>
    <xf numFmtId="0" fontId="41" fillId="4" borderId="0" xfId="0" applyFont="1" applyFill="1"/>
    <xf numFmtId="0" fontId="10" fillId="0" borderId="159" xfId="0" applyFont="1" applyFill="1" applyBorder="1" applyAlignment="1" applyProtection="1">
      <alignment horizontal="center" vertical="center"/>
      <protection locked="0"/>
    </xf>
    <xf numFmtId="18" fontId="6" fillId="3" borderId="4" xfId="0" applyNumberFormat="1" applyFont="1" applyFill="1" applyBorder="1" applyAlignment="1" applyProtection="1">
      <alignment horizontal="center"/>
      <protection locked="0"/>
    </xf>
    <xf numFmtId="0" fontId="37" fillId="30" borderId="30" xfId="0" applyFont="1" applyFill="1" applyBorder="1" applyAlignment="1" applyProtection="1">
      <alignment horizontal="center" vertical="center"/>
    </xf>
    <xf numFmtId="0" fontId="37" fillId="30" borderId="1" xfId="0" applyFont="1" applyFill="1" applyBorder="1" applyAlignment="1" applyProtection="1">
      <alignment horizontal="left" vertical="center" indent="1"/>
    </xf>
    <xf numFmtId="0" fontId="37" fillId="30" borderId="12" xfId="0" applyFont="1" applyFill="1" applyBorder="1" applyAlignment="1" applyProtection="1">
      <alignment horizontal="center" vertical="center"/>
    </xf>
    <xf numFmtId="0" fontId="37" fillId="30" borderId="14" xfId="0" applyFont="1" applyFill="1" applyBorder="1" applyAlignment="1" applyProtection="1">
      <alignment horizontal="left" vertical="center" indent="1"/>
    </xf>
    <xf numFmtId="0" fontId="37" fillId="30" borderId="19" xfId="0" applyFont="1" applyFill="1" applyBorder="1" applyAlignment="1" applyProtection="1">
      <alignment horizontal="center" vertical="center"/>
    </xf>
    <xf numFmtId="0" fontId="37" fillId="30" borderId="5" xfId="0" applyFont="1" applyFill="1" applyBorder="1" applyAlignment="1" applyProtection="1">
      <alignment horizontal="center" vertical="center"/>
    </xf>
    <xf numFmtId="0" fontId="37" fillId="30" borderId="14" xfId="0" quotePrefix="1" applyFont="1" applyFill="1" applyBorder="1" applyAlignment="1" applyProtection="1">
      <alignment horizontal="left" vertical="center" indent="1"/>
    </xf>
    <xf numFmtId="0" fontId="0" fillId="4" borderId="37" xfId="0" applyFill="1" applyBorder="1" applyProtection="1">
      <protection locked="0"/>
    </xf>
    <xf numFmtId="0" fontId="0" fillId="4" borderId="0" xfId="0" applyFill="1" applyAlignment="1" applyProtection="1">
      <alignment horizontal="center"/>
    </xf>
    <xf numFmtId="0" fontId="0" fillId="0" borderId="0" xfId="0" applyFill="1" applyBorder="1" applyAlignment="1" applyProtection="1">
      <alignment horizontal="left"/>
      <protection hidden="1"/>
    </xf>
    <xf numFmtId="0" fontId="35" fillId="0" borderId="0" xfId="0" applyFont="1" applyFill="1" applyBorder="1" applyAlignment="1" applyProtection="1">
      <alignment horizontal="left" vertical="center"/>
      <protection hidden="1"/>
    </xf>
    <xf numFmtId="0" fontId="13" fillId="9" borderId="61" xfId="0" applyFont="1" applyFill="1" applyBorder="1" applyAlignment="1" applyProtection="1">
      <alignment horizontal="center" vertical="center"/>
      <protection hidden="1"/>
    </xf>
    <xf numFmtId="0" fontId="35" fillId="0" borderId="0" xfId="0" applyFont="1" applyFill="1" applyBorder="1" applyAlignment="1" applyProtection="1">
      <alignment horizontal="left" vertical="top"/>
      <protection hidden="1"/>
    </xf>
    <xf numFmtId="0" fontId="0" fillId="4" borderId="0" xfId="0" applyFill="1" applyAlignment="1" applyProtection="1">
      <alignment horizontal="center"/>
    </xf>
    <xf numFmtId="0" fontId="103" fillId="4" borderId="0" xfId="0" applyFont="1" applyFill="1" applyAlignment="1" applyProtection="1">
      <alignment horizontal="right" vertical="center"/>
    </xf>
    <xf numFmtId="0" fontId="0" fillId="0" borderId="1" xfId="0" applyFill="1" applyBorder="1" applyAlignment="1" applyProtection="1">
      <alignment horizontal="center"/>
    </xf>
    <xf numFmtId="0" fontId="1" fillId="0" borderId="0" xfId="0" applyFont="1" applyFill="1" applyBorder="1" applyAlignment="1" applyProtection="1">
      <alignment horizontal="left"/>
    </xf>
    <xf numFmtId="0" fontId="0" fillId="4" borderId="0" xfId="0" applyFill="1" applyAlignment="1" applyProtection="1">
      <alignment horizontal="center" vertical="center" wrapText="1"/>
    </xf>
    <xf numFmtId="0" fontId="0" fillId="4" borderId="0" xfId="0" applyFill="1" applyBorder="1" applyAlignment="1" applyProtection="1">
      <alignment vertical="center"/>
    </xf>
    <xf numFmtId="0" fontId="0" fillId="4" borderId="0" xfId="0" applyFill="1" applyAlignment="1" applyProtection="1"/>
    <xf numFmtId="0" fontId="107" fillId="4" borderId="0" xfId="0" applyFont="1" applyFill="1" applyAlignment="1" applyProtection="1">
      <alignment vertical="center"/>
    </xf>
    <xf numFmtId="0" fontId="106" fillId="4" borderId="0" xfId="0" applyFont="1" applyFill="1" applyAlignment="1" applyProtection="1">
      <alignment vertical="center"/>
    </xf>
    <xf numFmtId="0" fontId="10" fillId="4" borderId="0" xfId="0" applyFont="1" applyFill="1" applyBorder="1" applyAlignment="1" applyProtection="1">
      <alignment vertical="center"/>
    </xf>
    <xf numFmtId="0" fontId="0" fillId="4" borderId="0" xfId="0" applyFont="1" applyFill="1" applyAlignment="1" applyProtection="1">
      <alignment vertical="center"/>
    </xf>
    <xf numFmtId="0" fontId="0" fillId="4" borderId="0" xfId="0" applyFont="1" applyFill="1" applyBorder="1" applyAlignment="1" applyProtection="1">
      <alignment vertical="center"/>
    </xf>
    <xf numFmtId="0" fontId="110" fillId="4" borderId="0" xfId="0" applyFont="1" applyFill="1" applyAlignment="1" applyProtection="1">
      <alignment horizontal="center" vertical="center"/>
    </xf>
    <xf numFmtId="0" fontId="110" fillId="4" borderId="0" xfId="0" applyFont="1" applyFill="1" applyAlignment="1" applyProtection="1">
      <alignment horizontal="center"/>
    </xf>
    <xf numFmtId="0" fontId="44" fillId="4" borderId="0" xfId="0" applyFont="1" applyFill="1" applyAlignment="1" applyProtection="1">
      <alignment horizontal="center" vertical="center" wrapText="1"/>
    </xf>
    <xf numFmtId="0" fontId="109" fillId="4" borderId="0" xfId="0" applyFont="1" applyFill="1" applyAlignment="1" applyProtection="1">
      <alignment horizontal="center" vertical="center" wrapText="1"/>
    </xf>
    <xf numFmtId="49" fontId="43" fillId="0" borderId="1" xfId="0" quotePrefix="1" applyNumberFormat="1" applyFont="1" applyFill="1" applyBorder="1" applyAlignment="1" applyProtection="1">
      <alignment horizontal="center" vertical="center"/>
      <protection locked="0"/>
    </xf>
    <xf numFmtId="49" fontId="43" fillId="0" borderId="40" xfId="0" applyNumberFormat="1" applyFont="1" applyFill="1" applyBorder="1" applyAlignment="1" applyProtection="1">
      <alignment horizontal="center" vertical="center"/>
      <protection locked="0"/>
    </xf>
    <xf numFmtId="0" fontId="50" fillId="27" borderId="123" xfId="5" applyFont="1" applyAlignment="1" applyProtection="1">
      <alignment horizontal="center"/>
    </xf>
    <xf numFmtId="0" fontId="110" fillId="3" borderId="6" xfId="0" applyFont="1" applyFill="1" applyBorder="1" applyAlignment="1" applyProtection="1">
      <alignment horizontal="center" vertical="center"/>
      <protection locked="0"/>
    </xf>
    <xf numFmtId="0" fontId="110" fillId="3" borderId="1" xfId="0" applyFont="1" applyFill="1" applyBorder="1" applyAlignment="1" applyProtection="1">
      <alignment horizontal="center" vertical="center"/>
      <protection locked="0"/>
    </xf>
    <xf numFmtId="0" fontId="110" fillId="3" borderId="1" xfId="0" applyFont="1" applyFill="1" applyBorder="1" applyAlignment="1" applyProtection="1">
      <alignment horizontal="center"/>
      <protection locked="0"/>
    </xf>
    <xf numFmtId="0" fontId="110" fillId="3" borderId="6" xfId="0" applyFont="1" applyFill="1" applyBorder="1" applyAlignment="1" applyProtection="1">
      <alignment horizontal="center"/>
      <protection locked="0"/>
    </xf>
    <xf numFmtId="0" fontId="110" fillId="3" borderId="63" xfId="0" applyFont="1" applyFill="1" applyBorder="1" applyAlignment="1" applyProtection="1">
      <alignment horizontal="center"/>
      <protection locked="0"/>
    </xf>
    <xf numFmtId="0" fontId="110" fillId="3" borderId="40" xfId="0" applyFont="1" applyFill="1" applyBorder="1" applyAlignment="1" applyProtection="1">
      <alignment horizontal="center"/>
      <protection locked="0"/>
    </xf>
    <xf numFmtId="164" fontId="110" fillId="3" borderId="1" xfId="0" applyNumberFormat="1" applyFont="1" applyFill="1" applyBorder="1" applyAlignment="1" applyProtection="1">
      <alignment horizontal="center" vertical="center"/>
      <protection locked="0"/>
    </xf>
    <xf numFmtId="165" fontId="110" fillId="3" borderId="1" xfId="0" applyNumberFormat="1" applyFont="1" applyFill="1" applyBorder="1" applyAlignment="1" applyProtection="1">
      <alignment horizontal="center" vertical="center"/>
      <protection locked="0"/>
    </xf>
    <xf numFmtId="164" fontId="110" fillId="3" borderId="40" xfId="0" applyNumberFormat="1" applyFont="1" applyFill="1" applyBorder="1" applyAlignment="1" applyProtection="1">
      <alignment horizontal="center" vertical="center"/>
      <protection locked="0"/>
    </xf>
    <xf numFmtId="165" fontId="110" fillId="3" borderId="40" xfId="0" applyNumberFormat="1" applyFont="1" applyFill="1" applyBorder="1" applyAlignment="1" applyProtection="1">
      <alignment horizontal="center" vertical="center"/>
      <protection locked="0"/>
    </xf>
    <xf numFmtId="0" fontId="110" fillId="0" borderId="1" xfId="0" applyFont="1" applyFill="1" applyBorder="1" applyAlignment="1" applyProtection="1">
      <alignment horizontal="center" vertical="center"/>
      <protection locked="0"/>
    </xf>
    <xf numFmtId="0" fontId="110" fillId="0" borderId="1" xfId="0" applyFont="1" applyFill="1" applyBorder="1" applyAlignment="1" applyProtection="1">
      <alignment horizontal="center"/>
      <protection locked="0"/>
    </xf>
    <xf numFmtId="0" fontId="110" fillId="0" borderId="40" xfId="0" applyFont="1" applyFill="1" applyBorder="1" applyAlignment="1" applyProtection="1">
      <alignment horizontal="center"/>
      <protection locked="0"/>
    </xf>
    <xf numFmtId="166" fontId="110" fillId="0" borderId="1" xfId="0" applyNumberFormat="1" applyFont="1" applyFill="1" applyBorder="1" applyAlignment="1" applyProtection="1">
      <alignment horizontal="center" vertical="center"/>
      <protection locked="0"/>
    </xf>
    <xf numFmtId="166" fontId="110" fillId="0" borderId="40" xfId="0" applyNumberFormat="1" applyFont="1" applyFill="1" applyBorder="1" applyAlignment="1" applyProtection="1">
      <alignment horizontal="center" vertical="center"/>
      <protection locked="0"/>
    </xf>
    <xf numFmtId="0" fontId="110" fillId="0" borderId="6" xfId="0" applyFont="1" applyFill="1" applyBorder="1" applyAlignment="1" applyProtection="1">
      <alignment horizontal="center" vertical="center"/>
      <protection locked="0"/>
    </xf>
    <xf numFmtId="167" fontId="110" fillId="0" borderId="1" xfId="0" applyNumberFormat="1" applyFont="1" applyFill="1" applyBorder="1" applyAlignment="1" applyProtection="1">
      <alignment horizontal="center" vertical="center"/>
      <protection locked="0"/>
    </xf>
    <xf numFmtId="0" fontId="110" fillId="0" borderId="6" xfId="0" applyFont="1" applyFill="1" applyBorder="1" applyAlignment="1" applyProtection="1">
      <alignment horizontal="center"/>
      <protection locked="0"/>
    </xf>
    <xf numFmtId="0" fontId="110" fillId="0" borderId="63" xfId="0" applyFont="1" applyFill="1" applyBorder="1" applyAlignment="1" applyProtection="1">
      <alignment horizontal="center"/>
      <protection locked="0"/>
    </xf>
    <xf numFmtId="0" fontId="110" fillId="0" borderId="40" xfId="0" applyFont="1" applyFill="1" applyBorder="1" applyAlignment="1" applyProtection="1">
      <alignment horizontal="center" vertical="center"/>
      <protection locked="0"/>
    </xf>
    <xf numFmtId="167" fontId="110" fillId="0" borderId="40" xfId="0" applyNumberFormat="1" applyFont="1" applyFill="1" applyBorder="1" applyAlignment="1" applyProtection="1">
      <alignment horizontal="center" vertical="center"/>
      <protection locked="0"/>
    </xf>
    <xf numFmtId="0" fontId="110" fillId="17" borderId="19" xfId="0" applyFont="1" applyFill="1" applyBorder="1" applyAlignment="1" applyProtection="1">
      <alignment horizontal="center" vertical="center"/>
      <protection hidden="1"/>
    </xf>
    <xf numFmtId="0" fontId="110" fillId="17" borderId="1" xfId="0" applyFont="1" applyFill="1" applyBorder="1" applyAlignment="1" applyProtection="1">
      <alignment horizontal="center" vertical="center"/>
      <protection hidden="1"/>
    </xf>
    <xf numFmtId="0" fontId="110" fillId="17" borderId="14" xfId="0" applyFont="1" applyFill="1" applyBorder="1" applyAlignment="1" applyProtection="1">
      <alignment horizontal="left" vertical="center" indent="1"/>
      <protection hidden="1"/>
    </xf>
    <xf numFmtId="0" fontId="110" fillId="17" borderId="1" xfId="0" applyFont="1" applyFill="1" applyBorder="1" applyAlignment="1" applyProtection="1">
      <alignment horizontal="left" vertical="center"/>
      <protection hidden="1"/>
    </xf>
    <xf numFmtId="0" fontId="110" fillId="17" borderId="39" xfId="0" applyFont="1" applyFill="1" applyBorder="1" applyAlignment="1" applyProtection="1">
      <alignment horizontal="center" vertical="center"/>
      <protection hidden="1"/>
    </xf>
    <xf numFmtId="0" fontId="110" fillId="17" borderId="40" xfId="0" applyFont="1" applyFill="1" applyBorder="1" applyAlignment="1" applyProtection="1">
      <alignment horizontal="center" vertical="center"/>
      <protection hidden="1"/>
    </xf>
    <xf numFmtId="0" fontId="110" fillId="17" borderId="40" xfId="0" applyFont="1" applyFill="1" applyBorder="1" applyAlignment="1" applyProtection="1">
      <alignment horizontal="left" vertical="center"/>
      <protection hidden="1"/>
    </xf>
    <xf numFmtId="0" fontId="102" fillId="24" borderId="19" xfId="0" applyFont="1" applyFill="1" applyBorder="1" applyAlignment="1" applyProtection="1">
      <alignment horizontal="center" vertical="center" wrapText="1"/>
      <protection hidden="1"/>
    </xf>
    <xf numFmtId="0" fontId="102" fillId="24" borderId="1" xfId="0" applyFont="1" applyFill="1" applyBorder="1" applyAlignment="1" applyProtection="1">
      <alignment horizontal="center" vertical="center" wrapText="1"/>
      <protection hidden="1"/>
    </xf>
    <xf numFmtId="0" fontId="102" fillId="24" borderId="14" xfId="0" applyFont="1" applyFill="1" applyBorder="1" applyAlignment="1" applyProtection="1">
      <alignment horizontal="center" vertical="center" wrapText="1"/>
      <protection hidden="1"/>
    </xf>
    <xf numFmtId="0" fontId="102" fillId="36" borderId="1" xfId="0" applyFont="1" applyFill="1" applyBorder="1" applyAlignment="1" applyProtection="1">
      <alignment horizontal="center" vertical="center" wrapText="1"/>
      <protection hidden="1"/>
    </xf>
    <xf numFmtId="0" fontId="102" fillId="9" borderId="1" xfId="0" applyFont="1" applyFill="1" applyBorder="1" applyAlignment="1" applyProtection="1">
      <alignment horizontal="center" vertical="center" wrapText="1"/>
      <protection hidden="1"/>
    </xf>
    <xf numFmtId="0" fontId="102" fillId="35" borderId="1" xfId="0" applyFont="1" applyFill="1" applyBorder="1" applyAlignment="1" applyProtection="1">
      <alignment horizontal="center" vertical="center" wrapText="1"/>
      <protection hidden="1"/>
    </xf>
    <xf numFmtId="0" fontId="44" fillId="19" borderId="1" xfId="0" applyFont="1" applyFill="1" applyBorder="1" applyAlignment="1" applyProtection="1">
      <alignment horizontal="center" vertical="center" wrapText="1"/>
      <protection hidden="1"/>
    </xf>
    <xf numFmtId="0" fontId="102" fillId="12" borderId="1" xfId="0" applyFont="1" applyFill="1" applyBorder="1" applyAlignment="1" applyProtection="1">
      <alignment horizontal="center" vertical="center" wrapText="1"/>
      <protection hidden="1"/>
    </xf>
    <xf numFmtId="0" fontId="102" fillId="38" borderId="1" xfId="0" applyFont="1" applyFill="1" applyBorder="1" applyAlignment="1" applyProtection="1">
      <alignment horizontal="center" vertical="center" wrapText="1"/>
      <protection hidden="1"/>
    </xf>
    <xf numFmtId="0" fontId="102" fillId="37" borderId="1" xfId="0" applyFont="1" applyFill="1" applyBorder="1" applyAlignment="1" applyProtection="1">
      <alignment horizontal="center" vertical="center" wrapText="1"/>
      <protection hidden="1"/>
    </xf>
    <xf numFmtId="0" fontId="102" fillId="35" borderId="14" xfId="0" applyFont="1" applyFill="1" applyBorder="1" applyAlignment="1" applyProtection="1">
      <alignment horizontal="center" vertical="center" wrapText="1"/>
      <protection hidden="1"/>
    </xf>
    <xf numFmtId="0" fontId="44" fillId="10" borderId="1" xfId="0" applyFont="1" applyFill="1" applyBorder="1" applyAlignment="1" applyProtection="1">
      <alignment horizontal="center" vertical="center" wrapText="1"/>
      <protection hidden="1"/>
    </xf>
    <xf numFmtId="0" fontId="66" fillId="4" borderId="0" xfId="0" applyFont="1" applyFill="1" applyAlignment="1" applyProtection="1">
      <alignment horizontal="left" vertical="center"/>
      <protection hidden="1"/>
    </xf>
    <xf numFmtId="0" fontId="110" fillId="17" borderId="1" xfId="0" applyFont="1" applyFill="1" applyBorder="1" applyAlignment="1" applyProtection="1">
      <alignment horizontal="left" vertical="center" indent="1"/>
      <protection hidden="1"/>
    </xf>
    <xf numFmtId="0" fontId="110" fillId="17" borderId="40" xfId="0" applyFont="1" applyFill="1" applyBorder="1" applyAlignment="1" applyProtection="1">
      <alignment horizontal="left" vertical="center" indent="1"/>
      <protection hidden="1"/>
    </xf>
    <xf numFmtId="0" fontId="0" fillId="4" borderId="0" xfId="0" applyFont="1" applyFill="1" applyAlignment="1" applyProtection="1">
      <alignment wrapText="1"/>
    </xf>
    <xf numFmtId="0" fontId="111" fillId="0" borderId="0" xfId="0" applyFont="1" applyFill="1" applyBorder="1" applyAlignment="1" applyProtection="1"/>
    <xf numFmtId="0" fontId="3" fillId="4" borderId="0" xfId="0" applyFont="1" applyFill="1" applyAlignment="1" applyProtection="1">
      <alignment vertical="center"/>
      <protection hidden="1"/>
    </xf>
    <xf numFmtId="0" fontId="3" fillId="4" borderId="0" xfId="0" applyFont="1" applyFill="1" applyAlignment="1" applyProtection="1">
      <alignment vertical="top"/>
      <protection hidden="1"/>
    </xf>
    <xf numFmtId="49" fontId="90" fillId="0" borderId="0" xfId="0" applyNumberFormat="1" applyFont="1" applyFill="1" applyBorder="1" applyAlignment="1" applyProtection="1">
      <alignment vertical="center"/>
    </xf>
    <xf numFmtId="49" fontId="90" fillId="0" borderId="0" xfId="0" applyNumberFormat="1" applyFont="1" applyFill="1" applyBorder="1" applyAlignment="1" applyProtection="1">
      <alignment horizontal="center" vertical="center"/>
    </xf>
    <xf numFmtId="49" fontId="112" fillId="0" borderId="0" xfId="0" applyNumberFormat="1" applyFont="1" applyFill="1" applyBorder="1" applyAlignment="1" applyProtection="1">
      <alignment vertical="center"/>
    </xf>
    <xf numFmtId="0" fontId="112" fillId="0" borderId="0" xfId="0" applyFont="1" applyFill="1" applyBorder="1" applyAlignment="1" applyProtection="1">
      <alignment vertical="center"/>
    </xf>
    <xf numFmtId="49" fontId="90" fillId="0" borderId="0" xfId="0" applyNumberFormat="1" applyFont="1" applyFill="1" applyBorder="1" applyAlignment="1" applyProtection="1">
      <alignment horizontal="left" vertical="center"/>
    </xf>
    <xf numFmtId="49" fontId="90" fillId="0" borderId="0" xfId="0" applyNumberFormat="1" applyFont="1" applyFill="1" applyBorder="1" applyAlignment="1" applyProtection="1">
      <alignment vertical="center" wrapText="1"/>
    </xf>
    <xf numFmtId="49" fontId="90" fillId="0" borderId="0" xfId="0" applyNumberFormat="1" applyFont="1" applyFill="1" applyBorder="1" applyAlignment="1" applyProtection="1">
      <alignment horizontal="center" vertical="center" wrapText="1"/>
    </xf>
    <xf numFmtId="0" fontId="0" fillId="4" borderId="0" xfId="0" applyFont="1" applyFill="1" applyAlignment="1" applyProtection="1">
      <alignment horizontal="left"/>
    </xf>
    <xf numFmtId="0" fontId="112" fillId="0" borderId="0" xfId="0" applyFont="1" applyFill="1" applyBorder="1" applyAlignment="1" applyProtection="1">
      <alignment horizontal="left" vertical="center"/>
    </xf>
    <xf numFmtId="0" fontId="0" fillId="4" borderId="0" xfId="0" applyFont="1" applyFill="1" applyAlignment="1" applyProtection="1">
      <alignment horizontal="left" vertical="center"/>
    </xf>
    <xf numFmtId="0" fontId="44" fillId="10" borderId="19" xfId="0" quotePrefix="1" applyFont="1" applyFill="1" applyBorder="1" applyAlignment="1" applyProtection="1">
      <alignment horizontal="center" vertical="center" wrapText="1"/>
      <protection hidden="1"/>
    </xf>
    <xf numFmtId="0" fontId="90" fillId="0" borderId="0" xfId="0" applyNumberFormat="1" applyFont="1" applyFill="1" applyBorder="1" applyAlignment="1" applyProtection="1">
      <alignment vertical="center"/>
    </xf>
    <xf numFmtId="0" fontId="90" fillId="0" borderId="0" xfId="0" applyNumberFormat="1" applyFont="1" applyFill="1" applyBorder="1" applyAlignment="1" applyProtection="1">
      <alignment horizontal="left" vertical="center" wrapText="1"/>
    </xf>
    <xf numFmtId="0" fontId="90" fillId="0" borderId="0" xfId="0" applyNumberFormat="1" applyFont="1" applyFill="1" applyBorder="1" applyAlignment="1" applyProtection="1">
      <alignment vertical="center" wrapText="1"/>
    </xf>
    <xf numFmtId="0" fontId="90" fillId="0" borderId="0" xfId="0" applyNumberFormat="1" applyFont="1" applyFill="1" applyBorder="1" applyAlignment="1" applyProtection="1">
      <alignment horizontal="left" vertical="center"/>
    </xf>
    <xf numFmtId="0" fontId="0" fillId="0" borderId="21" xfId="0" applyFont="1" applyFill="1" applyBorder="1" applyAlignment="1" applyProtection="1"/>
    <xf numFmtId="0" fontId="0" fillId="0" borderId="51" xfId="0" applyFont="1" applyFill="1" applyBorder="1" applyAlignment="1" applyProtection="1"/>
    <xf numFmtId="0" fontId="1" fillId="0" borderId="21" xfId="0" applyFont="1" applyFill="1" applyBorder="1" applyAlignment="1" applyProtection="1"/>
    <xf numFmtId="0" fontId="0" fillId="0" borderId="19" xfId="0" applyFont="1" applyFill="1" applyBorder="1" applyAlignment="1" applyProtection="1">
      <alignment horizontal="center"/>
    </xf>
    <xf numFmtId="0" fontId="1" fillId="14" borderId="168" xfId="0" applyFont="1" applyFill="1" applyBorder="1" applyAlignment="1" applyProtection="1">
      <alignment horizontal="center" vertical="center"/>
    </xf>
    <xf numFmtId="0" fontId="43" fillId="0" borderId="30" xfId="0" applyFont="1" applyFill="1" applyBorder="1" applyAlignment="1" applyProtection="1">
      <alignment horizontal="center" vertical="center"/>
    </xf>
    <xf numFmtId="0" fontId="4" fillId="0" borderId="51" xfId="0" applyFont="1" applyFill="1" applyBorder="1" applyAlignment="1" applyProtection="1">
      <alignment vertical="center" wrapText="1"/>
    </xf>
    <xf numFmtId="0" fontId="0" fillId="0" borderId="40" xfId="0" applyFill="1" applyBorder="1" applyAlignment="1" applyProtection="1">
      <alignment horizontal="center"/>
    </xf>
    <xf numFmtId="0" fontId="0" fillId="0" borderId="41" xfId="0" applyFont="1" applyFill="1" applyBorder="1" applyAlignment="1" applyProtection="1">
      <alignment horizontal="center" vertical="center"/>
    </xf>
    <xf numFmtId="0" fontId="4" fillId="0" borderId="81" xfId="0" applyFont="1" applyFill="1" applyBorder="1" applyAlignment="1" applyProtection="1">
      <alignment vertical="center"/>
    </xf>
    <xf numFmtId="0" fontId="0" fillId="0" borderId="2" xfId="0" applyFont="1" applyFill="1" applyBorder="1" applyAlignment="1" applyProtection="1"/>
    <xf numFmtId="0" fontId="4" fillId="0" borderId="2" xfId="0" applyFont="1" applyFill="1" applyBorder="1" applyAlignment="1" applyProtection="1">
      <alignment vertical="center" wrapText="1"/>
    </xf>
    <xf numFmtId="0" fontId="4" fillId="0" borderId="43" xfId="0" applyFont="1" applyFill="1" applyBorder="1" applyAlignment="1" applyProtection="1">
      <alignment vertical="center" wrapText="1"/>
    </xf>
    <xf numFmtId="0" fontId="113" fillId="4" borderId="0" xfId="0" applyFont="1" applyFill="1" applyAlignment="1" applyProtection="1">
      <alignment horizontal="left" vertical="center"/>
      <protection hidden="1"/>
    </xf>
    <xf numFmtId="0" fontId="70" fillId="4" borderId="0" xfId="0" applyFont="1" applyFill="1" applyAlignment="1" applyProtection="1">
      <alignment vertical="top"/>
      <protection hidden="1"/>
    </xf>
    <xf numFmtId="0" fontId="4" fillId="0" borderId="2" xfId="0" applyFont="1" applyFill="1" applyBorder="1" applyAlignment="1" applyProtection="1">
      <alignment vertical="center"/>
    </xf>
    <xf numFmtId="0" fontId="0" fillId="3" borderId="20" xfId="0" applyFill="1" applyBorder="1" applyAlignment="1" applyProtection="1">
      <alignment horizontal="center"/>
      <protection locked="0"/>
    </xf>
    <xf numFmtId="0" fontId="0" fillId="3" borderId="41" xfId="0" applyFill="1" applyBorder="1" applyAlignment="1" applyProtection="1">
      <alignment horizontal="center"/>
      <protection locked="0"/>
    </xf>
    <xf numFmtId="0" fontId="0" fillId="3" borderId="39" xfId="0" applyFill="1" applyBorder="1" applyAlignment="1" applyProtection="1">
      <alignment horizontal="center"/>
      <protection locked="0"/>
    </xf>
    <xf numFmtId="1" fontId="23" fillId="0" borderId="85" xfId="0" applyNumberFormat="1" applyFont="1" applyFill="1" applyBorder="1" applyAlignment="1" applyProtection="1">
      <alignment horizontal="center" vertical="center"/>
      <protection locked="0" hidden="1"/>
    </xf>
    <xf numFmtId="1" fontId="23" fillId="0" borderId="174" xfId="0" applyNumberFormat="1" applyFont="1" applyFill="1" applyBorder="1" applyAlignment="1" applyProtection="1">
      <alignment horizontal="center" vertical="center"/>
      <protection locked="0" hidden="1"/>
    </xf>
    <xf numFmtId="49" fontId="0" fillId="0" borderId="36" xfId="0" applyNumberFormat="1" applyFill="1" applyBorder="1" applyAlignment="1" applyProtection="1">
      <alignment horizontal="center"/>
      <protection hidden="1"/>
    </xf>
    <xf numFmtId="49" fontId="0" fillId="0" borderId="40" xfId="0" applyNumberFormat="1" applyFill="1" applyBorder="1" applyAlignment="1" applyProtection="1">
      <alignment horizontal="center"/>
      <protection hidden="1"/>
    </xf>
    <xf numFmtId="0" fontId="13" fillId="9" borderId="31" xfId="0" applyFont="1" applyFill="1" applyBorder="1" applyAlignment="1" applyProtection="1">
      <alignment horizontal="center" vertical="center" wrapText="1"/>
      <protection hidden="1"/>
    </xf>
    <xf numFmtId="1" fontId="0" fillId="0" borderId="10" xfId="0" applyNumberFormat="1" applyFill="1" applyBorder="1" applyAlignment="1" applyProtection="1">
      <alignment horizontal="left"/>
      <protection hidden="1"/>
    </xf>
    <xf numFmtId="0" fontId="16" fillId="14" borderId="60" xfId="0" applyFont="1" applyFill="1" applyBorder="1" applyAlignment="1" applyProtection="1">
      <alignment horizontal="center" vertical="center"/>
      <protection hidden="1"/>
    </xf>
    <xf numFmtId="0" fontId="16" fillId="14" borderId="61" xfId="0" applyFont="1" applyFill="1" applyBorder="1" applyAlignment="1" applyProtection="1">
      <alignment horizontal="center" vertical="center"/>
      <protection hidden="1"/>
    </xf>
    <xf numFmtId="0" fontId="16" fillId="14" borderId="62" xfId="0" applyFont="1" applyFill="1" applyBorder="1" applyAlignment="1" applyProtection="1">
      <alignment horizontal="center" vertical="center"/>
      <protection hidden="1"/>
    </xf>
    <xf numFmtId="0" fontId="16" fillId="22" borderId="60" xfId="0" applyFont="1" applyFill="1" applyBorder="1" applyAlignment="1" applyProtection="1">
      <alignment horizontal="center" vertical="center"/>
      <protection hidden="1"/>
    </xf>
    <xf numFmtId="0" fontId="16" fillId="22" borderId="61" xfId="0" applyFont="1" applyFill="1" applyBorder="1" applyAlignment="1" applyProtection="1">
      <alignment horizontal="center" vertical="center"/>
      <protection hidden="1"/>
    </xf>
    <xf numFmtId="0" fontId="16" fillId="22" borderId="62" xfId="0" applyFont="1" applyFill="1" applyBorder="1" applyAlignment="1" applyProtection="1">
      <alignment horizontal="center" vertical="center"/>
      <protection hidden="1"/>
    </xf>
    <xf numFmtId="0" fontId="16" fillId="22" borderId="31" xfId="0" applyFont="1" applyFill="1" applyBorder="1" applyAlignment="1" applyProtection="1">
      <alignment horizontal="center" vertical="center"/>
      <protection hidden="1"/>
    </xf>
    <xf numFmtId="0" fontId="16" fillId="14" borderId="31" xfId="0" applyFont="1" applyFill="1" applyBorder="1" applyAlignment="1" applyProtection="1">
      <alignment horizontal="center" vertical="center"/>
      <protection hidden="1"/>
    </xf>
    <xf numFmtId="0" fontId="0" fillId="4" borderId="0" xfId="0" applyFill="1" applyAlignment="1" applyProtection="1">
      <alignment horizontal="center"/>
    </xf>
    <xf numFmtId="0" fontId="43" fillId="0" borderId="63" xfId="0" applyFont="1" applyFill="1" applyBorder="1" applyAlignment="1" applyProtection="1">
      <alignment horizontal="left" vertical="center"/>
      <protection locked="0"/>
    </xf>
    <xf numFmtId="49" fontId="43" fillId="0" borderId="26" xfId="0" applyNumberFormat="1" applyFont="1" applyFill="1" applyBorder="1" applyAlignment="1" applyProtection="1">
      <alignment horizontal="center" vertical="center"/>
      <protection locked="0"/>
    </xf>
    <xf numFmtId="0" fontId="43" fillId="0" borderId="9" xfId="0" applyFont="1" applyFill="1" applyBorder="1" applyAlignment="1" applyProtection="1">
      <alignment horizontal="left" vertical="center"/>
      <protection locked="0"/>
    </xf>
    <xf numFmtId="0" fontId="43" fillId="0" borderId="77" xfId="0" applyFont="1" applyFill="1" applyBorder="1" applyAlignment="1" applyProtection="1">
      <alignment horizontal="left" vertical="center"/>
      <protection locked="0"/>
    </xf>
    <xf numFmtId="49" fontId="95" fillId="0" borderId="10" xfId="0" applyNumberFormat="1" applyFont="1" applyFill="1" applyBorder="1" applyAlignment="1" applyProtection="1">
      <alignment horizontal="left" vertical="center"/>
      <protection locked="0"/>
    </xf>
    <xf numFmtId="0" fontId="0" fillId="4" borderId="0" xfId="0" applyFill="1" applyAlignment="1" applyProtection="1">
      <alignment horizontal="left"/>
      <protection hidden="1"/>
    </xf>
    <xf numFmtId="0" fontId="41" fillId="4" borderId="0" xfId="0" applyFont="1" applyFill="1" applyAlignment="1" applyProtection="1">
      <alignment horizontal="center"/>
      <protection hidden="1"/>
    </xf>
    <xf numFmtId="0" fontId="27" fillId="0" borderId="0" xfId="0" applyFont="1" applyFill="1" applyAlignment="1" applyProtection="1">
      <alignment horizontal="left" vertical="center"/>
      <protection hidden="1"/>
    </xf>
    <xf numFmtId="0" fontId="0" fillId="0" borderId="0" xfId="0" applyFill="1" applyAlignment="1" applyProtection="1">
      <alignment horizontal="left"/>
      <protection hidden="1"/>
    </xf>
    <xf numFmtId="0" fontId="41" fillId="0" borderId="0" xfId="0" applyFont="1" applyFill="1" applyAlignment="1" applyProtection="1">
      <alignment horizontal="left"/>
      <protection hidden="1"/>
    </xf>
    <xf numFmtId="0" fontId="0" fillId="0" borderId="0" xfId="0" applyFill="1" applyProtection="1">
      <protection hidden="1"/>
    </xf>
    <xf numFmtId="0" fontId="117" fillId="0" borderId="10" xfId="0" applyFont="1" applyFill="1" applyBorder="1" applyAlignment="1" applyProtection="1">
      <alignment horizontal="left" vertical="center"/>
      <protection hidden="1"/>
    </xf>
    <xf numFmtId="0" fontId="0" fillId="0" borderId="10" xfId="0" applyFill="1" applyBorder="1" applyAlignment="1" applyProtection="1">
      <alignment horizontal="left"/>
      <protection hidden="1"/>
    </xf>
    <xf numFmtId="0" fontId="41" fillId="0" borderId="10" xfId="0" applyFont="1" applyFill="1" applyBorder="1" applyAlignment="1" applyProtection="1">
      <alignment horizontal="left"/>
      <protection hidden="1"/>
    </xf>
    <xf numFmtId="0" fontId="0" fillId="0" borderId="10" xfId="0" applyFill="1" applyBorder="1" applyProtection="1">
      <protection hidden="1"/>
    </xf>
    <xf numFmtId="0" fontId="80" fillId="0" borderId="0" xfId="0" applyFont="1" applyFill="1" applyAlignment="1" applyProtection="1">
      <alignment horizontal="left" vertical="center"/>
      <protection hidden="1"/>
    </xf>
    <xf numFmtId="0" fontId="0" fillId="0" borderId="0" xfId="0" applyFill="1" applyAlignment="1" applyProtection="1">
      <alignment horizontal="center"/>
      <protection hidden="1"/>
    </xf>
    <xf numFmtId="0" fontId="41" fillId="0" borderId="0" xfId="0" applyFont="1" applyFill="1" applyAlignment="1" applyProtection="1">
      <alignment horizontal="center"/>
      <protection hidden="1"/>
    </xf>
    <xf numFmtId="0" fontId="0" fillId="10" borderId="60" xfId="0" applyFill="1" applyBorder="1" applyProtection="1">
      <protection hidden="1"/>
    </xf>
    <xf numFmtId="0" fontId="0" fillId="10" borderId="61" xfId="0" applyFill="1" applyBorder="1" applyAlignment="1" applyProtection="1">
      <alignment horizontal="left"/>
      <protection hidden="1"/>
    </xf>
    <xf numFmtId="0" fontId="0" fillId="10" borderId="62" xfId="0" applyFill="1" applyBorder="1" applyAlignment="1" applyProtection="1">
      <alignment horizontal="center"/>
      <protection hidden="1"/>
    </xf>
    <xf numFmtId="0" fontId="41" fillId="0" borderId="38" xfId="0" applyFont="1" applyFill="1" applyBorder="1" applyAlignment="1" applyProtection="1">
      <alignment horizontal="center"/>
      <protection hidden="1"/>
    </xf>
    <xf numFmtId="0" fontId="41" fillId="0" borderId="6" xfId="0" applyFont="1" applyFill="1" applyBorder="1" applyAlignment="1" applyProtection="1">
      <alignment horizontal="center"/>
      <protection hidden="1"/>
    </xf>
    <xf numFmtId="0" fontId="41" fillId="0" borderId="10" xfId="0" applyFont="1" applyFill="1" applyBorder="1" applyAlignment="1" applyProtection="1">
      <alignment horizontal="center"/>
      <protection hidden="1"/>
    </xf>
    <xf numFmtId="0" fontId="16" fillId="22" borderId="175" xfId="0" applyFont="1" applyFill="1" applyBorder="1" applyAlignment="1" applyProtection="1">
      <alignment horizontal="center"/>
      <protection hidden="1"/>
    </xf>
    <xf numFmtId="0" fontId="16" fillId="22" borderId="97" xfId="0" applyFont="1" applyFill="1" applyBorder="1" applyAlignment="1" applyProtection="1">
      <alignment horizontal="center"/>
      <protection hidden="1"/>
    </xf>
    <xf numFmtId="0" fontId="0" fillId="0" borderId="44" xfId="0" applyFill="1" applyBorder="1" applyAlignment="1" applyProtection="1">
      <alignment horizontal="center"/>
      <protection hidden="1"/>
    </xf>
    <xf numFmtId="0" fontId="0" fillId="0" borderId="74" xfId="0" applyFill="1" applyBorder="1" applyAlignment="1" applyProtection="1">
      <alignment horizontal="left"/>
      <protection hidden="1"/>
    </xf>
    <xf numFmtId="0" fontId="0" fillId="4" borderId="45" xfId="0" applyFill="1" applyBorder="1" applyAlignment="1" applyProtection="1">
      <alignment horizontal="center"/>
      <protection hidden="1"/>
    </xf>
    <xf numFmtId="0" fontId="118" fillId="4" borderId="6" xfId="0" applyFont="1" applyFill="1" applyBorder="1" applyAlignment="1" applyProtection="1">
      <alignment horizontal="center"/>
      <protection hidden="1"/>
    </xf>
    <xf numFmtId="0" fontId="118" fillId="4" borderId="5" xfId="0" applyFont="1" applyFill="1" applyBorder="1" applyAlignment="1" applyProtection="1">
      <alignment horizontal="center"/>
      <protection hidden="1"/>
    </xf>
    <xf numFmtId="0" fontId="0" fillId="4" borderId="30" xfId="0" applyFill="1" applyBorder="1" applyAlignment="1" applyProtection="1">
      <alignment horizontal="center"/>
      <protection hidden="1"/>
    </xf>
    <xf numFmtId="0" fontId="0" fillId="4" borderId="27" xfId="0" applyFill="1" applyBorder="1" applyAlignment="1" applyProtection="1">
      <alignment horizontal="center"/>
      <protection hidden="1"/>
    </xf>
    <xf numFmtId="0" fontId="0" fillId="0" borderId="19" xfId="0" applyFill="1" applyBorder="1" applyAlignment="1" applyProtection="1">
      <alignment horizontal="center"/>
      <protection hidden="1"/>
    </xf>
    <xf numFmtId="0" fontId="0" fillId="0" borderId="1" xfId="0" applyFill="1" applyBorder="1" applyAlignment="1" applyProtection="1">
      <alignment horizontal="left"/>
      <protection hidden="1"/>
    </xf>
    <xf numFmtId="0" fontId="0" fillId="4" borderId="14" xfId="0" applyFill="1" applyBorder="1" applyAlignment="1" applyProtection="1">
      <alignment horizontal="center"/>
      <protection hidden="1"/>
    </xf>
    <xf numFmtId="0" fontId="0" fillId="4" borderId="19" xfId="0" applyFill="1" applyBorder="1" applyAlignment="1" applyProtection="1">
      <alignment horizontal="center"/>
      <protection hidden="1"/>
    </xf>
    <xf numFmtId="0" fontId="0" fillId="0" borderId="91" xfId="0" applyFill="1" applyBorder="1" applyAlignment="1" applyProtection="1">
      <alignment horizontal="center"/>
      <protection hidden="1"/>
    </xf>
    <xf numFmtId="0" fontId="0" fillId="0" borderId="76" xfId="0" applyFill="1" applyBorder="1" applyAlignment="1" applyProtection="1">
      <alignment horizontal="left"/>
      <protection hidden="1"/>
    </xf>
    <xf numFmtId="0" fontId="0" fillId="4" borderId="94" xfId="0" applyFill="1" applyBorder="1" applyAlignment="1" applyProtection="1">
      <alignment horizontal="center"/>
      <protection hidden="1"/>
    </xf>
    <xf numFmtId="0" fontId="118" fillId="4" borderId="95" xfId="0" applyFont="1" applyFill="1" applyBorder="1" applyAlignment="1" applyProtection="1">
      <alignment horizontal="center"/>
      <protection hidden="1"/>
    </xf>
    <xf numFmtId="0" fontId="118" fillId="4" borderId="11" xfId="0" applyFont="1" applyFill="1" applyBorder="1" applyAlignment="1" applyProtection="1">
      <alignment horizontal="center"/>
      <protection hidden="1"/>
    </xf>
    <xf numFmtId="0" fontId="0" fillId="4" borderId="91" xfId="0" applyFill="1" applyBorder="1" applyAlignment="1" applyProtection="1">
      <alignment horizontal="center"/>
      <protection hidden="1"/>
    </xf>
    <xf numFmtId="0" fontId="0" fillId="22" borderId="100" xfId="0" applyFill="1" applyBorder="1" applyAlignment="1" applyProtection="1">
      <protection hidden="1"/>
    </xf>
    <xf numFmtId="0" fontId="0" fillId="22" borderId="29" xfId="0" applyFill="1" applyBorder="1" applyAlignment="1" applyProtection="1">
      <protection hidden="1"/>
    </xf>
    <xf numFmtId="1" fontId="41" fillId="4" borderId="0" xfId="0" applyNumberFormat="1" applyFont="1" applyFill="1" applyProtection="1">
      <protection hidden="1"/>
    </xf>
    <xf numFmtId="0" fontId="41" fillId="4" borderId="0" xfId="0" applyFont="1" applyFill="1" applyProtection="1">
      <protection hidden="1"/>
    </xf>
    <xf numFmtId="0" fontId="0" fillId="22" borderId="62" xfId="0" applyFill="1" applyBorder="1" applyAlignment="1" applyProtection="1">
      <alignment horizontal="center"/>
      <protection hidden="1"/>
    </xf>
    <xf numFmtId="0" fontId="0" fillId="4" borderId="0" xfId="0" applyFill="1" applyAlignment="1" applyProtection="1">
      <alignment horizontal="center"/>
    </xf>
    <xf numFmtId="0" fontId="0" fillId="0" borderId="1" xfId="0" applyBorder="1" applyAlignment="1">
      <alignment horizontal="center"/>
    </xf>
    <xf numFmtId="0" fontId="102" fillId="24" borderId="60" xfId="0" applyFont="1" applyFill="1" applyBorder="1" applyAlignment="1" applyProtection="1">
      <alignment horizontal="center" vertical="center"/>
      <protection hidden="1"/>
    </xf>
    <xf numFmtId="0" fontId="102" fillId="24" borderId="62" xfId="0" applyFont="1" applyFill="1" applyBorder="1" applyAlignment="1" applyProtection="1">
      <alignment horizontal="center" vertical="center"/>
      <protection hidden="1"/>
    </xf>
    <xf numFmtId="0" fontId="102" fillId="24" borderId="29" xfId="0" applyFont="1" applyFill="1" applyBorder="1" applyAlignment="1" applyProtection="1">
      <alignment horizontal="center" vertical="center"/>
      <protection hidden="1"/>
    </xf>
    <xf numFmtId="0" fontId="102" fillId="24" borderId="87" xfId="0" applyFont="1" applyFill="1" applyBorder="1" applyAlignment="1" applyProtection="1">
      <alignment horizontal="center" vertical="center"/>
      <protection hidden="1"/>
    </xf>
    <xf numFmtId="0" fontId="102" fillId="24" borderId="31" xfId="0" applyFont="1" applyFill="1" applyBorder="1" applyAlignment="1" applyProtection="1">
      <alignment horizontal="center" vertical="center"/>
      <protection hidden="1"/>
    </xf>
    <xf numFmtId="0" fontId="102" fillId="24" borderId="43" xfId="0" applyFont="1" applyFill="1" applyBorder="1" applyAlignment="1" applyProtection="1">
      <alignment horizontal="center" vertical="center"/>
      <protection hidden="1"/>
    </xf>
    <xf numFmtId="0" fontId="102" fillId="11" borderId="43" xfId="0" applyFont="1" applyFill="1" applyBorder="1" applyAlignment="1" applyProtection="1">
      <alignment horizontal="center" vertical="center"/>
      <protection hidden="1"/>
    </xf>
    <xf numFmtId="0" fontId="43" fillId="4" borderId="0" xfId="0" applyFont="1" applyFill="1" applyProtection="1">
      <protection hidden="1"/>
    </xf>
    <xf numFmtId="1" fontId="110" fillId="0" borderId="34" xfId="0" applyNumberFormat="1" applyFont="1" applyFill="1" applyBorder="1" applyAlignment="1" applyProtection="1">
      <alignment horizontal="center" vertical="center"/>
      <protection hidden="1"/>
    </xf>
    <xf numFmtId="1" fontId="110" fillId="0" borderId="35" xfId="0" applyNumberFormat="1" applyFont="1" applyFill="1" applyBorder="1" applyAlignment="1" applyProtection="1">
      <alignment horizontal="center" vertical="center"/>
      <protection hidden="1"/>
    </xf>
    <xf numFmtId="1" fontId="110" fillId="0" borderId="64" xfId="0" applyNumberFormat="1" applyFont="1" applyFill="1" applyBorder="1" applyAlignment="1" applyProtection="1">
      <alignment horizontal="center" vertical="center"/>
      <protection hidden="1"/>
    </xf>
    <xf numFmtId="1" fontId="110" fillId="0" borderId="65" xfId="0" applyNumberFormat="1" applyFont="1" applyFill="1" applyBorder="1" applyAlignment="1" applyProtection="1">
      <alignment horizontal="center" vertical="center"/>
      <protection hidden="1"/>
    </xf>
    <xf numFmtId="49" fontId="43" fillId="0" borderId="1" xfId="0" applyNumberFormat="1" applyFont="1" applyFill="1" applyBorder="1" applyAlignment="1" applyProtection="1">
      <alignment horizontal="center" vertical="center"/>
      <protection locked="0"/>
    </xf>
    <xf numFmtId="1" fontId="110" fillId="0" borderId="85" xfId="0" applyNumberFormat="1" applyFont="1" applyFill="1" applyBorder="1" applyAlignment="1" applyProtection="1">
      <alignment horizontal="center" vertical="center"/>
      <protection hidden="1"/>
    </xf>
    <xf numFmtId="1" fontId="110" fillId="0" borderId="174" xfId="0" applyNumberFormat="1" applyFont="1" applyFill="1" applyBorder="1" applyAlignment="1" applyProtection="1">
      <alignment horizontal="center" vertical="center"/>
      <protection hidden="1"/>
    </xf>
    <xf numFmtId="0" fontId="123" fillId="4" borderId="0" xfId="0" applyFont="1" applyFill="1" applyBorder="1" applyAlignment="1" applyProtection="1">
      <alignment horizontal="center" vertical="center"/>
      <protection hidden="1"/>
    </xf>
    <xf numFmtId="0" fontId="37" fillId="0" borderId="14" xfId="0" quotePrefix="1" applyFont="1" applyFill="1" applyBorder="1" applyAlignment="1" applyProtection="1">
      <alignment horizontal="left" vertical="center" indent="1"/>
    </xf>
    <xf numFmtId="0" fontId="0" fillId="0" borderId="14" xfId="0" applyNumberFormat="1" applyBorder="1" applyProtection="1">
      <protection locked="0"/>
    </xf>
    <xf numFmtId="0" fontId="43" fillId="0" borderId="14" xfId="0" applyNumberFormat="1" applyFont="1" applyFill="1" applyBorder="1" applyAlignment="1" applyProtection="1">
      <alignment horizontal="left" vertical="center" indent="1"/>
      <protection locked="0"/>
    </xf>
    <xf numFmtId="0" fontId="43" fillId="0" borderId="26" xfId="0" applyNumberFormat="1" applyFont="1" applyFill="1" applyBorder="1" applyAlignment="1" applyProtection="1">
      <alignment horizontal="left" vertical="center" indent="1"/>
      <protection locked="0"/>
    </xf>
    <xf numFmtId="1" fontId="110" fillId="0" borderId="176" xfId="0" applyNumberFormat="1" applyFont="1" applyFill="1" applyBorder="1" applyAlignment="1" applyProtection="1">
      <alignment horizontal="center" vertical="center"/>
      <protection hidden="1"/>
    </xf>
    <xf numFmtId="1" fontId="110" fillId="0" borderId="177" xfId="0" applyNumberFormat="1" applyFont="1" applyFill="1" applyBorder="1" applyAlignment="1" applyProtection="1">
      <alignment horizontal="center" vertical="center"/>
      <protection hidden="1"/>
    </xf>
    <xf numFmtId="1" fontId="110" fillId="0" borderId="178" xfId="0" applyNumberFormat="1" applyFont="1" applyFill="1" applyBorder="1" applyAlignment="1" applyProtection="1">
      <alignment horizontal="center" vertical="center"/>
      <protection hidden="1"/>
    </xf>
    <xf numFmtId="1" fontId="110" fillId="0" borderId="86" xfId="0" applyNumberFormat="1" applyFont="1" applyFill="1" applyBorder="1" applyAlignment="1" applyProtection="1">
      <alignment horizontal="center" vertical="center"/>
      <protection hidden="1"/>
    </xf>
    <xf numFmtId="1" fontId="110" fillId="0" borderId="179" xfId="0" applyNumberFormat="1" applyFont="1" applyFill="1" applyBorder="1" applyAlignment="1" applyProtection="1">
      <alignment horizontal="center" vertical="center"/>
      <protection hidden="1"/>
    </xf>
    <xf numFmtId="1" fontId="110" fillId="0" borderId="84" xfId="0" applyNumberFormat="1" applyFont="1" applyFill="1" applyBorder="1" applyAlignment="1" applyProtection="1">
      <alignment horizontal="center" vertical="center"/>
      <protection hidden="1"/>
    </xf>
    <xf numFmtId="1" fontId="110" fillId="0" borderId="151" xfId="0" applyNumberFormat="1" applyFont="1" applyFill="1" applyBorder="1" applyAlignment="1" applyProtection="1">
      <alignment horizontal="center" vertical="center"/>
      <protection hidden="1"/>
    </xf>
    <xf numFmtId="1" fontId="110" fillId="0" borderId="180" xfId="0" applyNumberFormat="1" applyFont="1" applyFill="1" applyBorder="1" applyAlignment="1" applyProtection="1">
      <alignment horizontal="center" vertical="center"/>
      <protection hidden="1"/>
    </xf>
    <xf numFmtId="1" fontId="110" fillId="0" borderId="181" xfId="0" applyNumberFormat="1" applyFont="1" applyFill="1" applyBorder="1" applyAlignment="1" applyProtection="1">
      <alignment horizontal="center" vertical="center"/>
      <protection hidden="1"/>
    </xf>
    <xf numFmtId="1" fontId="110" fillId="0" borderId="182" xfId="0" applyNumberFormat="1" applyFont="1" applyFill="1" applyBorder="1" applyAlignment="1" applyProtection="1">
      <alignment horizontal="center" vertical="center"/>
      <protection hidden="1"/>
    </xf>
    <xf numFmtId="1" fontId="110" fillId="0" borderId="183" xfId="0" applyNumberFormat="1" applyFont="1" applyFill="1" applyBorder="1" applyAlignment="1" applyProtection="1">
      <alignment horizontal="center" vertical="center"/>
      <protection hidden="1"/>
    </xf>
    <xf numFmtId="1" fontId="110" fillId="0" borderId="184" xfId="0" applyNumberFormat="1" applyFont="1" applyFill="1" applyBorder="1" applyAlignment="1" applyProtection="1">
      <alignment horizontal="center" vertical="center"/>
      <protection hidden="1"/>
    </xf>
    <xf numFmtId="0" fontId="10" fillId="17" borderId="22" xfId="0" applyFont="1" applyFill="1" applyBorder="1" applyAlignment="1" applyProtection="1">
      <alignment horizontal="center" vertical="center"/>
      <protection hidden="1"/>
    </xf>
    <xf numFmtId="0" fontId="10" fillId="17" borderId="172" xfId="0" applyFont="1" applyFill="1" applyBorder="1" applyAlignment="1" applyProtection="1">
      <alignment horizontal="center" vertical="center"/>
      <protection hidden="1"/>
    </xf>
    <xf numFmtId="1" fontId="110" fillId="0" borderId="185" xfId="0" applyNumberFormat="1" applyFont="1" applyFill="1" applyBorder="1" applyAlignment="1" applyProtection="1">
      <alignment horizontal="center" vertical="center"/>
      <protection hidden="1"/>
    </xf>
    <xf numFmtId="1" fontId="110" fillId="0" borderId="186" xfId="0" applyNumberFormat="1" applyFont="1" applyFill="1" applyBorder="1" applyAlignment="1" applyProtection="1">
      <alignment horizontal="center" vertical="center"/>
      <protection hidden="1"/>
    </xf>
    <xf numFmtId="1" fontId="110" fillId="0" borderId="187" xfId="0" applyNumberFormat="1" applyFont="1" applyFill="1" applyBorder="1" applyAlignment="1" applyProtection="1">
      <alignment horizontal="center" vertical="center"/>
      <protection hidden="1"/>
    </xf>
    <xf numFmtId="0" fontId="9" fillId="4" borderId="0" xfId="0" applyFont="1" applyFill="1" applyAlignment="1">
      <alignment horizontal="center"/>
    </xf>
    <xf numFmtId="0" fontId="7" fillId="4" borderId="0" xfId="0" applyFont="1" applyFill="1" applyBorder="1" applyAlignment="1" applyProtection="1">
      <alignment horizontal="center" vertical="center" wrapText="1"/>
    </xf>
    <xf numFmtId="0" fontId="6" fillId="4" borderId="0" xfId="0" applyFont="1" applyFill="1" applyBorder="1" applyAlignment="1" applyProtection="1">
      <alignment horizontal="center"/>
      <protection locked="0"/>
    </xf>
    <xf numFmtId="0" fontId="124" fillId="4" borderId="0" xfId="0" applyFont="1" applyFill="1" applyAlignment="1">
      <alignment horizontal="center"/>
    </xf>
    <xf numFmtId="0" fontId="124" fillId="4" borderId="0" xfId="0" applyFont="1" applyFill="1" applyBorder="1" applyAlignment="1">
      <alignment vertical="center"/>
    </xf>
    <xf numFmtId="0" fontId="7" fillId="3" borderId="66" xfId="0" applyFont="1" applyFill="1" applyBorder="1" applyAlignment="1" applyProtection="1">
      <alignment horizontal="center" vertical="center"/>
    </xf>
    <xf numFmtId="0" fontId="7" fillId="3" borderId="66" xfId="0" applyFont="1" applyFill="1" applyBorder="1" applyAlignment="1" applyProtection="1">
      <alignment horizontal="center" vertical="center" wrapText="1"/>
    </xf>
    <xf numFmtId="0" fontId="7" fillId="7" borderId="92" xfId="0" applyFont="1" applyFill="1" applyBorder="1" applyAlignment="1" applyProtection="1">
      <alignment horizontal="center" vertical="center" wrapText="1"/>
    </xf>
    <xf numFmtId="0" fontId="87" fillId="0" borderId="0" xfId="0" applyFont="1" applyFill="1" applyAlignment="1" applyProtection="1"/>
    <xf numFmtId="0" fontId="0" fillId="4" borderId="0" xfId="0" applyFill="1" applyAlignment="1" applyProtection="1">
      <alignment horizontal="center"/>
    </xf>
    <xf numFmtId="0" fontId="0" fillId="0" borderId="0" xfId="0"/>
    <xf numFmtId="0" fontId="0" fillId="0" borderId="1" xfId="0" applyBorder="1" applyAlignment="1">
      <alignment horizontal="center"/>
    </xf>
    <xf numFmtId="0" fontId="37" fillId="0" borderId="26" xfId="0" applyFont="1" applyFill="1" applyBorder="1" applyAlignment="1" applyProtection="1">
      <alignment horizontal="left" vertical="center" indent="1"/>
    </xf>
    <xf numFmtId="0" fontId="110" fillId="17" borderId="26" xfId="0" applyFont="1" applyFill="1" applyBorder="1" applyAlignment="1" applyProtection="1">
      <alignment horizontal="left" vertical="center" indent="1"/>
      <protection hidden="1"/>
    </xf>
    <xf numFmtId="49" fontId="110" fillId="0" borderId="1" xfId="0" applyNumberFormat="1" applyFont="1" applyFill="1" applyBorder="1" applyAlignment="1" applyProtection="1">
      <alignment horizontal="center" vertical="center"/>
      <protection locked="0"/>
    </xf>
    <xf numFmtId="49" fontId="110" fillId="0" borderId="1" xfId="0" applyNumberFormat="1" applyFont="1" applyFill="1" applyBorder="1" applyAlignment="1" applyProtection="1">
      <alignment horizontal="center"/>
      <protection locked="0"/>
    </xf>
    <xf numFmtId="49" fontId="110" fillId="0" borderId="40" xfId="0" applyNumberFormat="1" applyFont="1" applyFill="1" applyBorder="1" applyAlignment="1" applyProtection="1">
      <alignment horizontal="center"/>
      <protection locked="0"/>
    </xf>
    <xf numFmtId="49" fontId="110" fillId="0" borderId="14" xfId="0" applyNumberFormat="1" applyFont="1" applyFill="1" applyBorder="1" applyAlignment="1" applyProtection="1">
      <alignment horizontal="center" vertical="center"/>
      <protection locked="0"/>
    </xf>
    <xf numFmtId="49" fontId="110" fillId="0" borderId="14" xfId="0" applyNumberFormat="1" applyFont="1" applyFill="1" applyBorder="1" applyAlignment="1" applyProtection="1">
      <alignment horizontal="center"/>
      <protection locked="0"/>
    </xf>
    <xf numFmtId="49" fontId="110" fillId="0" borderId="26" xfId="0" applyNumberFormat="1" applyFont="1" applyFill="1" applyBorder="1" applyAlignment="1" applyProtection="1">
      <alignment horizontal="center"/>
      <protection locked="0"/>
    </xf>
    <xf numFmtId="49" fontId="116" fillId="0" borderId="36" xfId="0" applyNumberFormat="1" applyFont="1" applyFill="1" applyBorder="1" applyAlignment="1" applyProtection="1">
      <alignment horizontal="left" vertical="center"/>
      <protection locked="0"/>
    </xf>
    <xf numFmtId="0" fontId="43" fillId="0" borderId="5" xfId="0" applyFont="1" applyFill="1" applyBorder="1" applyAlignment="1" applyProtection="1">
      <alignment horizontal="left" vertical="center"/>
      <protection locked="0"/>
    </xf>
    <xf numFmtId="0" fontId="43" fillId="0" borderId="41" xfId="0" applyFont="1" applyFill="1" applyBorder="1" applyAlignment="1" applyProtection="1">
      <alignment horizontal="left" vertical="center"/>
      <protection locked="0"/>
    </xf>
    <xf numFmtId="0" fontId="43" fillId="0" borderId="19" xfId="0" applyFont="1" applyFill="1" applyBorder="1" applyAlignment="1" applyProtection="1">
      <alignment horizontal="center" vertical="center"/>
      <protection locked="0"/>
    </xf>
    <xf numFmtId="49" fontId="116" fillId="0" borderId="14" xfId="0" applyNumberFormat="1" applyFont="1" applyFill="1" applyBorder="1" applyAlignment="1" applyProtection="1">
      <alignment horizontal="center" vertical="center"/>
      <protection locked="0"/>
    </xf>
    <xf numFmtId="49" fontId="116" fillId="0" borderId="27" xfId="0" applyNumberFormat="1" applyFont="1" applyFill="1" applyBorder="1" applyAlignment="1" applyProtection="1">
      <alignment horizontal="center" vertical="center"/>
      <protection locked="0"/>
    </xf>
    <xf numFmtId="49" fontId="43" fillId="0" borderId="14" xfId="0" applyNumberFormat="1" applyFont="1" applyFill="1" applyBorder="1" applyAlignment="1" applyProtection="1">
      <alignment horizontal="center" vertical="center"/>
      <protection locked="0"/>
    </xf>
    <xf numFmtId="0" fontId="43" fillId="0" borderId="39" xfId="0" applyFont="1" applyFill="1" applyBorder="1" applyAlignment="1" applyProtection="1">
      <alignment horizontal="center" vertical="center"/>
      <protection locked="0"/>
    </xf>
    <xf numFmtId="49" fontId="43" fillId="0" borderId="1" xfId="0" applyNumberFormat="1" applyFont="1" applyFill="1" applyBorder="1" applyAlignment="1" applyProtection="1">
      <alignment horizontal="left" vertical="center" indent="1"/>
      <protection locked="0"/>
    </xf>
    <xf numFmtId="49" fontId="43" fillId="0" borderId="40" xfId="0" applyNumberFormat="1" applyFont="1" applyFill="1" applyBorder="1" applyAlignment="1" applyProtection="1">
      <alignment horizontal="left" vertical="center" indent="1"/>
      <protection locked="0"/>
    </xf>
    <xf numFmtId="49" fontId="43" fillId="0" borderId="14" xfId="0" applyNumberFormat="1" applyFont="1" applyFill="1" applyBorder="1" applyAlignment="1" applyProtection="1">
      <alignment horizontal="left" vertical="center" indent="1"/>
      <protection locked="0"/>
    </xf>
    <xf numFmtId="49" fontId="43" fillId="0" borderId="26" xfId="0" applyNumberFormat="1" applyFont="1" applyFill="1" applyBorder="1" applyAlignment="1" applyProtection="1">
      <alignment horizontal="left" vertical="center" indent="1"/>
      <protection locked="0"/>
    </xf>
    <xf numFmtId="0" fontId="23" fillId="0" borderId="78" xfId="0" applyFont="1" applyFill="1" applyBorder="1" applyAlignment="1" applyProtection="1">
      <alignment horizontal="center" vertical="center"/>
      <protection locked="0"/>
    </xf>
    <xf numFmtId="0" fontId="23" fillId="0" borderId="86" xfId="0" applyFont="1" applyFill="1" applyBorder="1" applyAlignment="1" applyProtection="1">
      <alignment horizontal="left" vertical="center"/>
      <protection locked="0"/>
    </xf>
    <xf numFmtId="0" fontId="23" fillId="0" borderId="83" xfId="0" applyFont="1" applyFill="1" applyBorder="1" applyAlignment="1" applyProtection="1">
      <alignment horizontal="center" vertical="center"/>
      <protection locked="0"/>
    </xf>
    <xf numFmtId="0" fontId="23" fillId="0" borderId="64" xfId="0" applyFont="1" applyFill="1" applyBorder="1" applyAlignment="1" applyProtection="1">
      <alignment horizontal="center" vertical="center"/>
      <protection locked="0"/>
    </xf>
    <xf numFmtId="0" fontId="23" fillId="0" borderId="84" xfId="0" applyFont="1" applyFill="1" applyBorder="1" applyAlignment="1" applyProtection="1">
      <alignment horizontal="center" vertical="center"/>
      <protection locked="0"/>
    </xf>
    <xf numFmtId="0" fontId="0" fillId="0" borderId="26" xfId="0" applyBorder="1"/>
    <xf numFmtId="0" fontId="0" fillId="4" borderId="0" xfId="0" applyFill="1" applyProtection="1">
      <protection locked="0" hidden="1"/>
    </xf>
    <xf numFmtId="0" fontId="0" fillId="4" borderId="0" xfId="0" applyFont="1" applyFill="1" applyProtection="1">
      <protection hidden="1"/>
    </xf>
    <xf numFmtId="0" fontId="65" fillId="4" borderId="0" xfId="0" applyFont="1" applyFill="1" applyAlignment="1" applyProtection="1">
      <alignment horizontal="left" vertical="top"/>
      <protection hidden="1"/>
    </xf>
    <xf numFmtId="0" fontId="0" fillId="4" borderId="0" xfId="0" applyFill="1" applyAlignment="1" applyProtection="1">
      <alignment wrapText="1"/>
      <protection hidden="1"/>
    </xf>
    <xf numFmtId="0" fontId="0" fillId="0" borderId="0" xfId="0" applyFont="1" applyFill="1" applyBorder="1" applyAlignment="1" applyProtection="1">
      <protection hidden="1"/>
    </xf>
    <xf numFmtId="0" fontId="0" fillId="0" borderId="0" xfId="0" applyFill="1" applyBorder="1" applyAlignment="1" applyProtection="1">
      <protection hidden="1"/>
    </xf>
    <xf numFmtId="0" fontId="0" fillId="0" borderId="0" xfId="0" applyFont="1" applyFill="1" applyBorder="1" applyAlignment="1" applyProtection="1">
      <alignment vertical="top"/>
      <protection hidden="1"/>
    </xf>
    <xf numFmtId="0" fontId="1" fillId="0" borderId="0" xfId="0" applyFont="1" applyFill="1" applyBorder="1" applyAlignment="1" applyProtection="1">
      <protection hidden="1"/>
    </xf>
    <xf numFmtId="0" fontId="0" fillId="0" borderId="1" xfId="0" applyFont="1" applyFill="1" applyBorder="1" applyAlignment="1" applyProtection="1">
      <alignment horizontal="center"/>
      <protection hidden="1"/>
    </xf>
    <xf numFmtId="0" fontId="0" fillId="0" borderId="92" xfId="0" applyFont="1" applyFill="1" applyBorder="1" applyAlignment="1" applyProtection="1">
      <protection hidden="1"/>
    </xf>
    <xf numFmtId="0" fontId="4" fillId="0" borderId="0" xfId="0" applyFont="1" applyFill="1" applyBorder="1" applyAlignment="1" applyProtection="1">
      <protection hidden="1"/>
    </xf>
    <xf numFmtId="0" fontId="1" fillId="0" borderId="10" xfId="0" applyFont="1" applyFill="1" applyBorder="1" applyAlignment="1" applyProtection="1">
      <protection hidden="1"/>
    </xf>
    <xf numFmtId="0" fontId="0" fillId="0" borderId="10" xfId="0" applyFont="1" applyFill="1" applyBorder="1" applyAlignment="1" applyProtection="1">
      <protection hidden="1"/>
    </xf>
    <xf numFmtId="0" fontId="44" fillId="14" borderId="102" xfId="0" applyFont="1" applyFill="1" applyBorder="1" applyAlignment="1" applyProtection="1">
      <alignment horizontal="center" vertical="center"/>
      <protection hidden="1"/>
    </xf>
    <xf numFmtId="0" fontId="0" fillId="4" borderId="0" xfId="0" applyFill="1" applyAlignment="1" applyProtection="1">
      <alignment horizontal="center" vertical="center"/>
      <protection hidden="1"/>
    </xf>
    <xf numFmtId="0" fontId="43" fillId="0" borderId="0" xfId="0" applyFont="1" applyFill="1" applyBorder="1" applyAlignment="1" applyProtection="1">
      <alignment horizontal="center" vertical="center"/>
      <protection hidden="1"/>
    </xf>
    <xf numFmtId="0" fontId="43" fillId="0" borderId="0" xfId="0" applyFont="1" applyFill="1" applyBorder="1" applyAlignment="1" applyProtection="1">
      <alignment horizontal="left" vertical="center"/>
      <protection hidden="1"/>
    </xf>
    <xf numFmtId="0" fontId="43" fillId="0" borderId="0" xfId="0" applyFont="1" applyFill="1" applyBorder="1" applyAlignment="1" applyProtection="1">
      <alignment horizontal="left" vertical="top" wrapText="1"/>
      <protection hidden="1"/>
    </xf>
    <xf numFmtId="0" fontId="43" fillId="0" borderId="10" xfId="0" applyFont="1" applyFill="1" applyBorder="1" applyAlignment="1" applyProtection="1">
      <alignment horizontal="center" vertical="center"/>
      <protection hidden="1"/>
    </xf>
    <xf numFmtId="0" fontId="43" fillId="0" borderId="10" xfId="0" applyFont="1" applyFill="1" applyBorder="1" applyAlignment="1" applyProtection="1">
      <alignment horizontal="left" vertical="center"/>
      <protection hidden="1"/>
    </xf>
    <xf numFmtId="0" fontId="43" fillId="0" borderId="10" xfId="0" applyFont="1" applyFill="1" applyBorder="1" applyAlignment="1" applyProtection="1">
      <alignment horizontal="left" vertical="top" wrapText="1"/>
      <protection hidden="1"/>
    </xf>
    <xf numFmtId="0" fontId="1" fillId="14" borderId="102" xfId="0" applyFont="1" applyFill="1" applyBorder="1" applyAlignment="1" applyProtection="1">
      <alignment horizontal="center" vertical="center"/>
      <protection hidden="1"/>
    </xf>
    <xf numFmtId="0" fontId="43" fillId="0" borderId="36" xfId="0" applyFont="1" applyFill="1" applyBorder="1" applyAlignment="1" applyProtection="1">
      <alignment horizontal="center" vertical="center"/>
      <protection hidden="1"/>
    </xf>
    <xf numFmtId="0" fontId="43" fillId="0" borderId="1" xfId="0" applyFont="1" applyFill="1" applyBorder="1" applyAlignment="1" applyProtection="1">
      <alignment horizontal="center" vertical="center"/>
      <protection hidden="1"/>
    </xf>
    <xf numFmtId="0" fontId="0" fillId="0" borderId="1" xfId="0" applyFill="1" applyBorder="1" applyAlignment="1" applyProtection="1">
      <alignment horizontal="center"/>
      <protection hidden="1"/>
    </xf>
    <xf numFmtId="0" fontId="0" fillId="0" borderId="5" xfId="0" applyFont="1" applyFill="1" applyBorder="1" applyAlignment="1" applyProtection="1">
      <alignment horizontal="center" vertical="center"/>
      <protection hidden="1"/>
    </xf>
    <xf numFmtId="0" fontId="4" fillId="0" borderId="9" xfId="0" applyFont="1" applyFill="1" applyBorder="1" applyAlignment="1" applyProtection="1">
      <alignment vertical="center"/>
      <protection hidden="1"/>
    </xf>
    <xf numFmtId="0" fontId="4" fillId="0" borderId="92" xfId="0" applyFont="1" applyFill="1" applyBorder="1" applyAlignment="1" applyProtection="1">
      <alignment vertical="center"/>
      <protection hidden="1"/>
    </xf>
    <xf numFmtId="0" fontId="4" fillId="0" borderId="0" xfId="0" applyFont="1" applyFill="1" applyBorder="1" applyAlignment="1" applyProtection="1">
      <alignment vertical="center" wrapText="1"/>
      <protection hidden="1"/>
    </xf>
    <xf numFmtId="0" fontId="41" fillId="4" borderId="0" xfId="0" applyFont="1" applyFill="1" applyAlignment="1" applyProtection="1">
      <alignment horizontal="right"/>
      <protection hidden="1"/>
    </xf>
    <xf numFmtId="0" fontId="0" fillId="0" borderId="0" xfId="0" applyFont="1" applyFill="1" applyBorder="1" applyAlignment="1" applyProtection="1">
      <alignment horizontal="center"/>
      <protection hidden="1"/>
    </xf>
    <xf numFmtId="0" fontId="1" fillId="14" borderId="102" xfId="0" applyFont="1" applyFill="1" applyBorder="1" applyAlignment="1" applyProtection="1">
      <alignment horizontal="center"/>
      <protection hidden="1"/>
    </xf>
    <xf numFmtId="0" fontId="0" fillId="0" borderId="36" xfId="0" applyFont="1" applyFill="1" applyBorder="1" applyAlignment="1" applyProtection="1">
      <alignment horizontal="center"/>
      <protection hidden="1"/>
    </xf>
    <xf numFmtId="0" fontId="0" fillId="0" borderId="0" xfId="0" applyFill="1" applyBorder="1" applyAlignment="1" applyProtection="1">
      <alignment horizontal="center"/>
      <protection hidden="1"/>
    </xf>
    <xf numFmtId="0" fontId="4" fillId="0" borderId="0" xfId="0" applyFont="1" applyFill="1" applyBorder="1" applyAlignment="1" applyProtection="1">
      <alignment horizontal="center" vertical="center" wrapText="1"/>
      <protection hidden="1"/>
    </xf>
    <xf numFmtId="0" fontId="0" fillId="0" borderId="0" xfId="0" applyFont="1" applyFill="1" applyBorder="1" applyAlignment="1" applyProtection="1">
      <alignment horizontal="left" indent="1"/>
      <protection hidden="1"/>
    </xf>
    <xf numFmtId="0" fontId="0" fillId="0" borderId="0" xfId="0" applyFont="1" applyFill="1" applyBorder="1" applyAlignment="1" applyProtection="1">
      <alignment horizontal="center" vertical="center"/>
      <protection hidden="1"/>
    </xf>
    <xf numFmtId="0" fontId="4" fillId="0" borderId="0" xfId="0" applyFont="1" applyFill="1" applyBorder="1" applyAlignment="1" applyProtection="1">
      <alignment horizontal="left" vertical="center"/>
      <protection hidden="1"/>
    </xf>
    <xf numFmtId="0" fontId="4" fillId="0" borderId="0" xfId="0" applyFont="1" applyFill="1" applyBorder="1" applyAlignment="1" applyProtection="1">
      <alignment vertical="center"/>
      <protection hidden="1"/>
    </xf>
    <xf numFmtId="0" fontId="0" fillId="0" borderId="10" xfId="0" applyFont="1" applyFill="1" applyBorder="1" applyAlignment="1" applyProtection="1">
      <alignment vertical="top"/>
      <protection hidden="1"/>
    </xf>
    <xf numFmtId="0" fontId="0" fillId="0" borderId="0" xfId="0"/>
    <xf numFmtId="49" fontId="116" fillId="0" borderId="1" xfId="0" applyNumberFormat="1" applyFont="1" applyFill="1" applyBorder="1" applyAlignment="1" applyProtection="1">
      <alignment horizontal="left" vertical="center"/>
      <protection locked="0"/>
    </xf>
    <xf numFmtId="1" fontId="127" fillId="2" borderId="1" xfId="0" applyNumberFormat="1" applyFont="1" applyFill="1" applyBorder="1" applyAlignment="1" applyProtection="1">
      <alignment horizontal="center" vertical="center"/>
      <protection locked="0" hidden="1"/>
    </xf>
    <xf numFmtId="1" fontId="127" fillId="2" borderId="1" xfId="0" applyNumberFormat="1" applyFont="1" applyFill="1" applyBorder="1" applyAlignment="1" applyProtection="1">
      <alignment horizontal="center" vertical="center"/>
      <protection hidden="1"/>
    </xf>
    <xf numFmtId="0" fontId="104" fillId="12" borderId="42" xfId="0" applyFont="1" applyFill="1" applyBorder="1" applyAlignment="1">
      <alignment horizontal="right" vertical="center"/>
    </xf>
    <xf numFmtId="0" fontId="104" fillId="12" borderId="2" xfId="0" applyFont="1" applyFill="1" applyBorder="1" applyAlignment="1">
      <alignment horizontal="right" vertical="center"/>
    </xf>
    <xf numFmtId="0" fontId="104" fillId="26" borderId="153" xfId="0" applyFont="1" applyFill="1" applyBorder="1" applyAlignment="1">
      <alignment horizontal="center" vertical="center"/>
    </xf>
    <xf numFmtId="0" fontId="104" fillId="26" borderId="154" xfId="0" applyFont="1" applyFill="1" applyBorder="1" applyAlignment="1">
      <alignment horizontal="center" vertical="center"/>
    </xf>
    <xf numFmtId="0" fontId="105" fillId="0" borderId="37" xfId="0" applyFont="1" applyFill="1" applyBorder="1" applyAlignment="1">
      <alignment horizontal="center" vertical="center"/>
    </xf>
    <xf numFmtId="0" fontId="105" fillId="0" borderId="38" xfId="0" applyFont="1" applyFill="1" applyBorder="1" applyAlignment="1">
      <alignment horizontal="center" vertical="center"/>
    </xf>
    <xf numFmtId="0" fontId="105" fillId="0" borderId="21" xfId="0" applyFont="1" applyFill="1" applyBorder="1" applyAlignment="1">
      <alignment horizontal="center" vertical="center"/>
    </xf>
    <xf numFmtId="0" fontId="105" fillId="0" borderId="0" xfId="0" applyFont="1" applyFill="1" applyBorder="1" applyAlignment="1">
      <alignment horizontal="center" vertical="center"/>
    </xf>
    <xf numFmtId="0" fontId="76" fillId="12" borderId="131" xfId="0" applyFont="1" applyFill="1" applyBorder="1" applyAlignment="1">
      <alignment horizontal="center"/>
    </xf>
    <xf numFmtId="0" fontId="76" fillId="12" borderId="132" xfId="0" applyFont="1" applyFill="1" applyBorder="1" applyAlignment="1">
      <alignment horizontal="center"/>
    </xf>
    <xf numFmtId="0" fontId="76" fillId="12" borderId="133" xfId="0" applyFont="1" applyFill="1" applyBorder="1" applyAlignment="1">
      <alignment horizontal="center"/>
    </xf>
    <xf numFmtId="0" fontId="77" fillId="26" borderId="134" xfId="0" applyFont="1" applyFill="1" applyBorder="1" applyAlignment="1">
      <alignment horizontal="center" vertical="center"/>
    </xf>
    <xf numFmtId="0" fontId="77" fillId="26" borderId="135" xfId="0" applyFont="1" applyFill="1" applyBorder="1" applyAlignment="1">
      <alignment horizontal="center" vertical="center"/>
    </xf>
    <xf numFmtId="0" fontId="77" fillId="26" borderId="136" xfId="0" applyFont="1" applyFill="1" applyBorder="1" applyAlignment="1">
      <alignment horizontal="center" vertical="center"/>
    </xf>
    <xf numFmtId="0" fontId="32" fillId="11" borderId="134" xfId="0" applyFont="1" applyFill="1" applyBorder="1" applyAlignment="1">
      <alignment horizontal="center" vertical="center"/>
    </xf>
    <xf numFmtId="0" fontId="32" fillId="11" borderId="135" xfId="0" applyFont="1" applyFill="1" applyBorder="1" applyAlignment="1">
      <alignment horizontal="center" vertical="center"/>
    </xf>
    <xf numFmtId="0" fontId="32" fillId="11" borderId="136" xfId="0" applyFont="1" applyFill="1" applyBorder="1" applyAlignment="1">
      <alignment horizontal="center" vertical="center"/>
    </xf>
    <xf numFmtId="0" fontId="82" fillId="12" borderId="134" xfId="0" applyFont="1" applyFill="1" applyBorder="1" applyAlignment="1">
      <alignment horizontal="left" indent="1"/>
    </xf>
    <xf numFmtId="0" fontId="82" fillId="12" borderId="135" xfId="0" applyFont="1" applyFill="1" applyBorder="1" applyAlignment="1">
      <alignment horizontal="left" indent="1"/>
    </xf>
    <xf numFmtId="0" fontId="82" fillId="12" borderId="136" xfId="0" applyFont="1" applyFill="1" applyBorder="1" applyAlignment="1">
      <alignment horizontal="left" indent="1"/>
    </xf>
    <xf numFmtId="0" fontId="5" fillId="0" borderId="0" xfId="0" applyFont="1" applyBorder="1" applyAlignment="1">
      <alignment horizontal="center" vertical="top"/>
    </xf>
    <xf numFmtId="0" fontId="55" fillId="0" borderId="0" xfId="0" applyFont="1" applyFill="1" applyBorder="1" applyAlignment="1">
      <alignment horizontal="left"/>
    </xf>
    <xf numFmtId="0" fontId="125" fillId="0" borderId="0" xfId="0" applyFont="1" applyBorder="1" applyAlignment="1">
      <alignment horizontal="center" vertical="center"/>
    </xf>
    <xf numFmtId="0" fontId="79" fillId="0" borderId="0" xfId="0" applyFont="1" applyBorder="1" applyAlignment="1">
      <alignment horizontal="center" vertical="center"/>
    </xf>
    <xf numFmtId="0" fontId="55" fillId="0" borderId="0" xfId="0" applyFont="1" applyBorder="1" applyAlignment="1">
      <alignment horizontal="left" vertical="center"/>
    </xf>
    <xf numFmtId="0" fontId="82" fillId="12" borderId="134" xfId="0" applyFont="1" applyFill="1" applyBorder="1" applyAlignment="1" applyProtection="1">
      <alignment horizontal="left" vertical="center" indent="1"/>
    </xf>
    <xf numFmtId="0" fontId="0" fillId="0" borderId="135" xfId="0" applyBorder="1" applyAlignment="1">
      <alignment horizontal="left" indent="1"/>
    </xf>
    <xf numFmtId="0" fontId="0" fillId="0" borderId="136" xfId="0" applyBorder="1" applyAlignment="1">
      <alignment horizontal="left" indent="1"/>
    </xf>
    <xf numFmtId="0" fontId="82" fillId="12" borderId="137" xfId="0" applyFont="1" applyFill="1" applyBorder="1" applyAlignment="1">
      <alignment horizontal="left" indent="1"/>
    </xf>
    <xf numFmtId="0" fontId="0" fillId="0" borderId="138" xfId="0" applyBorder="1" applyAlignment="1">
      <alignment horizontal="left" indent="1"/>
    </xf>
    <xf numFmtId="0" fontId="0" fillId="0" borderId="139" xfId="0" applyBorder="1" applyAlignment="1">
      <alignment horizontal="left" indent="1"/>
    </xf>
    <xf numFmtId="0" fontId="48" fillId="4" borderId="0" xfId="0" applyFont="1" applyFill="1" applyAlignment="1">
      <alignment horizontal="center"/>
    </xf>
    <xf numFmtId="0" fontId="0" fillId="0" borderId="0" xfId="0" applyFill="1" applyBorder="1" applyAlignment="1" applyProtection="1">
      <alignment horizontal="left" vertical="top" wrapText="1"/>
    </xf>
    <xf numFmtId="0" fontId="43" fillId="0" borderId="0" xfId="0" applyFont="1" applyFill="1" applyBorder="1" applyAlignment="1" applyProtection="1">
      <alignment horizontal="left" vertical="top" wrapText="1"/>
    </xf>
    <xf numFmtId="0" fontId="0" fillId="0" borderId="0" xfId="0" applyFill="1" applyBorder="1" applyAlignment="1" applyProtection="1">
      <alignment horizontal="center"/>
    </xf>
    <xf numFmtId="0" fontId="0" fillId="0" borderId="0" xfId="0" applyFont="1" applyFill="1" applyBorder="1" applyAlignment="1" applyProtection="1">
      <alignment horizontal="center"/>
    </xf>
    <xf numFmtId="0" fontId="0" fillId="0" borderId="0" xfId="0" applyFill="1" applyBorder="1" applyAlignment="1" applyProtection="1">
      <alignment horizontal="left" vertical="center"/>
    </xf>
    <xf numFmtId="0" fontId="0" fillId="0" borderId="0" xfId="0" applyFont="1" applyFill="1" applyBorder="1" applyAlignment="1" applyProtection="1">
      <alignment horizontal="left" vertical="center"/>
    </xf>
    <xf numFmtId="0" fontId="68" fillId="0" borderId="0" xfId="0" applyFont="1" applyFill="1" applyBorder="1" applyAlignment="1" applyProtection="1">
      <alignment horizontal="right"/>
    </xf>
    <xf numFmtId="0" fontId="0" fillId="0" borderId="0" xfId="0" applyFill="1" applyBorder="1" applyAlignment="1" applyProtection="1">
      <alignment horizontal="left" wrapText="1"/>
    </xf>
    <xf numFmtId="0" fontId="0" fillId="0" borderId="0" xfId="0" applyFont="1" applyFill="1" applyBorder="1" applyAlignment="1" applyProtection="1">
      <alignment horizontal="left" wrapText="1"/>
    </xf>
    <xf numFmtId="0" fontId="66" fillId="2" borderId="28" xfId="0" applyFont="1" applyFill="1" applyBorder="1" applyAlignment="1" applyProtection="1">
      <alignment horizontal="center" vertical="center"/>
    </xf>
    <xf numFmtId="0" fontId="66" fillId="2" borderId="100" xfId="0" applyFont="1" applyFill="1" applyBorder="1" applyAlignment="1" applyProtection="1">
      <alignment horizontal="center" vertical="center"/>
    </xf>
    <xf numFmtId="0" fontId="66" fillId="2" borderId="29" xfId="0" applyFont="1" applyFill="1" applyBorder="1" applyAlignment="1" applyProtection="1">
      <alignment horizontal="center" vertical="center"/>
    </xf>
    <xf numFmtId="0" fontId="42" fillId="14" borderId="124" xfId="0" applyFont="1" applyFill="1" applyBorder="1" applyAlignment="1" applyProtection="1">
      <alignment horizontal="left" vertical="top" wrapText="1"/>
    </xf>
    <xf numFmtId="0" fontId="42" fillId="14" borderId="125" xfId="0" applyFont="1" applyFill="1" applyBorder="1" applyAlignment="1" applyProtection="1">
      <alignment horizontal="left" vertical="top" wrapText="1"/>
    </xf>
    <xf numFmtId="0" fontId="42" fillId="14" borderId="126" xfId="0" applyFont="1" applyFill="1" applyBorder="1" applyAlignment="1" applyProtection="1">
      <alignment horizontal="left" vertical="top" wrapText="1"/>
    </xf>
    <xf numFmtId="0" fontId="42" fillId="14" borderId="127" xfId="0" applyFont="1" applyFill="1" applyBorder="1" applyAlignment="1" applyProtection="1">
      <alignment horizontal="left" vertical="top" wrapText="1"/>
    </xf>
    <xf numFmtId="0" fontId="42" fillId="14" borderId="128" xfId="0" applyFont="1" applyFill="1" applyBorder="1" applyAlignment="1" applyProtection="1">
      <alignment horizontal="left" vertical="top" wrapText="1"/>
    </xf>
    <xf numFmtId="0" fontId="42" fillId="14" borderId="129" xfId="0" applyFont="1" applyFill="1" applyBorder="1" applyAlignment="1" applyProtection="1">
      <alignment horizontal="left" vertical="top" wrapText="1"/>
    </xf>
    <xf numFmtId="0" fontId="124" fillId="4" borderId="0" xfId="0" applyFont="1" applyFill="1" applyAlignment="1">
      <alignment horizontal="center"/>
    </xf>
    <xf numFmtId="0" fontId="12" fillId="12" borderId="37" xfId="0" applyFont="1" applyFill="1" applyBorder="1" applyAlignment="1" applyProtection="1">
      <alignment horizontal="center" vertical="center"/>
    </xf>
    <xf numFmtId="0" fontId="12" fillId="12" borderId="38" xfId="0" applyFont="1" applyFill="1" applyBorder="1" applyAlignment="1" applyProtection="1">
      <alignment horizontal="center" vertical="center"/>
    </xf>
    <xf numFmtId="0" fontId="12" fillId="12" borderId="32" xfId="0" applyFont="1" applyFill="1" applyBorder="1" applyAlignment="1" applyProtection="1">
      <alignment horizontal="center" vertical="center"/>
    </xf>
    <xf numFmtId="0" fontId="12" fillId="12" borderId="21"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2" borderId="51" xfId="0" applyFont="1" applyFill="1" applyBorder="1" applyAlignment="1" applyProtection="1">
      <alignment horizontal="center" vertical="center"/>
    </xf>
    <xf numFmtId="0" fontId="12" fillId="13" borderId="44" xfId="0" applyFont="1" applyFill="1" applyBorder="1" applyAlignment="1" applyProtection="1">
      <alignment horizontal="center" vertical="center"/>
    </xf>
    <xf numFmtId="0" fontId="12" fillId="13" borderId="90" xfId="0" applyFont="1" applyFill="1" applyBorder="1" applyAlignment="1" applyProtection="1">
      <alignment horizontal="center" vertical="center"/>
    </xf>
    <xf numFmtId="0" fontId="12" fillId="13" borderId="45" xfId="0" applyFont="1" applyFill="1" applyBorder="1" applyAlignment="1" applyProtection="1">
      <alignment horizontal="center" vertical="center"/>
    </xf>
    <xf numFmtId="0" fontId="12" fillId="13" borderId="91" xfId="0" applyFont="1" applyFill="1" applyBorder="1" applyAlignment="1" applyProtection="1">
      <alignment horizontal="center" vertical="center"/>
    </xf>
    <xf numFmtId="0" fontId="12" fillId="13" borderId="13" xfId="0" applyFont="1" applyFill="1" applyBorder="1" applyAlignment="1" applyProtection="1">
      <alignment horizontal="center" vertical="center"/>
    </xf>
    <xf numFmtId="0" fontId="12" fillId="13" borderId="26" xfId="0" applyFont="1" applyFill="1" applyBorder="1" applyAlignment="1" applyProtection="1">
      <alignment horizontal="center" vertical="center"/>
    </xf>
    <xf numFmtId="0" fontId="12" fillId="13" borderId="82" xfId="0" applyFont="1" applyFill="1" applyBorder="1" applyAlignment="1" applyProtection="1">
      <alignment horizontal="center" vertical="center"/>
    </xf>
    <xf numFmtId="0" fontId="12" fillId="13" borderId="89" xfId="0" applyFont="1" applyFill="1" applyBorder="1" applyAlignment="1" applyProtection="1">
      <alignment horizontal="center" vertical="center"/>
    </xf>
    <xf numFmtId="0" fontId="12" fillId="13" borderId="63" xfId="0" applyFont="1" applyFill="1" applyBorder="1" applyAlignment="1" applyProtection="1">
      <alignment horizontal="center" vertical="center"/>
    </xf>
    <xf numFmtId="0" fontId="12" fillId="13" borderId="77" xfId="0" applyFont="1" applyFill="1" applyBorder="1" applyAlignment="1" applyProtection="1">
      <alignment horizontal="center" vertical="center"/>
    </xf>
    <xf numFmtId="0" fontId="12" fillId="13" borderId="41" xfId="0" applyFont="1" applyFill="1" applyBorder="1" applyAlignment="1" applyProtection="1">
      <alignment horizontal="center" vertical="center"/>
    </xf>
    <xf numFmtId="0" fontId="19" fillId="9" borderId="37" xfId="0" applyFont="1" applyFill="1" applyBorder="1" applyAlignment="1" applyProtection="1">
      <alignment horizontal="center" vertical="center"/>
    </xf>
    <xf numFmtId="0" fontId="19" fillId="9" borderId="38" xfId="0" applyFont="1" applyFill="1" applyBorder="1" applyAlignment="1" applyProtection="1">
      <alignment horizontal="center" vertical="center"/>
    </xf>
    <xf numFmtId="0" fontId="19" fillId="9" borderId="32" xfId="0" applyFont="1" applyFill="1" applyBorder="1" applyAlignment="1" applyProtection="1">
      <alignment horizontal="center" vertical="center"/>
    </xf>
    <xf numFmtId="0" fontId="19" fillId="9" borderId="42" xfId="0" applyFont="1" applyFill="1" applyBorder="1" applyAlignment="1" applyProtection="1">
      <alignment horizontal="center" vertical="center"/>
    </xf>
    <xf numFmtId="0" fontId="19" fillId="9" borderId="2" xfId="0" applyFont="1" applyFill="1" applyBorder="1" applyAlignment="1" applyProtection="1">
      <alignment horizontal="center" vertical="center"/>
    </xf>
    <xf numFmtId="0" fontId="19" fillId="9" borderId="43" xfId="0" applyFont="1" applyFill="1" applyBorder="1" applyAlignment="1" applyProtection="1">
      <alignment horizontal="center" vertical="center"/>
    </xf>
    <xf numFmtId="0" fontId="32" fillId="12" borderId="1" xfId="0" applyFont="1" applyFill="1" applyBorder="1" applyAlignment="1" applyProtection="1">
      <alignment horizontal="center" vertical="center"/>
    </xf>
    <xf numFmtId="0" fontId="32" fillId="12" borderId="5" xfId="0" applyFont="1" applyFill="1" applyBorder="1" applyAlignment="1" applyProtection="1">
      <alignment horizontal="center" vertical="center"/>
    </xf>
    <xf numFmtId="0" fontId="32" fillId="9" borderId="1" xfId="0" applyFont="1" applyFill="1" applyBorder="1" applyAlignment="1" applyProtection="1">
      <alignment horizontal="center" vertical="center" wrapText="1"/>
    </xf>
    <xf numFmtId="0" fontId="32" fillId="9" borderId="76" xfId="0" applyFont="1" applyFill="1" applyBorder="1" applyAlignment="1" applyProtection="1">
      <alignment horizontal="center" vertical="center" wrapText="1"/>
    </xf>
    <xf numFmtId="0" fontId="32" fillId="9" borderId="6" xfId="0" applyFont="1" applyFill="1" applyBorder="1" applyAlignment="1" applyProtection="1">
      <alignment horizontal="center" vertical="center" wrapText="1"/>
    </xf>
    <xf numFmtId="0" fontId="32" fillId="9" borderId="95" xfId="0" applyFont="1" applyFill="1" applyBorder="1" applyAlignment="1" applyProtection="1">
      <alignment horizontal="center" vertical="center" wrapText="1"/>
    </xf>
    <xf numFmtId="0" fontId="32" fillId="24" borderId="90" xfId="0" applyFont="1" applyFill="1" applyBorder="1" applyAlignment="1" applyProtection="1">
      <alignment horizontal="center" vertical="center"/>
    </xf>
    <xf numFmtId="0" fontId="10" fillId="5" borderId="20" xfId="0" applyFont="1" applyFill="1" applyBorder="1" applyAlignment="1">
      <alignment horizontal="left" vertical="center" indent="1"/>
    </xf>
    <xf numFmtId="0" fontId="10" fillId="5" borderId="6" xfId="0" applyFont="1" applyFill="1" applyBorder="1" applyAlignment="1">
      <alignment horizontal="left" vertical="center" indent="1"/>
    </xf>
    <xf numFmtId="0" fontId="32" fillId="24" borderId="48" xfId="0" applyFont="1" applyFill="1" applyBorder="1" applyAlignment="1">
      <alignment horizontal="left" vertical="center" indent="1"/>
    </xf>
    <xf numFmtId="0" fontId="32" fillId="24" borderId="63" xfId="0" applyFont="1" applyFill="1" applyBorder="1" applyAlignment="1">
      <alignment horizontal="left" vertical="center" indent="1"/>
    </xf>
    <xf numFmtId="0" fontId="10" fillId="5" borderId="99" xfId="0" applyFont="1" applyFill="1" applyBorder="1" applyAlignment="1">
      <alignment horizontal="left" vertical="center" indent="1"/>
    </xf>
    <xf numFmtId="0" fontId="10" fillId="5" borderId="82" xfId="0" applyFont="1" applyFill="1" applyBorder="1" applyAlignment="1">
      <alignment horizontal="left" vertical="center" indent="1"/>
    </xf>
    <xf numFmtId="0" fontId="23" fillId="0" borderId="162" xfId="0" applyFont="1" applyFill="1" applyBorder="1" applyAlignment="1" applyProtection="1">
      <alignment horizontal="center" vertical="center"/>
      <protection locked="0"/>
    </xf>
    <xf numFmtId="0" fontId="23" fillId="0" borderId="163" xfId="0" applyFont="1" applyFill="1" applyBorder="1" applyAlignment="1" applyProtection="1">
      <alignment horizontal="center" vertical="center"/>
      <protection locked="0"/>
    </xf>
    <xf numFmtId="49" fontId="23" fillId="0" borderId="160" xfId="0" applyNumberFormat="1" applyFont="1" applyFill="1" applyBorder="1" applyAlignment="1" applyProtection="1">
      <alignment horizontal="center" vertical="center"/>
      <protection locked="0"/>
    </xf>
    <xf numFmtId="49" fontId="23" fillId="0" borderId="161" xfId="0" applyNumberFormat="1" applyFont="1" applyFill="1" applyBorder="1" applyAlignment="1" applyProtection="1">
      <alignment horizontal="center" vertical="center"/>
      <protection locked="0"/>
    </xf>
    <xf numFmtId="0" fontId="13" fillId="26" borderId="153" xfId="0" applyFont="1" applyFill="1" applyBorder="1" applyAlignment="1">
      <alignment horizontal="left" vertical="center" indent="1"/>
    </xf>
    <xf numFmtId="0" fontId="13" fillId="26" borderId="154" xfId="0" applyFont="1" applyFill="1" applyBorder="1" applyAlignment="1">
      <alignment horizontal="left" vertical="center" indent="1"/>
    </xf>
    <xf numFmtId="0" fontId="13" fillId="26" borderId="155" xfId="0" applyFont="1" applyFill="1" applyBorder="1" applyAlignment="1">
      <alignment horizontal="left" vertical="center" indent="1"/>
    </xf>
    <xf numFmtId="0" fontId="13" fillId="26" borderId="156" xfId="0" applyFont="1" applyFill="1" applyBorder="1" applyAlignment="1">
      <alignment horizontal="left" vertical="center" indent="1"/>
    </xf>
    <xf numFmtId="0" fontId="9" fillId="4" borderId="0" xfId="0" applyFont="1" applyFill="1" applyAlignment="1">
      <alignment horizontal="center"/>
    </xf>
    <xf numFmtId="0" fontId="10" fillId="0" borderId="108" xfId="0" applyFont="1" applyFill="1" applyBorder="1" applyAlignment="1" applyProtection="1">
      <alignment horizontal="center" vertical="center"/>
      <protection locked="0"/>
    </xf>
    <xf numFmtId="0" fontId="10" fillId="0" borderId="159" xfId="0" applyFont="1" applyFill="1" applyBorder="1" applyAlignment="1" applyProtection="1">
      <alignment horizontal="center" vertical="center"/>
      <protection locked="0"/>
    </xf>
    <xf numFmtId="0" fontId="10" fillId="0" borderId="121" xfId="0" applyFont="1" applyFill="1" applyBorder="1" applyAlignment="1" applyProtection="1">
      <alignment horizontal="center" vertical="center"/>
      <protection locked="0"/>
    </xf>
    <xf numFmtId="0" fontId="80" fillId="0" borderId="81" xfId="0" applyFont="1" applyFill="1" applyBorder="1" applyAlignment="1" applyProtection="1">
      <alignment horizontal="center" vertical="center"/>
      <protection locked="0"/>
    </xf>
    <xf numFmtId="0" fontId="80" fillId="0" borderId="2" xfId="0" applyFont="1" applyFill="1" applyBorder="1" applyAlignment="1" applyProtection="1">
      <alignment horizontal="center" vertical="center"/>
      <protection locked="0"/>
    </xf>
    <xf numFmtId="0" fontId="80" fillId="0" borderId="43" xfId="0" applyFont="1" applyFill="1" applyBorder="1" applyAlignment="1" applyProtection="1">
      <alignment horizontal="center" vertical="center"/>
      <protection locked="0"/>
    </xf>
    <xf numFmtId="0" fontId="81" fillId="29" borderId="28" xfId="0" applyFont="1" applyFill="1" applyBorder="1" applyAlignment="1">
      <alignment horizontal="center" vertical="center"/>
    </xf>
    <xf numFmtId="0" fontId="81" fillId="29" borderId="100" xfId="0" applyFont="1" applyFill="1" applyBorder="1" applyAlignment="1">
      <alignment horizontal="center" vertical="center"/>
    </xf>
    <xf numFmtId="0" fontId="81" fillId="29" borderId="29" xfId="0" applyFont="1" applyFill="1" applyBorder="1" applyAlignment="1">
      <alignment horizontal="center" vertical="center"/>
    </xf>
    <xf numFmtId="0" fontId="3" fillId="0" borderId="92" xfId="0" applyFont="1" applyFill="1" applyBorder="1" applyAlignment="1" applyProtection="1">
      <alignment horizontal="center" vertical="center"/>
      <protection locked="0"/>
    </xf>
    <xf numFmtId="0" fontId="3" fillId="0" borderId="0" xfId="0" applyFont="1" applyFill="1" applyBorder="1" applyAlignment="1" applyProtection="1">
      <alignment horizontal="center" vertical="center"/>
      <protection locked="0"/>
    </xf>
    <xf numFmtId="0" fontId="3" fillId="0" borderId="51" xfId="0" applyFont="1" applyFill="1" applyBorder="1" applyAlignment="1" applyProtection="1">
      <alignment horizontal="center" vertical="center"/>
      <protection locked="0"/>
    </xf>
    <xf numFmtId="0" fontId="10" fillId="2" borderId="117" xfId="0" applyFont="1" applyFill="1" applyBorder="1" applyAlignment="1" applyProtection="1">
      <alignment horizontal="center" vertical="center"/>
    </xf>
    <xf numFmtId="0" fontId="10" fillId="2" borderId="118" xfId="0" applyFont="1" applyFill="1" applyBorder="1" applyAlignment="1" applyProtection="1">
      <alignment horizontal="center" vertical="center"/>
    </xf>
    <xf numFmtId="0" fontId="10" fillId="2" borderId="157" xfId="0" applyFont="1" applyFill="1" applyBorder="1" applyAlignment="1" applyProtection="1">
      <alignment horizontal="center" vertical="center"/>
    </xf>
    <xf numFmtId="0" fontId="10" fillId="0" borderId="117" xfId="0" applyFont="1" applyFill="1" applyBorder="1" applyAlignment="1" applyProtection="1">
      <alignment horizontal="center" vertical="center"/>
      <protection locked="0"/>
    </xf>
    <xf numFmtId="0" fontId="10" fillId="0" borderId="118" xfId="0" applyFont="1" applyFill="1" applyBorder="1" applyAlignment="1" applyProtection="1">
      <alignment horizontal="center" vertical="center"/>
      <protection locked="0"/>
    </xf>
    <xf numFmtId="0" fontId="10" fillId="0" borderId="157" xfId="0" applyFont="1" applyFill="1" applyBorder="1" applyAlignment="1" applyProtection="1">
      <alignment horizontal="center" vertical="center"/>
      <protection locked="0"/>
    </xf>
    <xf numFmtId="0" fontId="10" fillId="2" borderId="120" xfId="0" applyFont="1" applyFill="1" applyBorder="1" applyAlignment="1">
      <alignment horizontal="center" vertical="center"/>
    </xf>
    <xf numFmtId="0" fontId="10" fillId="2" borderId="158" xfId="0" applyFont="1" applyFill="1" applyBorder="1" applyAlignment="1">
      <alignment horizontal="center" vertical="center"/>
    </xf>
    <xf numFmtId="0" fontId="10" fillId="2" borderId="119" xfId="0" applyFont="1" applyFill="1" applyBorder="1" applyAlignment="1" applyProtection="1">
      <alignment horizontal="center" vertical="center"/>
      <protection hidden="1"/>
    </xf>
    <xf numFmtId="0" fontId="10" fillId="2" borderId="120" xfId="0" applyFont="1" applyFill="1" applyBorder="1" applyAlignment="1" applyProtection="1">
      <alignment horizontal="center" vertical="center"/>
      <protection hidden="1"/>
    </xf>
    <xf numFmtId="0" fontId="10" fillId="0" borderId="92" xfId="0" applyFont="1" applyFill="1" applyBorder="1" applyAlignment="1" applyProtection="1">
      <alignment horizontal="center" vertical="center"/>
      <protection locked="0"/>
    </xf>
    <xf numFmtId="0" fontId="10" fillId="0" borderId="0" xfId="0" applyFont="1" applyFill="1" applyBorder="1" applyAlignment="1" applyProtection="1">
      <alignment horizontal="center" vertical="center"/>
      <protection locked="0"/>
    </xf>
    <xf numFmtId="0" fontId="10" fillId="0" borderId="51" xfId="0" applyFont="1" applyFill="1" applyBorder="1" applyAlignment="1" applyProtection="1">
      <alignment horizontal="center" vertical="center"/>
      <protection locked="0"/>
    </xf>
    <xf numFmtId="0" fontId="61" fillId="4" borderId="0" xfId="0" applyFont="1" applyFill="1" applyAlignment="1">
      <alignment horizontal="center"/>
    </xf>
    <xf numFmtId="0" fontId="60" fillId="4" borderId="0" xfId="0" applyFont="1" applyFill="1" applyAlignment="1">
      <alignment horizontal="center"/>
    </xf>
    <xf numFmtId="0" fontId="62" fillId="4" borderId="0" xfId="0" applyFont="1" applyFill="1" applyAlignment="1">
      <alignment horizontal="center"/>
    </xf>
    <xf numFmtId="0" fontId="13" fillId="9" borderId="14" xfId="0" applyFont="1" applyFill="1" applyBorder="1" applyAlignment="1" applyProtection="1">
      <alignment horizontal="center" vertical="center" textRotation="90"/>
      <protection hidden="1"/>
    </xf>
    <xf numFmtId="0" fontId="17" fillId="10" borderId="19" xfId="0" applyFont="1" applyFill="1" applyBorder="1" applyAlignment="1" applyProtection="1">
      <alignment horizontal="center" vertical="center"/>
      <protection hidden="1"/>
    </xf>
    <xf numFmtId="0" fontId="17" fillId="10" borderId="1" xfId="0" applyFont="1" applyFill="1" applyBorder="1" applyAlignment="1" applyProtection="1">
      <alignment horizontal="center" vertical="center"/>
      <protection hidden="1"/>
    </xf>
    <xf numFmtId="0" fontId="17" fillId="10" borderId="14" xfId="0" applyFont="1" applyFill="1" applyBorder="1" applyAlignment="1" applyProtection="1">
      <alignment horizontal="center" vertical="center"/>
      <protection hidden="1"/>
    </xf>
    <xf numFmtId="0" fontId="13" fillId="9" borderId="37" xfId="0" applyFont="1" applyFill="1" applyBorder="1" applyAlignment="1" applyProtection="1">
      <alignment horizontal="center" vertical="center" wrapText="1"/>
      <protection hidden="1"/>
    </xf>
    <xf numFmtId="0" fontId="13" fillId="9" borderId="38" xfId="0" applyFont="1" applyFill="1" applyBorder="1" applyAlignment="1" applyProtection="1">
      <alignment horizontal="center" vertical="center" wrapText="1"/>
      <protection hidden="1"/>
    </xf>
    <xf numFmtId="0" fontId="13" fillId="9" borderId="32" xfId="0" applyFont="1" applyFill="1" applyBorder="1" applyAlignment="1" applyProtection="1">
      <alignment horizontal="center" vertical="center" wrapText="1"/>
      <protection hidden="1"/>
    </xf>
    <xf numFmtId="0" fontId="13" fillId="9" borderId="42" xfId="0" applyFont="1" applyFill="1" applyBorder="1" applyAlignment="1" applyProtection="1">
      <alignment horizontal="center" vertical="center" wrapText="1"/>
      <protection hidden="1"/>
    </xf>
    <xf numFmtId="0" fontId="13" fillId="9" borderId="2" xfId="0" applyFont="1" applyFill="1" applyBorder="1" applyAlignment="1" applyProtection="1">
      <alignment horizontal="center" vertical="center" wrapText="1"/>
      <protection hidden="1"/>
    </xf>
    <xf numFmtId="0" fontId="13" fillId="9" borderId="43" xfId="0" applyFont="1" applyFill="1" applyBorder="1" applyAlignment="1" applyProtection="1">
      <alignment horizontal="center" vertical="center" wrapText="1"/>
      <protection hidden="1"/>
    </xf>
    <xf numFmtId="0" fontId="10" fillId="0" borderId="1" xfId="0" applyFont="1" applyFill="1" applyBorder="1" applyAlignment="1" applyProtection="1">
      <alignment horizontal="left" vertical="center" indent="1"/>
      <protection hidden="1"/>
    </xf>
    <xf numFmtId="0" fontId="10" fillId="0" borderId="14" xfId="0" applyFont="1" applyFill="1" applyBorder="1" applyAlignment="1" applyProtection="1">
      <alignment horizontal="left" vertical="center" indent="1"/>
      <protection hidden="1"/>
    </xf>
    <xf numFmtId="0" fontId="13" fillId="11" borderId="18" xfId="0" applyFont="1" applyFill="1" applyBorder="1" applyAlignment="1" applyProtection="1">
      <alignment horizontal="center" vertical="center"/>
      <protection hidden="1"/>
    </xf>
    <xf numFmtId="0" fontId="13" fillId="11" borderId="13" xfId="0" applyFont="1" applyFill="1" applyBorder="1" applyAlignment="1" applyProtection="1">
      <alignment horizontal="center" vertical="center"/>
      <protection hidden="1"/>
    </xf>
    <xf numFmtId="0" fontId="13" fillId="11" borderId="15" xfId="0" applyFont="1" applyFill="1" applyBorder="1" applyAlignment="1" applyProtection="1">
      <alignment horizontal="center" vertical="center"/>
      <protection hidden="1"/>
    </xf>
    <xf numFmtId="0" fontId="13" fillId="11" borderId="23" xfId="0" applyFont="1" applyFill="1" applyBorder="1" applyAlignment="1" applyProtection="1">
      <alignment horizontal="center" vertical="center"/>
      <protection hidden="1"/>
    </xf>
    <xf numFmtId="0" fontId="13" fillId="11" borderId="10" xfId="0" applyFont="1" applyFill="1" applyBorder="1" applyAlignment="1" applyProtection="1">
      <alignment horizontal="center" vertical="center"/>
      <protection hidden="1"/>
    </xf>
    <xf numFmtId="0" fontId="13" fillId="11" borderId="22" xfId="0" applyFont="1" applyFill="1" applyBorder="1" applyAlignment="1" applyProtection="1">
      <alignment horizontal="center" vertical="center"/>
      <protection hidden="1"/>
    </xf>
    <xf numFmtId="0" fontId="10" fillId="0" borderId="40" xfId="0" applyFont="1" applyFill="1" applyBorder="1" applyAlignment="1" applyProtection="1">
      <alignment horizontal="left" vertical="center" indent="1"/>
      <protection hidden="1"/>
    </xf>
    <xf numFmtId="0" fontId="10" fillId="0" borderId="26" xfId="0" applyFont="1" applyFill="1" applyBorder="1" applyAlignment="1" applyProtection="1">
      <alignment horizontal="left" vertical="center" indent="1"/>
      <protection hidden="1"/>
    </xf>
    <xf numFmtId="0" fontId="13" fillId="12" borderId="75" xfId="0" applyFont="1" applyFill="1" applyBorder="1" applyAlignment="1" applyProtection="1">
      <alignment horizontal="center" vertical="center" wrapText="1"/>
      <protection hidden="1"/>
    </xf>
    <xf numFmtId="0" fontId="13" fillId="12" borderId="25" xfId="0" applyFont="1" applyFill="1" applyBorder="1" applyAlignment="1" applyProtection="1">
      <alignment horizontal="center" vertical="center" wrapText="1"/>
      <protection hidden="1"/>
    </xf>
    <xf numFmtId="0" fontId="13" fillId="12" borderId="53" xfId="0" applyFont="1" applyFill="1" applyBorder="1" applyAlignment="1" applyProtection="1">
      <alignment horizontal="center" vertical="center" wrapText="1"/>
      <protection hidden="1"/>
    </xf>
    <xf numFmtId="0" fontId="13" fillId="15" borderId="46" xfId="0" applyFont="1" applyFill="1" applyBorder="1" applyAlignment="1" applyProtection="1">
      <alignment horizontal="center" vertical="center" wrapText="1"/>
      <protection hidden="1"/>
    </xf>
    <xf numFmtId="0" fontId="13" fillId="15" borderId="17" xfId="0" applyFont="1" applyFill="1" applyBorder="1" applyAlignment="1" applyProtection="1">
      <alignment horizontal="center" vertical="center" wrapText="1"/>
      <protection hidden="1"/>
    </xf>
    <xf numFmtId="0" fontId="16" fillId="10" borderId="18" xfId="0" applyFont="1" applyFill="1" applyBorder="1" applyAlignment="1" applyProtection="1">
      <alignment horizontal="center" vertical="center"/>
      <protection hidden="1"/>
    </xf>
    <xf numFmtId="0" fontId="16" fillId="10" borderId="13" xfId="0" applyFont="1" applyFill="1" applyBorder="1" applyAlignment="1" applyProtection="1">
      <alignment horizontal="center" vertical="center"/>
      <protection hidden="1"/>
    </xf>
    <xf numFmtId="0" fontId="13" fillId="12" borderId="19" xfId="0" applyFont="1" applyFill="1" applyBorder="1" applyAlignment="1" applyProtection="1">
      <alignment horizontal="center" vertical="center" textRotation="90"/>
      <protection hidden="1"/>
    </xf>
    <xf numFmtId="0" fontId="13" fillId="12" borderId="1" xfId="0" applyFont="1" applyFill="1" applyBorder="1" applyAlignment="1" applyProtection="1">
      <alignment horizontal="center" vertical="center" textRotation="90"/>
      <protection hidden="1"/>
    </xf>
    <xf numFmtId="0" fontId="13" fillId="12" borderId="5" xfId="0" applyFont="1" applyFill="1" applyBorder="1" applyAlignment="1" applyProtection="1">
      <alignment horizontal="center" vertical="center" textRotation="90"/>
      <protection hidden="1"/>
    </xf>
    <xf numFmtId="0" fontId="18" fillId="10" borderId="6" xfId="0" applyFont="1" applyFill="1" applyBorder="1" applyAlignment="1" applyProtection="1">
      <alignment horizontal="center" vertical="center"/>
      <protection hidden="1"/>
    </xf>
    <xf numFmtId="0" fontId="18" fillId="10" borderId="1" xfId="0" applyFont="1" applyFill="1" applyBorder="1" applyAlignment="1" applyProtection="1">
      <alignment horizontal="center" vertical="center"/>
      <protection hidden="1"/>
    </xf>
    <xf numFmtId="0" fontId="18" fillId="10" borderId="5" xfId="0" applyFont="1" applyFill="1" applyBorder="1" applyAlignment="1" applyProtection="1">
      <alignment horizontal="center" vertical="center"/>
      <protection hidden="1"/>
    </xf>
    <xf numFmtId="0" fontId="13" fillId="9" borderId="18" xfId="0" applyFont="1" applyFill="1" applyBorder="1" applyAlignment="1" applyProtection="1">
      <alignment horizontal="center" vertical="center"/>
      <protection hidden="1"/>
    </xf>
    <xf numFmtId="0" fontId="13" fillId="9" borderId="13" xfId="0" applyFont="1" applyFill="1" applyBorder="1" applyAlignment="1" applyProtection="1">
      <alignment horizontal="center" vertical="center"/>
      <protection hidden="1"/>
    </xf>
    <xf numFmtId="0" fontId="13" fillId="9" borderId="15" xfId="0" applyFont="1" applyFill="1" applyBorder="1" applyAlignment="1" applyProtection="1">
      <alignment horizontal="center" vertical="center"/>
      <protection hidden="1"/>
    </xf>
    <xf numFmtId="0" fontId="13" fillId="9" borderId="23" xfId="0" applyFont="1" applyFill="1" applyBorder="1" applyAlignment="1" applyProtection="1">
      <alignment horizontal="center" vertical="center"/>
      <protection hidden="1"/>
    </xf>
    <xf numFmtId="0" fontId="13" fillId="9" borderId="10" xfId="0" applyFont="1" applyFill="1" applyBorder="1" applyAlignment="1" applyProtection="1">
      <alignment horizontal="center" vertical="center"/>
      <protection hidden="1"/>
    </xf>
    <xf numFmtId="0" fontId="13" fillId="9" borderId="22" xfId="0" applyFont="1" applyFill="1" applyBorder="1" applyAlignment="1" applyProtection="1">
      <alignment horizontal="center" vertical="center"/>
      <protection hidden="1"/>
    </xf>
    <xf numFmtId="0" fontId="13" fillId="9" borderId="1" xfId="0" applyFont="1" applyFill="1" applyBorder="1" applyAlignment="1" applyProtection="1">
      <alignment horizontal="center" vertical="center" textRotation="90"/>
      <protection hidden="1"/>
    </xf>
    <xf numFmtId="0" fontId="21" fillId="10" borderId="46" xfId="0" applyFont="1" applyFill="1" applyBorder="1" applyAlignment="1" applyProtection="1">
      <alignment horizontal="center" vertical="center"/>
      <protection hidden="1"/>
    </xf>
    <xf numFmtId="0" fontId="21" fillId="10" borderId="47" xfId="0" applyFont="1" applyFill="1" applyBorder="1" applyAlignment="1" applyProtection="1">
      <alignment horizontal="center" vertical="center"/>
      <protection hidden="1"/>
    </xf>
    <xf numFmtId="0" fontId="15" fillId="9" borderId="28" xfId="0" applyFont="1" applyFill="1" applyBorder="1" applyAlignment="1" applyProtection="1">
      <alignment horizontal="center"/>
      <protection hidden="1"/>
    </xf>
    <xf numFmtId="0" fontId="15" fillId="9" borderId="29" xfId="0" applyFont="1" applyFill="1" applyBorder="1" applyAlignment="1" applyProtection="1">
      <alignment horizontal="center"/>
      <protection hidden="1"/>
    </xf>
    <xf numFmtId="0" fontId="50" fillId="18" borderId="54" xfId="2" applyFont="1" applyBorder="1" applyAlignment="1" applyProtection="1">
      <alignment horizontal="center"/>
      <protection hidden="1"/>
    </xf>
    <xf numFmtId="0" fontId="50" fillId="18" borderId="55" xfId="2" applyFont="1" applyBorder="1" applyAlignment="1" applyProtection="1">
      <alignment horizontal="center"/>
      <protection hidden="1"/>
    </xf>
    <xf numFmtId="0" fontId="50" fillId="18" borderId="56" xfId="2" applyFont="1" applyBorder="1" applyAlignment="1" applyProtection="1">
      <alignment horizontal="center"/>
      <protection hidden="1"/>
    </xf>
    <xf numFmtId="0" fontId="50" fillId="18" borderId="57" xfId="2" applyFont="1" applyBorder="1" applyAlignment="1" applyProtection="1">
      <alignment horizontal="center"/>
      <protection hidden="1"/>
    </xf>
    <xf numFmtId="0" fontId="1" fillId="8" borderId="1" xfId="0" applyFont="1" applyFill="1" applyBorder="1" applyAlignment="1" applyProtection="1">
      <alignment horizontal="center" vertical="center"/>
      <protection hidden="1"/>
    </xf>
    <xf numFmtId="0" fontId="1" fillId="8" borderId="19" xfId="0" applyFont="1" applyFill="1" applyBorder="1" applyAlignment="1" applyProtection="1">
      <alignment horizontal="center" vertical="center"/>
      <protection hidden="1"/>
    </xf>
    <xf numFmtId="0" fontId="19" fillId="34" borderId="18" xfId="0" applyFont="1" applyFill="1" applyBorder="1" applyAlignment="1" applyProtection="1">
      <alignment horizontal="right" vertical="center"/>
      <protection hidden="1"/>
    </xf>
    <xf numFmtId="0" fontId="19" fillId="34" borderId="13" xfId="0" applyFont="1" applyFill="1" applyBorder="1" applyAlignment="1" applyProtection="1">
      <alignment horizontal="right" vertical="center"/>
      <protection hidden="1"/>
    </xf>
    <xf numFmtId="0" fontId="19" fillId="34" borderId="23" xfId="0" applyFont="1" applyFill="1" applyBorder="1" applyAlignment="1" applyProtection="1">
      <alignment horizontal="right" vertical="center"/>
      <protection hidden="1"/>
    </xf>
    <xf numFmtId="0" fontId="19" fillId="34" borderId="10" xfId="0" applyFont="1" applyFill="1" applyBorder="1" applyAlignment="1" applyProtection="1">
      <alignment horizontal="right" vertical="center"/>
      <protection hidden="1"/>
    </xf>
    <xf numFmtId="0" fontId="19" fillId="34" borderId="15" xfId="0" applyFont="1" applyFill="1" applyBorder="1" applyAlignment="1" applyProtection="1">
      <alignment horizontal="left" vertical="center"/>
      <protection hidden="1"/>
    </xf>
    <xf numFmtId="0" fontId="19" fillId="34" borderId="22" xfId="0" applyFont="1" applyFill="1" applyBorder="1" applyAlignment="1" applyProtection="1">
      <alignment horizontal="left" vertical="center"/>
      <protection hidden="1"/>
    </xf>
    <xf numFmtId="0" fontId="12" fillId="12" borderId="20" xfId="0" applyFont="1" applyFill="1" applyBorder="1" applyAlignment="1" applyProtection="1">
      <alignment horizontal="center" vertical="center"/>
      <protection hidden="1"/>
    </xf>
    <xf numFmtId="0" fontId="12" fillId="12" borderId="9" xfId="0" applyFont="1" applyFill="1" applyBorder="1" applyAlignment="1" applyProtection="1">
      <alignment horizontal="center" vertical="center"/>
      <protection hidden="1"/>
    </xf>
    <xf numFmtId="0" fontId="12" fillId="12" borderId="16" xfId="0" applyFont="1" applyFill="1" applyBorder="1" applyAlignment="1" applyProtection="1">
      <alignment horizontal="center" vertical="center"/>
      <protection hidden="1"/>
    </xf>
    <xf numFmtId="0" fontId="1" fillId="8" borderId="11" xfId="0" applyFont="1" applyFill="1" applyBorder="1" applyAlignment="1" applyProtection="1">
      <alignment horizontal="center" vertical="center"/>
      <protection hidden="1"/>
    </xf>
    <xf numFmtId="0" fontId="1" fillId="8" borderId="15" xfId="0" applyFont="1" applyFill="1" applyBorder="1" applyAlignment="1" applyProtection="1">
      <alignment horizontal="center" vertical="center"/>
      <protection hidden="1"/>
    </xf>
    <xf numFmtId="0" fontId="1" fillId="8" borderId="12" xfId="0" applyFont="1" applyFill="1" applyBorder="1" applyAlignment="1" applyProtection="1">
      <alignment horizontal="center" vertical="center"/>
      <protection hidden="1"/>
    </xf>
    <xf numFmtId="0" fontId="1" fillId="8" borderId="22" xfId="0" applyFont="1" applyFill="1" applyBorder="1" applyAlignment="1" applyProtection="1">
      <alignment horizontal="center" vertical="center"/>
      <protection hidden="1"/>
    </xf>
    <xf numFmtId="0" fontId="31" fillId="4" borderId="38" xfId="3" applyFill="1" applyBorder="1" applyAlignment="1" applyProtection="1">
      <alignment horizontal="center" vertical="center"/>
      <protection hidden="1"/>
    </xf>
    <xf numFmtId="0" fontId="31" fillId="4" borderId="2" xfId="3" applyFill="1" applyBorder="1" applyAlignment="1" applyProtection="1">
      <alignment horizontal="center" vertical="center"/>
      <protection hidden="1"/>
    </xf>
    <xf numFmtId="0" fontId="13" fillId="9" borderId="19" xfId="0" applyFont="1" applyFill="1" applyBorder="1" applyAlignment="1" applyProtection="1">
      <alignment horizontal="center" vertical="center" textRotation="90"/>
      <protection hidden="1"/>
    </xf>
    <xf numFmtId="0" fontId="30" fillId="10" borderId="1" xfId="0" applyFont="1" applyFill="1" applyBorder="1" applyAlignment="1" applyProtection="1">
      <alignment horizontal="center"/>
      <protection hidden="1"/>
    </xf>
    <xf numFmtId="0" fontId="30" fillId="4" borderId="0" xfId="0" applyFont="1" applyFill="1" applyAlignment="1" applyProtection="1">
      <alignment horizontal="center"/>
      <protection hidden="1"/>
    </xf>
    <xf numFmtId="0" fontId="50" fillId="18" borderId="58" xfId="2" applyFont="1" applyBorder="1" applyAlignment="1" applyProtection="1">
      <alignment horizontal="center"/>
      <protection hidden="1"/>
    </xf>
    <xf numFmtId="0" fontId="50" fillId="18" borderId="59" xfId="2" applyFont="1" applyBorder="1" applyAlignment="1" applyProtection="1">
      <alignment horizontal="center"/>
      <protection hidden="1"/>
    </xf>
    <xf numFmtId="0" fontId="13" fillId="21" borderId="37" xfId="0" applyFont="1" applyFill="1" applyBorder="1" applyAlignment="1" applyProtection="1">
      <alignment horizontal="center" vertical="center" wrapText="1"/>
      <protection hidden="1"/>
    </xf>
    <xf numFmtId="0" fontId="0" fillId="0" borderId="38" xfId="0" applyBorder="1" applyProtection="1">
      <protection hidden="1"/>
    </xf>
    <xf numFmtId="0" fontId="0" fillId="0" borderId="32" xfId="0" applyBorder="1" applyProtection="1">
      <protection hidden="1"/>
    </xf>
    <xf numFmtId="0" fontId="0" fillId="0" borderId="42" xfId="0" applyBorder="1" applyProtection="1">
      <protection hidden="1"/>
    </xf>
    <xf numFmtId="0" fontId="0" fillId="0" borderId="2" xfId="0" applyBorder="1" applyProtection="1">
      <protection hidden="1"/>
    </xf>
    <xf numFmtId="0" fontId="0" fillId="0" borderId="43" xfId="0" applyBorder="1" applyProtection="1">
      <protection hidden="1"/>
    </xf>
    <xf numFmtId="0" fontId="13" fillId="21" borderId="38" xfId="0" applyFont="1" applyFill="1" applyBorder="1" applyAlignment="1" applyProtection="1">
      <alignment horizontal="center" vertical="center" wrapText="1"/>
      <protection hidden="1"/>
    </xf>
    <xf numFmtId="0" fontId="13" fillId="21" borderId="32" xfId="0" applyFont="1" applyFill="1" applyBorder="1" applyAlignment="1" applyProtection="1">
      <alignment horizontal="center" vertical="center" wrapText="1"/>
      <protection hidden="1"/>
    </xf>
    <xf numFmtId="0" fontId="13" fillId="21" borderId="42" xfId="0" applyFont="1" applyFill="1" applyBorder="1" applyAlignment="1" applyProtection="1">
      <alignment horizontal="center" vertical="center" wrapText="1"/>
      <protection hidden="1"/>
    </xf>
    <xf numFmtId="0" fontId="13" fillId="21" borderId="2" xfId="0" applyFont="1" applyFill="1" applyBorder="1" applyAlignment="1" applyProtection="1">
      <alignment horizontal="center" vertical="center" wrapText="1"/>
      <protection hidden="1"/>
    </xf>
    <xf numFmtId="0" fontId="13" fillId="21" borderId="43" xfId="0" applyFont="1" applyFill="1" applyBorder="1" applyAlignment="1" applyProtection="1">
      <alignment horizontal="center" vertical="center" wrapText="1"/>
      <protection hidden="1"/>
    </xf>
    <xf numFmtId="0" fontId="3" fillId="10" borderId="37" xfId="0" applyFont="1" applyFill="1" applyBorder="1" applyAlignment="1" applyProtection="1">
      <alignment horizontal="center" vertical="center" wrapText="1"/>
      <protection hidden="1"/>
    </xf>
    <xf numFmtId="0" fontId="0" fillId="0" borderId="21" xfId="0" applyBorder="1" applyProtection="1">
      <protection hidden="1"/>
    </xf>
    <xf numFmtId="0" fontId="0" fillId="0" borderId="51" xfId="0" applyBorder="1" applyProtection="1">
      <protection hidden="1"/>
    </xf>
    <xf numFmtId="0" fontId="3" fillId="9" borderId="75" xfId="0" applyFont="1" applyFill="1" applyBorder="1" applyAlignment="1" applyProtection="1">
      <alignment horizontal="center" vertical="center" wrapText="1"/>
      <protection hidden="1"/>
    </xf>
    <xf numFmtId="0" fontId="3" fillId="9" borderId="25" xfId="0" applyFont="1" applyFill="1" applyBorder="1" applyAlignment="1" applyProtection="1">
      <alignment horizontal="center" vertical="center" wrapText="1"/>
      <protection hidden="1"/>
    </xf>
    <xf numFmtId="0" fontId="3" fillId="9" borderId="53" xfId="0" applyFont="1" applyFill="1" applyBorder="1" applyAlignment="1" applyProtection="1">
      <alignment horizontal="center" vertical="center" wrapText="1"/>
      <protection hidden="1"/>
    </xf>
    <xf numFmtId="0" fontId="3" fillId="25" borderId="75" xfId="0" applyFont="1" applyFill="1" applyBorder="1" applyAlignment="1" applyProtection="1">
      <alignment horizontal="center" vertical="center" wrapText="1"/>
      <protection hidden="1"/>
    </xf>
    <xf numFmtId="0" fontId="3" fillId="25" borderId="25" xfId="0" applyFont="1" applyFill="1" applyBorder="1" applyAlignment="1" applyProtection="1">
      <alignment horizontal="center" vertical="center" wrapText="1"/>
      <protection hidden="1"/>
    </xf>
    <xf numFmtId="0" fontId="3" fillId="25" borderId="53" xfId="0" applyFont="1" applyFill="1" applyBorder="1" applyAlignment="1" applyProtection="1">
      <alignment horizontal="center" vertical="center" wrapText="1"/>
      <protection hidden="1"/>
    </xf>
    <xf numFmtId="0" fontId="12" fillId="13" borderId="37" xfId="0" applyFont="1" applyFill="1" applyBorder="1" applyAlignment="1" applyProtection="1">
      <alignment horizontal="center" vertical="center" wrapText="1"/>
    </xf>
    <xf numFmtId="0" fontId="12" fillId="13" borderId="32" xfId="0" applyFont="1" applyFill="1" applyBorder="1" applyAlignment="1" applyProtection="1">
      <alignment horizontal="center" vertical="center" wrapText="1"/>
    </xf>
    <xf numFmtId="0" fontId="12" fillId="13" borderId="42" xfId="0" applyFont="1" applyFill="1" applyBorder="1" applyAlignment="1" applyProtection="1">
      <alignment horizontal="center" vertical="center" wrapText="1"/>
    </xf>
    <xf numFmtId="0" fontId="12" fillId="13" borderId="43" xfId="0" applyFont="1" applyFill="1" applyBorder="1" applyAlignment="1" applyProtection="1">
      <alignment horizontal="center" vertical="center" wrapText="1"/>
    </xf>
    <xf numFmtId="0" fontId="29" fillId="22" borderId="17" xfId="0" applyFont="1" applyFill="1" applyBorder="1" applyAlignment="1" applyProtection="1">
      <alignment horizontal="center" vertical="center" wrapText="1"/>
    </xf>
    <xf numFmtId="0" fontId="29" fillId="22" borderId="17" xfId="0" applyFont="1" applyFill="1" applyBorder="1" applyAlignment="1" applyProtection="1">
      <alignment horizontal="center" vertical="center"/>
    </xf>
    <xf numFmtId="0" fontId="29" fillId="22" borderId="47" xfId="0" applyFont="1" applyFill="1" applyBorder="1" applyAlignment="1" applyProtection="1">
      <alignment horizontal="center" vertical="center"/>
    </xf>
    <xf numFmtId="0" fontId="3" fillId="10" borderId="46" xfId="0" applyFont="1" applyFill="1" applyBorder="1" applyAlignment="1" applyProtection="1">
      <alignment horizontal="center" vertical="center" wrapText="1"/>
    </xf>
    <xf numFmtId="0" fontId="3" fillId="10" borderId="17" xfId="0" applyFont="1" applyFill="1" applyBorder="1" applyAlignment="1" applyProtection="1">
      <alignment horizontal="center" vertical="center" wrapText="1"/>
    </xf>
    <xf numFmtId="0" fontId="12" fillId="9" borderId="1" xfId="0" applyFont="1" applyFill="1" applyBorder="1" applyAlignment="1" applyProtection="1">
      <alignment horizontal="center" vertical="center" wrapText="1"/>
    </xf>
    <xf numFmtId="0" fontId="0" fillId="14" borderId="6" xfId="0" applyFill="1" applyBorder="1" applyAlignment="1" applyProtection="1">
      <alignment horizontal="left" vertical="top" wrapText="1"/>
      <protection locked="0"/>
    </xf>
    <xf numFmtId="0" fontId="0" fillId="14" borderId="95" xfId="0" applyFill="1" applyBorder="1" applyAlignment="1" applyProtection="1">
      <alignment horizontal="left" vertical="top" wrapText="1"/>
      <protection locked="0"/>
    </xf>
    <xf numFmtId="0" fontId="0" fillId="14" borderId="98" xfId="0" applyFill="1" applyBorder="1" applyAlignment="1" applyProtection="1">
      <alignment horizontal="left" vertical="top" wrapText="1"/>
      <protection locked="0"/>
    </xf>
    <xf numFmtId="0" fontId="0" fillId="14" borderId="52" xfId="0" applyFill="1" applyBorder="1" applyAlignment="1" applyProtection="1">
      <alignment horizontal="left" vertical="top" wrapText="1"/>
      <protection locked="0"/>
    </xf>
    <xf numFmtId="0" fontId="0" fillId="14" borderId="1" xfId="0" applyFill="1" applyBorder="1" applyAlignment="1" applyProtection="1">
      <alignment horizontal="left" vertical="top" wrapText="1"/>
      <protection locked="0"/>
    </xf>
    <xf numFmtId="0" fontId="0" fillId="14" borderId="76" xfId="0" applyFill="1" applyBorder="1" applyAlignment="1" applyProtection="1">
      <alignment horizontal="left" vertical="top" wrapText="1"/>
      <protection locked="0"/>
    </xf>
    <xf numFmtId="0" fontId="0" fillId="14" borderId="66" xfId="0" applyFill="1" applyBorder="1" applyAlignment="1" applyProtection="1">
      <alignment horizontal="left" vertical="top" wrapText="1"/>
      <protection locked="0"/>
    </xf>
    <xf numFmtId="0" fontId="0" fillId="14" borderId="36" xfId="0" applyFill="1" applyBorder="1" applyAlignment="1" applyProtection="1">
      <alignment horizontal="left" vertical="top" wrapText="1"/>
      <protection locked="0"/>
    </xf>
    <xf numFmtId="0" fontId="12" fillId="9" borderId="6" xfId="0" applyFont="1" applyFill="1" applyBorder="1" applyAlignment="1" applyProtection="1">
      <alignment horizontal="center" vertical="center" wrapText="1"/>
    </xf>
    <xf numFmtId="0" fontId="12" fillId="13" borderId="39" xfId="0" applyFont="1" applyFill="1" applyBorder="1" applyAlignment="1" applyProtection="1">
      <alignment horizontal="center" vertical="center"/>
    </xf>
    <xf numFmtId="0" fontId="12" fillId="13" borderId="37" xfId="0" applyFont="1" applyFill="1" applyBorder="1" applyAlignment="1" applyProtection="1">
      <alignment horizontal="center" vertical="center"/>
    </xf>
    <xf numFmtId="0" fontId="12" fillId="13" borderId="38" xfId="0" applyFont="1" applyFill="1" applyBorder="1" applyAlignment="1" applyProtection="1">
      <alignment horizontal="center" vertical="center"/>
    </xf>
    <xf numFmtId="0" fontId="12" fillId="13" borderId="32" xfId="0" applyFont="1" applyFill="1" applyBorder="1" applyAlignment="1" applyProtection="1">
      <alignment horizontal="center" vertical="center"/>
    </xf>
    <xf numFmtId="0" fontId="12" fillId="13" borderId="42" xfId="0" applyFont="1" applyFill="1" applyBorder="1" applyAlignment="1" applyProtection="1">
      <alignment horizontal="center" vertical="center"/>
    </xf>
    <xf numFmtId="0" fontId="12" fillId="13" borderId="2" xfId="0" applyFont="1" applyFill="1" applyBorder="1" applyAlignment="1" applyProtection="1">
      <alignment horizontal="center" vertical="center"/>
    </xf>
    <xf numFmtId="0" fontId="12" fillId="13" borderId="43" xfId="0" applyFont="1" applyFill="1" applyBorder="1" applyAlignment="1" applyProtection="1">
      <alignment horizontal="center" vertical="center"/>
    </xf>
    <xf numFmtId="0" fontId="0" fillId="0" borderId="12" xfId="0" applyFill="1" applyBorder="1" applyAlignment="1" applyProtection="1">
      <alignment horizontal="left" indent="1"/>
      <protection hidden="1"/>
    </xf>
    <xf numFmtId="0" fontId="0" fillId="0" borderId="10" xfId="0" applyFill="1" applyBorder="1" applyAlignment="1" applyProtection="1">
      <alignment horizontal="left" indent="1"/>
      <protection hidden="1"/>
    </xf>
    <xf numFmtId="0" fontId="0" fillId="0" borderId="52" xfId="0" applyFill="1" applyBorder="1" applyAlignment="1" applyProtection="1">
      <alignment horizontal="left" indent="1"/>
      <protection hidden="1"/>
    </xf>
    <xf numFmtId="0" fontId="34" fillId="0" borderId="0" xfId="0" applyFont="1" applyFill="1" applyBorder="1" applyAlignment="1" applyProtection="1">
      <alignment horizontal="center"/>
      <protection hidden="1"/>
    </xf>
    <xf numFmtId="0" fontId="35" fillId="0" borderId="0" xfId="0" applyFont="1" applyFill="1" applyBorder="1" applyAlignment="1" applyProtection="1">
      <alignment horizontal="left" vertical="center"/>
      <protection hidden="1"/>
    </xf>
    <xf numFmtId="0" fontId="16" fillId="22" borderId="61" xfId="0" applyFont="1" applyFill="1" applyBorder="1" applyAlignment="1" applyProtection="1">
      <alignment horizontal="center" vertical="center"/>
      <protection hidden="1"/>
    </xf>
    <xf numFmtId="0" fontId="35" fillId="0" borderId="0" xfId="0" applyFont="1" applyFill="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41" xfId="0" applyFill="1" applyBorder="1" applyAlignment="1" applyProtection="1">
      <alignment horizontal="left" indent="1"/>
      <protection hidden="1"/>
    </xf>
    <xf numFmtId="0" fontId="0" fillId="0" borderId="77" xfId="0" applyFill="1" applyBorder="1" applyAlignment="1" applyProtection="1">
      <alignment horizontal="left" indent="1"/>
      <protection hidden="1"/>
    </xf>
    <xf numFmtId="0" fontId="0" fillId="0" borderId="63" xfId="0" applyFill="1" applyBorder="1" applyAlignment="1" applyProtection="1">
      <alignment horizontal="left" indent="1"/>
      <protection hidden="1"/>
    </xf>
    <xf numFmtId="0" fontId="0" fillId="19" borderId="60" xfId="0" applyFill="1" applyBorder="1" applyAlignment="1" applyProtection="1">
      <alignment horizontal="left"/>
      <protection hidden="1"/>
    </xf>
    <xf numFmtId="0" fontId="0" fillId="19" borderId="61" xfId="0" applyFill="1" applyBorder="1" applyAlignment="1" applyProtection="1">
      <alignment horizontal="left"/>
      <protection hidden="1"/>
    </xf>
    <xf numFmtId="0" fontId="16" fillId="22" borderId="44" xfId="0" applyFont="1" applyFill="1" applyBorder="1" applyAlignment="1" applyProtection="1">
      <alignment horizontal="center"/>
      <protection hidden="1"/>
    </xf>
    <xf numFmtId="0" fontId="16" fillId="22" borderId="45" xfId="0" applyFont="1" applyFill="1" applyBorder="1" applyAlignment="1" applyProtection="1">
      <alignment horizontal="center"/>
      <protection hidden="1"/>
    </xf>
    <xf numFmtId="0" fontId="13" fillId="9" borderId="21" xfId="0" applyFont="1" applyFill="1" applyBorder="1" applyAlignment="1" applyProtection="1">
      <alignment horizontal="center"/>
      <protection hidden="1"/>
    </xf>
    <xf numFmtId="0" fontId="13" fillId="9" borderId="0" xfId="0" applyFont="1" applyFill="1" applyBorder="1" applyAlignment="1" applyProtection="1">
      <alignment horizontal="center"/>
      <protection hidden="1"/>
    </xf>
    <xf numFmtId="0" fontId="13" fillId="9" borderId="98" xfId="0" applyFont="1" applyFill="1" applyBorder="1" applyAlignment="1" applyProtection="1">
      <alignment horizontal="center"/>
      <protection hidden="1"/>
    </xf>
    <xf numFmtId="0" fontId="10" fillId="0" borderId="36" xfId="0" applyFont="1" applyFill="1" applyBorder="1" applyAlignment="1" applyProtection="1">
      <alignment horizontal="left" vertical="center" indent="1"/>
      <protection hidden="1"/>
    </xf>
    <xf numFmtId="0" fontId="10" fillId="0" borderId="27" xfId="0" applyFont="1" applyFill="1" applyBorder="1" applyAlignment="1" applyProtection="1">
      <alignment horizontal="left" vertical="center" indent="1"/>
      <protection hidden="1"/>
    </xf>
    <xf numFmtId="0" fontId="30" fillId="4" borderId="0" xfId="0" applyFont="1" applyFill="1" applyAlignment="1" applyProtection="1">
      <alignment horizontal="center"/>
    </xf>
    <xf numFmtId="0" fontId="30" fillId="10" borderId="1" xfId="0" applyFont="1" applyFill="1" applyBorder="1" applyAlignment="1" applyProtection="1">
      <alignment horizontal="center"/>
    </xf>
    <xf numFmtId="0" fontId="102" fillId="21" borderId="37" xfId="0" applyFont="1" applyFill="1" applyBorder="1" applyAlignment="1" applyProtection="1">
      <alignment horizontal="center" vertical="center" wrapText="1"/>
      <protection hidden="1"/>
    </xf>
    <xf numFmtId="0" fontId="102" fillId="21" borderId="38" xfId="0" applyFont="1" applyFill="1" applyBorder="1" applyAlignment="1" applyProtection="1">
      <alignment horizontal="center" vertical="center" wrapText="1"/>
      <protection hidden="1"/>
    </xf>
    <xf numFmtId="0" fontId="102" fillId="21" borderId="42" xfId="0" applyFont="1" applyFill="1" applyBorder="1" applyAlignment="1" applyProtection="1">
      <alignment horizontal="center" vertical="center" wrapText="1"/>
      <protection hidden="1"/>
    </xf>
    <xf numFmtId="0" fontId="102" fillId="21" borderId="2" xfId="0" applyFont="1" applyFill="1" applyBorder="1" applyAlignment="1" applyProtection="1">
      <alignment horizontal="center" vertical="center" wrapText="1"/>
      <protection hidden="1"/>
    </xf>
    <xf numFmtId="0" fontId="12" fillId="12" borderId="18" xfId="0" applyFont="1" applyFill="1" applyBorder="1" applyAlignment="1" applyProtection="1">
      <alignment horizontal="center" vertical="center"/>
      <protection hidden="1"/>
    </xf>
    <xf numFmtId="0" fontId="12" fillId="12" borderId="13" xfId="0" applyFont="1" applyFill="1" applyBorder="1" applyAlignment="1" applyProtection="1">
      <alignment horizontal="center" vertical="center"/>
      <protection hidden="1"/>
    </xf>
    <xf numFmtId="0" fontId="12" fillId="12" borderId="15" xfId="0" applyFont="1" applyFill="1" applyBorder="1" applyAlignment="1" applyProtection="1">
      <alignment horizontal="center" vertical="center"/>
      <protection hidden="1"/>
    </xf>
    <xf numFmtId="0" fontId="43" fillId="0" borderId="38" xfId="0" applyFont="1" applyBorder="1" applyProtection="1">
      <protection hidden="1"/>
    </xf>
    <xf numFmtId="0" fontId="43" fillId="0" borderId="42" xfId="0" applyFont="1" applyBorder="1" applyProtection="1">
      <protection hidden="1"/>
    </xf>
    <xf numFmtId="0" fontId="43" fillId="0" borderId="2" xfId="0" applyFont="1" applyBorder="1" applyProtection="1">
      <protection hidden="1"/>
    </xf>
    <xf numFmtId="0" fontId="1" fillId="8" borderId="44" xfId="0" applyFont="1" applyFill="1" applyBorder="1" applyAlignment="1" applyProtection="1">
      <alignment horizontal="center" vertical="center"/>
      <protection hidden="1"/>
    </xf>
    <xf numFmtId="0" fontId="1" fillId="8" borderId="39" xfId="0" applyFont="1" applyFill="1" applyBorder="1" applyAlignment="1" applyProtection="1">
      <alignment horizontal="center" vertical="center"/>
      <protection hidden="1"/>
    </xf>
    <xf numFmtId="0" fontId="1" fillId="8" borderId="74" xfId="0" applyFont="1" applyFill="1" applyBorder="1" applyAlignment="1" applyProtection="1">
      <alignment horizontal="center" vertical="center"/>
      <protection hidden="1"/>
    </xf>
    <xf numFmtId="0" fontId="1" fillId="8" borderId="40" xfId="0" applyFont="1" applyFill="1" applyBorder="1" applyAlignment="1" applyProtection="1">
      <alignment horizontal="center" vertical="center"/>
      <protection hidden="1"/>
    </xf>
    <xf numFmtId="0" fontId="1" fillId="8" borderId="80" xfId="0" applyFont="1" applyFill="1" applyBorder="1" applyAlignment="1" applyProtection="1">
      <alignment horizontal="center" vertical="center"/>
      <protection hidden="1"/>
    </xf>
    <xf numFmtId="0" fontId="1" fillId="8" borderId="32" xfId="0" applyFont="1" applyFill="1" applyBorder="1" applyAlignment="1" applyProtection="1">
      <alignment horizontal="center" vertical="center"/>
      <protection hidden="1"/>
    </xf>
    <xf numFmtId="0" fontId="1" fillId="8" borderId="81" xfId="0" applyFont="1" applyFill="1" applyBorder="1" applyAlignment="1" applyProtection="1">
      <alignment horizontal="center" vertical="center"/>
      <protection hidden="1"/>
    </xf>
    <xf numFmtId="0" fontId="1" fillId="8" borderId="43" xfId="0" applyFont="1" applyFill="1" applyBorder="1" applyAlignment="1" applyProtection="1">
      <alignment horizontal="center" vertical="center"/>
      <protection hidden="1"/>
    </xf>
    <xf numFmtId="0" fontId="19" fillId="6" borderId="37" xfId="0" applyFont="1" applyFill="1" applyBorder="1" applyAlignment="1" applyProtection="1">
      <alignment horizontal="right" vertical="center"/>
      <protection hidden="1"/>
    </xf>
    <xf numFmtId="0" fontId="19" fillId="6" borderId="38" xfId="0" applyFont="1" applyFill="1" applyBorder="1" applyAlignment="1" applyProtection="1">
      <alignment horizontal="right" vertical="center"/>
      <protection hidden="1"/>
    </xf>
    <xf numFmtId="0" fontId="19" fillId="6" borderId="23" xfId="0" applyFont="1" applyFill="1" applyBorder="1" applyAlignment="1" applyProtection="1">
      <alignment horizontal="right" vertical="center"/>
      <protection hidden="1"/>
    </xf>
    <xf numFmtId="0" fontId="19" fillId="6" borderId="10" xfId="0" applyFont="1" applyFill="1" applyBorder="1" applyAlignment="1" applyProtection="1">
      <alignment horizontal="right" vertical="center"/>
      <protection hidden="1"/>
    </xf>
    <xf numFmtId="0" fontId="19" fillId="6" borderId="32" xfId="0" applyFont="1" applyFill="1" applyBorder="1" applyAlignment="1" applyProtection="1">
      <alignment horizontal="left" vertical="center"/>
      <protection hidden="1"/>
    </xf>
    <xf numFmtId="0" fontId="19" fillId="6" borderId="22" xfId="0" applyFont="1" applyFill="1" applyBorder="1" applyAlignment="1" applyProtection="1">
      <alignment horizontal="left" vertical="center"/>
      <protection hidden="1"/>
    </xf>
    <xf numFmtId="0" fontId="18" fillId="10" borderId="82" xfId="0" applyFont="1" applyFill="1" applyBorder="1" applyAlignment="1" applyProtection="1">
      <alignment horizontal="center" vertical="center"/>
      <protection hidden="1"/>
    </xf>
    <xf numFmtId="0" fontId="18" fillId="10" borderId="74" xfId="0" applyFont="1" applyFill="1" applyBorder="1" applyAlignment="1" applyProtection="1">
      <alignment horizontal="center" vertical="center"/>
      <protection hidden="1"/>
    </xf>
    <xf numFmtId="0" fontId="17" fillId="10" borderId="44" xfId="0" applyFont="1" applyFill="1" applyBorder="1" applyAlignment="1" applyProtection="1">
      <alignment horizontal="center" vertical="center"/>
      <protection hidden="1"/>
    </xf>
    <xf numFmtId="0" fontId="17" fillId="10" borderId="74" xfId="0" applyFont="1" applyFill="1" applyBorder="1" applyAlignment="1" applyProtection="1">
      <alignment horizontal="center" vertical="center"/>
      <protection hidden="1"/>
    </xf>
    <xf numFmtId="0" fontId="17" fillId="10" borderId="45" xfId="0" applyFont="1" applyFill="1" applyBorder="1" applyAlignment="1" applyProtection="1">
      <alignment horizontal="center" vertical="center"/>
      <protection hidden="1"/>
    </xf>
    <xf numFmtId="0" fontId="16" fillId="10" borderId="15" xfId="0" applyFont="1" applyFill="1" applyBorder="1" applyAlignment="1" applyProtection="1">
      <alignment horizontal="center" vertical="center"/>
      <protection hidden="1"/>
    </xf>
    <xf numFmtId="0" fontId="16" fillId="10" borderId="48" xfId="0" applyFont="1" applyFill="1" applyBorder="1" applyAlignment="1" applyProtection="1">
      <alignment horizontal="center" vertical="center"/>
      <protection hidden="1"/>
    </xf>
    <xf numFmtId="0" fontId="16" fillId="10" borderId="77" xfId="0" applyFont="1" applyFill="1" applyBorder="1" applyAlignment="1" applyProtection="1">
      <alignment horizontal="center" vertical="center"/>
      <protection hidden="1"/>
    </xf>
    <xf numFmtId="0" fontId="102" fillId="9" borderId="14" xfId="0" applyFont="1" applyFill="1" applyBorder="1" applyAlignment="1" applyProtection="1">
      <alignment horizontal="center" vertical="center" textRotation="90"/>
      <protection hidden="1"/>
    </xf>
    <xf numFmtId="0" fontId="102" fillId="9" borderId="26" xfId="0" applyFont="1" applyFill="1" applyBorder="1" applyAlignment="1" applyProtection="1">
      <alignment horizontal="center" vertical="center" textRotation="90"/>
      <protection hidden="1"/>
    </xf>
    <xf numFmtId="0" fontId="31" fillId="4" borderId="0" xfId="3" applyFill="1" applyBorder="1" applyAlignment="1" applyProtection="1">
      <alignment horizontal="center" vertical="center"/>
      <protection hidden="1"/>
    </xf>
    <xf numFmtId="0" fontId="120" fillId="9" borderId="37" xfId="0" applyFont="1" applyFill="1" applyBorder="1" applyAlignment="1" applyProtection="1">
      <alignment horizontal="center" vertical="center" wrapText="1"/>
      <protection hidden="1"/>
    </xf>
    <xf numFmtId="0" fontId="120" fillId="9" borderId="38" xfId="0" applyFont="1" applyFill="1" applyBorder="1" applyAlignment="1" applyProtection="1">
      <alignment horizontal="center" vertical="center" wrapText="1"/>
      <protection hidden="1"/>
    </xf>
    <xf numFmtId="0" fontId="120" fillId="9" borderId="32" xfId="0" applyFont="1" applyFill="1" applyBorder="1" applyAlignment="1" applyProtection="1">
      <alignment horizontal="center" vertical="center" wrapText="1"/>
      <protection hidden="1"/>
    </xf>
    <xf numFmtId="0" fontId="120" fillId="9" borderId="42" xfId="0" applyFont="1" applyFill="1" applyBorder="1" applyAlignment="1" applyProtection="1">
      <alignment horizontal="center" vertical="center" wrapText="1"/>
      <protection hidden="1"/>
    </xf>
    <xf numFmtId="0" fontId="120" fillId="9" borderId="2" xfId="0" applyFont="1" applyFill="1" applyBorder="1" applyAlignment="1" applyProtection="1">
      <alignment horizontal="center" vertical="center" wrapText="1"/>
      <protection hidden="1"/>
    </xf>
    <xf numFmtId="0" fontId="120" fillId="9" borderId="43" xfId="0" applyFont="1" applyFill="1" applyBorder="1" applyAlignment="1" applyProtection="1">
      <alignment horizontal="center" vertical="center" wrapText="1"/>
      <protection hidden="1"/>
    </xf>
    <xf numFmtId="0" fontId="102" fillId="9" borderId="19" xfId="0" applyFont="1" applyFill="1" applyBorder="1" applyAlignment="1" applyProtection="1">
      <alignment horizontal="center" vertical="center" textRotation="90"/>
      <protection hidden="1"/>
    </xf>
    <xf numFmtId="0" fontId="102" fillId="9" borderId="39" xfId="0" applyFont="1" applyFill="1" applyBorder="1" applyAlignment="1" applyProtection="1">
      <alignment horizontal="center" vertical="center" textRotation="90"/>
      <protection hidden="1"/>
    </xf>
    <xf numFmtId="0" fontId="102" fillId="9" borderId="1" xfId="0" applyFont="1" applyFill="1" applyBorder="1" applyAlignment="1" applyProtection="1">
      <alignment horizontal="center" vertical="center" textRotation="90"/>
      <protection hidden="1"/>
    </xf>
    <xf numFmtId="0" fontId="102" fillId="9" borderId="40" xfId="0" applyFont="1" applyFill="1" applyBorder="1" applyAlignment="1" applyProtection="1">
      <alignment horizontal="center" vertical="center" textRotation="90"/>
      <protection hidden="1"/>
    </xf>
    <xf numFmtId="0" fontId="119" fillId="10" borderId="21" xfId="0" applyFont="1" applyFill="1" applyBorder="1" applyAlignment="1" applyProtection="1">
      <alignment horizontal="center" vertical="center"/>
      <protection hidden="1"/>
    </xf>
    <xf numFmtId="0" fontId="119" fillId="10" borderId="0" xfId="0" applyFont="1" applyFill="1" applyBorder="1" applyAlignment="1" applyProtection="1">
      <alignment horizontal="center" vertical="center"/>
      <protection hidden="1"/>
    </xf>
    <xf numFmtId="0" fontId="119" fillId="10" borderId="51" xfId="0" applyFont="1" applyFill="1" applyBorder="1" applyAlignment="1" applyProtection="1">
      <alignment horizontal="center" vertical="center"/>
      <protection hidden="1"/>
    </xf>
    <xf numFmtId="0" fontId="16" fillId="10" borderId="28" xfId="0" applyFont="1" applyFill="1" applyBorder="1" applyAlignment="1" applyProtection="1">
      <alignment horizontal="center" vertical="center"/>
      <protection hidden="1"/>
    </xf>
    <xf numFmtId="0" fontId="16" fillId="10" borderId="100" xfId="0" applyFont="1" applyFill="1" applyBorder="1" applyAlignment="1" applyProtection="1">
      <alignment horizontal="center" vertical="center"/>
      <protection hidden="1"/>
    </xf>
    <xf numFmtId="0" fontId="16" fillId="10" borderId="29" xfId="0" applyFont="1" applyFill="1" applyBorder="1" applyAlignment="1" applyProtection="1">
      <alignment horizontal="center" vertical="center"/>
      <protection hidden="1"/>
    </xf>
    <xf numFmtId="0" fontId="120" fillId="21" borderId="37" xfId="0" applyFont="1" applyFill="1" applyBorder="1" applyAlignment="1" applyProtection="1">
      <alignment horizontal="center" vertical="center" wrapText="1"/>
      <protection hidden="1"/>
    </xf>
    <xf numFmtId="0" fontId="121" fillId="0" borderId="38" xfId="0" applyFont="1" applyBorder="1" applyProtection="1">
      <protection hidden="1"/>
    </xf>
    <xf numFmtId="0" fontId="121" fillId="0" borderId="32" xfId="0" applyFont="1" applyBorder="1" applyProtection="1">
      <protection hidden="1"/>
    </xf>
    <xf numFmtId="0" fontId="121" fillId="0" borderId="42" xfId="0" applyFont="1" applyBorder="1" applyProtection="1">
      <protection hidden="1"/>
    </xf>
    <xf numFmtId="0" fontId="121" fillId="0" borderId="2" xfId="0" applyFont="1" applyBorder="1" applyProtection="1">
      <protection hidden="1"/>
    </xf>
    <xf numFmtId="0" fontId="121" fillId="0" borderId="43" xfId="0" applyFont="1" applyBorder="1" applyProtection="1">
      <protection hidden="1"/>
    </xf>
    <xf numFmtId="0" fontId="120" fillId="21" borderId="38" xfId="0" applyFont="1" applyFill="1" applyBorder="1" applyAlignment="1" applyProtection="1">
      <alignment horizontal="center" vertical="center" wrapText="1"/>
      <protection hidden="1"/>
    </xf>
    <xf numFmtId="0" fontId="120" fillId="21" borderId="32" xfId="0" applyFont="1" applyFill="1" applyBorder="1" applyAlignment="1" applyProtection="1">
      <alignment horizontal="center" vertical="center" wrapText="1"/>
      <protection hidden="1"/>
    </xf>
    <xf numFmtId="0" fontId="120" fillId="21" borderId="42" xfId="0" applyFont="1" applyFill="1" applyBorder="1" applyAlignment="1" applyProtection="1">
      <alignment horizontal="center" vertical="center" wrapText="1"/>
      <protection hidden="1"/>
    </xf>
    <xf numFmtId="0" fontId="120" fillId="21" borderId="2" xfId="0" applyFont="1" applyFill="1" applyBorder="1" applyAlignment="1" applyProtection="1">
      <alignment horizontal="center" vertical="center" wrapText="1"/>
      <protection hidden="1"/>
    </xf>
    <xf numFmtId="0" fontId="120" fillId="21" borderId="43" xfId="0" applyFont="1" applyFill="1" applyBorder="1" applyAlignment="1" applyProtection="1">
      <alignment horizontal="center" vertical="center" wrapText="1"/>
      <protection hidden="1"/>
    </xf>
    <xf numFmtId="0" fontId="122" fillId="4" borderId="0" xfId="0" applyFont="1" applyFill="1" applyBorder="1" applyAlignment="1" applyProtection="1">
      <alignment horizontal="center" vertical="center"/>
      <protection hidden="1"/>
    </xf>
    <xf numFmtId="0" fontId="19" fillId="34" borderId="37" xfId="0" applyFont="1" applyFill="1" applyBorder="1" applyAlignment="1" applyProtection="1">
      <alignment horizontal="right" vertical="center"/>
      <protection hidden="1"/>
    </xf>
    <xf numFmtId="0" fontId="19" fillId="34" borderId="38" xfId="0" applyFont="1" applyFill="1" applyBorder="1" applyAlignment="1" applyProtection="1">
      <alignment horizontal="right" vertical="center"/>
      <protection hidden="1"/>
    </xf>
    <xf numFmtId="0" fontId="19" fillId="34" borderId="32" xfId="0" applyFont="1" applyFill="1" applyBorder="1" applyAlignment="1" applyProtection="1">
      <alignment horizontal="left" vertical="center"/>
      <protection hidden="1"/>
    </xf>
    <xf numFmtId="0" fontId="18" fillId="10" borderId="60" xfId="0" applyFont="1" applyFill="1" applyBorder="1" applyAlignment="1" applyProtection="1">
      <alignment horizontal="center" vertical="center"/>
      <protection hidden="1"/>
    </xf>
    <xf numFmtId="0" fontId="18" fillId="10" borderId="61" xfId="0" applyFont="1" applyFill="1" applyBorder="1" applyAlignment="1" applyProtection="1">
      <alignment horizontal="center" vertical="center"/>
      <protection hidden="1"/>
    </xf>
    <xf numFmtId="0" fontId="18" fillId="10" borderId="62" xfId="0" applyFont="1" applyFill="1" applyBorder="1" applyAlignment="1" applyProtection="1">
      <alignment horizontal="center" vertical="center"/>
      <protection hidden="1"/>
    </xf>
    <xf numFmtId="0" fontId="17" fillId="10" borderId="60" xfId="0" applyFont="1" applyFill="1" applyBorder="1" applyAlignment="1" applyProtection="1">
      <alignment horizontal="center" vertical="center"/>
      <protection hidden="1"/>
    </xf>
    <xf numFmtId="0" fontId="17" fillId="10" borderId="61" xfId="0" applyFont="1" applyFill="1" applyBorder="1" applyAlignment="1" applyProtection="1">
      <alignment horizontal="center" vertical="center"/>
      <protection hidden="1"/>
    </xf>
    <xf numFmtId="0" fontId="17" fillId="10" borderId="62" xfId="0" applyFont="1" applyFill="1" applyBorder="1" applyAlignment="1" applyProtection="1">
      <alignment horizontal="center" vertical="center"/>
      <protection hidden="1"/>
    </xf>
    <xf numFmtId="0" fontId="13" fillId="11" borderId="37" xfId="0" applyFont="1" applyFill="1" applyBorder="1" applyAlignment="1" applyProtection="1">
      <alignment horizontal="center" vertical="center"/>
      <protection hidden="1"/>
    </xf>
    <xf numFmtId="0" fontId="13" fillId="11" borderId="38" xfId="0" applyFont="1" applyFill="1" applyBorder="1" applyAlignment="1" applyProtection="1">
      <alignment horizontal="center" vertical="center"/>
      <protection hidden="1"/>
    </xf>
    <xf numFmtId="0" fontId="13" fillId="11" borderId="32" xfId="0" applyFont="1" applyFill="1" applyBorder="1" applyAlignment="1" applyProtection="1">
      <alignment horizontal="center" vertical="center"/>
      <protection hidden="1"/>
    </xf>
    <xf numFmtId="0" fontId="1" fillId="10" borderId="1" xfId="0" applyFont="1" applyFill="1" applyBorder="1" applyAlignment="1">
      <alignment horizontal="center"/>
    </xf>
    <xf numFmtId="0" fontId="13" fillId="9" borderId="1" xfId="0" applyFont="1" applyFill="1" applyBorder="1" applyAlignment="1">
      <alignment horizontal="center" vertical="center"/>
    </xf>
    <xf numFmtId="0" fontId="13" fillId="20" borderId="1" xfId="0" applyFont="1" applyFill="1" applyBorder="1" applyAlignment="1">
      <alignment horizontal="center" wrapText="1"/>
    </xf>
    <xf numFmtId="0" fontId="0" fillId="4" borderId="38" xfId="0" applyFill="1" applyBorder="1" applyAlignment="1" applyProtection="1">
      <alignment horizontal="center"/>
    </xf>
    <xf numFmtId="0" fontId="0" fillId="4" borderId="0" xfId="0" applyFill="1" applyBorder="1" applyAlignment="1" applyProtection="1">
      <alignment horizontal="center"/>
    </xf>
    <xf numFmtId="0" fontId="102" fillId="33" borderId="100" xfId="0" applyFont="1" applyFill="1" applyBorder="1" applyAlignment="1" applyProtection="1">
      <alignment horizontal="left" vertical="center"/>
    </xf>
    <xf numFmtId="0" fontId="102" fillId="33" borderId="29" xfId="0" applyFont="1" applyFill="1" applyBorder="1" applyAlignment="1" applyProtection="1">
      <alignment horizontal="left" vertical="center"/>
    </xf>
    <xf numFmtId="0" fontId="1" fillId="4" borderId="100" xfId="0" applyFont="1" applyFill="1" applyBorder="1" applyAlignment="1" applyProtection="1">
      <alignment horizontal="center"/>
    </xf>
    <xf numFmtId="0" fontId="3" fillId="10" borderId="75" xfId="0" applyFont="1" applyFill="1" applyBorder="1" applyAlignment="1" applyProtection="1">
      <alignment horizontal="center" vertical="center"/>
    </xf>
    <xf numFmtId="0" fontId="3" fillId="10" borderId="53" xfId="0" applyFont="1" applyFill="1" applyBorder="1" applyAlignment="1" applyProtection="1">
      <alignment horizontal="center" vertical="center"/>
    </xf>
    <xf numFmtId="0" fontId="92" fillId="12" borderId="37" xfId="0" applyFont="1" applyFill="1" applyBorder="1" applyAlignment="1" applyProtection="1">
      <alignment horizontal="center"/>
    </xf>
    <xf numFmtId="0" fontId="92" fillId="12" borderId="38" xfId="0" applyFont="1" applyFill="1" applyBorder="1" applyAlignment="1" applyProtection="1">
      <alignment horizontal="center"/>
    </xf>
    <xf numFmtId="0" fontId="92" fillId="12" borderId="32" xfId="0" applyFont="1" applyFill="1" applyBorder="1" applyAlignment="1" applyProtection="1">
      <alignment horizontal="center"/>
    </xf>
    <xf numFmtId="0" fontId="0" fillId="3" borderId="150" xfId="0" applyFill="1" applyBorder="1" applyAlignment="1" applyProtection="1">
      <alignment horizontal="center"/>
    </xf>
    <xf numFmtId="0" fontId="100" fillId="12" borderId="37" xfId="0" applyFont="1" applyFill="1" applyBorder="1" applyAlignment="1" applyProtection="1">
      <alignment horizontal="center" vertical="center"/>
    </xf>
    <xf numFmtId="0" fontId="100" fillId="12" borderId="38" xfId="0" applyFont="1" applyFill="1" applyBorder="1" applyAlignment="1" applyProtection="1">
      <alignment horizontal="center" vertical="center"/>
    </xf>
    <xf numFmtId="0" fontId="100" fillId="12" borderId="32" xfId="0" applyFont="1" applyFill="1" applyBorder="1" applyAlignment="1" applyProtection="1">
      <alignment horizontal="center" vertical="center"/>
    </xf>
    <xf numFmtId="0" fontId="100" fillId="12" borderId="21" xfId="0" applyFont="1" applyFill="1" applyBorder="1" applyAlignment="1" applyProtection="1">
      <alignment horizontal="center" vertical="center"/>
    </xf>
    <xf numFmtId="0" fontId="100" fillId="12" borderId="0" xfId="0" applyFont="1" applyFill="1" applyBorder="1" applyAlignment="1" applyProtection="1">
      <alignment horizontal="center" vertical="center"/>
    </xf>
    <xf numFmtId="0" fontId="100" fillId="12" borderId="51" xfId="0" applyFont="1" applyFill="1" applyBorder="1" applyAlignment="1" applyProtection="1">
      <alignment horizontal="center" vertical="center"/>
    </xf>
    <xf numFmtId="0" fontId="100" fillId="12" borderId="147" xfId="0" applyFont="1" applyFill="1" applyBorder="1" applyAlignment="1" applyProtection="1">
      <alignment horizontal="center" vertical="center"/>
    </xf>
    <xf numFmtId="0" fontId="100" fillId="12" borderId="145" xfId="0" applyFont="1" applyFill="1" applyBorder="1" applyAlignment="1" applyProtection="1">
      <alignment horizontal="center" vertical="center"/>
    </xf>
    <xf numFmtId="0" fontId="100" fillId="12" borderId="148" xfId="0" applyFont="1" applyFill="1" applyBorder="1" applyAlignment="1" applyProtection="1">
      <alignment horizontal="center" vertical="center"/>
    </xf>
    <xf numFmtId="0" fontId="45" fillId="10" borderId="37" xfId="0" applyFont="1" applyFill="1" applyBorder="1" applyAlignment="1" applyProtection="1">
      <alignment horizontal="center" vertical="center"/>
      <protection locked="0"/>
    </xf>
    <xf numFmtId="0" fontId="45" fillId="10" borderId="38" xfId="0" applyFont="1" applyFill="1" applyBorder="1" applyAlignment="1" applyProtection="1">
      <alignment horizontal="center" vertical="center"/>
      <protection locked="0"/>
    </xf>
    <xf numFmtId="0" fontId="45" fillId="10" borderId="32" xfId="0" applyFont="1" applyFill="1" applyBorder="1" applyAlignment="1" applyProtection="1">
      <alignment horizontal="center" vertical="center"/>
      <protection locked="0"/>
    </xf>
    <xf numFmtId="0" fontId="45" fillId="10" borderId="21" xfId="0" applyFont="1" applyFill="1" applyBorder="1" applyAlignment="1" applyProtection="1">
      <alignment horizontal="center" vertical="center"/>
      <protection locked="0"/>
    </xf>
    <xf numFmtId="0" fontId="45" fillId="10" borderId="0" xfId="0" applyFont="1" applyFill="1" applyBorder="1" applyAlignment="1" applyProtection="1">
      <alignment horizontal="center" vertical="center"/>
      <protection locked="0"/>
    </xf>
    <xf numFmtId="0" fontId="45" fillId="10" borderId="51" xfId="0" applyFont="1" applyFill="1" applyBorder="1" applyAlignment="1" applyProtection="1">
      <alignment horizontal="center" vertical="center"/>
      <protection locked="0"/>
    </xf>
    <xf numFmtId="0" fontId="45" fillId="10" borderId="42" xfId="0" applyFont="1" applyFill="1" applyBorder="1" applyAlignment="1" applyProtection="1">
      <alignment horizontal="center" vertical="center"/>
      <protection locked="0"/>
    </xf>
    <xf numFmtId="0" fontId="45" fillId="10" borderId="2" xfId="0" applyFont="1" applyFill="1" applyBorder="1" applyAlignment="1" applyProtection="1">
      <alignment horizontal="center" vertical="center"/>
      <protection locked="0"/>
    </xf>
    <xf numFmtId="0" fontId="45" fillId="10" borderId="43" xfId="0" applyFont="1" applyFill="1" applyBorder="1" applyAlignment="1" applyProtection="1">
      <alignment horizontal="center" vertical="center"/>
      <protection locked="0"/>
    </xf>
    <xf numFmtId="0" fontId="93" fillId="12" borderId="21" xfId="0" applyFont="1" applyFill="1" applyBorder="1" applyAlignment="1" applyProtection="1">
      <alignment horizontal="center"/>
    </xf>
    <xf numFmtId="0" fontId="93" fillId="12" borderId="0" xfId="0" applyFont="1" applyFill="1" applyBorder="1" applyAlignment="1" applyProtection="1">
      <alignment horizontal="center"/>
    </xf>
    <xf numFmtId="0" fontId="93" fillId="12" borderId="51" xfId="0" applyFont="1" applyFill="1" applyBorder="1" applyAlignment="1" applyProtection="1">
      <alignment horizontal="center"/>
    </xf>
    <xf numFmtId="0" fontId="13" fillId="12" borderId="21" xfId="0" applyFont="1" applyFill="1" applyBorder="1" applyAlignment="1" applyProtection="1">
      <alignment horizontal="center"/>
    </xf>
    <xf numFmtId="0" fontId="0" fillId="0" borderId="0" xfId="0" applyBorder="1"/>
    <xf numFmtId="0" fontId="0" fillId="0" borderId="51" xfId="0" applyBorder="1"/>
    <xf numFmtId="0" fontId="90" fillId="3" borderId="0" xfId="0" applyFont="1" applyFill="1" applyBorder="1" applyAlignment="1" applyProtection="1">
      <alignment horizontal="left" vertical="center"/>
    </xf>
    <xf numFmtId="0" fontId="90" fillId="3" borderId="51" xfId="0" applyFont="1" applyFill="1" applyBorder="1" applyAlignment="1" applyProtection="1">
      <alignment horizontal="left" vertical="center"/>
    </xf>
    <xf numFmtId="0" fontId="95" fillId="3" borderId="0" xfId="0" applyFont="1" applyFill="1" applyBorder="1" applyAlignment="1" applyProtection="1">
      <alignment horizontal="left" vertical="top" wrapText="1"/>
    </xf>
    <xf numFmtId="0" fontId="95" fillId="3" borderId="51" xfId="0" applyFont="1" applyFill="1" applyBorder="1" applyAlignment="1" applyProtection="1">
      <alignment horizontal="left" vertical="top" wrapText="1"/>
    </xf>
    <xf numFmtId="0" fontId="95" fillId="3" borderId="21" xfId="0" quotePrefix="1" applyFont="1" applyFill="1" applyBorder="1" applyAlignment="1" applyProtection="1">
      <alignment horizontal="right" vertical="top" wrapText="1"/>
    </xf>
    <xf numFmtId="0" fontId="95" fillId="3" borderId="147" xfId="0" quotePrefix="1" applyFont="1" applyFill="1" applyBorder="1" applyAlignment="1" applyProtection="1">
      <alignment horizontal="right" vertical="top" wrapText="1"/>
    </xf>
    <xf numFmtId="0" fontId="95" fillId="3" borderId="145" xfId="0" applyFont="1" applyFill="1" applyBorder="1" applyAlignment="1" applyProtection="1">
      <alignment horizontal="left" vertical="top" wrapText="1"/>
    </xf>
    <xf numFmtId="0" fontId="12" fillId="26" borderId="21" xfId="0" applyFont="1" applyFill="1" applyBorder="1" applyAlignment="1" applyProtection="1">
      <alignment horizontal="center" vertical="center"/>
    </xf>
    <xf numFmtId="0" fontId="12" fillId="26" borderId="0" xfId="0" applyFont="1" applyFill="1" applyBorder="1" applyAlignment="1" applyProtection="1">
      <alignment horizontal="center" vertical="center"/>
    </xf>
    <xf numFmtId="0" fontId="12" fillId="26" borderId="51" xfId="0" applyFont="1" applyFill="1" applyBorder="1" applyAlignment="1" applyProtection="1">
      <alignment horizontal="center" vertical="center"/>
    </xf>
    <xf numFmtId="0" fontId="12" fillId="26" borderId="149" xfId="0" applyFont="1" applyFill="1" applyBorder="1" applyAlignment="1" applyProtection="1">
      <alignment horizontal="center" vertical="center"/>
    </xf>
    <xf numFmtId="0" fontId="12" fillId="26" borderId="143" xfId="0" applyFont="1" applyFill="1" applyBorder="1" applyAlignment="1" applyProtection="1">
      <alignment horizontal="center" vertical="center"/>
    </xf>
    <xf numFmtId="0" fontId="12" fillId="26" borderId="144" xfId="0" applyFont="1" applyFill="1" applyBorder="1" applyAlignment="1" applyProtection="1">
      <alignment horizontal="center" vertical="center"/>
    </xf>
    <xf numFmtId="0" fontId="95" fillId="3" borderId="145" xfId="0" applyFont="1" applyFill="1" applyBorder="1" applyAlignment="1" applyProtection="1">
      <alignment horizontal="center" vertical="top" wrapText="1"/>
    </xf>
    <xf numFmtId="0" fontId="95" fillId="3" borderId="148" xfId="0" applyFont="1" applyFill="1" applyBorder="1" applyAlignment="1" applyProtection="1">
      <alignment horizontal="center" vertical="top" wrapText="1"/>
    </xf>
    <xf numFmtId="0" fontId="97" fillId="32" borderId="0" xfId="0" applyFont="1" applyFill="1" applyBorder="1" applyAlignment="1" applyProtection="1">
      <alignment horizontal="right" vertical="center"/>
    </xf>
    <xf numFmtId="0" fontId="13" fillId="12" borderId="42" xfId="0" applyFont="1" applyFill="1" applyBorder="1" applyAlignment="1" applyProtection="1">
      <alignment horizontal="center"/>
    </xf>
    <xf numFmtId="0" fontId="13" fillId="12" borderId="2" xfId="0" applyFont="1" applyFill="1" applyBorder="1" applyAlignment="1" applyProtection="1">
      <alignment horizontal="center"/>
    </xf>
    <xf numFmtId="0" fontId="13" fillId="12" borderId="43" xfId="0" applyFont="1" applyFill="1" applyBorder="1" applyAlignment="1" applyProtection="1">
      <alignment horizontal="center"/>
    </xf>
    <xf numFmtId="0" fontId="94" fillId="11" borderId="28" xfId="0" applyFont="1" applyFill="1" applyBorder="1" applyAlignment="1" applyProtection="1">
      <alignment horizontal="center" vertical="top"/>
    </xf>
    <xf numFmtId="0" fontId="94" fillId="11" borderId="100" xfId="0" applyFont="1" applyFill="1" applyBorder="1" applyAlignment="1" applyProtection="1">
      <alignment horizontal="center" vertical="top"/>
    </xf>
    <xf numFmtId="0" fontId="94" fillId="11" borderId="29" xfId="0" applyFont="1" applyFill="1" applyBorder="1" applyAlignment="1" applyProtection="1">
      <alignment horizontal="center" vertical="top"/>
    </xf>
    <xf numFmtId="0" fontId="95" fillId="3" borderId="0" xfId="0" applyFont="1" applyFill="1" applyBorder="1" applyAlignment="1" applyProtection="1">
      <alignment horizontal="left"/>
    </xf>
    <xf numFmtId="0" fontId="95" fillId="3" borderId="51" xfId="0" applyFont="1" applyFill="1" applyBorder="1" applyAlignment="1" applyProtection="1">
      <alignment horizontal="left"/>
    </xf>
    <xf numFmtId="0" fontId="95" fillId="3" borderId="21" xfId="0" quotePrefix="1" applyFont="1" applyFill="1" applyBorder="1" applyAlignment="1" applyProtection="1">
      <alignment horizontal="right" vertical="center"/>
    </xf>
    <xf numFmtId="0" fontId="95" fillId="3" borderId="21" xfId="0" applyFont="1" applyFill="1" applyBorder="1" applyAlignment="1" applyProtection="1">
      <alignment horizontal="right" vertical="center"/>
    </xf>
    <xf numFmtId="0" fontId="95" fillId="3" borderId="0" xfId="0" applyFont="1" applyFill="1" applyBorder="1" applyAlignment="1" applyProtection="1">
      <alignment horizontal="left" vertical="center"/>
    </xf>
    <xf numFmtId="0" fontId="95" fillId="3" borderId="51" xfId="0" applyFont="1" applyFill="1" applyBorder="1" applyAlignment="1" applyProtection="1">
      <alignment horizontal="left" vertical="center"/>
    </xf>
    <xf numFmtId="0" fontId="0" fillId="0" borderId="11" xfId="0" applyFill="1" applyBorder="1" applyAlignment="1" applyProtection="1">
      <alignment horizontal="center"/>
      <protection locked="0"/>
    </xf>
    <xf numFmtId="0" fontId="0" fillId="0" borderId="95" xfId="0" applyFill="1" applyBorder="1" applyAlignment="1" applyProtection="1">
      <alignment horizontal="center"/>
      <protection locked="0"/>
    </xf>
    <xf numFmtId="0" fontId="0" fillId="0" borderId="92" xfId="0" applyFill="1" applyBorder="1" applyAlignment="1" applyProtection="1">
      <alignment horizontal="center"/>
      <protection locked="0"/>
    </xf>
    <xf numFmtId="0" fontId="0" fillId="0" borderId="98" xfId="0" applyFill="1" applyBorder="1" applyAlignment="1" applyProtection="1">
      <alignment horizontal="center"/>
      <protection locked="0"/>
    </xf>
    <xf numFmtId="0" fontId="0" fillId="0" borderId="12" xfId="0" applyFill="1" applyBorder="1" applyAlignment="1" applyProtection="1">
      <alignment horizontal="center"/>
      <protection locked="0"/>
    </xf>
    <xf numFmtId="0" fontId="0" fillId="0" borderId="52" xfId="0" applyFill="1" applyBorder="1" applyAlignment="1" applyProtection="1">
      <alignment horizontal="center"/>
      <protection locked="0"/>
    </xf>
    <xf numFmtId="0" fontId="95" fillId="3" borderId="21" xfId="0" quotePrefix="1" applyFont="1" applyFill="1" applyBorder="1" applyAlignment="1" applyProtection="1">
      <alignment horizontal="right" vertical="top"/>
    </xf>
    <xf numFmtId="0" fontId="95" fillId="3" borderId="21" xfId="0" applyFont="1" applyFill="1" applyBorder="1" applyAlignment="1" applyProtection="1">
      <alignment horizontal="right" vertical="top"/>
    </xf>
    <xf numFmtId="0" fontId="0" fillId="3" borderId="151" xfId="0" applyFill="1" applyBorder="1" applyAlignment="1" applyProtection="1">
      <alignment horizontal="center"/>
    </xf>
    <xf numFmtId="0" fontId="96" fillId="32" borderId="21" xfId="0" applyFont="1" applyFill="1" applyBorder="1" applyAlignment="1" applyProtection="1">
      <alignment horizontal="right" vertical="center" indent="1"/>
    </xf>
    <xf numFmtId="0" fontId="96" fillId="32" borderId="0" xfId="0" applyFont="1" applyFill="1" applyBorder="1" applyAlignment="1" applyProtection="1">
      <alignment horizontal="right" vertical="center" indent="1"/>
    </xf>
    <xf numFmtId="0" fontId="96" fillId="32" borderId="51" xfId="0" applyFont="1" applyFill="1" applyBorder="1" applyAlignment="1" applyProtection="1">
      <alignment horizontal="right" vertical="center" indent="1"/>
    </xf>
    <xf numFmtId="0" fontId="96" fillId="32" borderId="42" xfId="0" applyFont="1" applyFill="1" applyBorder="1" applyAlignment="1" applyProtection="1">
      <alignment horizontal="right" vertical="center" indent="1"/>
    </xf>
    <xf numFmtId="0" fontId="96" fillId="32" borderId="2" xfId="0" applyFont="1" applyFill="1" applyBorder="1" applyAlignment="1" applyProtection="1">
      <alignment horizontal="right" vertical="center" indent="1"/>
    </xf>
    <xf numFmtId="0" fontId="96" fillId="32" borderId="43" xfId="0" applyFont="1" applyFill="1" applyBorder="1" applyAlignment="1" applyProtection="1">
      <alignment horizontal="right" vertical="center" indent="1"/>
    </xf>
    <xf numFmtId="0" fontId="97" fillId="32" borderId="0" xfId="0" applyFont="1" applyFill="1" applyBorder="1" applyAlignment="1" applyProtection="1">
      <alignment horizontal="right" vertical="top"/>
    </xf>
    <xf numFmtId="0" fontId="101" fillId="32" borderId="21" xfId="0" applyFont="1" applyFill="1" applyBorder="1" applyAlignment="1" applyProtection="1">
      <alignment horizontal="right"/>
    </xf>
    <xf numFmtId="0" fontId="0" fillId="0" borderId="0" xfId="0"/>
    <xf numFmtId="0" fontId="0" fillId="0" borderId="21" xfId="0" applyBorder="1"/>
    <xf numFmtId="0" fontId="99" fillId="32" borderId="42" xfId="0" applyFont="1" applyFill="1" applyBorder="1" applyAlignment="1" applyProtection="1">
      <alignment horizontal="right" vertical="center"/>
    </xf>
    <xf numFmtId="0" fontId="99" fillId="32" borderId="2" xfId="0" applyFont="1" applyFill="1" applyBorder="1" applyAlignment="1" applyProtection="1">
      <alignment horizontal="right" vertical="center"/>
    </xf>
    <xf numFmtId="0" fontId="101" fillId="32" borderId="0" xfId="0" applyFont="1" applyFill="1" applyBorder="1" applyAlignment="1" applyProtection="1">
      <alignment horizontal="right"/>
    </xf>
    <xf numFmtId="0" fontId="0" fillId="4" borderId="0" xfId="0" applyFill="1" applyAlignment="1" applyProtection="1">
      <alignment horizontal="center"/>
    </xf>
    <xf numFmtId="0" fontId="0" fillId="0" borderId="0" xfId="0" applyFill="1" applyBorder="1" applyAlignment="1">
      <alignment horizontal="left"/>
    </xf>
    <xf numFmtId="0" fontId="0" fillId="0" borderId="92" xfId="0" applyFill="1" applyBorder="1" applyAlignment="1" applyProtection="1">
      <alignment horizontal="left" indent="1"/>
    </xf>
    <xf numFmtId="0" fontId="0" fillId="0" borderId="0" xfId="0" applyFill="1" applyBorder="1" applyAlignment="1" applyProtection="1">
      <alignment horizontal="left" indent="1"/>
    </xf>
    <xf numFmtId="0" fontId="0" fillId="0" borderId="9" xfId="0" applyFont="1" applyFill="1" applyBorder="1" applyAlignment="1" applyProtection="1">
      <alignment horizontal="center"/>
    </xf>
    <xf numFmtId="0" fontId="0" fillId="0" borderId="0" xfId="0" applyFill="1" applyBorder="1" applyAlignment="1" applyProtection="1">
      <alignment horizontal="left"/>
    </xf>
    <xf numFmtId="0" fontId="0" fillId="0" borderId="0" xfId="0" applyFont="1" applyFill="1" applyBorder="1" applyAlignment="1" applyProtection="1">
      <alignment horizontal="left" indent="1"/>
    </xf>
    <xf numFmtId="0" fontId="0" fillId="0" borderId="98" xfId="0" applyFont="1" applyFill="1" applyBorder="1" applyAlignment="1" applyProtection="1">
      <alignment horizontal="left" indent="1"/>
    </xf>
    <xf numFmtId="0" fontId="0" fillId="0" borderId="92" xfId="0" applyFont="1" applyFill="1" applyBorder="1" applyAlignment="1" applyProtection="1">
      <alignment horizontal="center"/>
    </xf>
    <xf numFmtId="0" fontId="0" fillId="0" borderId="98" xfId="0" applyFont="1" applyFill="1" applyBorder="1" applyAlignment="1" applyProtection="1">
      <alignment horizontal="center"/>
    </xf>
    <xf numFmtId="0" fontId="0" fillId="0" borderId="12" xfId="0" applyFont="1" applyFill="1" applyBorder="1" applyAlignment="1" applyProtection="1">
      <alignment horizontal="center"/>
    </xf>
    <xf numFmtId="0" fontId="0" fillId="0" borderId="52" xfId="0" applyFont="1" applyFill="1" applyBorder="1" applyAlignment="1" applyProtection="1">
      <alignment horizontal="center"/>
    </xf>
    <xf numFmtId="0" fontId="1" fillId="0" borderId="11" xfId="0" applyFont="1" applyFill="1" applyBorder="1" applyAlignment="1" applyProtection="1">
      <alignment horizontal="center"/>
    </xf>
    <xf numFmtId="0" fontId="1" fillId="0" borderId="95" xfId="0" applyFont="1" applyFill="1" applyBorder="1" applyAlignment="1" applyProtection="1">
      <alignment horizontal="center"/>
    </xf>
    <xf numFmtId="0" fontId="0" fillId="0" borderId="10" xfId="0" applyFont="1" applyFill="1" applyBorder="1" applyAlignment="1" applyProtection="1">
      <alignment horizontal="center"/>
    </xf>
    <xf numFmtId="0" fontId="55" fillId="0" borderId="0" xfId="0" applyFont="1" applyFill="1" applyBorder="1" applyAlignment="1" applyProtection="1">
      <alignment horizontal="center"/>
    </xf>
    <xf numFmtId="0" fontId="3" fillId="0" borderId="11" xfId="0" applyFont="1" applyFill="1" applyBorder="1" applyAlignment="1" applyProtection="1">
      <alignment horizontal="center" vertical="center"/>
    </xf>
    <xf numFmtId="0" fontId="3" fillId="0" borderId="13" xfId="0" applyFont="1" applyFill="1" applyBorder="1" applyAlignment="1" applyProtection="1">
      <alignment horizontal="center" vertical="center"/>
    </xf>
    <xf numFmtId="0" fontId="3" fillId="0" borderId="12" xfId="0" applyFont="1" applyFill="1" applyBorder="1" applyAlignment="1" applyProtection="1">
      <alignment horizontal="center" vertical="center"/>
    </xf>
    <xf numFmtId="0" fontId="3" fillId="0" borderId="10" xfId="0" applyFont="1" applyFill="1" applyBorder="1" applyAlignment="1" applyProtection="1">
      <alignment horizontal="center" vertical="center"/>
    </xf>
    <xf numFmtId="0" fontId="3" fillId="0" borderId="95" xfId="0" applyFont="1" applyFill="1" applyBorder="1" applyAlignment="1" applyProtection="1">
      <alignment horizontal="center" vertical="center"/>
    </xf>
    <xf numFmtId="0" fontId="3" fillId="0" borderId="52" xfId="0" applyFont="1" applyFill="1" applyBorder="1" applyAlignment="1" applyProtection="1">
      <alignment horizontal="center" vertical="center"/>
    </xf>
    <xf numFmtId="0" fontId="0" fillId="0" borderId="122" xfId="0" applyFont="1" applyFill="1" applyBorder="1" applyAlignment="1" applyProtection="1">
      <alignment horizontal="center" vertical="top"/>
    </xf>
    <xf numFmtId="0" fontId="1" fillId="0" borderId="1" xfId="0" applyFont="1" applyFill="1" applyBorder="1" applyAlignment="1" applyProtection="1">
      <alignment horizontal="center"/>
    </xf>
    <xf numFmtId="0" fontId="0" fillId="0" borderId="11" xfId="0" applyFill="1" applyBorder="1" applyAlignment="1" applyProtection="1">
      <alignment horizontal="left" indent="1"/>
    </xf>
    <xf numFmtId="0" fontId="0" fillId="0" borderId="13" xfId="0" applyFont="1" applyFill="1" applyBorder="1" applyAlignment="1" applyProtection="1">
      <alignment horizontal="left" indent="1"/>
    </xf>
    <xf numFmtId="0" fontId="0" fillId="0" borderId="95" xfId="0" applyFont="1" applyFill="1" applyBorder="1" applyAlignment="1" applyProtection="1">
      <alignment horizontal="left" indent="1"/>
    </xf>
    <xf numFmtId="0" fontId="0" fillId="0" borderId="92" xfId="0" applyFont="1" applyFill="1" applyBorder="1" applyAlignment="1" applyProtection="1">
      <alignment horizontal="left" indent="1"/>
    </xf>
    <xf numFmtId="0" fontId="4" fillId="0" borderId="92" xfId="0" applyFont="1" applyFill="1" applyBorder="1" applyAlignment="1" applyProtection="1">
      <alignment horizontal="left" vertical="center" wrapText="1" indent="1"/>
    </xf>
    <xf numFmtId="0" fontId="4" fillId="0" borderId="0" xfId="0" applyFont="1" applyFill="1" applyBorder="1" applyAlignment="1" applyProtection="1">
      <alignment horizontal="left" vertical="center" wrapText="1" indent="1"/>
    </xf>
    <xf numFmtId="0" fontId="4" fillId="0" borderId="98" xfId="0" applyFont="1" applyFill="1" applyBorder="1" applyAlignment="1" applyProtection="1">
      <alignment horizontal="left" vertical="center" wrapText="1" indent="1"/>
    </xf>
    <xf numFmtId="0" fontId="33" fillId="0" borderId="92" xfId="0" applyFont="1" applyFill="1" applyBorder="1" applyAlignment="1" applyProtection="1">
      <alignment horizontal="left" indent="1"/>
    </xf>
    <xf numFmtId="0" fontId="33" fillId="0" borderId="0" xfId="0" applyFont="1" applyFill="1" applyBorder="1" applyAlignment="1" applyProtection="1">
      <alignment horizontal="left" indent="1"/>
    </xf>
    <xf numFmtId="0" fontId="33" fillId="0" borderId="98" xfId="0" applyFont="1" applyFill="1" applyBorder="1" applyAlignment="1" applyProtection="1">
      <alignment horizontal="left" indent="1"/>
    </xf>
    <xf numFmtId="0" fontId="10" fillId="0" borderId="112" xfId="0" applyFont="1" applyFill="1" applyBorder="1" applyAlignment="1" applyProtection="1">
      <alignment horizontal="center"/>
    </xf>
    <xf numFmtId="0" fontId="10" fillId="0" borderId="0" xfId="0" applyFont="1" applyFill="1" applyBorder="1" applyAlignment="1" applyProtection="1">
      <alignment horizontal="center"/>
    </xf>
    <xf numFmtId="0" fontId="10" fillId="0" borderId="113" xfId="0" applyFont="1" applyFill="1" applyBorder="1" applyAlignment="1" applyProtection="1">
      <alignment horizontal="center"/>
    </xf>
    <xf numFmtId="0" fontId="10" fillId="0" borderId="0" xfId="0" applyFont="1" applyFill="1" applyBorder="1" applyAlignment="1" applyProtection="1">
      <alignment horizontal="left"/>
      <protection locked="0"/>
    </xf>
    <xf numFmtId="0" fontId="10" fillId="0" borderId="0" xfId="0" applyFont="1" applyFill="1" applyBorder="1" applyAlignment="1" applyProtection="1">
      <alignment horizontal="left"/>
    </xf>
    <xf numFmtId="0" fontId="10" fillId="0" borderId="0" xfId="0" applyFont="1" applyFill="1" applyBorder="1" applyAlignment="1" applyProtection="1">
      <alignment horizontal="left" vertical="center"/>
    </xf>
    <xf numFmtId="0" fontId="1" fillId="0" borderId="1" xfId="0" applyFont="1" applyFill="1" applyBorder="1" applyAlignment="1" applyProtection="1">
      <alignment horizontal="center" vertical="center" wrapText="1"/>
    </xf>
    <xf numFmtId="0" fontId="0" fillId="0" borderId="0" xfId="0" applyFont="1" applyFill="1" applyBorder="1" applyAlignment="1" applyProtection="1">
      <alignment horizontal="left" vertical="top"/>
    </xf>
    <xf numFmtId="0" fontId="3" fillId="0" borderId="1" xfId="0" applyFont="1" applyFill="1" applyBorder="1" applyAlignment="1" applyProtection="1">
      <alignment horizontal="center"/>
    </xf>
    <xf numFmtId="0" fontId="59" fillId="0" borderId="0" xfId="0" applyFont="1" applyFill="1" applyBorder="1" applyAlignment="1" applyProtection="1">
      <alignment horizontal="left"/>
    </xf>
    <xf numFmtId="0" fontId="51" fillId="0" borderId="11" xfId="0" applyFont="1" applyFill="1" applyBorder="1" applyAlignment="1" applyProtection="1">
      <alignment horizontal="center" vertical="center"/>
    </xf>
    <xf numFmtId="0" fontId="51" fillId="0" borderId="13" xfId="0" applyFont="1" applyFill="1" applyBorder="1" applyAlignment="1" applyProtection="1">
      <alignment horizontal="center" vertical="center"/>
    </xf>
    <xf numFmtId="0" fontId="51" fillId="0" borderId="95" xfId="0" applyFont="1" applyFill="1" applyBorder="1" applyAlignment="1" applyProtection="1">
      <alignment horizontal="center" vertical="center"/>
    </xf>
    <xf numFmtId="0" fontId="51" fillId="0" borderId="12" xfId="0" applyFont="1" applyFill="1" applyBorder="1" applyAlignment="1" applyProtection="1">
      <alignment horizontal="center" vertical="center"/>
    </xf>
    <xf numFmtId="0" fontId="51" fillId="0" borderId="10" xfId="0" applyFont="1" applyFill="1" applyBorder="1" applyAlignment="1" applyProtection="1">
      <alignment horizontal="center" vertical="center"/>
    </xf>
    <xf numFmtId="0" fontId="51" fillId="0" borderId="52" xfId="0" applyFont="1" applyFill="1" applyBorder="1" applyAlignment="1" applyProtection="1">
      <alignment horizontal="center" vertical="center"/>
    </xf>
    <xf numFmtId="0" fontId="10" fillId="0" borderId="0" xfId="0" applyFont="1" applyFill="1" applyBorder="1" applyAlignment="1" applyProtection="1">
      <alignment horizontal="left" vertical="center" indent="6"/>
    </xf>
    <xf numFmtId="0" fontId="70" fillId="0" borderId="0" xfId="0" applyFont="1" applyFill="1" applyBorder="1" applyAlignment="1" applyProtection="1">
      <alignment horizontal="center" vertical="center"/>
    </xf>
    <xf numFmtId="0" fontId="83" fillId="0" borderId="0" xfId="0" applyFont="1" applyFill="1" applyBorder="1" applyAlignment="1" applyProtection="1">
      <alignment horizontal="right"/>
    </xf>
    <xf numFmtId="0" fontId="3" fillId="0" borderId="0" xfId="0" applyFont="1" applyFill="1" applyBorder="1" applyAlignment="1" applyProtection="1">
      <alignment horizontal="center" vertical="center"/>
    </xf>
    <xf numFmtId="0" fontId="0" fillId="4" borderId="2" xfId="0" applyFill="1" applyBorder="1" applyAlignment="1" applyProtection="1">
      <alignment horizontal="center"/>
    </xf>
    <xf numFmtId="0" fontId="47" fillId="4" borderId="0" xfId="0" applyFont="1" applyFill="1" applyAlignment="1" applyProtection="1">
      <alignment horizontal="center"/>
    </xf>
    <xf numFmtId="0" fontId="69" fillId="0" borderId="0" xfId="0" applyFont="1" applyFill="1" applyBorder="1" applyAlignment="1" applyProtection="1">
      <alignment horizontal="center"/>
    </xf>
    <xf numFmtId="0" fontId="69" fillId="0" borderId="0" xfId="0" applyFont="1" applyFill="1" applyBorder="1" applyAlignment="1" applyProtection="1">
      <alignment horizontal="center" vertical="top"/>
    </xf>
    <xf numFmtId="0" fontId="10" fillId="0" borderId="0" xfId="0" applyNumberFormat="1" applyFont="1" applyFill="1" applyBorder="1" applyAlignment="1" applyProtection="1">
      <alignment horizontal="left" vertical="center"/>
    </xf>
    <xf numFmtId="0" fontId="43" fillId="0" borderId="5" xfId="0" applyFont="1" applyFill="1" applyBorder="1" applyAlignment="1" applyProtection="1">
      <alignment horizontal="left" vertical="center" indent="1"/>
      <protection hidden="1"/>
    </xf>
    <xf numFmtId="0" fontId="43" fillId="0" borderId="9" xfId="0" applyFont="1" applyFill="1" applyBorder="1" applyAlignment="1" applyProtection="1">
      <alignment horizontal="left" vertical="center" indent="1"/>
      <protection hidden="1"/>
    </xf>
    <xf numFmtId="0" fontId="1" fillId="14" borderId="103" xfId="0" applyFont="1" applyFill="1" applyBorder="1" applyAlignment="1" applyProtection="1">
      <alignment horizontal="center" vertical="center"/>
      <protection hidden="1"/>
    </xf>
    <xf numFmtId="0" fontId="1" fillId="14" borderId="104" xfId="0" applyFont="1" applyFill="1" applyBorder="1" applyAlignment="1" applyProtection="1">
      <alignment horizontal="center" vertical="center"/>
      <protection hidden="1"/>
    </xf>
    <xf numFmtId="0" fontId="1" fillId="14" borderId="107" xfId="0" applyFont="1" applyFill="1" applyBorder="1" applyAlignment="1" applyProtection="1">
      <alignment horizontal="center" vertical="center"/>
      <protection hidden="1"/>
    </xf>
    <xf numFmtId="0" fontId="43" fillId="0" borderId="106" xfId="0" applyFont="1" applyFill="1" applyBorder="1" applyAlignment="1" applyProtection="1">
      <alignment horizontal="center" vertical="center"/>
      <protection hidden="1"/>
    </xf>
    <xf numFmtId="0" fontId="43" fillId="0" borderId="105" xfId="0" applyFont="1" applyFill="1" applyBorder="1" applyAlignment="1" applyProtection="1">
      <alignment horizontal="center" vertical="center"/>
      <protection hidden="1"/>
    </xf>
    <xf numFmtId="0" fontId="43" fillId="0" borderId="130" xfId="0" applyFont="1" applyFill="1" applyBorder="1" applyAlignment="1" applyProtection="1">
      <alignment horizontal="center" vertical="center"/>
      <protection hidden="1"/>
    </xf>
    <xf numFmtId="0" fontId="43" fillId="0" borderId="5" xfId="0" applyFont="1" applyFill="1" applyBorder="1" applyAlignment="1" applyProtection="1">
      <alignment horizontal="center" vertical="center"/>
      <protection hidden="1"/>
    </xf>
    <xf numFmtId="0" fontId="43" fillId="0" borderId="9" xfId="0" applyFont="1" applyFill="1" applyBorder="1" applyAlignment="1" applyProtection="1">
      <alignment horizontal="center" vertical="center"/>
      <protection hidden="1"/>
    </xf>
    <xf numFmtId="0" fontId="43" fillId="0" borderId="6" xfId="0" applyFont="1" applyFill="1" applyBorder="1" applyAlignment="1" applyProtection="1">
      <alignment horizontal="center" vertical="center"/>
      <protection hidden="1"/>
    </xf>
    <xf numFmtId="0" fontId="43" fillId="0" borderId="5" xfId="0" applyFont="1" applyFill="1" applyBorder="1" applyAlignment="1" applyProtection="1">
      <alignment horizontal="left" vertical="center" wrapText="1" indent="1"/>
      <protection hidden="1"/>
    </xf>
    <xf numFmtId="0" fontId="43" fillId="0" borderId="9" xfId="0" applyFont="1" applyFill="1" applyBorder="1" applyAlignment="1" applyProtection="1">
      <alignment horizontal="left" vertical="center" wrapText="1" indent="1"/>
      <protection hidden="1"/>
    </xf>
    <xf numFmtId="0" fontId="43" fillId="0" borderId="6" xfId="0" applyFont="1" applyFill="1" applyBorder="1" applyAlignment="1" applyProtection="1">
      <alignment horizontal="left" vertical="center" wrapText="1" indent="1"/>
      <protection hidden="1"/>
    </xf>
    <xf numFmtId="0" fontId="43" fillId="0" borderId="5" xfId="0" applyFont="1" applyFill="1" applyBorder="1" applyAlignment="1" applyProtection="1">
      <alignment horizontal="left" vertical="center" wrapText="1"/>
      <protection hidden="1"/>
    </xf>
    <xf numFmtId="0" fontId="43" fillId="0" borderId="9" xfId="0" applyFont="1" applyFill="1" applyBorder="1" applyAlignment="1" applyProtection="1">
      <alignment horizontal="left" vertical="center" wrapText="1"/>
      <protection hidden="1"/>
    </xf>
    <xf numFmtId="0" fontId="43" fillId="0" borderId="6" xfId="0" applyFont="1" applyFill="1" applyBorder="1" applyAlignment="1" applyProtection="1">
      <alignment horizontal="left" vertical="center" wrapText="1"/>
      <protection hidden="1"/>
    </xf>
    <xf numFmtId="0" fontId="128" fillId="0" borderId="5" xfId="0" applyFont="1" applyFill="1" applyBorder="1" applyAlignment="1" applyProtection="1">
      <alignment horizontal="left" vertical="center" wrapText="1"/>
      <protection hidden="1"/>
    </xf>
    <xf numFmtId="0" fontId="128" fillId="0" borderId="9" xfId="0" applyFont="1" applyFill="1" applyBorder="1" applyAlignment="1" applyProtection="1">
      <alignment horizontal="left" vertical="center" wrapText="1"/>
      <protection hidden="1"/>
    </xf>
    <xf numFmtId="0" fontId="128" fillId="0" borderId="6" xfId="0" applyFont="1" applyFill="1" applyBorder="1" applyAlignment="1" applyProtection="1">
      <alignment horizontal="left" vertical="center" wrapText="1"/>
      <protection hidden="1"/>
    </xf>
    <xf numFmtId="0" fontId="43" fillId="0" borderId="106" xfId="0" applyFont="1" applyFill="1" applyBorder="1" applyAlignment="1" applyProtection="1">
      <alignment horizontal="left" vertical="center" wrapText="1" indent="1"/>
      <protection hidden="1"/>
    </xf>
    <xf numFmtId="0" fontId="43" fillId="0" borderId="105" xfId="0" applyFont="1" applyFill="1" applyBorder="1" applyAlignment="1" applyProtection="1">
      <alignment horizontal="left" vertical="center" wrapText="1" indent="1"/>
      <protection hidden="1"/>
    </xf>
    <xf numFmtId="0" fontId="43" fillId="0" borderId="130" xfId="0" applyFont="1" applyFill="1" applyBorder="1" applyAlignment="1" applyProtection="1">
      <alignment horizontal="left" vertical="center" wrapText="1" indent="1"/>
      <protection hidden="1"/>
    </xf>
    <xf numFmtId="0" fontId="43" fillId="0" borderId="106" xfId="0" applyFont="1" applyFill="1" applyBorder="1" applyAlignment="1" applyProtection="1">
      <alignment horizontal="left" vertical="center" indent="1"/>
      <protection hidden="1"/>
    </xf>
    <xf numFmtId="0" fontId="43" fillId="0" borderId="105" xfId="0" applyFont="1" applyFill="1" applyBorder="1" applyAlignment="1" applyProtection="1">
      <alignment horizontal="left" vertical="center" indent="1"/>
      <protection hidden="1"/>
    </xf>
    <xf numFmtId="0" fontId="43" fillId="0" borderId="1" xfId="0" applyFont="1" applyFill="1" applyBorder="1" applyAlignment="1" applyProtection="1">
      <alignment horizontal="center" vertical="center"/>
      <protection hidden="1"/>
    </xf>
    <xf numFmtId="0" fontId="44" fillId="0" borderId="5" xfId="0" applyFont="1" applyFill="1" applyBorder="1" applyAlignment="1" applyProtection="1">
      <alignment horizontal="left"/>
      <protection hidden="1"/>
    </xf>
    <xf numFmtId="0" fontId="44" fillId="0" borderId="9" xfId="0" applyFont="1" applyFill="1" applyBorder="1" applyAlignment="1" applyProtection="1">
      <alignment horizontal="left"/>
      <protection hidden="1"/>
    </xf>
    <xf numFmtId="0" fontId="44" fillId="0" borderId="6" xfId="0" applyFont="1" applyFill="1" applyBorder="1" applyAlignment="1" applyProtection="1">
      <alignment horizontal="left"/>
      <protection hidden="1"/>
    </xf>
    <xf numFmtId="0" fontId="43" fillId="0" borderId="76" xfId="0" applyFont="1" applyFill="1" applyBorder="1" applyAlignment="1" applyProtection="1">
      <alignment horizontal="center" vertical="center"/>
      <protection hidden="1"/>
    </xf>
    <xf numFmtId="0" fontId="43" fillId="0" borderId="36" xfId="0" applyFont="1" applyFill="1" applyBorder="1" applyAlignment="1" applyProtection="1">
      <alignment horizontal="center" vertical="center"/>
      <protection hidden="1"/>
    </xf>
    <xf numFmtId="0" fontId="43" fillId="0" borderId="11" xfId="0" applyFont="1" applyFill="1" applyBorder="1" applyAlignment="1" applyProtection="1">
      <alignment horizontal="left" vertical="center" wrapText="1" indent="1"/>
      <protection hidden="1"/>
    </xf>
    <xf numFmtId="0" fontId="43" fillId="0" borderId="13" xfId="0" applyFont="1" applyFill="1" applyBorder="1" applyAlignment="1" applyProtection="1">
      <alignment horizontal="left" vertical="center" wrapText="1" indent="1"/>
      <protection hidden="1"/>
    </xf>
    <xf numFmtId="0" fontId="43" fillId="0" borderId="12" xfId="0" applyFont="1" applyFill="1" applyBorder="1" applyAlignment="1" applyProtection="1">
      <alignment horizontal="left" vertical="center" wrapText="1" indent="1"/>
      <protection hidden="1"/>
    </xf>
    <xf numFmtId="0" fontId="43" fillId="0" borderId="10" xfId="0" applyFont="1" applyFill="1" applyBorder="1" applyAlignment="1" applyProtection="1">
      <alignment horizontal="left" vertical="center" wrapText="1" indent="1"/>
      <protection hidden="1"/>
    </xf>
    <xf numFmtId="0" fontId="43" fillId="0" borderId="12" xfId="0" applyFont="1" applyFill="1" applyBorder="1" applyAlignment="1" applyProtection="1">
      <alignment horizontal="center" vertical="center"/>
      <protection hidden="1"/>
    </xf>
    <xf numFmtId="0" fontId="43" fillId="0" borderId="10" xfId="0" applyFont="1" applyFill="1" applyBorder="1" applyAlignment="1" applyProtection="1">
      <alignment horizontal="center" vertical="center"/>
      <protection hidden="1"/>
    </xf>
    <xf numFmtId="0" fontId="43" fillId="0" borderId="52" xfId="0" applyFont="1" applyFill="1" applyBorder="1" applyAlignment="1" applyProtection="1">
      <alignment horizontal="center" vertical="center"/>
      <protection hidden="1"/>
    </xf>
    <xf numFmtId="0" fontId="90" fillId="0" borderId="5" xfId="0" applyFont="1" applyFill="1" applyBorder="1" applyAlignment="1" applyProtection="1">
      <alignment horizontal="left" vertical="center" wrapText="1"/>
      <protection hidden="1"/>
    </xf>
    <xf numFmtId="0" fontId="90" fillId="0" borderId="9" xfId="0" applyFont="1" applyFill="1" applyBorder="1" applyAlignment="1" applyProtection="1">
      <alignment horizontal="left" vertical="center" wrapText="1"/>
      <protection hidden="1"/>
    </xf>
    <xf numFmtId="0" fontId="90" fillId="0" borderId="6" xfId="0" applyFont="1" applyFill="1" applyBorder="1" applyAlignment="1" applyProtection="1">
      <alignment horizontal="left" vertical="center" wrapText="1"/>
      <protection hidden="1"/>
    </xf>
    <xf numFmtId="0" fontId="43" fillId="0" borderId="1" xfId="0" applyFont="1" applyFill="1" applyBorder="1" applyAlignment="1" applyProtection="1">
      <alignment horizontal="left" vertical="center" wrapText="1" indent="1"/>
      <protection hidden="1"/>
    </xf>
    <xf numFmtId="0" fontId="43" fillId="0" borderId="95" xfId="0" applyFont="1" applyFill="1" applyBorder="1" applyAlignment="1" applyProtection="1">
      <alignment horizontal="left" vertical="center" wrapText="1" indent="1"/>
      <protection hidden="1"/>
    </xf>
    <xf numFmtId="0" fontId="43" fillId="0" borderId="52" xfId="0" applyFont="1" applyFill="1" applyBorder="1" applyAlignment="1" applyProtection="1">
      <alignment horizontal="left" vertical="center" wrapText="1" indent="1"/>
      <protection hidden="1"/>
    </xf>
    <xf numFmtId="0" fontId="129" fillId="0" borderId="5" xfId="0" applyFont="1" applyFill="1" applyBorder="1" applyAlignment="1" applyProtection="1">
      <alignment horizontal="left" vertical="center" wrapText="1"/>
      <protection hidden="1"/>
    </xf>
    <xf numFmtId="0" fontId="129" fillId="0" borderId="9" xfId="0" applyFont="1" applyFill="1" applyBorder="1" applyAlignment="1" applyProtection="1">
      <alignment horizontal="left" vertical="center" wrapText="1"/>
      <protection hidden="1"/>
    </xf>
    <xf numFmtId="0" fontId="129" fillId="0" borderId="6" xfId="0" applyFont="1" applyFill="1" applyBorder="1" applyAlignment="1" applyProtection="1">
      <alignment horizontal="left" vertical="center" wrapText="1"/>
      <protection hidden="1"/>
    </xf>
    <xf numFmtId="0" fontId="44" fillId="0" borderId="12" xfId="0" applyFont="1" applyFill="1" applyBorder="1" applyAlignment="1" applyProtection="1">
      <alignment horizontal="left"/>
      <protection hidden="1"/>
    </xf>
    <xf numFmtId="0" fontId="44" fillId="0" borderId="10" xfId="0" applyFont="1" applyFill="1" applyBorder="1" applyAlignment="1" applyProtection="1">
      <alignment horizontal="left"/>
      <protection hidden="1"/>
    </xf>
    <xf numFmtId="0" fontId="44" fillId="0" borderId="52" xfId="0" applyFont="1" applyFill="1" applyBorder="1" applyAlignment="1" applyProtection="1">
      <alignment horizontal="left"/>
      <protection hidden="1"/>
    </xf>
    <xf numFmtId="0" fontId="44" fillId="14" borderId="102" xfId="0" applyFont="1" applyFill="1" applyBorder="1" applyAlignment="1" applyProtection="1">
      <alignment horizontal="center" vertical="center"/>
      <protection hidden="1"/>
    </xf>
    <xf numFmtId="0" fontId="44" fillId="14" borderId="103" xfId="0" applyFont="1" applyFill="1" applyBorder="1" applyAlignment="1" applyProtection="1">
      <alignment horizontal="center" vertical="center"/>
      <protection hidden="1"/>
    </xf>
    <xf numFmtId="0" fontId="44" fillId="14" borderId="104" xfId="0" applyFont="1" applyFill="1" applyBorder="1" applyAlignment="1" applyProtection="1">
      <alignment horizontal="center" vertical="center"/>
      <protection hidden="1"/>
    </xf>
    <xf numFmtId="0" fontId="44" fillId="14" borderId="107" xfId="0" applyFont="1" applyFill="1" applyBorder="1" applyAlignment="1" applyProtection="1">
      <alignment horizontal="center" vertical="center"/>
      <protection hidden="1"/>
    </xf>
    <xf numFmtId="0" fontId="1" fillId="14" borderId="1" xfId="0" applyFont="1" applyFill="1" applyBorder="1" applyAlignment="1" applyProtection="1">
      <alignment horizontal="center"/>
      <protection hidden="1"/>
    </xf>
    <xf numFmtId="0" fontId="1" fillId="14" borderId="102" xfId="0" applyFont="1" applyFill="1" applyBorder="1" applyAlignment="1" applyProtection="1">
      <alignment horizontal="center"/>
      <protection hidden="1"/>
    </xf>
    <xf numFmtId="0" fontId="1" fillId="0" borderId="0" xfId="0" applyFont="1" applyFill="1" applyBorder="1" applyAlignment="1" applyProtection="1">
      <alignment horizontal="left"/>
      <protection hidden="1"/>
    </xf>
    <xf numFmtId="0" fontId="45" fillId="10" borderId="37" xfId="0" applyFont="1" applyFill="1" applyBorder="1" applyAlignment="1" applyProtection="1">
      <alignment horizontal="center" vertical="center"/>
      <protection locked="0" hidden="1"/>
    </xf>
    <xf numFmtId="0" fontId="45" fillId="10" borderId="32" xfId="0" applyFont="1" applyFill="1" applyBorder="1" applyAlignment="1" applyProtection="1">
      <alignment horizontal="center" vertical="center"/>
      <protection locked="0" hidden="1"/>
    </xf>
    <xf numFmtId="0" fontId="45" fillId="10" borderId="21" xfId="0" applyFont="1" applyFill="1" applyBorder="1" applyAlignment="1" applyProtection="1">
      <alignment horizontal="center" vertical="center"/>
      <protection locked="0" hidden="1"/>
    </xf>
    <xf numFmtId="0" fontId="45" fillId="10" borderId="51" xfId="0" applyFont="1" applyFill="1" applyBorder="1" applyAlignment="1" applyProtection="1">
      <alignment horizontal="center" vertical="center"/>
      <protection locked="0" hidden="1"/>
    </xf>
    <xf numFmtId="0" fontId="45" fillId="10" borderId="42" xfId="0" applyFont="1" applyFill="1" applyBorder="1" applyAlignment="1" applyProtection="1">
      <alignment horizontal="center" vertical="center"/>
      <protection locked="0" hidden="1"/>
    </xf>
    <xf numFmtId="0" fontId="45" fillId="10" borderId="43" xfId="0" applyFont="1" applyFill="1" applyBorder="1" applyAlignment="1" applyProtection="1">
      <alignment horizontal="center" vertical="center"/>
      <protection locked="0" hidden="1"/>
    </xf>
    <xf numFmtId="0" fontId="1" fillId="0" borderId="98" xfId="0" applyFont="1" applyFill="1" applyBorder="1" applyAlignment="1" applyProtection="1">
      <alignment horizontal="left"/>
      <protection hidden="1"/>
    </xf>
    <xf numFmtId="0" fontId="1" fillId="0" borderId="66" xfId="0" applyFont="1" applyFill="1" applyBorder="1" applyAlignment="1" applyProtection="1">
      <alignment horizontal="left"/>
      <protection hidden="1"/>
    </xf>
    <xf numFmtId="0" fontId="1" fillId="0" borderId="92" xfId="0" applyFont="1" applyFill="1" applyBorder="1" applyAlignment="1" applyProtection="1">
      <alignment horizontal="left"/>
      <protection hidden="1"/>
    </xf>
    <xf numFmtId="0" fontId="40" fillId="0" borderId="92" xfId="0" applyFont="1" applyFill="1" applyBorder="1" applyAlignment="1" applyProtection="1">
      <alignment horizontal="center" vertical="center"/>
      <protection hidden="1"/>
    </xf>
    <xf numFmtId="0" fontId="40" fillId="0" borderId="0" xfId="0" applyFont="1" applyFill="1" applyBorder="1" applyAlignment="1" applyProtection="1">
      <alignment horizontal="center" vertical="center"/>
      <protection hidden="1"/>
    </xf>
    <xf numFmtId="0" fontId="40" fillId="0" borderId="98" xfId="0" applyFont="1" applyFill="1" applyBorder="1" applyAlignment="1" applyProtection="1">
      <alignment horizontal="center" vertical="center"/>
      <protection hidden="1"/>
    </xf>
    <xf numFmtId="0" fontId="40" fillId="0" borderId="12" xfId="0" applyFont="1" applyFill="1" applyBorder="1" applyAlignment="1" applyProtection="1">
      <alignment horizontal="center" vertical="center"/>
      <protection hidden="1"/>
    </xf>
    <xf numFmtId="0" fontId="40" fillId="0" borderId="10" xfId="0" applyFont="1" applyFill="1" applyBorder="1" applyAlignment="1" applyProtection="1">
      <alignment horizontal="center" vertical="center"/>
      <protection hidden="1"/>
    </xf>
    <xf numFmtId="0" fontId="40" fillId="0" borderId="52" xfId="0" applyFont="1" applyFill="1" applyBorder="1" applyAlignment="1" applyProtection="1">
      <alignment horizontal="center" vertical="center"/>
      <protection hidden="1"/>
    </xf>
    <xf numFmtId="0" fontId="1" fillId="14" borderId="103" xfId="0" applyFont="1" applyFill="1" applyBorder="1" applyAlignment="1" applyProtection="1">
      <alignment horizontal="center"/>
      <protection hidden="1"/>
    </xf>
    <xf numFmtId="0" fontId="1" fillId="14" borderId="104" xfId="0" applyFont="1" applyFill="1" applyBorder="1" applyAlignment="1" applyProtection="1">
      <alignment horizontal="center"/>
      <protection hidden="1"/>
    </xf>
    <xf numFmtId="0" fontId="1" fillId="14" borderId="107" xfId="0" applyFont="1" applyFill="1" applyBorder="1" applyAlignment="1" applyProtection="1">
      <alignment horizontal="center"/>
      <protection hidden="1"/>
    </xf>
    <xf numFmtId="0" fontId="3" fillId="0" borderId="0" xfId="0" applyFont="1" applyFill="1" applyBorder="1" applyAlignment="1" applyProtection="1">
      <alignment horizontal="center"/>
      <protection hidden="1"/>
    </xf>
    <xf numFmtId="0" fontId="40" fillId="0" borderId="36" xfId="0" applyFont="1" applyFill="1" applyBorder="1" applyAlignment="1" applyProtection="1">
      <alignment horizontal="center" vertical="center"/>
      <protection hidden="1"/>
    </xf>
    <xf numFmtId="0" fontId="40" fillId="0" borderId="1" xfId="0" applyFont="1" applyFill="1" applyBorder="1" applyAlignment="1" applyProtection="1">
      <alignment horizontal="center" vertical="center"/>
      <protection hidden="1"/>
    </xf>
    <xf numFmtId="0" fontId="0" fillId="0" borderId="140" xfId="0" applyFont="1" applyFill="1" applyBorder="1" applyAlignment="1" applyProtection="1">
      <alignment horizontal="justify" vertical="center" wrapText="1"/>
      <protection hidden="1"/>
    </xf>
    <xf numFmtId="0" fontId="0" fillId="0" borderId="141" xfId="0" applyFont="1" applyFill="1" applyBorder="1" applyAlignment="1" applyProtection="1">
      <alignment horizontal="justify" vertical="center" wrapText="1"/>
      <protection hidden="1"/>
    </xf>
    <xf numFmtId="0" fontId="0" fillId="0" borderId="142" xfId="0" applyFont="1" applyFill="1" applyBorder="1" applyAlignment="1" applyProtection="1">
      <alignment horizontal="justify" vertical="center" wrapText="1"/>
      <protection hidden="1"/>
    </xf>
    <xf numFmtId="0" fontId="0" fillId="0" borderId="92" xfId="0" applyFont="1" applyFill="1" applyBorder="1" applyAlignment="1" applyProtection="1">
      <alignment horizontal="justify" vertical="center" wrapText="1"/>
      <protection hidden="1"/>
    </xf>
    <xf numFmtId="0" fontId="0" fillId="0" borderId="0" xfId="0" applyFont="1" applyFill="1" applyBorder="1" applyAlignment="1" applyProtection="1">
      <alignment horizontal="justify" vertical="center" wrapText="1"/>
      <protection hidden="1"/>
    </xf>
    <xf numFmtId="0" fontId="0" fillId="0" borderId="98" xfId="0" applyFont="1" applyFill="1" applyBorder="1" applyAlignment="1" applyProtection="1">
      <alignment horizontal="justify" vertical="center" wrapText="1"/>
      <protection hidden="1"/>
    </xf>
    <xf numFmtId="0" fontId="0" fillId="0" borderId="12" xfId="0" applyFont="1" applyFill="1" applyBorder="1" applyAlignment="1" applyProtection="1">
      <alignment horizontal="justify" vertical="center" wrapText="1"/>
      <protection hidden="1"/>
    </xf>
    <xf numFmtId="0" fontId="0" fillId="0" borderId="10" xfId="0" applyFont="1" applyFill="1" applyBorder="1" applyAlignment="1" applyProtection="1">
      <alignment horizontal="justify" vertical="center" wrapText="1"/>
      <protection hidden="1"/>
    </xf>
    <xf numFmtId="0" fontId="0" fillId="0" borderId="52" xfId="0" applyFont="1" applyFill="1" applyBorder="1" applyAlignment="1" applyProtection="1">
      <alignment horizontal="justify" vertical="center" wrapText="1"/>
      <protection hidden="1"/>
    </xf>
    <xf numFmtId="0" fontId="0" fillId="0" borderId="1" xfId="0" applyFont="1" applyFill="1" applyBorder="1" applyAlignment="1" applyProtection="1">
      <alignment horizontal="center"/>
      <protection hidden="1"/>
    </xf>
    <xf numFmtId="0" fontId="0" fillId="0" borderId="1" xfId="0" applyFont="1" applyFill="1" applyBorder="1" applyAlignment="1" applyProtection="1">
      <alignment horizontal="left"/>
      <protection hidden="1"/>
    </xf>
    <xf numFmtId="0" fontId="1" fillId="14" borderId="1" xfId="0" applyFont="1" applyFill="1" applyBorder="1" applyAlignment="1" applyProtection="1">
      <alignment horizontal="center" vertical="center"/>
      <protection hidden="1"/>
    </xf>
    <xf numFmtId="0" fontId="1" fillId="14" borderId="102" xfId="0" applyFont="1" applyFill="1" applyBorder="1" applyAlignment="1" applyProtection="1">
      <alignment horizontal="center" vertical="center"/>
      <protection hidden="1"/>
    </xf>
    <xf numFmtId="0" fontId="1" fillId="0" borderId="12" xfId="0" applyFont="1" applyFill="1" applyBorder="1" applyAlignment="1" applyProtection="1">
      <alignment horizontal="left"/>
      <protection hidden="1"/>
    </xf>
    <xf numFmtId="0" fontId="1" fillId="0" borderId="10" xfId="0" applyFont="1" applyFill="1" applyBorder="1" applyAlignment="1" applyProtection="1">
      <alignment horizontal="left"/>
      <protection hidden="1"/>
    </xf>
    <xf numFmtId="0" fontId="1" fillId="0" borderId="52" xfId="0" applyFont="1" applyFill="1" applyBorder="1" applyAlignment="1" applyProtection="1">
      <alignment horizontal="left"/>
      <protection hidden="1"/>
    </xf>
    <xf numFmtId="1" fontId="0" fillId="0" borderId="1" xfId="0" applyNumberFormat="1" applyFont="1" applyFill="1" applyBorder="1" applyAlignment="1" applyProtection="1">
      <alignment horizontal="center"/>
      <protection hidden="1"/>
    </xf>
    <xf numFmtId="0" fontId="0" fillId="0" borderId="5" xfId="0" applyFont="1" applyFill="1" applyBorder="1" applyAlignment="1" applyProtection="1">
      <alignment horizontal="center"/>
      <protection hidden="1"/>
    </xf>
    <xf numFmtId="0" fontId="0" fillId="0" borderId="9" xfId="0" applyFont="1" applyFill="1" applyBorder="1" applyAlignment="1" applyProtection="1">
      <alignment horizontal="center"/>
      <protection hidden="1"/>
    </xf>
    <xf numFmtId="0" fontId="0" fillId="0" borderId="6" xfId="0" applyFont="1" applyFill="1" applyBorder="1" applyAlignment="1" applyProtection="1">
      <alignment horizontal="center"/>
      <protection hidden="1"/>
    </xf>
    <xf numFmtId="0" fontId="1" fillId="0" borderId="5" xfId="0" applyFont="1" applyFill="1" applyBorder="1" applyAlignment="1" applyProtection="1">
      <alignment horizontal="left"/>
      <protection hidden="1"/>
    </xf>
    <xf numFmtId="0" fontId="1" fillId="0" borderId="9" xfId="0" applyFont="1" applyFill="1" applyBorder="1" applyAlignment="1" applyProtection="1">
      <alignment horizontal="left"/>
      <protection hidden="1"/>
    </xf>
    <xf numFmtId="0" fontId="1" fillId="0" borderId="6" xfId="0" applyFont="1" applyFill="1" applyBorder="1" applyAlignment="1" applyProtection="1">
      <alignment horizontal="left"/>
      <protection hidden="1"/>
    </xf>
    <xf numFmtId="0" fontId="4" fillId="0" borderId="1" xfId="0" applyFont="1" applyFill="1" applyBorder="1" applyAlignment="1" applyProtection="1">
      <alignment horizontal="center" vertical="center"/>
      <protection hidden="1"/>
    </xf>
    <xf numFmtId="1" fontId="46" fillId="0" borderId="5" xfId="0" applyNumberFormat="1" applyFont="1" applyFill="1" applyBorder="1" applyAlignment="1" applyProtection="1">
      <alignment horizontal="left" vertical="center" indent="1"/>
      <protection hidden="1"/>
    </xf>
    <xf numFmtId="1" fontId="46" fillId="0" borderId="9" xfId="0" applyNumberFormat="1" applyFont="1" applyFill="1" applyBorder="1" applyAlignment="1" applyProtection="1">
      <alignment horizontal="left" vertical="center" indent="1"/>
      <protection hidden="1"/>
    </xf>
    <xf numFmtId="1" fontId="46" fillId="0" borderId="6" xfId="0" applyNumberFormat="1" applyFont="1" applyFill="1" applyBorder="1" applyAlignment="1" applyProtection="1">
      <alignment horizontal="left" vertical="center" indent="1"/>
      <protection hidden="1"/>
    </xf>
    <xf numFmtId="0" fontId="46" fillId="0" borderId="5" xfId="0" applyFont="1" applyFill="1" applyBorder="1" applyAlignment="1" applyProtection="1">
      <alignment horizontal="left" vertical="center" indent="1"/>
      <protection hidden="1"/>
    </xf>
    <xf numFmtId="0" fontId="46" fillId="0" borderId="9" xfId="0" applyFont="1" applyFill="1" applyBorder="1" applyAlignment="1" applyProtection="1">
      <alignment horizontal="left" vertical="center" indent="1"/>
      <protection hidden="1"/>
    </xf>
    <xf numFmtId="0" fontId="46" fillId="0" borderId="6" xfId="0" applyFont="1" applyFill="1" applyBorder="1" applyAlignment="1" applyProtection="1">
      <alignment horizontal="left" vertical="center" indent="1"/>
      <protection hidden="1"/>
    </xf>
    <xf numFmtId="0" fontId="0" fillId="0" borderId="1" xfId="0" applyFill="1" applyBorder="1" applyAlignment="1" applyProtection="1">
      <alignment horizontal="center"/>
      <protection hidden="1"/>
    </xf>
    <xf numFmtId="0" fontId="1" fillId="0" borderId="1" xfId="0" applyFont="1" applyFill="1" applyBorder="1" applyAlignment="1" applyProtection="1">
      <alignment horizontal="center" vertical="center"/>
      <protection hidden="1"/>
    </xf>
    <xf numFmtId="0" fontId="0" fillId="0" borderId="0" xfId="0" applyFill="1" applyBorder="1" applyAlignment="1" applyProtection="1">
      <alignment horizontal="center"/>
      <protection hidden="1"/>
    </xf>
    <xf numFmtId="0" fontId="0" fillId="0" borderId="0" xfId="0" applyFont="1" applyFill="1" applyBorder="1" applyAlignment="1" applyProtection="1">
      <alignment horizontal="center"/>
      <protection hidden="1"/>
    </xf>
    <xf numFmtId="0" fontId="33" fillId="0" borderId="0" xfId="0" applyFont="1" applyFill="1" applyBorder="1" applyAlignment="1" applyProtection="1">
      <alignment horizontal="center"/>
      <protection hidden="1"/>
    </xf>
    <xf numFmtId="0" fontId="4" fillId="0" borderId="11" xfId="0" applyFont="1" applyFill="1" applyBorder="1" applyAlignment="1" applyProtection="1">
      <alignment horizontal="center" vertical="center" wrapText="1"/>
      <protection hidden="1"/>
    </xf>
    <xf numFmtId="0" fontId="4" fillId="0" borderId="13" xfId="0" applyFont="1" applyFill="1" applyBorder="1" applyAlignment="1" applyProtection="1">
      <alignment horizontal="center" vertical="center" wrapText="1"/>
      <protection hidden="1"/>
    </xf>
    <xf numFmtId="0" fontId="4" fillId="0" borderId="95" xfId="0" applyFont="1" applyFill="1" applyBorder="1" applyAlignment="1" applyProtection="1">
      <alignment horizontal="center" vertical="center" wrapText="1"/>
      <protection hidden="1"/>
    </xf>
    <xf numFmtId="0" fontId="4" fillId="0" borderId="92" xfId="0" applyFont="1" applyFill="1" applyBorder="1" applyAlignment="1" applyProtection="1">
      <alignment horizontal="center" vertical="center" wrapText="1"/>
      <protection hidden="1"/>
    </xf>
    <xf numFmtId="0" fontId="4" fillId="0" borderId="0" xfId="0" applyFont="1" applyFill="1" applyBorder="1" applyAlignment="1" applyProtection="1">
      <alignment horizontal="center" vertical="center" wrapText="1"/>
      <protection hidden="1"/>
    </xf>
    <xf numFmtId="0" fontId="4" fillId="0" borderId="98" xfId="0" applyFont="1" applyFill="1" applyBorder="1" applyAlignment="1" applyProtection="1">
      <alignment horizontal="center" vertical="center" wrapText="1"/>
      <protection hidden="1"/>
    </xf>
    <xf numFmtId="0" fontId="4" fillId="0" borderId="12" xfId="0" applyFont="1" applyFill="1" applyBorder="1" applyAlignment="1" applyProtection="1">
      <alignment horizontal="center" vertical="center" wrapText="1"/>
      <protection hidden="1"/>
    </xf>
    <xf numFmtId="0" fontId="4" fillId="0" borderId="10" xfId="0" applyFont="1" applyFill="1" applyBorder="1" applyAlignment="1" applyProtection="1">
      <alignment horizontal="center" vertical="center" wrapText="1"/>
      <protection hidden="1"/>
    </xf>
    <xf numFmtId="0" fontId="4" fillId="0" borderId="52" xfId="0" applyFont="1" applyFill="1" applyBorder="1" applyAlignment="1" applyProtection="1">
      <alignment horizontal="center" vertical="center" wrapText="1"/>
      <protection hidden="1"/>
    </xf>
    <xf numFmtId="0" fontId="0" fillId="0" borderId="36" xfId="0" applyFont="1" applyFill="1" applyBorder="1" applyAlignment="1" applyProtection="1">
      <alignment horizontal="left" indent="1"/>
      <protection hidden="1"/>
    </xf>
    <xf numFmtId="0" fontId="4" fillId="0" borderId="11" xfId="0" applyFont="1" applyFill="1" applyBorder="1" applyAlignment="1" applyProtection="1">
      <alignment horizontal="left" vertical="center" wrapText="1" indent="1"/>
      <protection hidden="1"/>
    </xf>
    <xf numFmtId="0" fontId="4" fillId="0" borderId="13" xfId="0" applyFont="1" applyFill="1" applyBorder="1" applyAlignment="1" applyProtection="1">
      <alignment horizontal="left" vertical="center" wrapText="1" indent="1"/>
      <protection hidden="1"/>
    </xf>
    <xf numFmtId="0" fontId="4" fillId="0" borderId="95" xfId="0" applyFont="1" applyFill="1" applyBorder="1" applyAlignment="1" applyProtection="1">
      <alignment horizontal="left" vertical="center" wrapText="1" indent="1"/>
      <protection hidden="1"/>
    </xf>
    <xf numFmtId="0" fontId="4" fillId="0" borderId="92" xfId="0" applyFont="1" applyFill="1" applyBorder="1" applyAlignment="1" applyProtection="1">
      <alignment horizontal="left" vertical="center" wrapText="1" indent="1"/>
      <protection hidden="1"/>
    </xf>
    <xf numFmtId="0" fontId="4" fillId="0" borderId="0" xfId="0" applyFont="1" applyFill="1" applyBorder="1" applyAlignment="1" applyProtection="1">
      <alignment horizontal="left" vertical="center" wrapText="1" indent="1"/>
      <protection hidden="1"/>
    </xf>
    <xf numFmtId="0" fontId="4" fillId="0" borderId="98" xfId="0" applyFont="1" applyFill="1" applyBorder="1" applyAlignment="1" applyProtection="1">
      <alignment horizontal="left" vertical="center" wrapText="1" indent="1"/>
      <protection hidden="1"/>
    </xf>
    <xf numFmtId="0" fontId="4" fillId="0" borderId="12" xfId="0" applyFont="1" applyFill="1" applyBorder="1" applyAlignment="1" applyProtection="1">
      <alignment horizontal="left" vertical="center" wrapText="1" indent="1"/>
      <protection hidden="1"/>
    </xf>
    <xf numFmtId="0" fontId="4" fillId="0" borderId="10" xfId="0" applyFont="1" applyFill="1" applyBorder="1" applyAlignment="1" applyProtection="1">
      <alignment horizontal="left" vertical="center" wrapText="1" indent="1"/>
      <protection hidden="1"/>
    </xf>
    <xf numFmtId="0" fontId="4" fillId="0" borderId="52" xfId="0" applyFont="1" applyFill="1" applyBorder="1" applyAlignment="1" applyProtection="1">
      <alignment horizontal="left" vertical="center" wrapText="1" indent="1"/>
      <protection hidden="1"/>
    </xf>
    <xf numFmtId="0" fontId="0" fillId="0" borderId="1" xfId="0" applyFill="1" applyBorder="1" applyAlignment="1" applyProtection="1">
      <alignment horizontal="left" indent="1"/>
      <protection hidden="1"/>
    </xf>
    <xf numFmtId="0" fontId="0" fillId="0" borderId="1" xfId="0" applyFont="1" applyFill="1" applyBorder="1" applyAlignment="1" applyProtection="1">
      <alignment horizontal="left" indent="1"/>
      <protection hidden="1"/>
    </xf>
    <xf numFmtId="0" fontId="4" fillId="0" borderId="9" xfId="0" applyFont="1" applyFill="1" applyBorder="1" applyAlignment="1" applyProtection="1">
      <alignment horizontal="left" vertical="center"/>
      <protection hidden="1"/>
    </xf>
    <xf numFmtId="0" fontId="1" fillId="0" borderId="1" xfId="0" applyFont="1" applyFill="1" applyBorder="1" applyAlignment="1" applyProtection="1">
      <alignment horizontal="center"/>
      <protection hidden="1"/>
    </xf>
    <xf numFmtId="0" fontId="103" fillId="4" borderId="0" xfId="0" applyFont="1" applyFill="1" applyAlignment="1" applyProtection="1">
      <alignment horizontal="right" vertical="center"/>
      <protection hidden="1"/>
    </xf>
    <xf numFmtId="0" fontId="84" fillId="0" borderId="0" xfId="0" applyFont="1" applyFill="1" applyBorder="1" applyAlignment="1" applyProtection="1">
      <alignment horizontal="right"/>
      <protection hidden="1"/>
    </xf>
    <xf numFmtId="0" fontId="0" fillId="4" borderId="2" xfId="0" applyFill="1" applyBorder="1" applyAlignment="1" applyProtection="1">
      <alignment horizontal="center"/>
      <protection hidden="1"/>
    </xf>
    <xf numFmtId="0" fontId="0" fillId="0" borderId="13" xfId="0" applyFont="1" applyFill="1" applyBorder="1" applyAlignment="1" applyProtection="1">
      <alignment horizontal="center"/>
      <protection hidden="1"/>
    </xf>
    <xf numFmtId="0" fontId="47" fillId="4" borderId="0" xfId="0" applyFont="1" applyFill="1" applyAlignment="1" applyProtection="1">
      <alignment horizontal="center"/>
      <protection hidden="1"/>
    </xf>
    <xf numFmtId="0" fontId="64" fillId="27" borderId="123" xfId="5" applyAlignment="1" applyProtection="1">
      <alignment horizontal="center"/>
    </xf>
    <xf numFmtId="0" fontId="13" fillId="9" borderId="30" xfId="0" applyFont="1" applyFill="1" applyBorder="1" applyAlignment="1" applyProtection="1">
      <alignment horizontal="center" vertical="center" textRotation="90"/>
      <protection hidden="1"/>
    </xf>
    <xf numFmtId="0" fontId="13" fillId="9" borderId="39" xfId="0" applyFont="1" applyFill="1" applyBorder="1" applyAlignment="1" applyProtection="1">
      <alignment horizontal="center" vertical="center" textRotation="90"/>
      <protection hidden="1"/>
    </xf>
    <xf numFmtId="0" fontId="13" fillId="9" borderId="27" xfId="0" applyFont="1" applyFill="1" applyBorder="1" applyAlignment="1" applyProtection="1">
      <alignment horizontal="center" vertical="center" textRotation="90"/>
      <protection hidden="1"/>
    </xf>
    <xf numFmtId="0" fontId="13" fillId="9" borderId="26" xfId="0" applyFont="1" applyFill="1" applyBorder="1" applyAlignment="1" applyProtection="1">
      <alignment horizontal="center" vertical="center" textRotation="90"/>
      <protection hidden="1"/>
    </xf>
    <xf numFmtId="0" fontId="13" fillId="12" borderId="39" xfId="0" applyFont="1" applyFill="1" applyBorder="1" applyAlignment="1" applyProtection="1">
      <alignment horizontal="center" vertical="center" textRotation="90"/>
      <protection hidden="1"/>
    </xf>
    <xf numFmtId="0" fontId="13" fillId="12" borderId="40" xfId="0" applyFont="1" applyFill="1" applyBorder="1" applyAlignment="1" applyProtection="1">
      <alignment horizontal="center" vertical="center" textRotation="90"/>
      <protection hidden="1"/>
    </xf>
    <xf numFmtId="0" fontId="13" fillId="9" borderId="36" xfId="0" applyFont="1" applyFill="1" applyBorder="1" applyAlignment="1" applyProtection="1">
      <alignment horizontal="center" vertical="center" textRotation="90"/>
      <protection hidden="1"/>
    </xf>
    <xf numFmtId="0" fontId="13" fillId="9" borderId="40" xfId="0" applyFont="1" applyFill="1" applyBorder="1" applyAlignment="1" applyProtection="1">
      <alignment horizontal="center" vertical="center" textRotation="90"/>
      <protection hidden="1"/>
    </xf>
    <xf numFmtId="0" fontId="13" fillId="9" borderId="37" xfId="0" applyFont="1" applyFill="1" applyBorder="1" applyAlignment="1" applyProtection="1">
      <alignment horizontal="center" vertical="center"/>
      <protection hidden="1"/>
    </xf>
    <xf numFmtId="0" fontId="13" fillId="9" borderId="38" xfId="0" applyFont="1" applyFill="1" applyBorder="1" applyAlignment="1" applyProtection="1">
      <alignment horizontal="center" vertical="center"/>
      <protection hidden="1"/>
    </xf>
    <xf numFmtId="0" fontId="13" fillId="15" borderId="101" xfId="0" applyFont="1" applyFill="1" applyBorder="1" applyAlignment="1" applyProtection="1">
      <alignment horizontal="center" vertical="center" wrapText="1"/>
      <protection hidden="1"/>
    </xf>
    <xf numFmtId="0" fontId="13" fillId="15" borderId="16" xfId="0" applyFont="1" applyFill="1" applyBorder="1" applyAlignment="1" applyProtection="1">
      <alignment horizontal="center" vertical="center" wrapText="1"/>
      <protection hidden="1"/>
    </xf>
    <xf numFmtId="0" fontId="13" fillId="12" borderId="41" xfId="0" applyFont="1" applyFill="1" applyBorder="1" applyAlignment="1" applyProtection="1">
      <alignment horizontal="center" vertical="center" textRotation="90"/>
      <protection hidden="1"/>
    </xf>
    <xf numFmtId="0" fontId="13" fillId="24" borderId="75" xfId="0" applyFont="1" applyFill="1" applyBorder="1" applyAlignment="1" applyProtection="1">
      <alignment horizontal="center" vertical="center" wrapText="1"/>
      <protection hidden="1"/>
    </xf>
    <xf numFmtId="0" fontId="13" fillId="24" borderId="25" xfId="0" applyFont="1" applyFill="1" applyBorder="1" applyAlignment="1" applyProtection="1">
      <alignment horizontal="center" vertical="center" wrapText="1"/>
      <protection hidden="1"/>
    </xf>
    <xf numFmtId="0" fontId="13" fillId="24" borderId="53" xfId="0" applyFont="1" applyFill="1" applyBorder="1" applyAlignment="1" applyProtection="1">
      <alignment horizontal="center" vertical="center" wrapText="1"/>
      <protection hidden="1"/>
    </xf>
    <xf numFmtId="0" fontId="12" fillId="34" borderId="37" xfId="0" applyFont="1" applyFill="1" applyBorder="1" applyAlignment="1" applyProtection="1">
      <alignment horizontal="right" vertical="center"/>
      <protection hidden="1"/>
    </xf>
    <xf numFmtId="0" fontId="12" fillId="34" borderId="38" xfId="0" applyFont="1" applyFill="1" applyBorder="1" applyAlignment="1" applyProtection="1">
      <alignment horizontal="right" vertical="center"/>
      <protection hidden="1"/>
    </xf>
    <xf numFmtId="0" fontId="12" fillId="34" borderId="23" xfId="0" applyFont="1" applyFill="1" applyBorder="1" applyAlignment="1" applyProtection="1">
      <alignment horizontal="right" vertical="center"/>
      <protection hidden="1"/>
    </xf>
    <xf numFmtId="0" fontId="12" fillId="34" borderId="10" xfId="0" applyFont="1" applyFill="1" applyBorder="1" applyAlignment="1" applyProtection="1">
      <alignment horizontal="right" vertical="center"/>
      <protection hidden="1"/>
    </xf>
    <xf numFmtId="0" fontId="12" fillId="34" borderId="32" xfId="0" applyFont="1" applyFill="1" applyBorder="1" applyAlignment="1" applyProtection="1">
      <alignment horizontal="left" vertical="center"/>
      <protection hidden="1"/>
    </xf>
    <xf numFmtId="0" fontId="12" fillId="34" borderId="22" xfId="0" applyFont="1" applyFill="1" applyBorder="1" applyAlignment="1" applyProtection="1">
      <alignment horizontal="left" vertical="center"/>
      <protection hidden="1"/>
    </xf>
    <xf numFmtId="0" fontId="18" fillId="10" borderId="89" xfId="0" applyFont="1" applyFill="1" applyBorder="1" applyAlignment="1" applyProtection="1">
      <alignment horizontal="center" vertical="center"/>
      <protection hidden="1"/>
    </xf>
    <xf numFmtId="0" fontId="13" fillId="24" borderId="37" xfId="0" applyFont="1" applyFill="1" applyBorder="1" applyAlignment="1" applyProtection="1">
      <alignment horizontal="center" vertical="center"/>
      <protection hidden="1"/>
    </xf>
    <xf numFmtId="0" fontId="13" fillId="24" borderId="38" xfId="0" applyFont="1" applyFill="1" applyBorder="1" applyAlignment="1" applyProtection="1">
      <alignment horizontal="center" vertical="center"/>
      <protection hidden="1"/>
    </xf>
    <xf numFmtId="0" fontId="13" fillId="24" borderId="32" xfId="0" applyFont="1" applyFill="1" applyBorder="1" applyAlignment="1" applyProtection="1">
      <alignment horizontal="center" vertical="center"/>
      <protection hidden="1"/>
    </xf>
    <xf numFmtId="0" fontId="13" fillId="24" borderId="42" xfId="0" applyFont="1" applyFill="1" applyBorder="1" applyAlignment="1" applyProtection="1">
      <alignment horizontal="center" vertical="center"/>
      <protection hidden="1"/>
    </xf>
    <xf numFmtId="0" fontId="13" fillId="24" borderId="2" xfId="0" applyFont="1" applyFill="1" applyBorder="1" applyAlignment="1" applyProtection="1">
      <alignment horizontal="center" vertical="center"/>
      <protection hidden="1"/>
    </xf>
    <xf numFmtId="0" fontId="13" fillId="24" borderId="43" xfId="0" applyFont="1" applyFill="1" applyBorder="1" applyAlignment="1" applyProtection="1">
      <alignment horizontal="center" vertical="center"/>
      <protection hidden="1"/>
    </xf>
    <xf numFmtId="0" fontId="16" fillId="14" borderId="61" xfId="0" applyFont="1" applyFill="1" applyBorder="1" applyAlignment="1" applyProtection="1">
      <alignment horizontal="center" vertical="center"/>
      <protection hidden="1"/>
    </xf>
    <xf numFmtId="0" fontId="0" fillId="0" borderId="1" xfId="0" applyBorder="1" applyAlignment="1">
      <alignment horizontal="left"/>
    </xf>
    <xf numFmtId="0" fontId="43" fillId="0" borderId="1" xfId="0" applyFont="1" applyFill="1" applyBorder="1" applyAlignment="1" applyProtection="1">
      <alignment horizontal="left" vertical="center"/>
      <protection hidden="1"/>
    </xf>
    <xf numFmtId="0" fontId="43" fillId="0" borderId="1" xfId="0" applyFont="1" applyFill="1" applyBorder="1" applyAlignment="1" applyProtection="1">
      <alignment horizontal="left" vertical="center" wrapText="1"/>
      <protection hidden="1"/>
    </xf>
    <xf numFmtId="0" fontId="1" fillId="0" borderId="11" xfId="0" applyFont="1" applyFill="1" applyBorder="1" applyAlignment="1" applyProtection="1">
      <alignment horizontal="left"/>
      <protection hidden="1"/>
    </xf>
    <xf numFmtId="0" fontId="1" fillId="0" borderId="13" xfId="0" applyFont="1" applyFill="1" applyBorder="1" applyAlignment="1" applyProtection="1">
      <alignment horizontal="left"/>
      <protection hidden="1"/>
    </xf>
    <xf numFmtId="0" fontId="1" fillId="0" borderId="95" xfId="0" applyFont="1" applyFill="1" applyBorder="1" applyAlignment="1" applyProtection="1">
      <alignment horizontal="left"/>
      <protection hidden="1"/>
    </xf>
    <xf numFmtId="0" fontId="0" fillId="0" borderId="92" xfId="0" applyFont="1" applyFill="1" applyBorder="1" applyAlignment="1" applyProtection="1">
      <alignment horizontal="justify" vertical="top" wrapText="1"/>
      <protection hidden="1"/>
    </xf>
    <xf numFmtId="0" fontId="0" fillId="0" borderId="0" xfId="0" applyFont="1" applyFill="1" applyBorder="1" applyAlignment="1" applyProtection="1">
      <alignment horizontal="justify" vertical="top" wrapText="1"/>
      <protection hidden="1"/>
    </xf>
    <xf numFmtId="0" fontId="0" fillId="0" borderId="98" xfId="0" applyFont="1" applyFill="1" applyBorder="1" applyAlignment="1" applyProtection="1">
      <alignment horizontal="justify" vertical="top" wrapText="1"/>
      <protection hidden="1"/>
    </xf>
    <xf numFmtId="0" fontId="0" fillId="0" borderId="12" xfId="0" applyFont="1" applyFill="1" applyBorder="1" applyAlignment="1" applyProtection="1">
      <alignment horizontal="justify" vertical="top" wrapText="1"/>
      <protection hidden="1"/>
    </xf>
    <xf numFmtId="0" fontId="0" fillId="0" borderId="10" xfId="0" applyFont="1" applyFill="1" applyBorder="1" applyAlignment="1" applyProtection="1">
      <alignment horizontal="justify" vertical="top" wrapText="1"/>
      <protection hidden="1"/>
    </xf>
    <xf numFmtId="0" fontId="0" fillId="0" borderId="52" xfId="0" applyFont="1" applyFill="1" applyBorder="1" applyAlignment="1" applyProtection="1">
      <alignment horizontal="justify" vertical="top" wrapText="1"/>
      <protection hidden="1"/>
    </xf>
    <xf numFmtId="0" fontId="1" fillId="0" borderId="5" xfId="0" applyFont="1" applyFill="1" applyBorder="1" applyAlignment="1" applyProtection="1">
      <alignment horizontal="center" vertical="center" wrapText="1"/>
      <protection hidden="1"/>
    </xf>
    <xf numFmtId="0" fontId="1" fillId="0" borderId="9" xfId="0" applyFont="1" applyFill="1" applyBorder="1" applyAlignment="1" applyProtection="1">
      <alignment horizontal="center" vertical="center" wrapText="1"/>
      <protection hidden="1"/>
    </xf>
    <xf numFmtId="0" fontId="1" fillId="0" borderId="6" xfId="0" applyFont="1" applyFill="1" applyBorder="1" applyAlignment="1" applyProtection="1">
      <alignment horizontal="center" vertical="center" wrapText="1"/>
      <protection hidden="1"/>
    </xf>
    <xf numFmtId="0" fontId="4" fillId="0" borderId="1" xfId="0" applyFont="1" applyFill="1" applyBorder="1" applyAlignment="1" applyProtection="1">
      <alignment horizontal="center" vertical="center" wrapText="1"/>
      <protection hidden="1"/>
    </xf>
    <xf numFmtId="0" fontId="43" fillId="0" borderId="36" xfId="0" applyFont="1" applyFill="1" applyBorder="1" applyAlignment="1" applyProtection="1">
      <alignment horizontal="left" vertical="center"/>
      <protection hidden="1"/>
    </xf>
    <xf numFmtId="0" fontId="43" fillId="0" borderId="36" xfId="0" applyFont="1" applyFill="1" applyBorder="1" applyAlignment="1" applyProtection="1">
      <alignment horizontal="left" vertical="center" wrapText="1"/>
      <protection hidden="1"/>
    </xf>
    <xf numFmtId="0" fontId="1" fillId="0" borderId="106" xfId="0" applyFont="1" applyFill="1" applyBorder="1" applyAlignment="1" applyProtection="1">
      <alignment horizontal="left"/>
      <protection hidden="1"/>
    </xf>
    <xf numFmtId="0" fontId="1" fillId="0" borderId="105" xfId="0" applyFont="1" applyFill="1" applyBorder="1" applyAlignment="1" applyProtection="1">
      <alignment horizontal="left"/>
      <protection hidden="1"/>
    </xf>
    <xf numFmtId="0" fontId="1" fillId="0" borderId="130" xfId="0" applyFont="1" applyFill="1" applyBorder="1" applyAlignment="1" applyProtection="1">
      <alignment horizontal="left"/>
      <protection hidden="1"/>
    </xf>
    <xf numFmtId="0" fontId="0" fillId="0" borderId="0" xfId="0" applyAlignment="1">
      <alignment horizontal="center"/>
    </xf>
    <xf numFmtId="0" fontId="87" fillId="0" borderId="37" xfId="0" applyFont="1" applyFill="1" applyBorder="1" applyAlignment="1" applyProtection="1">
      <alignment horizontal="center" vertical="center"/>
    </xf>
    <xf numFmtId="0" fontId="87" fillId="0" borderId="38" xfId="0" applyFont="1" applyFill="1" applyBorder="1" applyAlignment="1" applyProtection="1">
      <alignment horizontal="center" vertical="center"/>
    </xf>
    <xf numFmtId="0" fontId="87" fillId="0" borderId="32" xfId="0" applyFont="1" applyFill="1" applyBorder="1" applyAlignment="1" applyProtection="1">
      <alignment horizontal="center" vertical="center"/>
    </xf>
    <xf numFmtId="0" fontId="87" fillId="0" borderId="42" xfId="0" applyFont="1" applyFill="1" applyBorder="1" applyAlignment="1" applyProtection="1">
      <alignment horizontal="center" vertical="center"/>
    </xf>
    <xf numFmtId="0" fontId="87" fillId="0" borderId="2" xfId="0" applyFont="1" applyFill="1" applyBorder="1" applyAlignment="1" applyProtection="1">
      <alignment horizontal="center" vertical="center"/>
    </xf>
    <xf numFmtId="0" fontId="87" fillId="0" borderId="43" xfId="0" applyFont="1" applyFill="1" applyBorder="1" applyAlignment="1" applyProtection="1">
      <alignment horizontal="center" vertical="center"/>
    </xf>
    <xf numFmtId="0" fontId="11" fillId="0" borderId="99" xfId="0" applyFont="1" applyFill="1" applyBorder="1" applyAlignment="1" applyProtection="1">
      <alignment horizontal="center" vertical="center" wrapText="1"/>
    </xf>
    <xf numFmtId="0" fontId="11" fillId="0" borderId="90" xfId="0" applyFont="1" applyFill="1" applyBorder="1" applyAlignment="1" applyProtection="1">
      <alignment horizontal="center" vertical="center" wrapText="1"/>
    </xf>
    <xf numFmtId="0" fontId="11" fillId="0" borderId="101" xfId="0" applyFont="1" applyFill="1" applyBorder="1" applyAlignment="1" applyProtection="1">
      <alignment horizontal="center" vertical="center" wrapText="1"/>
    </xf>
    <xf numFmtId="0" fontId="86" fillId="0" borderId="28" xfId="3" applyFont="1" applyFill="1" applyBorder="1" applyAlignment="1" applyProtection="1">
      <alignment horizontal="center" vertical="center" wrapText="1"/>
    </xf>
    <xf numFmtId="0" fontId="87" fillId="0" borderId="100" xfId="0" applyFont="1" applyFill="1" applyBorder="1" applyAlignment="1" applyProtection="1">
      <alignment horizontal="center" vertical="center" wrapText="1"/>
    </xf>
    <xf numFmtId="0" fontId="87" fillId="0" borderId="29" xfId="0" applyFont="1" applyFill="1" applyBorder="1" applyAlignment="1" applyProtection="1">
      <alignment horizontal="center" vertical="center" wrapText="1"/>
    </xf>
    <xf numFmtId="0" fontId="87" fillId="0" borderId="0" xfId="0" applyFont="1" applyFill="1" applyAlignment="1" applyProtection="1">
      <alignment horizontal="center"/>
    </xf>
    <xf numFmtId="0" fontId="0" fillId="0" borderId="1" xfId="0" applyBorder="1" applyAlignment="1">
      <alignment horizontal="center"/>
    </xf>
    <xf numFmtId="0" fontId="55" fillId="4" borderId="0" xfId="0" applyFont="1" applyFill="1" applyAlignment="1" applyProtection="1">
      <alignment horizontal="center" vertical="center"/>
    </xf>
    <xf numFmtId="0" fontId="108" fillId="4" borderId="0" xfId="0" applyFont="1" applyFill="1" applyAlignment="1" applyProtection="1">
      <alignment horizontal="center" wrapText="1"/>
    </xf>
    <xf numFmtId="0" fontId="65" fillId="4" borderId="0" xfId="0" applyFont="1" applyFill="1" applyAlignment="1" applyProtection="1">
      <alignment horizontal="center" vertical="center"/>
    </xf>
    <xf numFmtId="0" fontId="3" fillId="4" borderId="0" xfId="0" applyFont="1" applyFill="1" applyAlignment="1" applyProtection="1">
      <alignment horizontal="center" vertical="center"/>
    </xf>
    <xf numFmtId="0" fontId="107" fillId="4" borderId="0" xfId="0" applyFont="1" applyFill="1" applyAlignment="1" applyProtection="1">
      <alignment horizontal="center" vertical="center"/>
    </xf>
    <xf numFmtId="0" fontId="106" fillId="4" borderId="0" xfId="0" applyFont="1" applyFill="1" applyAlignment="1" applyProtection="1">
      <alignment horizontal="center" vertical="center"/>
    </xf>
    <xf numFmtId="0" fontId="10" fillId="4" borderId="164" xfId="0" applyFont="1" applyFill="1" applyBorder="1" applyAlignment="1" applyProtection="1">
      <alignment horizontal="center" vertical="center"/>
    </xf>
    <xf numFmtId="0" fontId="13" fillId="39" borderId="74" xfId="0" applyFont="1" applyFill="1" applyBorder="1" applyAlignment="1" applyProtection="1">
      <alignment horizontal="center" vertical="center"/>
      <protection hidden="1"/>
    </xf>
    <xf numFmtId="0" fontId="13" fillId="39" borderId="45" xfId="0" applyFont="1" applyFill="1" applyBorder="1" applyAlignment="1" applyProtection="1">
      <alignment horizontal="center" vertical="center"/>
      <protection hidden="1"/>
    </xf>
    <xf numFmtId="0" fontId="12" fillId="9" borderId="99" xfId="0" applyFont="1" applyFill="1" applyBorder="1" applyAlignment="1" applyProtection="1">
      <alignment horizontal="center" vertical="center"/>
      <protection hidden="1"/>
    </xf>
    <xf numFmtId="0" fontId="12" fillId="9" borderId="90" xfId="0" applyFont="1" applyFill="1" applyBorder="1" applyAlignment="1" applyProtection="1">
      <alignment horizontal="center" vertical="center"/>
      <protection hidden="1"/>
    </xf>
    <xf numFmtId="0" fontId="12" fillId="9" borderId="82" xfId="0" applyFont="1" applyFill="1" applyBorder="1" applyAlignment="1" applyProtection="1">
      <alignment horizontal="center" vertical="center"/>
      <protection hidden="1"/>
    </xf>
    <xf numFmtId="0" fontId="12" fillId="26" borderId="99" xfId="0" applyFont="1" applyFill="1" applyBorder="1" applyAlignment="1" applyProtection="1">
      <alignment horizontal="center" vertical="center"/>
      <protection hidden="1"/>
    </xf>
    <xf numFmtId="0" fontId="12" fillId="26" borderId="90" xfId="0" applyFont="1" applyFill="1" applyBorder="1" applyAlignment="1" applyProtection="1">
      <alignment horizontal="center" vertical="center"/>
      <protection hidden="1"/>
    </xf>
    <xf numFmtId="0" fontId="12" fillId="26" borderId="101" xfId="0" applyFont="1" applyFill="1" applyBorder="1" applyAlignment="1" applyProtection="1">
      <alignment horizontal="center" vertical="center"/>
      <protection hidden="1"/>
    </xf>
    <xf numFmtId="0" fontId="1" fillId="10" borderId="74" xfId="0" applyFont="1" applyFill="1" applyBorder="1" applyAlignment="1" applyProtection="1">
      <alignment horizontal="center" vertical="center"/>
      <protection hidden="1"/>
    </xf>
    <xf numFmtId="0" fontId="13" fillId="26" borderId="74" xfId="0" applyFont="1" applyFill="1" applyBorder="1" applyAlignment="1" applyProtection="1">
      <alignment horizontal="center" vertical="center"/>
      <protection hidden="1"/>
    </xf>
    <xf numFmtId="0" fontId="104" fillId="33" borderId="74" xfId="0" applyFont="1" applyFill="1" applyBorder="1" applyAlignment="1" applyProtection="1">
      <alignment horizontal="center" vertical="center"/>
      <protection hidden="1"/>
    </xf>
    <xf numFmtId="0" fontId="13" fillId="26" borderId="89" xfId="0" applyFont="1" applyFill="1" applyBorder="1" applyAlignment="1" applyProtection="1">
      <alignment horizontal="center" vertical="center"/>
      <protection hidden="1"/>
    </xf>
    <xf numFmtId="0" fontId="13" fillId="26" borderId="90" xfId="0" applyFont="1" applyFill="1" applyBorder="1" applyAlignment="1" applyProtection="1">
      <alignment horizontal="center" vertical="center"/>
      <protection hidden="1"/>
    </xf>
    <xf numFmtId="0" fontId="13" fillId="26" borderId="82" xfId="0" applyFont="1" applyFill="1" applyBorder="1" applyAlignment="1" applyProtection="1">
      <alignment horizontal="center" vertical="center"/>
      <protection hidden="1"/>
    </xf>
    <xf numFmtId="0" fontId="13" fillId="24" borderId="89" xfId="0" applyFont="1" applyFill="1" applyBorder="1" applyAlignment="1" applyProtection="1">
      <alignment horizontal="center" vertical="center"/>
      <protection hidden="1"/>
    </xf>
    <xf numFmtId="0" fontId="13" fillId="24" borderId="90" xfId="0" applyFont="1" applyFill="1" applyBorder="1" applyAlignment="1" applyProtection="1">
      <alignment horizontal="center" vertical="center"/>
      <protection hidden="1"/>
    </xf>
    <xf numFmtId="0" fontId="13" fillId="24" borderId="82" xfId="0" applyFont="1" applyFill="1" applyBorder="1" applyAlignment="1" applyProtection="1">
      <alignment horizontal="center" vertical="center"/>
      <protection hidden="1"/>
    </xf>
    <xf numFmtId="0" fontId="1" fillId="30" borderId="74" xfId="0" applyFont="1" applyFill="1" applyBorder="1" applyAlignment="1" applyProtection="1">
      <alignment horizontal="center" vertical="center"/>
      <protection hidden="1"/>
    </xf>
    <xf numFmtId="0" fontId="102" fillId="35" borderId="1" xfId="0" applyFont="1" applyFill="1" applyBorder="1" applyAlignment="1" applyProtection="1">
      <alignment horizontal="center" vertical="center" wrapText="1"/>
      <protection hidden="1"/>
    </xf>
    <xf numFmtId="0" fontId="126" fillId="30" borderId="28" xfId="0" applyFont="1" applyFill="1" applyBorder="1" applyAlignment="1" applyProtection="1">
      <alignment horizontal="center" vertical="center"/>
    </xf>
    <xf numFmtId="0" fontId="126" fillId="30" borderId="100" xfId="0" applyFont="1" applyFill="1" applyBorder="1" applyAlignment="1" applyProtection="1">
      <alignment horizontal="center" vertical="center"/>
    </xf>
    <xf numFmtId="0" fontId="126" fillId="30" borderId="29" xfId="0" applyFont="1" applyFill="1" applyBorder="1" applyAlignment="1" applyProtection="1">
      <alignment horizontal="center" vertical="center"/>
    </xf>
    <xf numFmtId="0" fontId="13" fillId="25" borderId="74" xfId="0" applyFont="1" applyFill="1" applyBorder="1" applyAlignment="1" applyProtection="1">
      <alignment horizontal="center" vertical="center"/>
      <protection hidden="1"/>
    </xf>
    <xf numFmtId="0" fontId="47" fillId="4" borderId="0" xfId="0" applyFont="1" applyFill="1" applyAlignment="1" applyProtection="1">
      <alignment horizontal="center" vertical="center"/>
    </xf>
    <xf numFmtId="0" fontId="90" fillId="0" borderId="0" xfId="0" applyNumberFormat="1" applyFont="1" applyFill="1" applyBorder="1" applyAlignment="1" applyProtection="1">
      <alignment horizontal="left" vertical="center"/>
    </xf>
    <xf numFmtId="0" fontId="90" fillId="0" borderId="0" xfId="0" applyNumberFormat="1" applyFont="1" applyFill="1" applyBorder="1" applyAlignment="1" applyProtection="1">
      <alignment horizontal="left" vertical="top" wrapText="1"/>
    </xf>
    <xf numFmtId="0" fontId="90" fillId="0" borderId="0" xfId="0" applyNumberFormat="1" applyFont="1" applyFill="1" applyBorder="1" applyAlignment="1" applyProtection="1">
      <alignment horizontal="left" vertical="top"/>
    </xf>
    <xf numFmtId="0" fontId="3" fillId="0" borderId="0" xfId="0" applyFont="1" applyFill="1" applyBorder="1" applyAlignment="1" applyProtection="1">
      <alignment horizontal="center"/>
    </xf>
    <xf numFmtId="0" fontId="11" fillId="0" borderId="0" xfId="0" applyFont="1" applyFill="1" applyBorder="1" applyAlignment="1" applyProtection="1">
      <alignment horizontal="center"/>
    </xf>
    <xf numFmtId="0" fontId="44" fillId="0" borderId="0" xfId="0" applyFont="1" applyFill="1" applyBorder="1" applyAlignment="1" applyProtection="1">
      <alignment horizontal="center"/>
    </xf>
    <xf numFmtId="168" fontId="90" fillId="0" borderId="0" xfId="0" applyNumberFormat="1" applyFont="1" applyFill="1" applyBorder="1" applyAlignment="1" applyProtection="1">
      <alignment horizontal="left" vertical="center"/>
    </xf>
    <xf numFmtId="169" fontId="90" fillId="0" borderId="0" xfId="0" applyNumberFormat="1" applyFont="1" applyFill="1" applyBorder="1" applyAlignment="1" applyProtection="1">
      <alignment horizontal="left" vertical="center"/>
    </xf>
    <xf numFmtId="0" fontId="1" fillId="0" borderId="88" xfId="0" applyFont="1" applyFill="1" applyBorder="1" applyAlignment="1" applyProtection="1">
      <alignment horizontal="left"/>
    </xf>
    <xf numFmtId="0" fontId="1" fillId="0" borderId="66" xfId="0" applyFont="1" applyFill="1" applyBorder="1" applyAlignment="1" applyProtection="1">
      <alignment horizontal="left"/>
    </xf>
    <xf numFmtId="0" fontId="1" fillId="0" borderId="33" xfId="0" applyFont="1" applyFill="1" applyBorder="1" applyAlignment="1" applyProtection="1">
      <alignment horizontal="left"/>
    </xf>
    <xf numFmtId="0" fontId="1" fillId="14" borderId="165" xfId="0" applyFont="1" applyFill="1" applyBorder="1" applyAlignment="1" applyProtection="1">
      <alignment horizontal="center"/>
    </xf>
    <xf numFmtId="0" fontId="1" fillId="14" borderId="104" xfId="0" applyFont="1" applyFill="1" applyBorder="1" applyAlignment="1" applyProtection="1">
      <alignment horizontal="center"/>
    </xf>
    <xf numFmtId="0" fontId="1" fillId="14" borderId="107" xfId="0" applyFont="1" applyFill="1" applyBorder="1" applyAlignment="1" applyProtection="1">
      <alignment horizontal="center"/>
    </xf>
    <xf numFmtId="0" fontId="1" fillId="14" borderId="103" xfId="0" applyFont="1" applyFill="1" applyBorder="1" applyAlignment="1" applyProtection="1">
      <alignment horizontal="center"/>
    </xf>
    <xf numFmtId="0" fontId="1" fillId="14" borderId="166" xfId="0" applyFont="1" applyFill="1" applyBorder="1" applyAlignment="1" applyProtection="1">
      <alignment horizontal="center"/>
    </xf>
    <xf numFmtId="0" fontId="40" fillId="0" borderId="21" xfId="0" applyFont="1" applyFill="1" applyBorder="1" applyAlignment="1" applyProtection="1">
      <alignment horizontal="center" vertical="center"/>
    </xf>
    <xf numFmtId="0" fontId="40" fillId="0" borderId="0" xfId="0" applyFont="1" applyFill="1" applyBorder="1" applyAlignment="1" applyProtection="1">
      <alignment horizontal="center" vertical="center"/>
    </xf>
    <xf numFmtId="0" fontId="40" fillId="0" borderId="98" xfId="0" applyFont="1" applyFill="1" applyBorder="1" applyAlignment="1" applyProtection="1">
      <alignment horizontal="center" vertical="center"/>
    </xf>
    <xf numFmtId="0" fontId="40" fillId="0" borderId="23" xfId="0" applyFont="1" applyFill="1" applyBorder="1" applyAlignment="1" applyProtection="1">
      <alignment horizontal="center" vertical="center"/>
    </xf>
    <xf numFmtId="0" fontId="40" fillId="0" borderId="10" xfId="0" applyFont="1" applyFill="1" applyBorder="1" applyAlignment="1" applyProtection="1">
      <alignment horizontal="center" vertical="center"/>
    </xf>
    <xf numFmtId="0" fontId="40" fillId="0" borderId="52" xfId="0" applyFont="1" applyFill="1" applyBorder="1" applyAlignment="1" applyProtection="1">
      <alignment horizontal="center" vertical="center"/>
    </xf>
    <xf numFmtId="0" fontId="0" fillId="0" borderId="140" xfId="0" applyFont="1" applyFill="1" applyBorder="1" applyAlignment="1" applyProtection="1">
      <alignment horizontal="justify" vertical="center" wrapText="1"/>
    </xf>
    <xf numFmtId="0" fontId="0" fillId="0" borderId="141" xfId="0" applyFont="1" applyFill="1" applyBorder="1" applyAlignment="1" applyProtection="1">
      <alignment horizontal="justify" vertical="center" wrapText="1"/>
    </xf>
    <xf numFmtId="0" fontId="0" fillId="0" borderId="167" xfId="0" applyFont="1" applyFill="1" applyBorder="1" applyAlignment="1" applyProtection="1">
      <alignment horizontal="justify" vertical="center" wrapText="1"/>
    </xf>
    <xf numFmtId="0" fontId="0" fillId="0" borderId="92" xfId="0" applyFont="1" applyFill="1" applyBorder="1" applyAlignment="1" applyProtection="1">
      <alignment horizontal="justify" vertical="center" wrapText="1"/>
    </xf>
    <xf numFmtId="0" fontId="0" fillId="0" borderId="0" xfId="0" applyFont="1" applyFill="1" applyBorder="1" applyAlignment="1" applyProtection="1">
      <alignment horizontal="justify" vertical="center" wrapText="1"/>
    </xf>
    <xf numFmtId="0" fontId="0" fillId="0" borderId="51" xfId="0" applyFont="1" applyFill="1" applyBorder="1" applyAlignment="1" applyProtection="1">
      <alignment horizontal="justify" vertical="center" wrapText="1"/>
    </xf>
    <xf numFmtId="0" fontId="0" fillId="0" borderId="12" xfId="0" applyFont="1" applyFill="1" applyBorder="1" applyAlignment="1" applyProtection="1">
      <alignment horizontal="justify" vertical="center" wrapText="1"/>
    </xf>
    <xf numFmtId="0" fontId="0" fillId="0" borderId="10" xfId="0" applyFont="1" applyFill="1" applyBorder="1" applyAlignment="1" applyProtection="1">
      <alignment horizontal="justify" vertical="center" wrapText="1"/>
    </xf>
    <xf numFmtId="0" fontId="0" fillId="0" borderId="22" xfId="0" applyFont="1" applyFill="1" applyBorder="1" applyAlignment="1" applyProtection="1">
      <alignment horizontal="justify" vertical="center" wrapText="1"/>
    </xf>
    <xf numFmtId="0" fontId="103" fillId="4" borderId="0" xfId="0" applyFont="1" applyFill="1" applyAlignment="1" applyProtection="1">
      <alignment horizontal="right" vertical="center"/>
    </xf>
    <xf numFmtId="0" fontId="1" fillId="0" borderId="99" xfId="0" applyFont="1" applyFill="1" applyBorder="1" applyAlignment="1" applyProtection="1">
      <alignment horizontal="center"/>
    </xf>
    <xf numFmtId="0" fontId="1" fillId="0" borderId="90" xfId="0" applyFont="1" applyFill="1" applyBorder="1" applyAlignment="1" applyProtection="1">
      <alignment horizontal="center"/>
    </xf>
    <xf numFmtId="0" fontId="1" fillId="0" borderId="101" xfId="0" applyFont="1" applyFill="1" applyBorder="1" applyAlignment="1" applyProtection="1">
      <alignment horizontal="center"/>
    </xf>
    <xf numFmtId="0" fontId="0" fillId="0" borderId="25" xfId="0" applyFont="1" applyFill="1" applyBorder="1" applyAlignment="1" applyProtection="1">
      <alignment horizontal="center"/>
    </xf>
    <xf numFmtId="0" fontId="55" fillId="0" borderId="0" xfId="0" applyFont="1" applyFill="1" applyBorder="1" applyAlignment="1" applyProtection="1">
      <alignment horizontal="center" vertical="top"/>
    </xf>
    <xf numFmtId="0" fontId="4" fillId="0" borderId="9" xfId="0" applyFont="1" applyFill="1" applyBorder="1" applyAlignment="1" applyProtection="1">
      <alignment horizontal="center" vertical="center"/>
    </xf>
    <xf numFmtId="0" fontId="4" fillId="0" borderId="6" xfId="0" applyFont="1" applyFill="1" applyBorder="1" applyAlignment="1" applyProtection="1">
      <alignment horizontal="center" vertical="center"/>
    </xf>
    <xf numFmtId="0" fontId="4" fillId="0" borderId="77" xfId="0" applyFont="1" applyFill="1" applyBorder="1" applyAlignment="1" applyProtection="1">
      <alignment horizontal="center" vertical="center"/>
    </xf>
    <xf numFmtId="0" fontId="4" fillId="0" borderId="63" xfId="0" applyFont="1" applyFill="1" applyBorder="1" applyAlignment="1" applyProtection="1">
      <alignment horizontal="center" vertical="center"/>
    </xf>
    <xf numFmtId="0" fontId="1" fillId="0" borderId="11" xfId="0" applyFont="1" applyFill="1" applyBorder="1" applyAlignment="1" applyProtection="1">
      <alignment horizontal="left"/>
    </xf>
    <xf numFmtId="0" fontId="1" fillId="0" borderId="13" xfId="0" applyFont="1" applyFill="1" applyBorder="1" applyAlignment="1" applyProtection="1">
      <alignment horizontal="left"/>
    </xf>
    <xf numFmtId="0" fontId="1" fillId="0" borderId="15" xfId="0" applyFont="1" applyFill="1" applyBorder="1" applyAlignment="1" applyProtection="1">
      <alignment horizontal="left"/>
    </xf>
    <xf numFmtId="0" fontId="1" fillId="14" borderId="168" xfId="0" applyFont="1" applyFill="1" applyBorder="1" applyAlignment="1" applyProtection="1">
      <alignment horizontal="center"/>
    </xf>
    <xf numFmtId="0" fontId="1" fillId="14" borderId="102" xfId="0" applyFont="1" applyFill="1" applyBorder="1" applyAlignment="1" applyProtection="1">
      <alignment horizontal="center"/>
    </xf>
    <xf numFmtId="0" fontId="1" fillId="14" borderId="169" xfId="0" applyFont="1" applyFill="1" applyBorder="1" applyAlignment="1" applyProtection="1">
      <alignment horizontal="center"/>
    </xf>
    <xf numFmtId="0" fontId="40" fillId="0" borderId="30" xfId="0" applyFont="1" applyFill="1" applyBorder="1" applyAlignment="1" applyProtection="1">
      <alignment horizontal="center" vertical="center"/>
    </xf>
    <xf numFmtId="0" fontId="40" fillId="0" borderId="36" xfId="0" applyFont="1" applyFill="1" applyBorder="1" applyAlignment="1" applyProtection="1">
      <alignment horizontal="center" vertical="center"/>
    </xf>
    <xf numFmtId="0" fontId="40" fillId="0" borderId="19" xfId="0" applyFont="1" applyFill="1" applyBorder="1" applyAlignment="1" applyProtection="1">
      <alignment horizontal="center" vertical="center"/>
    </xf>
    <xf numFmtId="0" fontId="40" fillId="0" borderId="1" xfId="0" applyFont="1" applyFill="1" applyBorder="1" applyAlignment="1" applyProtection="1">
      <alignment horizontal="center" vertical="center"/>
    </xf>
    <xf numFmtId="0" fontId="1" fillId="0" borderId="21" xfId="0" applyFont="1" applyFill="1" applyBorder="1" applyAlignment="1" applyProtection="1">
      <alignment horizontal="left"/>
    </xf>
    <xf numFmtId="0" fontId="1" fillId="0" borderId="0" xfId="0" applyFont="1" applyFill="1" applyBorder="1" applyAlignment="1" applyProtection="1">
      <alignment horizontal="left"/>
    </xf>
    <xf numFmtId="0" fontId="1" fillId="0" borderId="51" xfId="0" applyFont="1" applyFill="1" applyBorder="1" applyAlignment="1" applyProtection="1">
      <alignment horizontal="left"/>
    </xf>
    <xf numFmtId="0" fontId="1" fillId="14" borderId="19" xfId="0" applyFont="1" applyFill="1" applyBorder="1" applyAlignment="1" applyProtection="1">
      <alignment horizontal="center" vertical="center"/>
    </xf>
    <xf numFmtId="0" fontId="1" fillId="14" borderId="168" xfId="0" applyFont="1" applyFill="1" applyBorder="1" applyAlignment="1" applyProtection="1">
      <alignment horizontal="center" vertical="center"/>
    </xf>
    <xf numFmtId="0" fontId="1" fillId="14" borderId="1" xfId="0" applyFont="1" applyFill="1" applyBorder="1" applyAlignment="1" applyProtection="1">
      <alignment horizontal="center" vertical="center"/>
    </xf>
    <xf numFmtId="0" fontId="1" fillId="14" borderId="102" xfId="0" applyFont="1" applyFill="1" applyBorder="1" applyAlignment="1" applyProtection="1">
      <alignment horizontal="center" vertical="center"/>
    </xf>
    <xf numFmtId="0" fontId="1" fillId="14" borderId="1" xfId="0" applyFont="1" applyFill="1" applyBorder="1" applyAlignment="1" applyProtection="1">
      <alignment horizontal="center"/>
    </xf>
    <xf numFmtId="0" fontId="1" fillId="14" borderId="14" xfId="0" applyFont="1" applyFill="1" applyBorder="1" applyAlignment="1" applyProtection="1">
      <alignment horizontal="center"/>
    </xf>
    <xf numFmtId="0" fontId="1" fillId="0" borderId="23" xfId="0" applyFont="1" applyFill="1" applyBorder="1" applyAlignment="1" applyProtection="1">
      <alignment horizontal="left"/>
    </xf>
    <xf numFmtId="0" fontId="1" fillId="0" borderId="10" xfId="0" applyFont="1" applyFill="1" applyBorder="1" applyAlignment="1" applyProtection="1">
      <alignment horizontal="left"/>
    </xf>
    <xf numFmtId="0" fontId="1" fillId="0" borderId="22" xfId="0" applyFont="1" applyFill="1" applyBorder="1" applyAlignment="1" applyProtection="1">
      <alignment horizontal="left"/>
    </xf>
    <xf numFmtId="0" fontId="0" fillId="0" borderId="1" xfId="0" applyFont="1" applyFill="1" applyBorder="1" applyAlignment="1" applyProtection="1">
      <alignment horizontal="left"/>
    </xf>
    <xf numFmtId="0" fontId="0" fillId="0" borderId="1" xfId="0" applyFont="1" applyFill="1" applyBorder="1" applyAlignment="1" applyProtection="1">
      <alignment horizontal="center"/>
    </xf>
    <xf numFmtId="1" fontId="0" fillId="0" borderId="1" xfId="0" applyNumberFormat="1" applyFont="1" applyFill="1" applyBorder="1" applyAlignment="1" applyProtection="1">
      <alignment horizontal="center"/>
    </xf>
    <xf numFmtId="0" fontId="0" fillId="0" borderId="5" xfId="0" applyFont="1" applyFill="1" applyBorder="1" applyAlignment="1" applyProtection="1">
      <alignment horizontal="center"/>
    </xf>
    <xf numFmtId="0" fontId="0" fillId="0" borderId="6" xfId="0" applyFont="1" applyFill="1" applyBorder="1" applyAlignment="1" applyProtection="1">
      <alignment horizontal="center"/>
    </xf>
    <xf numFmtId="0" fontId="0" fillId="0" borderId="16" xfId="0" applyFont="1" applyFill="1" applyBorder="1" applyAlignment="1" applyProtection="1">
      <alignment horizontal="center"/>
    </xf>
    <xf numFmtId="0" fontId="1" fillId="0" borderId="20" xfId="0" applyFont="1" applyFill="1" applyBorder="1" applyAlignment="1" applyProtection="1">
      <alignment horizontal="left"/>
    </xf>
    <xf numFmtId="0" fontId="1" fillId="0" borderId="9" xfId="0" applyFont="1" applyFill="1" applyBorder="1" applyAlignment="1" applyProtection="1">
      <alignment horizontal="left"/>
    </xf>
    <xf numFmtId="0" fontId="1" fillId="0" borderId="16" xfId="0" applyFont="1" applyFill="1" applyBorder="1" applyAlignment="1" applyProtection="1">
      <alignment horizontal="left"/>
    </xf>
    <xf numFmtId="0" fontId="1" fillId="14" borderId="169" xfId="0" applyFont="1" applyFill="1" applyBorder="1" applyAlignment="1" applyProtection="1">
      <alignment horizontal="center" vertical="center"/>
    </xf>
    <xf numFmtId="0" fontId="43" fillId="0" borderId="36" xfId="0" applyFont="1" applyFill="1" applyBorder="1" applyAlignment="1" applyProtection="1">
      <alignment horizontal="left" vertical="center"/>
    </xf>
    <xf numFmtId="0" fontId="43" fillId="0" borderId="36" xfId="0" applyFont="1" applyFill="1" applyBorder="1" applyAlignment="1" applyProtection="1">
      <alignment horizontal="center" vertical="center"/>
    </xf>
    <xf numFmtId="0" fontId="43" fillId="0" borderId="36" xfId="0" applyFont="1" applyFill="1" applyBorder="1" applyAlignment="1" applyProtection="1">
      <alignment horizontal="left" vertical="center" wrapText="1"/>
    </xf>
    <xf numFmtId="0" fontId="43" fillId="0" borderId="27" xfId="0" applyFont="1" applyFill="1" applyBorder="1" applyAlignment="1" applyProtection="1">
      <alignment horizontal="left" vertical="center" wrapText="1"/>
    </xf>
    <xf numFmtId="0" fontId="4" fillId="0" borderId="19" xfId="0" applyFont="1" applyFill="1" applyBorder="1" applyAlignment="1" applyProtection="1">
      <alignment horizontal="center" vertical="center"/>
    </xf>
    <xf numFmtId="0" fontId="4" fillId="0" borderId="1" xfId="0" applyFont="1" applyFill="1" applyBorder="1" applyAlignment="1" applyProtection="1">
      <alignment horizontal="center" vertical="center"/>
    </xf>
    <xf numFmtId="1" fontId="46" fillId="0" borderId="5" xfId="0" applyNumberFormat="1" applyFont="1" applyFill="1" applyBorder="1" applyAlignment="1" applyProtection="1">
      <alignment horizontal="left" vertical="center" indent="1"/>
    </xf>
    <xf numFmtId="1" fontId="46" fillId="0" borderId="9" xfId="0" applyNumberFormat="1" applyFont="1" applyFill="1" applyBorder="1" applyAlignment="1" applyProtection="1">
      <alignment horizontal="left" vertical="center" indent="1"/>
    </xf>
    <xf numFmtId="1" fontId="46" fillId="0" borderId="16" xfId="0" applyNumberFormat="1" applyFont="1" applyFill="1" applyBorder="1" applyAlignment="1" applyProtection="1">
      <alignment horizontal="left" vertical="center" indent="1"/>
    </xf>
    <xf numFmtId="0" fontId="46" fillId="0" borderId="5" xfId="0" applyFont="1" applyFill="1" applyBorder="1" applyAlignment="1" applyProtection="1">
      <alignment horizontal="left" vertical="center" indent="1"/>
    </xf>
    <xf numFmtId="0" fontId="46" fillId="0" borderId="9" xfId="0" applyFont="1" applyFill="1" applyBorder="1" applyAlignment="1" applyProtection="1">
      <alignment horizontal="left" vertical="center" indent="1"/>
    </xf>
    <xf numFmtId="0" fontId="46" fillId="0" borderId="16" xfId="0" applyFont="1" applyFill="1" applyBorder="1" applyAlignment="1" applyProtection="1">
      <alignment horizontal="left" vertical="center" indent="1"/>
    </xf>
    <xf numFmtId="0" fontId="0" fillId="0" borderId="19" xfId="0" applyFill="1" applyBorder="1" applyAlignment="1" applyProtection="1">
      <alignment horizontal="left" indent="1"/>
    </xf>
    <xf numFmtId="0" fontId="0" fillId="0" borderId="1" xfId="0" applyFont="1" applyFill="1" applyBorder="1" applyAlignment="1" applyProtection="1">
      <alignment horizontal="left" indent="1"/>
    </xf>
    <xf numFmtId="0" fontId="0" fillId="0" borderId="39" xfId="0" applyFill="1" applyBorder="1" applyAlignment="1" applyProtection="1">
      <alignment horizontal="left" indent="1"/>
    </xf>
    <xf numFmtId="0" fontId="0" fillId="0" borderId="40" xfId="0" applyFont="1" applyFill="1" applyBorder="1" applyAlignment="1" applyProtection="1">
      <alignment horizontal="left" indent="1"/>
    </xf>
    <xf numFmtId="0" fontId="43" fillId="0" borderId="1" xfId="0" applyFont="1" applyFill="1" applyBorder="1" applyAlignment="1" applyProtection="1">
      <alignment horizontal="left" vertical="center"/>
    </xf>
    <xf numFmtId="0" fontId="43" fillId="0" borderId="5" xfId="0" applyFont="1" applyFill="1" applyBorder="1" applyAlignment="1" applyProtection="1">
      <alignment horizontal="center" vertical="center"/>
    </xf>
    <xf numFmtId="0" fontId="43" fillId="0" borderId="9" xfId="0" applyFont="1" applyFill="1" applyBorder="1" applyAlignment="1" applyProtection="1">
      <alignment horizontal="center" vertical="center"/>
    </xf>
    <xf numFmtId="0" fontId="43" fillId="0" borderId="6" xfId="0" applyFont="1" applyFill="1" applyBorder="1" applyAlignment="1" applyProtection="1">
      <alignment horizontal="center" vertical="center"/>
    </xf>
    <xf numFmtId="0" fontId="43" fillId="0" borderId="1" xfId="0" applyFont="1" applyFill="1" applyBorder="1" applyAlignment="1" applyProtection="1">
      <alignment horizontal="left" vertical="center" wrapText="1"/>
    </xf>
    <xf numFmtId="0" fontId="43" fillId="0" borderId="14" xfId="0" applyFont="1" applyFill="1" applyBorder="1" applyAlignment="1" applyProtection="1">
      <alignment horizontal="left" vertical="center" wrapText="1"/>
    </xf>
    <xf numFmtId="0" fontId="1" fillId="0" borderId="170" xfId="0" applyFont="1" applyFill="1" applyBorder="1" applyAlignment="1" applyProtection="1">
      <alignment horizontal="left"/>
    </xf>
    <xf numFmtId="0" fontId="1" fillId="0" borderId="105" xfId="0" applyFont="1" applyFill="1" applyBorder="1" applyAlignment="1" applyProtection="1">
      <alignment horizontal="left"/>
    </xf>
    <xf numFmtId="0" fontId="1" fillId="0" borderId="171" xfId="0" applyFont="1" applyFill="1" applyBorder="1" applyAlignment="1" applyProtection="1">
      <alignment horizontal="left"/>
    </xf>
    <xf numFmtId="0" fontId="0" fillId="0" borderId="92" xfId="0" applyFont="1" applyFill="1" applyBorder="1" applyAlignment="1" applyProtection="1">
      <alignment horizontal="left" vertical="top" wrapText="1"/>
    </xf>
    <xf numFmtId="0" fontId="0" fillId="0" borderId="0" xfId="0" applyFont="1" applyFill="1" applyBorder="1" applyAlignment="1" applyProtection="1">
      <alignment horizontal="left" vertical="top" wrapText="1"/>
    </xf>
    <xf numFmtId="0" fontId="0" fillId="0" borderId="51" xfId="0" applyFont="1" applyFill="1" applyBorder="1" applyAlignment="1" applyProtection="1">
      <alignment horizontal="left" vertical="top" wrapText="1"/>
    </xf>
    <xf numFmtId="0" fontId="1" fillId="0" borderId="41" xfId="0" applyFont="1" applyFill="1" applyBorder="1" applyAlignment="1" applyProtection="1">
      <alignment horizontal="center" vertical="center" wrapText="1"/>
    </xf>
    <xf numFmtId="0" fontId="1" fillId="0" borderId="77" xfId="0" applyFont="1" applyFill="1" applyBorder="1" applyAlignment="1" applyProtection="1">
      <alignment horizontal="center" vertical="center" wrapText="1"/>
    </xf>
    <xf numFmtId="0" fontId="1" fillId="0" borderId="172" xfId="0" applyFont="1" applyFill="1" applyBorder="1" applyAlignment="1" applyProtection="1">
      <alignment horizontal="center" vertical="center" wrapText="1"/>
    </xf>
    <xf numFmtId="0" fontId="114" fillId="0" borderId="0" xfId="0" applyFont="1" applyFill="1" applyBorder="1" applyAlignment="1" applyProtection="1">
      <alignment horizontal="center"/>
      <protection hidden="1"/>
    </xf>
    <xf numFmtId="0" fontId="13" fillId="9" borderId="61" xfId="0" applyFont="1" applyFill="1" applyBorder="1" applyAlignment="1" applyProtection="1">
      <alignment horizontal="center" vertical="center"/>
      <protection hidden="1"/>
    </xf>
    <xf numFmtId="0" fontId="114" fillId="0" borderId="173" xfId="0" applyFont="1" applyFill="1" applyBorder="1" applyAlignment="1" applyProtection="1">
      <alignment horizontal="center"/>
      <protection hidden="1"/>
    </xf>
    <xf numFmtId="0" fontId="16" fillId="25" borderId="28" xfId="0" applyFont="1" applyFill="1" applyBorder="1" applyAlignment="1" applyProtection="1">
      <alignment horizontal="center" vertical="center"/>
      <protection hidden="1"/>
    </xf>
    <xf numFmtId="0" fontId="16" fillId="25" borderId="100" xfId="0" applyFont="1" applyFill="1" applyBorder="1" applyAlignment="1" applyProtection="1">
      <alignment horizontal="center" vertical="center"/>
      <protection hidden="1"/>
    </xf>
    <xf numFmtId="0" fontId="16" fillId="25" borderId="29" xfId="0" applyFont="1" applyFill="1" applyBorder="1" applyAlignment="1" applyProtection="1">
      <alignment horizontal="center" vertical="center"/>
      <protection hidden="1"/>
    </xf>
    <xf numFmtId="0" fontId="32" fillId="6" borderId="37" xfId="0" applyFont="1" applyFill="1" applyBorder="1" applyAlignment="1" applyProtection="1">
      <alignment horizontal="center" vertical="center"/>
      <protection hidden="1"/>
    </xf>
    <xf numFmtId="0" fontId="32" fillId="6" borderId="38" xfId="0" applyFont="1" applyFill="1" applyBorder="1" applyAlignment="1" applyProtection="1">
      <alignment horizontal="center" vertical="center"/>
      <protection hidden="1"/>
    </xf>
    <xf numFmtId="0" fontId="32" fillId="6" borderId="32" xfId="0" applyFont="1" applyFill="1" applyBorder="1" applyAlignment="1" applyProtection="1">
      <alignment horizontal="center" vertical="center"/>
      <protection hidden="1"/>
    </xf>
    <xf numFmtId="0" fontId="32" fillId="6" borderId="23" xfId="0" applyFont="1" applyFill="1" applyBorder="1" applyAlignment="1" applyProtection="1">
      <alignment horizontal="center" vertical="center"/>
      <protection hidden="1"/>
    </xf>
    <xf numFmtId="0" fontId="32" fillId="6" borderId="10" xfId="0" applyFont="1" applyFill="1" applyBorder="1" applyAlignment="1" applyProtection="1">
      <alignment horizontal="center" vertical="center"/>
      <protection hidden="1"/>
    </xf>
    <xf numFmtId="0" fontId="32" fillId="6" borderId="22" xfId="0" applyFont="1" applyFill="1" applyBorder="1" applyAlignment="1" applyProtection="1">
      <alignment horizontal="center" vertical="center"/>
      <protection hidden="1"/>
    </xf>
    <xf numFmtId="0" fontId="32" fillId="26" borderId="188" xfId="0" applyFont="1" applyFill="1" applyBorder="1" applyAlignment="1" applyProtection="1">
      <alignment horizontal="center" vertical="center"/>
    </xf>
    <xf numFmtId="0" fontId="32" fillId="26" borderId="189" xfId="0" applyFont="1" applyFill="1" applyBorder="1" applyAlignment="1" applyProtection="1">
      <alignment horizontal="center" vertical="center"/>
    </xf>
    <xf numFmtId="0" fontId="32" fillId="26" borderId="190" xfId="0" applyFont="1" applyFill="1" applyBorder="1" applyAlignment="1" applyProtection="1">
      <alignment horizontal="center" vertical="center"/>
    </xf>
    <xf numFmtId="0" fontId="18" fillId="30" borderId="37" xfId="0" applyFont="1" applyFill="1" applyBorder="1" applyAlignment="1" applyProtection="1">
      <alignment horizontal="center" vertical="center"/>
      <protection hidden="1"/>
    </xf>
    <xf numFmtId="0" fontId="18" fillId="30" borderId="38" xfId="0" applyFont="1" applyFill="1" applyBorder="1" applyAlignment="1" applyProtection="1">
      <alignment horizontal="center" vertical="center"/>
      <protection hidden="1"/>
    </xf>
    <xf numFmtId="0" fontId="18" fillId="30" borderId="32" xfId="0" applyFont="1" applyFill="1" applyBorder="1" applyAlignment="1" applyProtection="1">
      <alignment horizontal="center" vertical="center"/>
      <protection hidden="1"/>
    </xf>
  </cellXfs>
  <cellStyles count="17">
    <cellStyle name="Explanatory Text" xfId="6" builtinId="53"/>
    <cellStyle name="Hyperlink" xfId="3" builtinId="8"/>
    <cellStyle name="Hyperlink 2" xfId="9"/>
    <cellStyle name="Hyperlink 2 2" xfId="14"/>
    <cellStyle name="Hyperlink 2 3" xfId="15"/>
    <cellStyle name="Hyperlink 2 4" xfId="16"/>
    <cellStyle name="Normal" xfId="0" builtinId="0"/>
    <cellStyle name="Normal 2" xfId="4"/>
    <cellStyle name="Normal 2 2" xfId="7"/>
    <cellStyle name="Normal 2 2 2" xfId="8"/>
    <cellStyle name="Normal 2 2 2 2" xfId="10"/>
    <cellStyle name="Normal 2 2 2 3" xfId="13"/>
    <cellStyle name="Normal 2 2 3" xfId="12"/>
    <cellStyle name="Normal 2 3" xfId="11"/>
    <cellStyle name="Normal 3 2" xfId="1"/>
    <cellStyle name="Note" xfId="2" builtinId="10"/>
    <cellStyle name="Output" xfId="5" builtinId="21"/>
  </cellStyles>
  <dxfs count="277">
    <dxf>
      <font>
        <color theme="0"/>
      </font>
      <fill>
        <patternFill>
          <bgColor theme="1"/>
        </patternFill>
      </fill>
    </dxf>
    <dxf>
      <font>
        <color theme="0"/>
      </font>
      <fill>
        <patternFill>
          <bgColor theme="0"/>
        </patternFill>
      </fill>
    </dxf>
    <dxf>
      <font>
        <color theme="0"/>
      </font>
      <fill>
        <patternFill>
          <bgColor rgb="FFFF000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bgColor theme="0"/>
        </patternFill>
      </fill>
    </dxf>
    <dxf>
      <font>
        <color theme="0"/>
      </font>
      <fill>
        <patternFill>
          <bgColor rgb="FFFF0000"/>
        </patternFill>
      </fill>
    </dxf>
    <dxf>
      <font>
        <color theme="0"/>
      </font>
      <fill>
        <patternFill>
          <bgColor rgb="FFC00000"/>
        </patternFill>
      </fill>
    </dxf>
    <dxf>
      <font>
        <color auto="1"/>
      </font>
      <fill>
        <patternFill patternType="solid">
          <bgColor rgb="FF92D050"/>
        </patternFill>
      </fill>
    </dxf>
    <dxf>
      <font>
        <color theme="0"/>
      </font>
      <fill>
        <patternFill>
          <bgColor rgb="FFFF0000"/>
        </patternFill>
      </fill>
    </dxf>
    <dxf>
      <font>
        <color theme="0"/>
      </font>
      <fill>
        <patternFill>
          <bgColor theme="1"/>
        </patternFill>
      </fill>
    </dxf>
    <dxf>
      <font>
        <color theme="1"/>
      </font>
      <fill>
        <patternFill>
          <bgColor theme="0" tint="-4.9989318521683403E-2"/>
        </patternFill>
      </fill>
    </dxf>
    <dxf>
      <font>
        <color theme="0"/>
      </font>
      <fill>
        <patternFill>
          <bgColor rgb="FFFF0000"/>
        </patternFill>
      </fill>
    </dxf>
    <dxf>
      <font>
        <color theme="0"/>
      </font>
      <fill>
        <patternFill>
          <bgColor theme="1"/>
        </patternFill>
      </fill>
    </dxf>
    <dxf>
      <font>
        <color theme="1"/>
      </font>
      <fill>
        <patternFill>
          <bgColor theme="0" tint="-4.9989318521683403E-2"/>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bgColor rgb="FFFF0000"/>
        </patternFill>
      </fill>
    </dxf>
    <dxf>
      <font>
        <color theme="0"/>
      </font>
      <fill>
        <patternFill>
          <bgColor theme="1"/>
        </patternFill>
      </fill>
    </dxf>
    <dxf>
      <font>
        <color theme="1"/>
      </font>
      <fill>
        <patternFill>
          <bgColor theme="0" tint="-0.14996795556505021"/>
        </patternFill>
      </fill>
    </dxf>
    <dxf>
      <font>
        <b val="0"/>
        <i val="0"/>
        <color theme="0"/>
      </font>
      <fill>
        <patternFill patternType="solid">
          <fgColor auto="1"/>
          <bgColor rgb="FFFF0000"/>
        </patternFill>
      </fill>
    </dxf>
    <dxf>
      <font>
        <color theme="0"/>
      </font>
      <fill>
        <patternFill>
          <bgColor rgb="FFFF0000"/>
        </patternFill>
      </fill>
    </dxf>
    <dxf>
      <font>
        <color theme="0"/>
      </font>
      <fill>
        <patternFill>
          <bgColor theme="1"/>
        </patternFill>
      </fill>
    </dxf>
    <dxf>
      <font>
        <color theme="1"/>
      </font>
      <fill>
        <patternFill>
          <bgColor theme="0"/>
        </patternFill>
      </fill>
    </dxf>
    <dxf>
      <font>
        <b val="0"/>
        <i val="0"/>
        <color theme="0"/>
      </font>
      <fill>
        <patternFill patternType="solid">
          <fgColor auto="1"/>
          <bgColor rgb="FFFF000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fgColor auto="1"/>
          <bgColor rgb="FFFF0000"/>
        </patternFill>
      </fill>
    </dxf>
    <dxf>
      <fill>
        <patternFill>
          <bgColor theme="0"/>
        </patternFill>
      </fill>
    </dxf>
    <dxf>
      <font>
        <color theme="0"/>
      </font>
      <fill>
        <patternFill>
          <bgColor theme="1"/>
        </patternFill>
      </fill>
    </dxf>
    <dxf>
      <font>
        <color theme="0"/>
      </font>
      <fill>
        <patternFill>
          <bgColor theme="1"/>
        </patternFill>
      </fill>
    </dxf>
    <dxf>
      <font>
        <color theme="0"/>
      </font>
      <fill>
        <patternFill>
          <fgColor auto="1"/>
          <bgColor rgb="FFFF0000"/>
        </patternFill>
      </fill>
    </dxf>
    <dxf>
      <font>
        <color theme="1"/>
      </font>
      <fill>
        <patternFill>
          <bgColor theme="0"/>
        </patternFill>
      </fill>
    </dxf>
    <dxf>
      <font>
        <color theme="0"/>
      </font>
      <fill>
        <patternFill>
          <bgColor theme="1"/>
        </patternFill>
      </fill>
    </dxf>
    <dxf>
      <font>
        <color theme="0"/>
      </font>
      <fill>
        <patternFill>
          <bgColor theme="1"/>
        </patternFill>
      </fill>
    </dxf>
    <dxf>
      <font>
        <color theme="0"/>
      </font>
      <fill>
        <patternFill>
          <bgColor theme="1"/>
        </patternFill>
      </fill>
    </dxf>
  </dxfs>
  <tableStyles count="0" defaultTableStyle="TableStyleMedium9" defaultPivotStyle="PivotStyleLight16"/>
  <colors>
    <mruColors>
      <color rgb="FFF8DE96"/>
      <color rgb="FFFF3300"/>
    </mruColors>
  </colors>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externalLink" Target="externalLinks/externalLink1.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2.png"/><Relationship Id="rId7" Type="http://schemas.openxmlformats.org/officeDocument/2006/relationships/image" Target="../media/image4.png"/><Relationship Id="rId2" Type="http://schemas.openxmlformats.org/officeDocument/2006/relationships/hyperlink" Target="#Menu2!A1"/><Relationship Id="rId1" Type="http://schemas.openxmlformats.org/officeDocument/2006/relationships/hyperlink" Target="#Menu1!A1"/><Relationship Id="rId6" Type="http://schemas.openxmlformats.org/officeDocument/2006/relationships/image" Target="../media/image3.png"/><Relationship Id="rId5" Type="http://schemas.openxmlformats.org/officeDocument/2006/relationships/hyperlink" Target="#Admin!A1"/><Relationship Id="rId4" Type="http://schemas.openxmlformats.org/officeDocument/2006/relationships/hyperlink" Target="#Petunjuk!A1"/></Relationships>
</file>

<file path=xl/drawings/_rels/drawing2.xml.rels><?xml version="1.0" encoding="UTF-8" standalone="yes"?>
<Relationships xmlns="http://schemas.openxmlformats.org/package/2006/relationships"><Relationship Id="rId8" Type="http://schemas.openxmlformats.org/officeDocument/2006/relationships/hyperlink" Target="#'K Pelajar'!A1"/><Relationship Id="rId3" Type="http://schemas.openxmlformats.org/officeDocument/2006/relationships/hyperlink" Target="#DL!A1"/><Relationship Id="rId7" Type="http://schemas.openxmlformats.org/officeDocument/2006/relationships/hyperlink" Target="#'Cover dll'!A1"/><Relationship Id="rId2" Type="http://schemas.openxmlformats.org/officeDocument/2006/relationships/image" Target="../media/image6.png"/><Relationship Id="rId1" Type="http://schemas.openxmlformats.org/officeDocument/2006/relationships/hyperlink" Target="#'Menu Utama'!A1"/><Relationship Id="rId6" Type="http://schemas.openxmlformats.org/officeDocument/2006/relationships/hyperlink" Target="#'Cover dll'!A1"/><Relationship Id="rId5" Type="http://schemas.openxmlformats.org/officeDocument/2006/relationships/hyperlink" Target="#DK!A1"/><Relationship Id="rId10" Type="http://schemas.openxmlformats.org/officeDocument/2006/relationships/hyperlink" Target="#'Menu Buku Induk'!A1"/><Relationship Id="rId4" Type="http://schemas.openxmlformats.org/officeDocument/2006/relationships/hyperlink" Target="#Biodata!A1"/><Relationship Id="rId9" Type="http://schemas.openxmlformats.org/officeDocument/2006/relationships/hyperlink" Target="#'K Pel'!A1"/></Relationships>
</file>

<file path=xl/drawings/_rels/drawing3.xml.rels><?xml version="1.0" encoding="UTF-8" standalone="yes"?>
<Relationships xmlns="http://schemas.openxmlformats.org/package/2006/relationships"><Relationship Id="rId8" Type="http://schemas.openxmlformats.org/officeDocument/2006/relationships/hyperlink" Target="#Raport1!A1"/><Relationship Id="rId13" Type="http://schemas.openxmlformats.org/officeDocument/2006/relationships/image" Target="../media/image12.png"/><Relationship Id="rId3" Type="http://schemas.openxmlformats.org/officeDocument/2006/relationships/hyperlink" Target="#Admin!A1"/><Relationship Id="rId7" Type="http://schemas.openxmlformats.org/officeDocument/2006/relationships/hyperlink" Target="#Raport1!A1"/><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image" Target="../media/image7.png"/><Relationship Id="rId16" Type="http://schemas.openxmlformats.org/officeDocument/2006/relationships/image" Target="../media/image15.png"/><Relationship Id="rId1" Type="http://schemas.openxmlformats.org/officeDocument/2006/relationships/hyperlink" Target="#'Menu Utama'!A1"/><Relationship Id="rId6" Type="http://schemas.openxmlformats.org/officeDocument/2006/relationships/image" Target="../media/image9.png"/><Relationship Id="rId11" Type="http://schemas.openxmlformats.org/officeDocument/2006/relationships/image" Target="../media/image10.png"/><Relationship Id="rId5" Type="http://schemas.openxmlformats.org/officeDocument/2006/relationships/hyperlink" Target="#Raport1!A1"/><Relationship Id="rId15" Type="http://schemas.openxmlformats.org/officeDocument/2006/relationships/image" Target="../media/image14.png"/><Relationship Id="rId10" Type="http://schemas.openxmlformats.org/officeDocument/2006/relationships/hyperlink" Target="#Raport1!A1"/><Relationship Id="rId4" Type="http://schemas.openxmlformats.org/officeDocument/2006/relationships/image" Target="../media/image8.png"/><Relationship Id="rId9" Type="http://schemas.openxmlformats.org/officeDocument/2006/relationships/hyperlink" Target="#Raport1!A1"/><Relationship Id="rId14" Type="http://schemas.openxmlformats.org/officeDocument/2006/relationships/image" Target="../media/image13.png"/></Relationships>
</file>

<file path=xl/drawings/_rels/drawing4.xml.rels><?xml version="1.0" encoding="UTF-8" standalone="yes"?>
<Relationships xmlns="http://schemas.openxmlformats.org/package/2006/relationships"><Relationship Id="rId3" Type="http://schemas.openxmlformats.org/officeDocument/2006/relationships/hyperlink" Target="#Admin!A1"/><Relationship Id="rId2" Type="http://schemas.openxmlformats.org/officeDocument/2006/relationships/image" Target="../media/image17.png"/><Relationship Id="rId1" Type="http://schemas.openxmlformats.org/officeDocument/2006/relationships/hyperlink" Target="#'Menu Utama'!A1"/><Relationship Id="rId4" Type="http://schemas.openxmlformats.org/officeDocument/2006/relationships/hyperlink" Target="#DK!A1"/></Relationships>
</file>

<file path=xl/drawings/_rels/drawing5.xml.rels><?xml version="1.0" encoding="UTF-8" standalone="yes"?>
<Relationships xmlns="http://schemas.openxmlformats.org/package/2006/relationships"><Relationship Id="rId3" Type="http://schemas.openxmlformats.org/officeDocument/2006/relationships/hyperlink" Target="#Admin!A1"/><Relationship Id="rId2" Type="http://schemas.openxmlformats.org/officeDocument/2006/relationships/image" Target="../media/image6.png"/><Relationship Id="rId1" Type="http://schemas.openxmlformats.org/officeDocument/2006/relationships/hyperlink" Target="#'Menu Utama'!A1"/><Relationship Id="rId4" Type="http://schemas.openxmlformats.org/officeDocument/2006/relationships/hyperlink" Target="#Bio_Bk_Induk!A1"/></Relationships>
</file>

<file path=xl/drawings/_rels/drawing6.xml.rels><?xml version="1.0" encoding="UTF-8" standalone="yes"?>
<Relationships xmlns="http://schemas.openxmlformats.org/package/2006/relationships"><Relationship Id="rId3" Type="http://schemas.openxmlformats.org/officeDocument/2006/relationships/hyperlink" Target="#Admin!A1"/><Relationship Id="rId2" Type="http://schemas.openxmlformats.org/officeDocument/2006/relationships/image" Target="../media/image17.png"/><Relationship Id="rId1" Type="http://schemas.openxmlformats.org/officeDocument/2006/relationships/hyperlink" Target="#'Menu Utama'!A1"/><Relationship Id="rId4" Type="http://schemas.openxmlformats.org/officeDocument/2006/relationships/hyperlink" Target="#DL!A1"/></Relationships>
</file>

<file path=xl/drawings/_rels/drawing7.xml.rels><?xml version="1.0" encoding="UTF-8" standalone="yes"?>
<Relationships xmlns="http://schemas.openxmlformats.org/package/2006/relationships"><Relationship Id="rId8" Type="http://schemas.openxmlformats.org/officeDocument/2006/relationships/hyperlink" Target="#Raport1!A1"/><Relationship Id="rId3" Type="http://schemas.openxmlformats.org/officeDocument/2006/relationships/hyperlink" Target="#'SS1'!A1"/><Relationship Id="rId7" Type="http://schemas.openxmlformats.org/officeDocument/2006/relationships/image" Target="../media/image17.png"/><Relationship Id="rId2" Type="http://schemas.openxmlformats.org/officeDocument/2006/relationships/hyperlink" Target="#'Input Leger Deskripsi1'!A1"/><Relationship Id="rId1" Type="http://schemas.openxmlformats.org/officeDocument/2006/relationships/hyperlink" Target="#Leger1!A1"/><Relationship Id="rId6" Type="http://schemas.openxmlformats.org/officeDocument/2006/relationships/hyperlink" Target="#'Menu Utama'!A1"/><Relationship Id="rId11" Type="http://schemas.openxmlformats.org/officeDocument/2006/relationships/hyperlink" Target="#'Tanda Terima1'!A1"/><Relationship Id="rId5" Type="http://schemas.openxmlformats.org/officeDocument/2006/relationships/hyperlink" Target="#'P1'!A1"/><Relationship Id="rId10" Type="http://schemas.openxmlformats.org/officeDocument/2006/relationships/hyperlink" Target="#'Cetak Leger Nilai1'!A1"/><Relationship Id="rId4" Type="http://schemas.openxmlformats.org/officeDocument/2006/relationships/hyperlink" Target="#'Eks1'!A1"/><Relationship Id="rId9" Type="http://schemas.openxmlformats.org/officeDocument/2006/relationships/hyperlink" Target="#Rangking1!A1"/></Relationships>
</file>

<file path=xl/drawings/_rels/drawing8.xml.rels><?xml version="1.0" encoding="UTF-8" standalone="yes"?>
<Relationships xmlns="http://schemas.openxmlformats.org/package/2006/relationships"><Relationship Id="rId3" Type="http://schemas.openxmlformats.org/officeDocument/2006/relationships/hyperlink" Target="#Menu1!A1"/><Relationship Id="rId2" Type="http://schemas.openxmlformats.org/officeDocument/2006/relationships/image" Target="../media/image18.png"/><Relationship Id="rId1" Type="http://schemas.openxmlformats.org/officeDocument/2006/relationships/hyperlink" Target="#'Menu Utama'!A1"/><Relationship Id="rId6" Type="http://schemas.openxmlformats.org/officeDocument/2006/relationships/hyperlink" Target="#Leger_Predikat1!A1"/><Relationship Id="rId5" Type="http://schemas.openxmlformats.org/officeDocument/2006/relationships/hyperlink" Target="#'Menu Buku Induk'!A1"/><Relationship Id="rId4" Type="http://schemas.openxmlformats.org/officeDocument/2006/relationships/hyperlink" Target="#Leger1!E7"/></Relationships>
</file>

<file path=xl/drawings/_rels/drawing9.xml.rels><?xml version="1.0" encoding="UTF-8" standalone="yes"?>
<Relationships xmlns="http://schemas.openxmlformats.org/package/2006/relationships"><Relationship Id="rId3" Type="http://schemas.openxmlformats.org/officeDocument/2006/relationships/hyperlink" Target="#Menu1!A1"/><Relationship Id="rId2" Type="http://schemas.openxmlformats.org/officeDocument/2006/relationships/image" Target="../media/image19.png"/><Relationship Id="rId1" Type="http://schemas.openxmlformats.org/officeDocument/2006/relationships/hyperlink" Target="#'Menu Utama'!A1"/></Relationships>
</file>

<file path=xl/drawings/_rels/drawing10.xml.rels><?xml version="1.0" encoding="UTF-8" standalone="yes"?>
<Relationships xmlns="http://schemas.openxmlformats.org/package/2006/relationships"><Relationship Id="rId3" Type="http://schemas.openxmlformats.org/officeDocument/2006/relationships/hyperlink" Target="#Menu1!A1"/><Relationship Id="rId2" Type="http://schemas.openxmlformats.org/officeDocument/2006/relationships/image" Target="../media/image19.png"/><Relationship Id="rId1" Type="http://schemas.openxmlformats.org/officeDocument/2006/relationships/hyperlink" Target="#'Menu Utama'!A1"/></Relationships>
</file>

<file path=xl/drawings/_rels/drawing11.xml.rels><?xml version="1.0" encoding="UTF-8" standalone="yes"?>
<Relationships xmlns="http://schemas.openxmlformats.org/package/2006/relationships"><Relationship Id="rId3" Type="http://schemas.openxmlformats.org/officeDocument/2006/relationships/hyperlink" Target="#Menu1!A1"/><Relationship Id="rId2" Type="http://schemas.openxmlformats.org/officeDocument/2006/relationships/image" Target="../media/image19.png"/><Relationship Id="rId1" Type="http://schemas.openxmlformats.org/officeDocument/2006/relationships/hyperlink" Target="#'Menu Utama'!A1"/></Relationships>
</file>

<file path=xl/drawings/_rels/drawing12.xml.rels><?xml version="1.0" encoding="UTF-8" standalone="yes"?>
<Relationships xmlns="http://schemas.openxmlformats.org/package/2006/relationships"><Relationship Id="rId3" Type="http://schemas.openxmlformats.org/officeDocument/2006/relationships/hyperlink" Target="#Menu1!A1"/><Relationship Id="rId2" Type="http://schemas.openxmlformats.org/officeDocument/2006/relationships/image" Target="../media/image19.png"/><Relationship Id="rId1" Type="http://schemas.openxmlformats.org/officeDocument/2006/relationships/hyperlink" Target="#'Menu Utama'!A1"/></Relationships>
</file>

<file path=xl/drawings/_rels/drawing13.xml.rels><?xml version="1.0" encoding="UTF-8" standalone="yes"?>
<Relationships xmlns="http://schemas.openxmlformats.org/package/2006/relationships"><Relationship Id="rId3" Type="http://schemas.openxmlformats.org/officeDocument/2006/relationships/hyperlink" Target="#Menu1!A1"/><Relationship Id="rId2" Type="http://schemas.openxmlformats.org/officeDocument/2006/relationships/image" Target="../media/image20.png"/><Relationship Id="rId1" Type="http://schemas.openxmlformats.org/officeDocument/2006/relationships/hyperlink" Target="#'Menu Utama'!A1"/><Relationship Id="rId5" Type="http://schemas.openxmlformats.org/officeDocument/2006/relationships/image" Target="../media/image22.png"/><Relationship Id="rId4" Type="http://schemas.openxmlformats.org/officeDocument/2006/relationships/image" Target="../media/image2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21.png"/><Relationship Id="rId7" Type="http://schemas.openxmlformats.org/officeDocument/2006/relationships/hyperlink" Target="#'Menu Utama'!A1"/><Relationship Id="rId2" Type="http://schemas.openxmlformats.org/officeDocument/2006/relationships/image" Target="../media/image17.png"/><Relationship Id="rId1" Type="http://schemas.openxmlformats.org/officeDocument/2006/relationships/hyperlink" Target="#'Menu Utama'!A1"/><Relationship Id="rId6" Type="http://schemas.openxmlformats.org/officeDocument/2006/relationships/hyperlink" Target="#Leger2!A1"/><Relationship Id="rId5" Type="http://schemas.openxmlformats.org/officeDocument/2006/relationships/hyperlink" Target="#Leger1!A1"/><Relationship Id="rId4" Type="http://schemas.openxmlformats.org/officeDocument/2006/relationships/image" Target="../media/image23.png"/></Relationships>
</file>

<file path=xl/drawings/_rels/drawing15.xml.rels><?xml version="1.0" encoding="UTF-8" standalone="yes"?>
<Relationships xmlns="http://schemas.openxmlformats.org/package/2006/relationships"><Relationship Id="rId3" Type="http://schemas.openxmlformats.org/officeDocument/2006/relationships/hyperlink" Target="#Menu1!A1"/><Relationship Id="rId2" Type="http://schemas.openxmlformats.org/officeDocument/2006/relationships/image" Target="../media/image24.png"/><Relationship Id="rId1" Type="http://schemas.openxmlformats.org/officeDocument/2006/relationships/hyperlink" Target="#'Menu Utama'!A1"/><Relationship Id="rId5" Type="http://schemas.openxmlformats.org/officeDocument/2006/relationships/image" Target="../media/image21.png"/><Relationship Id="rId4"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3" Type="http://schemas.openxmlformats.org/officeDocument/2006/relationships/hyperlink" Target="#Menu1!A1"/><Relationship Id="rId2" Type="http://schemas.openxmlformats.org/officeDocument/2006/relationships/image" Target="../media/image17.png"/><Relationship Id="rId1" Type="http://schemas.openxmlformats.org/officeDocument/2006/relationships/hyperlink" Target="#'Menu Utama'!A1"/><Relationship Id="rId5" Type="http://schemas.openxmlformats.org/officeDocument/2006/relationships/image" Target="../media/image21.png"/><Relationship Id="rId4" Type="http://schemas.openxmlformats.org/officeDocument/2006/relationships/image" Target="../media/image25.png"/></Relationships>
</file>

<file path=xl/drawings/_rels/drawing17.xml.rels><?xml version="1.0" encoding="UTF-8" standalone="yes"?>
<Relationships xmlns="http://schemas.openxmlformats.org/package/2006/relationships"><Relationship Id="rId8" Type="http://schemas.openxmlformats.org/officeDocument/2006/relationships/image" Target="../media/image29.png"/><Relationship Id="rId3" Type="http://schemas.openxmlformats.org/officeDocument/2006/relationships/hyperlink" Target="#Admin!A1"/><Relationship Id="rId7" Type="http://schemas.openxmlformats.org/officeDocument/2006/relationships/hyperlink" Target="#'Menu Utama'!A1"/><Relationship Id="rId2" Type="http://schemas.openxmlformats.org/officeDocument/2006/relationships/image" Target="../media/image17.png"/><Relationship Id="rId1" Type="http://schemas.openxmlformats.org/officeDocument/2006/relationships/hyperlink" Target="#'Menu Utama'!A1"/><Relationship Id="rId6" Type="http://schemas.openxmlformats.org/officeDocument/2006/relationships/image" Target="../media/image28.png"/><Relationship Id="rId11" Type="http://schemas.openxmlformats.org/officeDocument/2006/relationships/hyperlink" Target="#'K Pel'!AC42"/><Relationship Id="rId5" Type="http://schemas.openxmlformats.org/officeDocument/2006/relationships/image" Target="../media/image27.png"/><Relationship Id="rId10" Type="http://schemas.openxmlformats.org/officeDocument/2006/relationships/hyperlink" Target="#'K Pel'!A1"/><Relationship Id="rId4" Type="http://schemas.openxmlformats.org/officeDocument/2006/relationships/image" Target="../media/image26.png"/><Relationship Id="rId9" Type="http://schemas.openxmlformats.org/officeDocument/2006/relationships/hyperlink" Target="#'K Pel'!A1"/></Relationships>
</file>

<file path=xl/drawings/_rels/drawing18.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31.png"/><Relationship Id="rId3" Type="http://schemas.openxmlformats.org/officeDocument/2006/relationships/hyperlink" Target="#Admin!A1"/><Relationship Id="rId7" Type="http://schemas.openxmlformats.org/officeDocument/2006/relationships/hyperlink" Target="#'Cover dll'!A1"/><Relationship Id="rId12" Type="http://schemas.openxmlformats.org/officeDocument/2006/relationships/hyperlink" Target="#'Cover dll'!A1"/><Relationship Id="rId2" Type="http://schemas.openxmlformats.org/officeDocument/2006/relationships/image" Target="../media/image7.png"/><Relationship Id="rId1" Type="http://schemas.openxmlformats.org/officeDocument/2006/relationships/hyperlink" Target="#'Menu Utama'!A1"/><Relationship Id="rId6" Type="http://schemas.openxmlformats.org/officeDocument/2006/relationships/image" Target="../media/image25.png"/><Relationship Id="rId11" Type="http://schemas.openxmlformats.org/officeDocument/2006/relationships/hyperlink" Target="#'Cover dll'!A1"/><Relationship Id="rId5" Type="http://schemas.openxmlformats.org/officeDocument/2006/relationships/image" Target="../media/image30.png"/><Relationship Id="rId10" Type="http://schemas.openxmlformats.org/officeDocument/2006/relationships/hyperlink" Target="#'Cover dll'!A1"/><Relationship Id="rId4" Type="http://schemas.openxmlformats.org/officeDocument/2006/relationships/image" Target="../media/image8.png"/><Relationship Id="rId9" Type="http://schemas.openxmlformats.org/officeDocument/2006/relationships/hyperlink" Target="#'Cover dll'!A1"/></Relationships>
</file>

<file path=xl/drawings/_rels/drawing19.xml.rels><?xml version="1.0" encoding="UTF-8" standalone="yes"?>
<Relationships xmlns="http://schemas.openxmlformats.org/package/2006/relationships"><Relationship Id="rId3" Type="http://schemas.openxmlformats.org/officeDocument/2006/relationships/hyperlink" Target="#Menu1!A1"/><Relationship Id="rId2" Type="http://schemas.openxmlformats.org/officeDocument/2006/relationships/image" Target="../media/image32.png"/><Relationship Id="rId1" Type="http://schemas.openxmlformats.org/officeDocument/2006/relationships/hyperlink" Target="#'Menu Utama'!A1"/><Relationship Id="rId5" Type="http://schemas.openxmlformats.org/officeDocument/2006/relationships/image" Target="../media/image21.png"/><Relationship Id="rId4" Type="http://schemas.openxmlformats.org/officeDocument/2006/relationships/image" Target="../media/image25.png"/></Relationships>
</file>

<file path=xl/drawings/_rels/drawing20.xml.rels><?xml version="1.0" encoding="UTF-8" standalone="yes"?>
<Relationships xmlns="http://schemas.openxmlformats.org/package/2006/relationships"><Relationship Id="rId8" Type="http://schemas.openxmlformats.org/officeDocument/2006/relationships/image" Target="../media/image17.png"/><Relationship Id="rId13" Type="http://schemas.openxmlformats.org/officeDocument/2006/relationships/hyperlink" Target="#'Tanda Terima2'!A1"/><Relationship Id="rId3" Type="http://schemas.openxmlformats.org/officeDocument/2006/relationships/hyperlink" Target="#'SS2'!A1"/><Relationship Id="rId7" Type="http://schemas.openxmlformats.org/officeDocument/2006/relationships/hyperlink" Target="#'Menu Utama'!A1"/><Relationship Id="rId12" Type="http://schemas.openxmlformats.org/officeDocument/2006/relationships/hyperlink" Target="#'Cetak Leger Nilai2'!A1"/><Relationship Id="rId2" Type="http://schemas.openxmlformats.org/officeDocument/2006/relationships/hyperlink" Target="#'Input Leger Deskripsi2'!A1"/><Relationship Id="rId1" Type="http://schemas.openxmlformats.org/officeDocument/2006/relationships/hyperlink" Target="#Leger2!A1"/><Relationship Id="rId6" Type="http://schemas.openxmlformats.org/officeDocument/2006/relationships/hyperlink" Target="#'P2'!A1"/><Relationship Id="rId11" Type="http://schemas.openxmlformats.org/officeDocument/2006/relationships/hyperlink" Target="#Rangking2!A1"/><Relationship Id="rId5" Type="http://schemas.openxmlformats.org/officeDocument/2006/relationships/hyperlink" Target="#'P2'!A1"/><Relationship Id="rId10" Type="http://schemas.openxmlformats.org/officeDocument/2006/relationships/hyperlink" Target="#Rangking2!A1"/><Relationship Id="rId4" Type="http://schemas.openxmlformats.org/officeDocument/2006/relationships/hyperlink" Target="#'Eks2'!A1"/><Relationship Id="rId9" Type="http://schemas.openxmlformats.org/officeDocument/2006/relationships/hyperlink" Target="#Raport2!A1"/></Relationships>
</file>

<file path=xl/drawings/_rels/drawing21.xml.rels><?xml version="1.0" encoding="UTF-8" standalone="yes"?>
<Relationships xmlns="http://schemas.openxmlformats.org/package/2006/relationships"><Relationship Id="rId3" Type="http://schemas.openxmlformats.org/officeDocument/2006/relationships/hyperlink" Target="#Menu2!A1"/><Relationship Id="rId2" Type="http://schemas.openxmlformats.org/officeDocument/2006/relationships/image" Target="../media/image17.png"/><Relationship Id="rId1" Type="http://schemas.openxmlformats.org/officeDocument/2006/relationships/hyperlink" Target="#'Menu Utama'!A1"/><Relationship Id="rId6" Type="http://schemas.openxmlformats.org/officeDocument/2006/relationships/hyperlink" Target="#Leger_Predikat2!A1"/><Relationship Id="rId5" Type="http://schemas.openxmlformats.org/officeDocument/2006/relationships/hyperlink" Target="#'Menu Buku Induk'!A1"/><Relationship Id="rId4" Type="http://schemas.openxmlformats.org/officeDocument/2006/relationships/hyperlink" Target="#Leger2!E7"/></Relationships>
</file>

<file path=xl/drawings/_rels/drawing22.xml.rels><?xml version="1.0" encoding="UTF-8" standalone="yes"?>
<Relationships xmlns="http://schemas.openxmlformats.org/package/2006/relationships"><Relationship Id="rId3" Type="http://schemas.openxmlformats.org/officeDocument/2006/relationships/hyperlink" Target="#Menu2!A1"/><Relationship Id="rId2" Type="http://schemas.openxmlformats.org/officeDocument/2006/relationships/image" Target="../media/image19.png"/><Relationship Id="rId1" Type="http://schemas.openxmlformats.org/officeDocument/2006/relationships/hyperlink" Target="#'Menu Utama'!A1"/></Relationships>
</file>

<file path=xl/drawings/_rels/drawing23.xml.rels><?xml version="1.0" encoding="UTF-8" standalone="yes"?>
<Relationships xmlns="http://schemas.openxmlformats.org/package/2006/relationships"><Relationship Id="rId3" Type="http://schemas.openxmlformats.org/officeDocument/2006/relationships/hyperlink" Target="#Menu2!A1"/><Relationship Id="rId2" Type="http://schemas.openxmlformats.org/officeDocument/2006/relationships/image" Target="../media/image19.png"/><Relationship Id="rId1" Type="http://schemas.openxmlformats.org/officeDocument/2006/relationships/hyperlink" Target="#'Menu Utama'!A1"/></Relationships>
</file>

<file path=xl/drawings/_rels/drawing24.xml.rels><?xml version="1.0" encoding="UTF-8" standalone="yes"?>
<Relationships xmlns="http://schemas.openxmlformats.org/package/2006/relationships"><Relationship Id="rId3" Type="http://schemas.openxmlformats.org/officeDocument/2006/relationships/hyperlink" Target="#Menu2!A1"/><Relationship Id="rId2" Type="http://schemas.openxmlformats.org/officeDocument/2006/relationships/image" Target="../media/image19.png"/><Relationship Id="rId1" Type="http://schemas.openxmlformats.org/officeDocument/2006/relationships/hyperlink" Target="#'Menu Utama'!A1"/></Relationships>
</file>

<file path=xl/drawings/_rels/drawing25.xml.rels><?xml version="1.0" encoding="UTF-8" standalone="yes"?>
<Relationships xmlns="http://schemas.openxmlformats.org/package/2006/relationships"><Relationship Id="rId3" Type="http://schemas.openxmlformats.org/officeDocument/2006/relationships/hyperlink" Target="#Menu2!A1"/><Relationship Id="rId2" Type="http://schemas.openxmlformats.org/officeDocument/2006/relationships/image" Target="../media/image19.png"/><Relationship Id="rId1" Type="http://schemas.openxmlformats.org/officeDocument/2006/relationships/hyperlink" Target="#'Menu Utama'!A1"/></Relationships>
</file>

<file path=xl/drawings/_rels/drawing26.xml.rels><?xml version="1.0" encoding="UTF-8" standalone="yes"?>
<Relationships xmlns="http://schemas.openxmlformats.org/package/2006/relationships"><Relationship Id="rId3" Type="http://schemas.openxmlformats.org/officeDocument/2006/relationships/hyperlink" Target="#Menu2!A1"/><Relationship Id="rId2" Type="http://schemas.openxmlformats.org/officeDocument/2006/relationships/image" Target="../media/image17.png"/><Relationship Id="rId1" Type="http://schemas.openxmlformats.org/officeDocument/2006/relationships/hyperlink" Target="#'Menu Utama'!A1"/><Relationship Id="rId5" Type="http://schemas.openxmlformats.org/officeDocument/2006/relationships/image" Target="../media/image21.png"/><Relationship Id="rId4" Type="http://schemas.openxmlformats.org/officeDocument/2006/relationships/image" Target="../media/image25.png"/></Relationships>
</file>

<file path=xl/drawings/_rels/drawing27.xml.rels><?xml version="1.0" encoding="UTF-8" standalone="yes"?>
<Relationships xmlns="http://schemas.openxmlformats.org/package/2006/relationships"><Relationship Id="rId3" Type="http://schemas.openxmlformats.org/officeDocument/2006/relationships/hyperlink" Target="#Menu2!A1"/><Relationship Id="rId2" Type="http://schemas.openxmlformats.org/officeDocument/2006/relationships/image" Target="../media/image20.png"/><Relationship Id="rId1" Type="http://schemas.openxmlformats.org/officeDocument/2006/relationships/hyperlink" Target="#'Menu Utama'!A1"/><Relationship Id="rId5" Type="http://schemas.openxmlformats.org/officeDocument/2006/relationships/image" Target="../media/image25.png"/><Relationship Id="rId4" Type="http://schemas.openxmlformats.org/officeDocument/2006/relationships/image" Target="../media/image21.png"/></Relationships>
</file>

<file path=xl/drawings/_rels/drawing28.xml.rels><?xml version="1.0" encoding="UTF-8" standalone="yes"?>
<Relationships xmlns="http://schemas.openxmlformats.org/package/2006/relationships"><Relationship Id="rId3" Type="http://schemas.openxmlformats.org/officeDocument/2006/relationships/hyperlink" Target="#Menu2!A1"/><Relationship Id="rId2" Type="http://schemas.openxmlformats.org/officeDocument/2006/relationships/image" Target="../media/image24.png"/><Relationship Id="rId1" Type="http://schemas.openxmlformats.org/officeDocument/2006/relationships/hyperlink" Target="#'Menu Utama'!A1"/><Relationship Id="rId5" Type="http://schemas.openxmlformats.org/officeDocument/2006/relationships/image" Target="../media/image21.png"/><Relationship Id="rId4"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3" Type="http://schemas.openxmlformats.org/officeDocument/2006/relationships/hyperlink" Target="#Menu2!A1"/><Relationship Id="rId2" Type="http://schemas.openxmlformats.org/officeDocument/2006/relationships/image" Target="../media/image32.png"/><Relationship Id="rId1" Type="http://schemas.openxmlformats.org/officeDocument/2006/relationships/hyperlink" Target="#'Menu Utama'!A1"/><Relationship Id="rId5" Type="http://schemas.openxmlformats.org/officeDocument/2006/relationships/image" Target="../media/image21.png"/><Relationship Id="rId4"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8" Type="http://schemas.openxmlformats.org/officeDocument/2006/relationships/hyperlink" Target="#Leger2!A1"/><Relationship Id="rId3" Type="http://schemas.openxmlformats.org/officeDocument/2006/relationships/hyperlink" Target="#Admin!A1"/><Relationship Id="rId7" Type="http://schemas.openxmlformats.org/officeDocument/2006/relationships/hyperlink" Target="#Leger1!A1"/><Relationship Id="rId2" Type="http://schemas.openxmlformats.org/officeDocument/2006/relationships/image" Target="../media/image6.png"/><Relationship Id="rId1" Type="http://schemas.openxmlformats.org/officeDocument/2006/relationships/hyperlink" Target="#'Menu Utama'!A1"/><Relationship Id="rId6" Type="http://schemas.openxmlformats.org/officeDocument/2006/relationships/hyperlink" Target="#Bio_Bk_Induk!A1"/><Relationship Id="rId5" Type="http://schemas.openxmlformats.org/officeDocument/2006/relationships/hyperlink" Target="#Penilaian!A1"/><Relationship Id="rId4" Type="http://schemas.openxmlformats.org/officeDocument/2006/relationships/hyperlink" Target="#'Id Siswa'!A1"/></Relationships>
</file>

<file path=xl/drawings/_rels/drawing31.xml.rels><?xml version="1.0" encoding="UTF-8" standalone="yes"?>
<Relationships xmlns="http://schemas.openxmlformats.org/package/2006/relationships"><Relationship Id="rId3" Type="http://schemas.openxmlformats.org/officeDocument/2006/relationships/hyperlink" Target="#'Menu Buku Induk'!A1"/><Relationship Id="rId2" Type="http://schemas.openxmlformats.org/officeDocument/2006/relationships/image" Target="../media/image6.png"/><Relationship Id="rId1" Type="http://schemas.openxmlformats.org/officeDocument/2006/relationships/hyperlink" Target="#'Menu Utama'!A1"/><Relationship Id="rId4" Type="http://schemas.openxmlformats.org/officeDocument/2006/relationships/hyperlink" Target="#Biodata!A1"/></Relationships>
</file>

<file path=xl/drawings/_rels/drawing32.xml.rels><?xml version="1.0" encoding="UTF-8" standalone="yes"?>
<Relationships xmlns="http://schemas.openxmlformats.org/package/2006/relationships"><Relationship Id="rId3" Type="http://schemas.openxmlformats.org/officeDocument/2006/relationships/hyperlink" Target="#'Menu Buku Induk'!A1"/><Relationship Id="rId7" Type="http://schemas.openxmlformats.org/officeDocument/2006/relationships/image" Target="../media/image36.png"/><Relationship Id="rId2" Type="http://schemas.openxmlformats.org/officeDocument/2006/relationships/image" Target="../media/image33.png"/><Relationship Id="rId1" Type="http://schemas.openxmlformats.org/officeDocument/2006/relationships/hyperlink" Target="#'Menu Utama'!A1"/><Relationship Id="rId6" Type="http://schemas.openxmlformats.org/officeDocument/2006/relationships/image" Target="../media/image35.png"/><Relationship Id="rId5" Type="http://schemas.openxmlformats.org/officeDocument/2006/relationships/image" Target="../media/image34.png"/><Relationship Id="rId4" Type="http://schemas.openxmlformats.org/officeDocument/2006/relationships/image" Target="../media/image30.png"/></Relationships>
</file>

<file path=xl/drawings/_rels/drawing33.xml.rels><?xml version="1.0" encoding="UTF-8" standalone="yes"?>
<Relationships xmlns="http://schemas.openxmlformats.org/package/2006/relationships"><Relationship Id="rId3" Type="http://schemas.openxmlformats.org/officeDocument/2006/relationships/hyperlink" Target="#'Menu Buku Induk'!A1"/><Relationship Id="rId2" Type="http://schemas.openxmlformats.org/officeDocument/2006/relationships/image" Target="../media/image33.png"/><Relationship Id="rId1" Type="http://schemas.openxmlformats.org/officeDocument/2006/relationships/hyperlink" Target="#'Menu Utama'!A1"/><Relationship Id="rId6" Type="http://schemas.openxmlformats.org/officeDocument/2006/relationships/image" Target="../media/image34.png"/><Relationship Id="rId5" Type="http://schemas.openxmlformats.org/officeDocument/2006/relationships/image" Target="../media/image30.png"/><Relationship Id="rId4" Type="http://schemas.openxmlformats.org/officeDocument/2006/relationships/image" Target="../media/image8.png"/></Relationships>
</file>

<file path=xl/drawings/_rels/drawing34.xml.rels><?xml version="1.0" encoding="UTF-8" standalone="yes"?>
<Relationships xmlns="http://schemas.openxmlformats.org/package/2006/relationships"><Relationship Id="rId3" Type="http://schemas.openxmlformats.org/officeDocument/2006/relationships/hyperlink" Target="#Menu1!A1"/><Relationship Id="rId2" Type="http://schemas.openxmlformats.org/officeDocument/2006/relationships/image" Target="../media/image17.png"/><Relationship Id="rId1" Type="http://schemas.openxmlformats.org/officeDocument/2006/relationships/hyperlink" Target="#'Menu Utama'!A1"/><Relationship Id="rId5" Type="http://schemas.openxmlformats.org/officeDocument/2006/relationships/image" Target="../media/image25.png"/><Relationship Id="rId4" Type="http://schemas.openxmlformats.org/officeDocument/2006/relationships/image" Target="../media/image21.png"/></Relationships>
</file>

<file path=xl/drawings/_rels/drawing35.xml.rels><?xml version="1.0" encoding="UTF-8" standalone="yes"?>
<Relationships xmlns="http://schemas.openxmlformats.org/package/2006/relationships"><Relationship Id="rId3" Type="http://schemas.openxmlformats.org/officeDocument/2006/relationships/hyperlink" Target="#Menu2!A1"/><Relationship Id="rId2" Type="http://schemas.openxmlformats.org/officeDocument/2006/relationships/image" Target="../media/image17.png"/><Relationship Id="rId1" Type="http://schemas.openxmlformats.org/officeDocument/2006/relationships/hyperlink" Target="#'Menu Utama'!A1"/><Relationship Id="rId5" Type="http://schemas.openxmlformats.org/officeDocument/2006/relationships/image" Target="../media/image25.png"/><Relationship Id="rId4" Type="http://schemas.openxmlformats.org/officeDocument/2006/relationships/image" Target="../media/image21.png"/></Relationships>
</file>

<file path=xl/drawings/_rels/drawing36.xml.rels><?xml version="1.0" encoding="UTF-8" standalone="yes"?>
<Relationships xmlns="http://schemas.openxmlformats.org/package/2006/relationships"><Relationship Id="rId3" Type="http://schemas.openxmlformats.org/officeDocument/2006/relationships/hyperlink" Target="#Menu1!A1"/><Relationship Id="rId2" Type="http://schemas.openxmlformats.org/officeDocument/2006/relationships/image" Target="../media/image24.png"/><Relationship Id="rId1" Type="http://schemas.openxmlformats.org/officeDocument/2006/relationships/hyperlink" Target="#'Menu Utama'!A1"/></Relationships>
</file>

<file path=xl/drawings/_rels/drawing37.xml.rels><?xml version="1.0" encoding="UTF-8" standalone="yes"?>
<Relationships xmlns="http://schemas.openxmlformats.org/package/2006/relationships"><Relationship Id="rId3" Type="http://schemas.openxmlformats.org/officeDocument/2006/relationships/hyperlink" Target="#Menu2!A1"/><Relationship Id="rId2" Type="http://schemas.openxmlformats.org/officeDocument/2006/relationships/image" Target="../media/image24.png"/><Relationship Id="rId1" Type="http://schemas.openxmlformats.org/officeDocument/2006/relationships/hyperlink" Target="#'Menu Utama'!A1"/></Relationships>
</file>

<file path=xl/drawings/drawing1.xml><?xml version="1.0" encoding="utf-8"?>
<xdr:wsDr xmlns:xdr="http://schemas.openxmlformats.org/drawingml/2006/spreadsheetDrawing" xmlns:a="http://schemas.openxmlformats.org/drawingml/2006/main">
  <xdr:twoCellAnchor>
    <xdr:from>
      <xdr:col>2</xdr:col>
      <xdr:colOff>419101</xdr:colOff>
      <xdr:row>8</xdr:row>
      <xdr:rowOff>0</xdr:rowOff>
    </xdr:from>
    <xdr:to>
      <xdr:col>11</xdr:col>
      <xdr:colOff>152401</xdr:colOff>
      <xdr:row>12</xdr:row>
      <xdr:rowOff>104775</xdr:rowOff>
    </xdr:to>
    <xdr:sp macro="" textlink="">
      <xdr:nvSpPr>
        <xdr:cNvPr id="9" name="Rounded Rectangle 8"/>
        <xdr:cNvSpPr/>
      </xdr:nvSpPr>
      <xdr:spPr>
        <a:xfrm>
          <a:off x="1133476" y="1685925"/>
          <a:ext cx="4800600" cy="895350"/>
        </a:xfrm>
        <a:prstGeom prst="roundRect">
          <a:avLst/>
        </a:prstGeom>
        <a:noFill/>
        <a:ln>
          <a:solidFill>
            <a:sysClr val="windowText" lastClr="000000"/>
          </a:solidFill>
        </a:ln>
      </xdr:spPr>
      <xdr:style>
        <a:lnRef idx="2">
          <a:schemeClr val="accent4"/>
        </a:lnRef>
        <a:fillRef idx="1">
          <a:schemeClr val="lt1"/>
        </a:fillRef>
        <a:effectRef idx="0">
          <a:schemeClr val="accent4"/>
        </a:effectRef>
        <a:fontRef idx="minor">
          <a:schemeClr val="dk1"/>
        </a:fontRef>
      </xdr:style>
      <xdr:txBody>
        <a:bodyPr rtlCol="0" anchor="ctr"/>
        <a:lstStyle/>
        <a:p>
          <a:pPr algn="ctr"/>
          <a:endParaRPr lang="en-US" sz="1100"/>
        </a:p>
      </xdr:txBody>
    </xdr:sp>
    <xdr:clientData/>
  </xdr:twoCellAnchor>
  <xdr:twoCellAnchor>
    <xdr:from>
      <xdr:col>0</xdr:col>
      <xdr:colOff>0</xdr:colOff>
      <xdr:row>39</xdr:row>
      <xdr:rowOff>57149</xdr:rowOff>
    </xdr:from>
    <xdr:to>
      <xdr:col>64</xdr:col>
      <xdr:colOff>533400</xdr:colOff>
      <xdr:row>147</xdr:row>
      <xdr:rowOff>0</xdr:rowOff>
    </xdr:to>
    <xdr:sp macro="" textlink="">
      <xdr:nvSpPr>
        <xdr:cNvPr id="3" name="Rectangle 2"/>
        <xdr:cNvSpPr/>
      </xdr:nvSpPr>
      <xdr:spPr>
        <a:xfrm>
          <a:off x="0" y="6724649"/>
          <a:ext cx="38938200" cy="2051685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22</xdr:col>
      <xdr:colOff>152401</xdr:colOff>
      <xdr:row>0</xdr:row>
      <xdr:rowOff>0</xdr:rowOff>
    </xdr:from>
    <xdr:to>
      <xdr:col>128</xdr:col>
      <xdr:colOff>533401</xdr:colOff>
      <xdr:row>37</xdr:row>
      <xdr:rowOff>66675</xdr:rowOff>
    </xdr:to>
    <xdr:sp macro="" textlink="">
      <xdr:nvSpPr>
        <xdr:cNvPr id="4" name="Rectangle 3"/>
        <xdr:cNvSpPr/>
      </xdr:nvSpPr>
      <xdr:spPr>
        <a:xfrm>
          <a:off x="12954001" y="0"/>
          <a:ext cx="64998600" cy="63531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13</xdr:col>
      <xdr:colOff>38102</xdr:colOff>
      <xdr:row>15</xdr:row>
      <xdr:rowOff>95251</xdr:rowOff>
    </xdr:from>
    <xdr:to>
      <xdr:col>18</xdr:col>
      <xdr:colOff>57150</xdr:colOff>
      <xdr:row>17</xdr:row>
      <xdr:rowOff>161925</xdr:rowOff>
    </xdr:to>
    <xdr:sp macro="" textlink="">
      <xdr:nvSpPr>
        <xdr:cNvPr id="6" name="Pentagon 5">
          <a:hlinkClick xmlns:r="http://schemas.openxmlformats.org/officeDocument/2006/relationships" r:id="rId1"/>
        </xdr:cNvPr>
        <xdr:cNvSpPr/>
      </xdr:nvSpPr>
      <xdr:spPr>
        <a:xfrm>
          <a:off x="6934202" y="2905126"/>
          <a:ext cx="2495548" cy="447674"/>
        </a:xfrm>
        <a:prstGeom prst="homePlate">
          <a:avLst/>
        </a:prstGeom>
        <a:gradFill flip="none" rotWithShape="1">
          <a:gsLst>
            <a:gs pos="0">
              <a:srgbClr val="FBEAC7"/>
            </a:gs>
            <a:gs pos="17999">
              <a:sysClr val="window" lastClr="FFFFFF">
                <a:lumMod val="85000"/>
              </a:sysClr>
            </a:gs>
            <a:gs pos="36000">
              <a:sysClr val="window" lastClr="FFFFFF">
                <a:lumMod val="75000"/>
              </a:sysClr>
            </a:gs>
            <a:gs pos="61000">
              <a:sysClr val="window" lastClr="FFFFFF">
                <a:lumMod val="75000"/>
              </a:sysClr>
            </a:gs>
            <a:gs pos="82001">
              <a:sysClr val="window" lastClr="FFFFFF">
                <a:lumMod val="75000"/>
              </a:sysClr>
            </a:gs>
            <a:gs pos="100000">
              <a:srgbClr val="FEE7F2"/>
            </a:gs>
          </a:gsLst>
          <a:lin ang="5400000" scaled="0"/>
          <a:tileRect/>
        </a:gradFill>
        <a:ln w="9525" cap="flat" cmpd="sng" algn="ctr">
          <a:solidFill>
            <a:srgbClr val="F79646">
              <a:shade val="95000"/>
              <a:satMod val="105000"/>
            </a:srgbClr>
          </a:solidFill>
          <a:prstDash val="solid"/>
        </a:ln>
        <a:effectLst>
          <a:outerShdw blurRad="40000" dist="20000" dir="5400000" rotWithShape="0">
            <a:srgbClr val="000000">
              <a:alpha val="38000"/>
            </a:srgbClr>
          </a:outerShdw>
        </a:effectLst>
        <a:scene3d>
          <a:camera prst="orthographicFront"/>
          <a:lightRig rig="soft" dir="tl">
            <a:rot lat="0" lon="0" rev="0"/>
          </a:lightRig>
        </a:scene3d>
        <a:sp3d>
          <a:bevelT w="165100" prst="coolSlant"/>
        </a:sp3d>
      </xdr:spPr>
      <xdr:style>
        <a:lnRef idx="1">
          <a:schemeClr val="accent6"/>
        </a:lnRef>
        <a:fillRef idx="2">
          <a:schemeClr val="accent6"/>
        </a:fillRef>
        <a:effectRef idx="1">
          <a:schemeClr val="accent6"/>
        </a:effectRef>
        <a:fontRef idx="minor">
          <a:schemeClr val="dk1"/>
        </a:fontRef>
      </xdr:style>
      <xdr:txBody>
        <a:bodyPr wrap="square" lIns="91440" tIns="45720" rIns="91440" bIns="45720">
          <a:noAutofit/>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Text" lastClr="000000"/>
              </a:solidFill>
              <a:latin typeface="Calibri"/>
              <a:ea typeface=""/>
              <a:cs typeface=""/>
            </a:defRPr>
          </a:lvl1pPr>
          <a:lvl2pPr marL="457200" algn="l" defTabSz="914400" rtl="0" eaLnBrk="1" latinLnBrk="0" hangingPunct="1">
            <a:defRPr sz="1800" kern="1200">
              <a:solidFill>
                <a:sysClr val="windowText" lastClr="000000"/>
              </a:solidFill>
              <a:latin typeface="Calibri"/>
              <a:ea typeface=""/>
              <a:cs typeface=""/>
            </a:defRPr>
          </a:lvl2pPr>
          <a:lvl3pPr marL="914400" algn="l" defTabSz="914400" rtl="0" eaLnBrk="1" latinLnBrk="0" hangingPunct="1">
            <a:defRPr sz="1800" kern="1200">
              <a:solidFill>
                <a:sysClr val="windowText" lastClr="000000"/>
              </a:solidFill>
              <a:latin typeface="Calibri"/>
              <a:ea typeface=""/>
              <a:cs typeface=""/>
            </a:defRPr>
          </a:lvl3pPr>
          <a:lvl4pPr marL="1371600" algn="l" defTabSz="914400" rtl="0" eaLnBrk="1" latinLnBrk="0" hangingPunct="1">
            <a:defRPr sz="1800" kern="1200">
              <a:solidFill>
                <a:sysClr val="windowText" lastClr="000000"/>
              </a:solidFill>
              <a:latin typeface="Calibri"/>
              <a:ea typeface=""/>
              <a:cs typeface=""/>
            </a:defRPr>
          </a:lvl4pPr>
          <a:lvl5pPr marL="1828800" algn="l" defTabSz="914400" rtl="0" eaLnBrk="1" latinLnBrk="0" hangingPunct="1">
            <a:defRPr sz="1800" kern="1200">
              <a:solidFill>
                <a:sysClr val="windowText" lastClr="000000"/>
              </a:solidFill>
              <a:latin typeface="Calibri"/>
              <a:ea typeface=""/>
              <a:cs typeface=""/>
            </a:defRPr>
          </a:lvl5pPr>
          <a:lvl6pPr marL="2286000" algn="l" defTabSz="914400" rtl="0" eaLnBrk="1" latinLnBrk="0" hangingPunct="1">
            <a:defRPr sz="1800" kern="1200">
              <a:solidFill>
                <a:sysClr val="windowText" lastClr="000000"/>
              </a:solidFill>
              <a:latin typeface="Calibri"/>
              <a:ea typeface=""/>
              <a:cs typeface=""/>
            </a:defRPr>
          </a:lvl6pPr>
          <a:lvl7pPr marL="2743200" algn="l" defTabSz="914400" rtl="0" eaLnBrk="1" latinLnBrk="0" hangingPunct="1">
            <a:defRPr sz="1800" kern="1200">
              <a:solidFill>
                <a:sysClr val="windowText" lastClr="000000"/>
              </a:solidFill>
              <a:latin typeface="Calibri"/>
              <a:ea typeface=""/>
              <a:cs typeface=""/>
            </a:defRPr>
          </a:lvl7pPr>
          <a:lvl8pPr marL="3200400" algn="l" defTabSz="914400" rtl="0" eaLnBrk="1" latinLnBrk="0" hangingPunct="1">
            <a:defRPr sz="1800" kern="1200">
              <a:solidFill>
                <a:sysClr val="windowText" lastClr="000000"/>
              </a:solidFill>
              <a:latin typeface="Calibri"/>
              <a:ea typeface=""/>
              <a:cs typeface=""/>
            </a:defRPr>
          </a:lvl8pPr>
          <a:lvl9pPr marL="3657600" algn="l" defTabSz="914400" rtl="0" eaLnBrk="1" latinLnBrk="0" hangingPunct="1">
            <a:defRPr sz="1800" kern="1200">
              <a:solidFill>
                <a:sysClr val="windowText" lastClr="000000"/>
              </a:solidFill>
              <a:latin typeface="Calibri"/>
              <a:ea typeface=""/>
              <a:cs typeface=""/>
            </a:defRPr>
          </a:lvl9pPr>
        </a:lstStyle>
        <a:p>
          <a:pPr algn="ctr"/>
          <a:r>
            <a:rPr lang="en-US" sz="2000" b="1" spc="50">
              <a:ln w="11430"/>
              <a:solidFill>
                <a:schemeClr val="tx1"/>
              </a:soli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Semester</a:t>
          </a:r>
          <a:r>
            <a:rPr lang="en-US" sz="2000" b="1" spc="50" baseline="0">
              <a:ln w="11430"/>
              <a:solidFill>
                <a:schemeClr val="tx1"/>
              </a:soli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 Ganjil</a:t>
          </a:r>
        </a:p>
      </xdr:txBody>
    </xdr:sp>
    <xdr:clientData/>
  </xdr:twoCellAnchor>
  <xdr:twoCellAnchor>
    <xdr:from>
      <xdr:col>13</xdr:col>
      <xdr:colOff>28575</xdr:colOff>
      <xdr:row>18</xdr:row>
      <xdr:rowOff>66676</xdr:rowOff>
    </xdr:from>
    <xdr:to>
      <xdr:col>18</xdr:col>
      <xdr:colOff>47625</xdr:colOff>
      <xdr:row>20</xdr:row>
      <xdr:rowOff>85725</xdr:rowOff>
    </xdr:to>
    <xdr:sp macro="" textlink="">
      <xdr:nvSpPr>
        <xdr:cNvPr id="7" name="Pentagon 6">
          <a:hlinkClick xmlns:r="http://schemas.openxmlformats.org/officeDocument/2006/relationships" r:id="rId2"/>
        </xdr:cNvPr>
        <xdr:cNvSpPr/>
      </xdr:nvSpPr>
      <xdr:spPr>
        <a:xfrm>
          <a:off x="6924675" y="3505201"/>
          <a:ext cx="2495550" cy="419099"/>
        </a:xfrm>
        <a:prstGeom prst="homePlate">
          <a:avLst/>
        </a:prstGeom>
        <a:gradFill flip="none" rotWithShape="1">
          <a:gsLst>
            <a:gs pos="0">
              <a:srgbClr val="FBEAC7"/>
            </a:gs>
            <a:gs pos="17999">
              <a:sysClr val="window" lastClr="FFFFFF">
                <a:lumMod val="85000"/>
              </a:sysClr>
            </a:gs>
            <a:gs pos="36000">
              <a:sysClr val="window" lastClr="FFFFFF">
                <a:lumMod val="75000"/>
              </a:sysClr>
            </a:gs>
            <a:gs pos="61000">
              <a:sysClr val="window" lastClr="FFFFFF">
                <a:lumMod val="75000"/>
              </a:sysClr>
            </a:gs>
            <a:gs pos="82001">
              <a:sysClr val="window" lastClr="FFFFFF">
                <a:lumMod val="75000"/>
              </a:sysClr>
            </a:gs>
            <a:gs pos="100000">
              <a:srgbClr val="FEE7F2"/>
            </a:gs>
          </a:gsLst>
          <a:lin ang="5400000" scaled="0"/>
          <a:tileRect/>
        </a:gradFill>
        <a:ln w="9525" cap="flat" cmpd="sng" algn="ctr">
          <a:solidFill>
            <a:srgbClr val="F79646">
              <a:shade val="95000"/>
              <a:satMod val="105000"/>
            </a:srgbClr>
          </a:solidFill>
          <a:prstDash val="solid"/>
        </a:ln>
        <a:effectLst>
          <a:outerShdw blurRad="40000" dist="20000" dir="5400000" rotWithShape="0">
            <a:srgbClr val="000000">
              <a:alpha val="38000"/>
            </a:srgbClr>
          </a:outerShdw>
        </a:effectLst>
        <a:scene3d>
          <a:camera prst="orthographicFront"/>
          <a:lightRig rig="soft" dir="tl">
            <a:rot lat="0" lon="0" rev="0"/>
          </a:lightRig>
        </a:scene3d>
        <a:sp3d>
          <a:bevelT w="165100" prst="coolSlant"/>
        </a:sp3d>
      </xdr:spPr>
      <xdr:style>
        <a:lnRef idx="1">
          <a:schemeClr val="accent6"/>
        </a:lnRef>
        <a:fillRef idx="2">
          <a:schemeClr val="accent6"/>
        </a:fillRef>
        <a:effectRef idx="1">
          <a:schemeClr val="accent6"/>
        </a:effectRef>
        <a:fontRef idx="minor">
          <a:schemeClr val="dk1"/>
        </a:fontRef>
      </xdr:style>
      <xdr:txBody>
        <a:bodyPr wrap="square" lIns="91440" tIns="45720" rIns="91440" bIns="45720">
          <a:noAutofit/>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Text" lastClr="000000"/>
              </a:solidFill>
              <a:latin typeface="Calibri"/>
              <a:ea typeface=""/>
              <a:cs typeface=""/>
            </a:defRPr>
          </a:lvl1pPr>
          <a:lvl2pPr marL="457200" algn="l" defTabSz="914400" rtl="0" eaLnBrk="1" latinLnBrk="0" hangingPunct="1">
            <a:defRPr sz="1800" kern="1200">
              <a:solidFill>
                <a:sysClr val="windowText" lastClr="000000"/>
              </a:solidFill>
              <a:latin typeface="Calibri"/>
              <a:ea typeface=""/>
              <a:cs typeface=""/>
            </a:defRPr>
          </a:lvl2pPr>
          <a:lvl3pPr marL="914400" algn="l" defTabSz="914400" rtl="0" eaLnBrk="1" latinLnBrk="0" hangingPunct="1">
            <a:defRPr sz="1800" kern="1200">
              <a:solidFill>
                <a:sysClr val="windowText" lastClr="000000"/>
              </a:solidFill>
              <a:latin typeface="Calibri"/>
              <a:ea typeface=""/>
              <a:cs typeface=""/>
            </a:defRPr>
          </a:lvl3pPr>
          <a:lvl4pPr marL="1371600" algn="l" defTabSz="914400" rtl="0" eaLnBrk="1" latinLnBrk="0" hangingPunct="1">
            <a:defRPr sz="1800" kern="1200">
              <a:solidFill>
                <a:sysClr val="windowText" lastClr="000000"/>
              </a:solidFill>
              <a:latin typeface="Calibri"/>
              <a:ea typeface=""/>
              <a:cs typeface=""/>
            </a:defRPr>
          </a:lvl4pPr>
          <a:lvl5pPr marL="1828800" algn="l" defTabSz="914400" rtl="0" eaLnBrk="1" latinLnBrk="0" hangingPunct="1">
            <a:defRPr sz="1800" kern="1200">
              <a:solidFill>
                <a:sysClr val="windowText" lastClr="000000"/>
              </a:solidFill>
              <a:latin typeface="Calibri"/>
              <a:ea typeface=""/>
              <a:cs typeface=""/>
            </a:defRPr>
          </a:lvl5pPr>
          <a:lvl6pPr marL="2286000" algn="l" defTabSz="914400" rtl="0" eaLnBrk="1" latinLnBrk="0" hangingPunct="1">
            <a:defRPr sz="1800" kern="1200">
              <a:solidFill>
                <a:sysClr val="windowText" lastClr="000000"/>
              </a:solidFill>
              <a:latin typeface="Calibri"/>
              <a:ea typeface=""/>
              <a:cs typeface=""/>
            </a:defRPr>
          </a:lvl6pPr>
          <a:lvl7pPr marL="2743200" algn="l" defTabSz="914400" rtl="0" eaLnBrk="1" latinLnBrk="0" hangingPunct="1">
            <a:defRPr sz="1800" kern="1200">
              <a:solidFill>
                <a:sysClr val="windowText" lastClr="000000"/>
              </a:solidFill>
              <a:latin typeface="Calibri"/>
              <a:ea typeface=""/>
              <a:cs typeface=""/>
            </a:defRPr>
          </a:lvl7pPr>
          <a:lvl8pPr marL="3200400" algn="l" defTabSz="914400" rtl="0" eaLnBrk="1" latinLnBrk="0" hangingPunct="1">
            <a:defRPr sz="1800" kern="1200">
              <a:solidFill>
                <a:sysClr val="windowText" lastClr="000000"/>
              </a:solidFill>
              <a:latin typeface="Calibri"/>
              <a:ea typeface=""/>
              <a:cs typeface=""/>
            </a:defRPr>
          </a:lvl8pPr>
          <a:lvl9pPr marL="3657600" algn="l" defTabSz="914400" rtl="0" eaLnBrk="1" latinLnBrk="0" hangingPunct="1">
            <a:defRPr sz="1800" kern="1200">
              <a:solidFill>
                <a:sysClr val="windowText" lastClr="000000"/>
              </a:solidFill>
              <a:latin typeface="Calibri"/>
              <a:ea typeface=""/>
              <a:cs typeface=""/>
            </a:defRPr>
          </a:lvl9pPr>
        </a:lstStyle>
        <a:p>
          <a:pPr algn="ctr"/>
          <a:r>
            <a:rPr lang="en-US" sz="2000" b="1" spc="50">
              <a:ln w="3175">
                <a:solidFill>
                  <a:srgbClr val="FF0000"/>
                </a:solidFill>
              </a:ln>
              <a:solidFill>
                <a:schemeClr val="tx1"/>
              </a:soli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Semester</a:t>
          </a:r>
          <a:r>
            <a:rPr lang="en-US" sz="2000" b="1" spc="50" baseline="0">
              <a:ln w="3175">
                <a:solidFill>
                  <a:srgbClr val="FF0000"/>
                </a:solidFill>
              </a:ln>
              <a:solidFill>
                <a:schemeClr val="tx1"/>
              </a:soli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 Genap</a:t>
          </a:r>
        </a:p>
      </xdr:txBody>
    </xdr:sp>
    <xdr:clientData/>
  </xdr:twoCellAnchor>
  <xdr:twoCellAnchor editAs="oneCell">
    <xdr:from>
      <xdr:col>3</xdr:col>
      <xdr:colOff>241122</xdr:colOff>
      <xdr:row>15</xdr:row>
      <xdr:rowOff>57150</xdr:rowOff>
    </xdr:from>
    <xdr:to>
      <xdr:col>5</xdr:col>
      <xdr:colOff>552451</xdr:colOff>
      <xdr:row>22</xdr:row>
      <xdr:rowOff>17348</xdr:rowOff>
    </xdr:to>
    <xdr:pic>
      <xdr:nvPicPr>
        <xdr:cNvPr id="8" name="Picture 7" descr="Kurikulum 2013.png"/>
        <xdr:cNvPicPr>
          <a:picLocks noChangeAspect="1"/>
        </xdr:cNvPicPr>
      </xdr:nvPicPr>
      <xdr:blipFill>
        <a:blip xmlns:r="http://schemas.openxmlformats.org/officeDocument/2006/relationships" r:embed="rId3" cstate="print"/>
        <a:stretch>
          <a:fillRect/>
        </a:stretch>
      </xdr:blipFill>
      <xdr:spPr>
        <a:xfrm>
          <a:off x="1422222" y="2867025"/>
          <a:ext cx="1197154" cy="1188923"/>
        </a:xfrm>
        <a:prstGeom prst="roundRect">
          <a:avLst>
            <a:gd name="adj" fmla="val 50000"/>
          </a:avLst>
        </a:prstGeom>
        <a:solidFill>
          <a:srgbClr val="FFFFFF">
            <a:shade val="85000"/>
          </a:srgbClr>
        </a:solidFill>
        <a:ln>
          <a:noFill/>
        </a:ln>
        <a:effectLst>
          <a:reflection blurRad="12700" stA="38000" endPos="28000" dist="5000" dir="5400000" sy="-100000" algn="bl" rotWithShape="0"/>
        </a:effectLst>
      </xdr:spPr>
    </xdr:pic>
    <xdr:clientData/>
  </xdr:twoCellAnchor>
  <xdr:twoCellAnchor>
    <xdr:from>
      <xdr:col>11</xdr:col>
      <xdr:colOff>609600</xdr:colOff>
      <xdr:row>8</xdr:row>
      <xdr:rowOff>9525</xdr:rowOff>
    </xdr:from>
    <xdr:to>
      <xdr:col>20</xdr:col>
      <xdr:colOff>133350</xdr:colOff>
      <xdr:row>12</xdr:row>
      <xdr:rowOff>104775</xdr:rowOff>
    </xdr:to>
    <xdr:sp macro="" textlink="">
      <xdr:nvSpPr>
        <xdr:cNvPr id="10" name="Rounded Rectangle 9"/>
        <xdr:cNvSpPr/>
      </xdr:nvSpPr>
      <xdr:spPr>
        <a:xfrm>
          <a:off x="6391275" y="1695450"/>
          <a:ext cx="4610100" cy="885825"/>
        </a:xfrm>
        <a:prstGeom prst="roundRect">
          <a:avLst/>
        </a:prstGeom>
        <a:noFill/>
        <a:ln>
          <a:solidFill>
            <a:sysClr val="windowText" lastClr="000000"/>
          </a:solidFill>
        </a:ln>
      </xdr:spPr>
      <xdr:style>
        <a:lnRef idx="2">
          <a:schemeClr val="accent4"/>
        </a:lnRef>
        <a:fillRef idx="1">
          <a:schemeClr val="lt1"/>
        </a:fillRef>
        <a:effectRef idx="0">
          <a:schemeClr val="accent4"/>
        </a:effectRef>
        <a:fontRef idx="minor">
          <a:schemeClr val="dk1"/>
        </a:fontRef>
      </xdr:style>
      <xdr:txBody>
        <a:bodyPr rtlCol="0" anchor="ctr"/>
        <a:lstStyle/>
        <a:p>
          <a:pPr algn="ctr"/>
          <a:endParaRPr lang="en-US" sz="1100"/>
        </a:p>
      </xdr:txBody>
    </xdr:sp>
    <xdr:clientData/>
  </xdr:twoCellAnchor>
  <xdr:twoCellAnchor>
    <xdr:from>
      <xdr:col>18</xdr:col>
      <xdr:colOff>381000</xdr:colOff>
      <xdr:row>15</xdr:row>
      <xdr:rowOff>85724</xdr:rowOff>
    </xdr:from>
    <xdr:to>
      <xdr:col>20</xdr:col>
      <xdr:colOff>9525</xdr:colOff>
      <xdr:row>20</xdr:row>
      <xdr:rowOff>142873</xdr:rowOff>
    </xdr:to>
    <xdr:sp macro="" textlink="">
      <xdr:nvSpPr>
        <xdr:cNvPr id="11" name="Oval 10"/>
        <xdr:cNvSpPr/>
      </xdr:nvSpPr>
      <xdr:spPr>
        <a:xfrm>
          <a:off x="9753600" y="2895599"/>
          <a:ext cx="1123950" cy="1085849"/>
        </a:xfrm>
        <a:prstGeom prst="ellipse">
          <a:avLst/>
        </a:prstGeom>
        <a:noFill/>
        <a:ln>
          <a:gradFill flip="none" rotWithShape="1">
            <a:gsLst>
              <a:gs pos="0">
                <a:srgbClr val="000082"/>
              </a:gs>
              <a:gs pos="30000">
                <a:srgbClr val="66008F"/>
              </a:gs>
              <a:gs pos="64999">
                <a:srgbClr val="BA0066"/>
              </a:gs>
              <a:gs pos="89999">
                <a:srgbClr val="FF0000"/>
              </a:gs>
              <a:gs pos="100000">
                <a:srgbClr val="FF8200"/>
              </a:gs>
            </a:gsLst>
            <a:lin ang="5400000" scaled="0"/>
            <a:tileRect/>
          </a:gradFill>
        </a:ln>
        <a:effectLst>
          <a:outerShdw blurRad="76200" dir="18900000" sy="23000" kx="-1200000" algn="bl" rotWithShape="0">
            <a:prstClr val="black">
              <a:alpha val="20000"/>
            </a:prstClr>
          </a:outerShdw>
        </a:effectLst>
      </xdr:spPr>
      <xdr:style>
        <a:lnRef idx="2">
          <a:schemeClr val="dk1"/>
        </a:lnRef>
        <a:fillRef idx="1">
          <a:schemeClr val="lt1"/>
        </a:fillRef>
        <a:effectRef idx="0">
          <a:schemeClr val="dk1"/>
        </a:effectRef>
        <a:fontRef idx="minor">
          <a:schemeClr val="dk1"/>
        </a:fontRef>
      </xdr:style>
      <xdr:txBody>
        <a:bodyPr rtlCol="0" anchor="ctr"/>
        <a:lstStyle/>
        <a:p>
          <a:pPr algn="ctr"/>
          <a:endParaRPr lang="en-US" sz="1100"/>
        </a:p>
      </xdr:txBody>
    </xdr:sp>
    <xdr:clientData/>
  </xdr:twoCellAnchor>
  <xdr:twoCellAnchor>
    <xdr:from>
      <xdr:col>7</xdr:col>
      <xdr:colOff>76200</xdr:colOff>
      <xdr:row>18</xdr:row>
      <xdr:rowOff>77686</xdr:rowOff>
    </xdr:from>
    <xdr:to>
      <xdr:col>10</xdr:col>
      <xdr:colOff>410718</xdr:colOff>
      <xdr:row>20</xdr:row>
      <xdr:rowOff>133350</xdr:rowOff>
    </xdr:to>
    <xdr:sp macro="" textlink="">
      <xdr:nvSpPr>
        <xdr:cNvPr id="13" name="Rounded Rectangle 12">
          <a:hlinkClick xmlns:r="http://schemas.openxmlformats.org/officeDocument/2006/relationships" r:id="rId4"/>
        </xdr:cNvPr>
        <xdr:cNvSpPr/>
      </xdr:nvSpPr>
      <xdr:spPr>
        <a:xfrm>
          <a:off x="3095625" y="3516211"/>
          <a:ext cx="2487168" cy="455714"/>
        </a:xfrm>
        <a:prstGeom prst="roundRect">
          <a:avLst/>
        </a:prstGeom>
        <a:effectLst>
          <a:outerShdw blurRad="40000" dist="23000" dir="5400000" rotWithShape="0">
            <a:srgbClr val="000000">
              <a:alpha val="35000"/>
            </a:srgbClr>
          </a:outerShdw>
          <a:reflection blurRad="6350" stA="50000" endA="300" endPos="38500" dist="50800" dir="5400000" sy="-100000" algn="bl" rotWithShape="0"/>
        </a:effectLst>
        <a:scene3d>
          <a:camera prst="obliqueTopRight"/>
          <a:lightRig rig="threePt" dir="t">
            <a:rot lat="0" lon="0" rev="1200000"/>
          </a:lightRig>
        </a:scene3d>
        <a:sp3d>
          <a:bevelT w="63500" h="25400" prst="angle"/>
        </a:sp3d>
      </xdr:spPr>
      <xdr:style>
        <a:lnRef idx="0">
          <a:schemeClr val="accent2"/>
        </a:lnRef>
        <a:fillRef idx="3">
          <a:schemeClr val="accent2"/>
        </a:fillRef>
        <a:effectRef idx="3">
          <a:schemeClr val="accent2"/>
        </a:effectRef>
        <a:fontRef idx="minor">
          <a:schemeClr val="lt1"/>
        </a:fontRef>
      </xdr:style>
      <xdr:txBody>
        <a:bodyPr rtlCol="0" anchor="ctr"/>
        <a:lstStyle/>
        <a:p>
          <a:pPr marL="0" marR="0" lvl="0" indent="0" algn="ctr" defTabSz="889000" eaLnBrk="1" fontAlgn="auto" latinLnBrk="0" hangingPunct="1">
            <a:lnSpc>
              <a:spcPct val="90000"/>
            </a:lnSpc>
            <a:spcBef>
              <a:spcPct val="0"/>
            </a:spcBef>
            <a:spcAft>
              <a:spcPct val="35000"/>
            </a:spcAft>
            <a:buClrTx/>
            <a:buSzTx/>
            <a:buFontTx/>
            <a:buNone/>
            <a:tabLst/>
            <a:defRPr/>
          </a:pPr>
          <a:r>
            <a:rPr kumimoji="0" lang="en-US" sz="2000" b="0" i="0" u="none" strike="noStrike" kern="1200" cap="none" spc="0" normalizeH="0" baseline="0" noProof="0">
              <a:ln w="10160">
                <a:solidFill>
                  <a:schemeClr val="bg1"/>
                </a:solidFill>
                <a:prstDash val="solid"/>
              </a:ln>
              <a:solidFill>
                <a:srgbClr val="FFFFFF"/>
              </a:solidFill>
              <a:effectLst>
                <a:outerShdw blurRad="38100" dist="32000" dir="5400000" algn="tl">
                  <a:srgbClr val="000000">
                    <a:alpha val="30000"/>
                  </a:srgbClr>
                </a:outerShdw>
              </a:effectLst>
              <a:uLnTx/>
              <a:uFillTx/>
              <a:latin typeface="+mn-lt"/>
              <a:ea typeface="+mn-ea"/>
              <a:cs typeface="+mn-cs"/>
            </a:rPr>
            <a:t>Petunjuk</a:t>
          </a:r>
        </a:p>
      </xdr:txBody>
    </xdr:sp>
    <xdr:clientData/>
  </xdr:twoCellAnchor>
  <xdr:twoCellAnchor>
    <xdr:from>
      <xdr:col>7</xdr:col>
      <xdr:colOff>85725</xdr:colOff>
      <xdr:row>15</xdr:row>
      <xdr:rowOff>95250</xdr:rowOff>
    </xdr:from>
    <xdr:to>
      <xdr:col>10</xdr:col>
      <xdr:colOff>420243</xdr:colOff>
      <xdr:row>17</xdr:row>
      <xdr:rowOff>189738</xdr:rowOff>
    </xdr:to>
    <xdr:grpSp>
      <xdr:nvGrpSpPr>
        <xdr:cNvPr id="16" name="Group 15">
          <a:hlinkClick xmlns:r="http://schemas.openxmlformats.org/officeDocument/2006/relationships" r:id="rId5"/>
        </xdr:cNvPr>
        <xdr:cNvGrpSpPr/>
      </xdr:nvGrpSpPr>
      <xdr:grpSpPr>
        <a:xfrm>
          <a:off x="3112558" y="2794000"/>
          <a:ext cx="2482935" cy="475488"/>
          <a:chOff x="205739" y="64799"/>
          <a:chExt cx="3261719" cy="590400"/>
        </a:xfrm>
        <a:scene3d>
          <a:camera prst="orthographicFront"/>
          <a:lightRig rig="flat" dir="t"/>
        </a:scene3d>
      </xdr:grpSpPr>
      <xdr:sp macro="" textlink="">
        <xdr:nvSpPr>
          <xdr:cNvPr id="17" name="Rounded Rectangle 16"/>
          <xdr:cNvSpPr/>
        </xdr:nvSpPr>
        <xdr:spPr>
          <a:xfrm>
            <a:off x="205739" y="64799"/>
            <a:ext cx="3261719" cy="590400"/>
          </a:xfrm>
          <a:prstGeom prst="roundRect">
            <a:avLst/>
          </a:prstGeom>
          <a:sp3d prstMaterial="plastic">
            <a:bevelT w="120900" h="88900"/>
            <a:bevelB w="88900" h="31750" prst="angle"/>
          </a:sp3d>
        </xdr:spPr>
        <xdr:style>
          <a:lnRef idx="0">
            <a:schemeClr val="lt2">
              <a:hueOff val="0"/>
              <a:satOff val="0"/>
              <a:lumOff val="0"/>
              <a:alphaOff val="0"/>
            </a:schemeClr>
          </a:lnRef>
          <a:fillRef idx="3">
            <a:schemeClr val="dk2">
              <a:hueOff val="0"/>
              <a:satOff val="0"/>
              <a:lumOff val="0"/>
              <a:alphaOff val="0"/>
            </a:schemeClr>
          </a:fillRef>
          <a:effectRef idx="2">
            <a:schemeClr val="dk2">
              <a:hueOff val="0"/>
              <a:satOff val="0"/>
              <a:lumOff val="0"/>
              <a:alphaOff val="0"/>
            </a:schemeClr>
          </a:effectRef>
          <a:fontRef idx="minor">
            <a:schemeClr val="lt1"/>
          </a:fontRef>
        </xdr:style>
      </xdr:sp>
      <xdr:sp macro="" textlink="">
        <xdr:nvSpPr>
          <xdr:cNvPr id="18" name="Rounded Rectangle 5"/>
          <xdr:cNvSpPr/>
        </xdr:nvSpPr>
        <xdr:spPr>
          <a:xfrm>
            <a:off x="234560" y="93620"/>
            <a:ext cx="3204077" cy="532758"/>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108871" tIns="0" rIns="108871" bIns="0" numCol="1" spcCol="1270" anchor="ctr" anchorCtr="0">
            <a:noAutofit/>
          </a:bodyPr>
          <a:lstStyle/>
          <a:p>
            <a:pPr lvl="0" algn="ctr" defTabSz="889000">
              <a:lnSpc>
                <a:spcPct val="90000"/>
              </a:lnSpc>
              <a:spcBef>
                <a:spcPct val="0"/>
              </a:spcBef>
              <a:spcAft>
                <a:spcPct val="35000"/>
              </a:spcAft>
            </a:pPr>
            <a:r>
              <a:rPr lang="en-US" sz="2000" b="1" kern="1200"/>
              <a:t>Administrator</a:t>
            </a:r>
          </a:p>
        </xdr:txBody>
      </xdr:sp>
    </xdr:grpSp>
    <xdr:clientData/>
  </xdr:twoCellAnchor>
  <xdr:twoCellAnchor editAs="oneCell">
    <xdr:from>
      <xdr:col>7</xdr:col>
      <xdr:colOff>47626</xdr:colOff>
      <xdr:row>26</xdr:row>
      <xdr:rowOff>28576</xdr:rowOff>
    </xdr:from>
    <xdr:to>
      <xdr:col>7</xdr:col>
      <xdr:colOff>247667</xdr:colOff>
      <xdr:row>26</xdr:row>
      <xdr:rowOff>209549</xdr:rowOff>
    </xdr:to>
    <xdr:pic>
      <xdr:nvPicPr>
        <xdr:cNvPr id="66562" name="Picture 2" descr="Hasil gambar untuk logo whatsapp"/>
        <xdr:cNvPicPr>
          <a:picLocks noChangeAspect="1" noChangeArrowheads="1"/>
        </xdr:cNvPicPr>
      </xdr:nvPicPr>
      <xdr:blipFill>
        <a:blip xmlns:r="http://schemas.openxmlformats.org/officeDocument/2006/relationships" r:embed="rId6" cstate="print"/>
        <a:srcRect/>
        <a:stretch>
          <a:fillRect/>
        </a:stretch>
      </xdr:blipFill>
      <xdr:spPr bwMode="auto">
        <a:xfrm>
          <a:off x="3067051" y="4733926"/>
          <a:ext cx="200041" cy="180973"/>
        </a:xfrm>
        <a:prstGeom prst="rect">
          <a:avLst/>
        </a:prstGeom>
        <a:noFill/>
      </xdr:spPr>
    </xdr:pic>
    <xdr:clientData/>
  </xdr:twoCellAnchor>
  <xdr:twoCellAnchor editAs="oneCell">
    <xdr:from>
      <xdr:col>5</xdr:col>
      <xdr:colOff>95252</xdr:colOff>
      <xdr:row>26</xdr:row>
      <xdr:rowOff>36451</xdr:rowOff>
    </xdr:from>
    <xdr:to>
      <xdr:col>5</xdr:col>
      <xdr:colOff>352426</xdr:colOff>
      <xdr:row>26</xdr:row>
      <xdr:rowOff>209548</xdr:rowOff>
    </xdr:to>
    <xdr:pic>
      <xdr:nvPicPr>
        <xdr:cNvPr id="19" name="Picture 18" descr="Untitled-1.png"/>
        <xdr:cNvPicPr>
          <a:picLocks noChangeAspect="1"/>
        </xdr:cNvPicPr>
      </xdr:nvPicPr>
      <xdr:blipFill>
        <a:blip xmlns:r="http://schemas.openxmlformats.org/officeDocument/2006/relationships" r:embed="rId7" cstate="print"/>
        <a:stretch>
          <a:fillRect/>
        </a:stretch>
      </xdr:blipFill>
      <xdr:spPr>
        <a:xfrm>
          <a:off x="2162177" y="4741801"/>
          <a:ext cx="257174" cy="173097"/>
        </a:xfrm>
        <a:prstGeom prst="rect">
          <a:avLst/>
        </a:prstGeom>
      </xdr:spPr>
    </xdr:pic>
    <xdr:clientData/>
  </xdr:twoCellAnchor>
  <xdr:twoCellAnchor editAs="oneCell">
    <xdr:from>
      <xdr:col>2</xdr:col>
      <xdr:colOff>57151</xdr:colOff>
      <xdr:row>26</xdr:row>
      <xdr:rowOff>25593</xdr:rowOff>
    </xdr:from>
    <xdr:to>
      <xdr:col>2</xdr:col>
      <xdr:colOff>219075</xdr:colOff>
      <xdr:row>26</xdr:row>
      <xdr:rowOff>190499</xdr:rowOff>
    </xdr:to>
    <xdr:pic>
      <xdr:nvPicPr>
        <xdr:cNvPr id="66564" name="Picture 4" descr="Hasil gambar untuk logo call"/>
        <xdr:cNvPicPr>
          <a:picLocks noChangeAspect="1" noChangeArrowheads="1"/>
        </xdr:cNvPicPr>
      </xdr:nvPicPr>
      <xdr:blipFill>
        <a:blip xmlns:r="http://schemas.openxmlformats.org/officeDocument/2006/relationships" r:embed="rId8" cstate="print"/>
        <a:srcRect l="23578" r="23717" b="6068"/>
        <a:stretch>
          <a:fillRect/>
        </a:stretch>
      </xdr:blipFill>
      <xdr:spPr bwMode="auto">
        <a:xfrm>
          <a:off x="771526" y="4730943"/>
          <a:ext cx="161924" cy="164906"/>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733427</xdr:colOff>
      <xdr:row>6</xdr:row>
      <xdr:rowOff>0</xdr:rowOff>
    </xdr:from>
    <xdr:to>
      <xdr:col>10</xdr:col>
      <xdr:colOff>19050</xdr:colOff>
      <xdr:row>20</xdr:row>
      <xdr:rowOff>190500</xdr:rowOff>
    </xdr:to>
    <xdr:sp macro="" textlink="">
      <xdr:nvSpPr>
        <xdr:cNvPr id="2" name="Rounded Rectangle 1"/>
        <xdr:cNvSpPr/>
      </xdr:nvSpPr>
      <xdr:spPr>
        <a:xfrm>
          <a:off x="733427" y="809625"/>
          <a:ext cx="5572123" cy="2667000"/>
        </a:xfrm>
        <a:prstGeom prst="roundRect">
          <a:avLst/>
        </a:prstGeom>
        <a:solidFill>
          <a:schemeClr val="accent6">
            <a:lumMod val="60000"/>
            <a:lumOff val="40000"/>
          </a:schemeClr>
        </a:solidFill>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1</xdr:rowOff>
    </xdr:from>
    <xdr:to>
      <xdr:col>0</xdr:col>
      <xdr:colOff>838200</xdr:colOff>
      <xdr:row>7</xdr:row>
      <xdr:rowOff>28576</xdr:rowOff>
    </xdr:to>
    <xdr:pic>
      <xdr:nvPicPr>
        <xdr:cNvPr id="5" name="Picture 4"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0" y="1"/>
          <a:ext cx="838200" cy="838200"/>
        </a:xfrm>
        <a:prstGeom prst="rect">
          <a:avLst/>
        </a:prstGeom>
      </xdr:spPr>
    </xdr:pic>
    <xdr:clientData/>
  </xdr:twoCellAnchor>
  <xdr:twoCellAnchor>
    <xdr:from>
      <xdr:col>1</xdr:col>
      <xdr:colOff>561977</xdr:colOff>
      <xdr:row>8</xdr:row>
      <xdr:rowOff>66676</xdr:rowOff>
    </xdr:from>
    <xdr:to>
      <xdr:col>7</xdr:col>
      <xdr:colOff>89682</xdr:colOff>
      <xdr:row>11</xdr:row>
      <xdr:rowOff>27428</xdr:rowOff>
    </xdr:to>
    <xdr:grpSp>
      <xdr:nvGrpSpPr>
        <xdr:cNvPr id="6" name="Group 5"/>
        <xdr:cNvGrpSpPr/>
      </xdr:nvGrpSpPr>
      <xdr:grpSpPr>
        <a:xfrm>
          <a:off x="1524002" y="1066801"/>
          <a:ext cx="2870980" cy="532252"/>
          <a:chOff x="1209675" y="401650"/>
          <a:chExt cx="4142518" cy="532252"/>
        </a:xfrm>
        <a:effectLst>
          <a:outerShdw blurRad="76200" dir="18900000" sy="23000" kx="-1200000" algn="bl" rotWithShape="0">
            <a:prstClr val="black">
              <a:alpha val="20000"/>
            </a:prstClr>
          </a:outerShdw>
        </a:effectLst>
        <a:scene3d>
          <a:camera prst="orthographicFront">
            <a:rot lat="0" lon="0" rev="0"/>
          </a:camera>
          <a:lightRig rig="contrasting" dir="t">
            <a:rot lat="0" lon="0" rev="1200000"/>
          </a:lightRig>
        </a:scene3d>
      </xdr:grpSpPr>
      <xdr:sp macro="" textlink="">
        <xdr:nvSpPr>
          <xdr:cNvPr id="7" name="Pentagon 6"/>
          <xdr:cNvSpPr/>
        </xdr:nvSpPr>
        <xdr:spPr>
          <a:xfrm rot="10800000">
            <a:off x="1209675" y="411175"/>
            <a:ext cx="4142518" cy="522727"/>
          </a:xfrm>
          <a:prstGeom prst="homePlate">
            <a:avLst/>
          </a:prstGeom>
          <a:sp3d contourW="19050" prstMaterial="metal">
            <a:bevelT w="88900" h="203200" prst="cross"/>
            <a:bevelB w="165100" h="254000"/>
          </a:sp3d>
        </xdr:spPr>
        <xdr:style>
          <a:lnRef idx="0">
            <a:schemeClr val="lt1">
              <a:hueOff val="0"/>
              <a:satOff val="0"/>
              <a:lumOff val="0"/>
              <a:alphaOff val="0"/>
            </a:schemeClr>
          </a:lnRef>
          <a:fillRef idx="1">
            <a:schemeClr val="accent5">
              <a:hueOff val="0"/>
              <a:satOff val="0"/>
              <a:lumOff val="0"/>
              <a:alphaOff val="0"/>
            </a:schemeClr>
          </a:fillRef>
          <a:effectRef idx="2">
            <a:schemeClr val="accent5">
              <a:hueOff val="0"/>
              <a:satOff val="0"/>
              <a:lumOff val="0"/>
              <a:alphaOff val="0"/>
            </a:schemeClr>
          </a:effectRef>
          <a:fontRef idx="minor">
            <a:schemeClr val="lt1"/>
          </a:fontRef>
        </xdr:style>
      </xdr:sp>
      <xdr:sp macro="" textlink="">
        <xdr:nvSpPr>
          <xdr:cNvPr id="8" name="Pentagon 4">
            <a:hlinkClick xmlns:r="http://schemas.openxmlformats.org/officeDocument/2006/relationships" r:id="rId3"/>
          </xdr:cNvPr>
          <xdr:cNvSpPr/>
        </xdr:nvSpPr>
        <xdr:spPr>
          <a:xfrm>
            <a:off x="1283209" y="401650"/>
            <a:ext cx="4011834" cy="522727"/>
          </a:xfrm>
          <a:prstGeom prst="rect">
            <a:avLst/>
          </a:prstGeom>
          <a:sp3d>
            <a:bevelT w="139700" prst="cross"/>
          </a:sp3d>
        </xdr:spPr>
        <xdr:style>
          <a:lnRef idx="0">
            <a:scrgbClr r="0" g="0" b="0"/>
          </a:lnRef>
          <a:fillRef idx="0">
            <a:scrgbClr r="0" g="0" b="0"/>
          </a:fillRef>
          <a:effectRef idx="0">
            <a:scrgbClr r="0" g="0" b="0"/>
          </a:effectRef>
          <a:fontRef idx="minor">
            <a:schemeClr val="lt1"/>
          </a:fontRef>
        </xdr:style>
        <xdr:txBody>
          <a:bodyPr spcFirstLastPara="0" vert="horz" wrap="square" lIns="230508" tIns="91440" rIns="170688" bIns="91440" numCol="1" spcCol="1270" anchor="ctr" anchorCtr="0">
            <a:noAutofit/>
          </a:bodyPr>
          <a:lstStyle/>
          <a:p>
            <a:pPr lvl="0" algn="ctr" defTabSz="1066800">
              <a:lnSpc>
                <a:spcPct val="90000"/>
              </a:lnSpc>
              <a:spcBef>
                <a:spcPct val="0"/>
              </a:spcBef>
              <a:spcAft>
                <a:spcPct val="35000"/>
              </a:spcAft>
            </a:pPr>
            <a:r>
              <a:rPr lang="en-US" sz="1800" b="1" kern="1200">
                <a:solidFill>
                  <a:schemeClr val="tx1"/>
                </a:solidFill>
              </a:rPr>
              <a:t>Drop Down List</a:t>
            </a:r>
          </a:p>
        </xdr:txBody>
      </xdr:sp>
    </xdr:grpSp>
    <xdr:clientData/>
  </xdr:twoCellAnchor>
  <xdr:twoCellAnchor>
    <xdr:from>
      <xdr:col>1</xdr:col>
      <xdr:colOff>295274</xdr:colOff>
      <xdr:row>8</xdr:row>
      <xdr:rowOff>57149</xdr:rowOff>
    </xdr:from>
    <xdr:to>
      <xdr:col>2</xdr:col>
      <xdr:colOff>209549</xdr:colOff>
      <xdr:row>11</xdr:row>
      <xdr:rowOff>9524</xdr:rowOff>
    </xdr:to>
    <xdr:sp macro="" textlink="">
      <xdr:nvSpPr>
        <xdr:cNvPr id="26" name="Oval 25"/>
        <xdr:cNvSpPr/>
      </xdr:nvSpPr>
      <xdr:spPr>
        <a:xfrm>
          <a:off x="1257299" y="1057274"/>
          <a:ext cx="523875" cy="523875"/>
        </a:xfrm>
        <a:prstGeom prst="ellipse">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2400"/>
            <a:t>1</a:t>
          </a:r>
        </a:p>
      </xdr:txBody>
    </xdr:sp>
    <xdr:clientData/>
  </xdr:twoCellAnchor>
  <xdr:twoCellAnchor>
    <xdr:from>
      <xdr:col>3</xdr:col>
      <xdr:colOff>476251</xdr:colOff>
      <xdr:row>16</xdr:row>
      <xdr:rowOff>57150</xdr:rowOff>
    </xdr:from>
    <xdr:to>
      <xdr:col>9</xdr:col>
      <xdr:colOff>318281</xdr:colOff>
      <xdr:row>19</xdr:row>
      <xdr:rowOff>61722</xdr:rowOff>
    </xdr:to>
    <xdr:grpSp>
      <xdr:nvGrpSpPr>
        <xdr:cNvPr id="15" name="Group 14"/>
        <xdr:cNvGrpSpPr/>
      </xdr:nvGrpSpPr>
      <xdr:grpSpPr>
        <a:xfrm>
          <a:off x="2657476" y="2581275"/>
          <a:ext cx="2870980" cy="576072"/>
          <a:chOff x="1220460" y="1852577"/>
          <a:chExt cx="4142518" cy="708178"/>
        </a:xfrm>
        <a:scene3d>
          <a:camera prst="orthographicFront">
            <a:rot lat="0" lon="0" rev="0"/>
          </a:camera>
          <a:lightRig rig="contrasting" dir="t">
            <a:rot lat="0" lon="0" rev="1200000"/>
          </a:lightRig>
        </a:scene3d>
      </xdr:grpSpPr>
      <xdr:sp macro="" textlink="">
        <xdr:nvSpPr>
          <xdr:cNvPr id="16" name="Pentagon 15"/>
          <xdr:cNvSpPr/>
        </xdr:nvSpPr>
        <xdr:spPr>
          <a:xfrm rot="10800000">
            <a:off x="1220460" y="1852577"/>
            <a:ext cx="4142518" cy="708178"/>
          </a:xfrm>
          <a:prstGeom prst="homePlate">
            <a:avLst/>
          </a:prstGeom>
          <a:sp3d contourW="19050" prstMaterial="metal">
            <a:bevelT w="88900" h="203200"/>
            <a:bevelB w="165100" h="254000"/>
          </a:sp3d>
        </xdr:spPr>
        <xdr:style>
          <a:lnRef idx="0">
            <a:schemeClr val="lt1">
              <a:hueOff val="0"/>
              <a:satOff val="0"/>
              <a:lumOff val="0"/>
              <a:alphaOff val="0"/>
            </a:schemeClr>
          </a:lnRef>
          <a:fillRef idx="1">
            <a:schemeClr val="accent5">
              <a:hueOff val="-9933876"/>
              <a:satOff val="39811"/>
              <a:lumOff val="8628"/>
              <a:alphaOff val="0"/>
            </a:schemeClr>
          </a:fillRef>
          <a:effectRef idx="2">
            <a:schemeClr val="accent5">
              <a:hueOff val="-9933876"/>
              <a:satOff val="39811"/>
              <a:lumOff val="8628"/>
              <a:alphaOff val="0"/>
            </a:schemeClr>
          </a:effectRef>
          <a:fontRef idx="minor">
            <a:schemeClr val="lt1"/>
          </a:fontRef>
        </xdr:style>
      </xdr:sp>
      <xdr:sp macro="" textlink="">
        <xdr:nvSpPr>
          <xdr:cNvPr id="17" name="Pentagon 4">
            <a:hlinkClick xmlns:r="http://schemas.openxmlformats.org/officeDocument/2006/relationships" r:id="rId4"/>
          </xdr:cNvPr>
          <xdr:cNvSpPr/>
        </xdr:nvSpPr>
        <xdr:spPr>
          <a:xfrm rot="21600000">
            <a:off x="1397506" y="1852577"/>
            <a:ext cx="3965472" cy="708178"/>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312287" tIns="118110" rIns="220472" bIns="118110" numCol="1" spcCol="1270" anchor="ctr" anchorCtr="0">
            <a:noAutofit/>
          </a:bodyPr>
          <a:lstStyle/>
          <a:p>
            <a:pPr lvl="0" algn="ctr" defTabSz="1377950">
              <a:lnSpc>
                <a:spcPct val="90000"/>
              </a:lnSpc>
              <a:spcBef>
                <a:spcPct val="0"/>
              </a:spcBef>
              <a:spcAft>
                <a:spcPct val="35000"/>
              </a:spcAft>
            </a:pPr>
            <a:r>
              <a:rPr lang="en-US" sz="1800" b="1" kern="1200">
                <a:solidFill>
                  <a:schemeClr val="tx1"/>
                </a:solidFill>
              </a:rPr>
              <a:t>Biodata Siswa</a:t>
            </a:r>
          </a:p>
        </xdr:txBody>
      </xdr:sp>
    </xdr:grpSp>
    <xdr:clientData/>
  </xdr:twoCellAnchor>
  <xdr:twoCellAnchor>
    <xdr:from>
      <xdr:col>3</xdr:col>
      <xdr:colOff>219075</xdr:colOff>
      <xdr:row>16</xdr:row>
      <xdr:rowOff>76200</xdr:rowOff>
    </xdr:from>
    <xdr:to>
      <xdr:col>4</xdr:col>
      <xdr:colOff>133350</xdr:colOff>
      <xdr:row>19</xdr:row>
      <xdr:rowOff>28575</xdr:rowOff>
    </xdr:to>
    <xdr:sp macro="" textlink="">
      <xdr:nvSpPr>
        <xdr:cNvPr id="29" name="Oval 28"/>
        <xdr:cNvSpPr/>
      </xdr:nvSpPr>
      <xdr:spPr>
        <a:xfrm>
          <a:off x="2400300" y="2600325"/>
          <a:ext cx="523875" cy="523875"/>
        </a:xfrm>
        <a:prstGeom prst="ellipse">
          <a:avLst/>
        </a:prstGeom>
      </xdr:spPr>
      <xdr:style>
        <a:lnRef idx="0">
          <a:schemeClr val="accent4"/>
        </a:lnRef>
        <a:fillRef idx="3">
          <a:schemeClr val="accent4"/>
        </a:fillRef>
        <a:effectRef idx="3">
          <a:schemeClr val="accent4"/>
        </a:effectRef>
        <a:fontRef idx="minor">
          <a:schemeClr val="lt1"/>
        </a:fontRef>
      </xdr:style>
      <xdr:txBody>
        <a:bodyPr rtlCol="0" anchor="ctr"/>
        <a:lstStyle/>
        <a:p>
          <a:pPr algn="ctr"/>
          <a:r>
            <a:rPr lang="en-US" sz="2400"/>
            <a:t>3</a:t>
          </a:r>
        </a:p>
      </xdr:txBody>
    </xdr:sp>
    <xdr:clientData/>
  </xdr:twoCellAnchor>
  <xdr:twoCellAnchor>
    <xdr:from>
      <xdr:col>2</xdr:col>
      <xdr:colOff>476250</xdr:colOff>
      <xdr:row>12</xdr:row>
      <xdr:rowOff>85725</xdr:rowOff>
    </xdr:from>
    <xdr:to>
      <xdr:col>8</xdr:col>
      <xdr:colOff>318280</xdr:colOff>
      <xdr:row>15</xdr:row>
      <xdr:rowOff>36952</xdr:rowOff>
    </xdr:to>
    <xdr:sp macro="" textlink="">
      <xdr:nvSpPr>
        <xdr:cNvPr id="40" name="Pentagon 39"/>
        <xdr:cNvSpPr/>
      </xdr:nvSpPr>
      <xdr:spPr>
        <a:xfrm rot="10800000">
          <a:off x="2047875" y="2238375"/>
          <a:ext cx="2870980" cy="522727"/>
        </a:xfrm>
        <a:prstGeom prst="homePlate">
          <a:avLst/>
        </a:prstGeom>
        <a:solidFill>
          <a:srgbClr val="FF0000"/>
        </a:solidFill>
        <a:effectLst>
          <a:outerShdw blurRad="76200" dir="18900000" sy="23000" kx="-1200000" algn="bl" rotWithShape="0">
            <a:prstClr val="black">
              <a:alpha val="20000"/>
            </a:prstClr>
          </a:outerShdw>
        </a:effectLst>
        <a:scene3d>
          <a:camera prst="orthographicFront">
            <a:rot lat="0" lon="0" rev="0"/>
          </a:camera>
          <a:lightRig rig="contrasting" dir="t">
            <a:rot lat="0" lon="0" rev="1200000"/>
          </a:lightRig>
        </a:scene3d>
        <a:sp3d contourW="19050" prstMaterial="metal">
          <a:bevelT w="88900" h="203200" prst="artDeco"/>
          <a:bevelB w="165100" h="254000"/>
        </a:sp3d>
      </xdr:spPr>
      <xdr:style>
        <a:lnRef idx="0">
          <a:schemeClr val="lt1">
            <a:hueOff val="0"/>
            <a:satOff val="0"/>
            <a:lumOff val="0"/>
            <a:alphaOff val="0"/>
          </a:schemeClr>
        </a:lnRef>
        <a:fillRef idx="1">
          <a:schemeClr val="accent5">
            <a:hueOff val="0"/>
            <a:satOff val="0"/>
            <a:lumOff val="0"/>
            <a:alphaOff val="0"/>
          </a:schemeClr>
        </a:fillRef>
        <a:effectRef idx="2">
          <a:schemeClr val="accent5">
            <a:hueOff val="0"/>
            <a:satOff val="0"/>
            <a:lumOff val="0"/>
            <a:alphaOff val="0"/>
          </a:schemeClr>
        </a:effectRef>
        <a:fontRef idx="minor">
          <a:schemeClr val="lt1"/>
        </a:fontRef>
      </xdr:style>
    </xdr:sp>
    <xdr:clientData/>
  </xdr:twoCellAnchor>
  <xdr:twoCellAnchor>
    <xdr:from>
      <xdr:col>2</xdr:col>
      <xdr:colOff>574838</xdr:colOff>
      <xdr:row>12</xdr:row>
      <xdr:rowOff>57150</xdr:rowOff>
    </xdr:from>
    <xdr:to>
      <xdr:col>8</xdr:col>
      <xdr:colOff>326297</xdr:colOff>
      <xdr:row>15</xdr:row>
      <xdr:rowOff>8377</xdr:rowOff>
    </xdr:to>
    <xdr:sp macro="" textlink="">
      <xdr:nvSpPr>
        <xdr:cNvPr id="41" name="Pentagon 4">
          <a:hlinkClick xmlns:r="http://schemas.openxmlformats.org/officeDocument/2006/relationships" r:id="rId5"/>
        </xdr:cNvPr>
        <xdr:cNvSpPr/>
      </xdr:nvSpPr>
      <xdr:spPr>
        <a:xfrm>
          <a:off x="2146463" y="1819275"/>
          <a:ext cx="2780409" cy="522727"/>
        </a:xfrm>
        <a:prstGeom prst="rect">
          <a:avLst/>
        </a:prstGeom>
        <a:effectLst/>
      </xdr:spPr>
      <xdr:style>
        <a:lnRef idx="0">
          <a:scrgbClr r="0" g="0" b="0"/>
        </a:lnRef>
        <a:fillRef idx="0">
          <a:scrgbClr r="0" g="0" b="0"/>
        </a:fillRef>
        <a:effectRef idx="0">
          <a:scrgbClr r="0" g="0" b="0"/>
        </a:effectRef>
        <a:fontRef idx="minor">
          <a:schemeClr val="lt1"/>
        </a:fontRef>
      </xdr:style>
      <xdr:txBody>
        <a:bodyPr spcFirstLastPara="0" vert="horz" wrap="square" lIns="230508" tIns="91440" rIns="170688" bIns="91440" numCol="1" spcCol="1270" anchor="ctr" anchorCtr="0">
          <a:noAutofit/>
        </a:bodyPr>
        <a:lstStyle/>
        <a:p>
          <a:pPr lvl="0" algn="ctr" defTabSz="1066800">
            <a:lnSpc>
              <a:spcPct val="90000"/>
            </a:lnSpc>
            <a:spcBef>
              <a:spcPct val="0"/>
            </a:spcBef>
            <a:spcAft>
              <a:spcPct val="35000"/>
            </a:spcAft>
          </a:pPr>
          <a:r>
            <a:rPr lang="en-US" sz="1800" kern="1200"/>
            <a:t>Data Kelas</a:t>
          </a:r>
        </a:p>
      </xdr:txBody>
    </xdr:sp>
    <xdr:clientData/>
  </xdr:twoCellAnchor>
  <xdr:twoCellAnchor>
    <xdr:from>
      <xdr:col>2</xdr:col>
      <xdr:colOff>200025</xdr:colOff>
      <xdr:row>12</xdr:row>
      <xdr:rowOff>57150</xdr:rowOff>
    </xdr:from>
    <xdr:to>
      <xdr:col>3</xdr:col>
      <xdr:colOff>114300</xdr:colOff>
      <xdr:row>15</xdr:row>
      <xdr:rowOff>9525</xdr:rowOff>
    </xdr:to>
    <xdr:sp macro="" textlink="">
      <xdr:nvSpPr>
        <xdr:cNvPr id="28" name="Oval 27"/>
        <xdr:cNvSpPr/>
      </xdr:nvSpPr>
      <xdr:spPr>
        <a:xfrm>
          <a:off x="1771650" y="1819275"/>
          <a:ext cx="523875" cy="523875"/>
        </a:xfrm>
        <a:prstGeom prst="ellipse">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n-US" sz="2400"/>
            <a:t>2</a:t>
          </a:r>
        </a:p>
      </xdr:txBody>
    </xdr:sp>
    <xdr:clientData/>
  </xdr:twoCellAnchor>
  <xdr:twoCellAnchor>
    <xdr:from>
      <xdr:col>5</xdr:col>
      <xdr:colOff>99261</xdr:colOff>
      <xdr:row>21</xdr:row>
      <xdr:rowOff>761999</xdr:rowOff>
    </xdr:from>
    <xdr:to>
      <xdr:col>5</xdr:col>
      <xdr:colOff>99261</xdr:colOff>
      <xdr:row>21</xdr:row>
      <xdr:rowOff>761999</xdr:rowOff>
    </xdr:to>
    <xdr:grpSp>
      <xdr:nvGrpSpPr>
        <xdr:cNvPr id="23" name="Group 22"/>
        <xdr:cNvGrpSpPr/>
      </xdr:nvGrpSpPr>
      <xdr:grpSpPr>
        <a:xfrm>
          <a:off x="3185361" y="4810124"/>
          <a:ext cx="0" cy="0"/>
          <a:chOff x="3128211" y="1881824"/>
          <a:chExt cx="1442144" cy="859928"/>
        </a:xfrm>
      </xdr:grpSpPr>
      <xdr:sp macro="" textlink="">
        <xdr:nvSpPr>
          <xdr:cNvPr id="24" name="Rounded Rectangle 23"/>
          <xdr:cNvSpPr/>
        </xdr:nvSpPr>
        <xdr:spPr>
          <a:xfrm>
            <a:off x="3128211" y="1881824"/>
            <a:ext cx="1442144" cy="859928"/>
          </a:xfrm>
          <a:prstGeom prst="roundRect">
            <a:avLst>
              <a:gd name="adj" fmla="val 1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sp macro="" textlink="">
        <xdr:nvSpPr>
          <xdr:cNvPr id="25" name="Rounded Rectangle 12"/>
          <xdr:cNvSpPr/>
        </xdr:nvSpPr>
        <xdr:spPr>
          <a:xfrm>
            <a:off x="3153397" y="1907010"/>
            <a:ext cx="1391772" cy="809556"/>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140970" tIns="140970" rIns="140970" bIns="140970" numCol="1" spcCol="1270" anchor="ctr" anchorCtr="0">
            <a:noAutofit/>
          </a:bodyPr>
          <a:lstStyle/>
          <a:p>
            <a:pPr lvl="0" algn="ctr" defTabSz="1644650">
              <a:lnSpc>
                <a:spcPct val="90000"/>
              </a:lnSpc>
              <a:spcBef>
                <a:spcPct val="0"/>
              </a:spcBef>
              <a:spcAft>
                <a:spcPct val="35000"/>
              </a:spcAft>
            </a:pPr>
            <a:endParaRPr lang="en-US" sz="3700" kern="1200"/>
          </a:p>
        </xdr:txBody>
      </xdr:sp>
    </xdr:grpSp>
    <xdr:clientData/>
  </xdr:twoCellAnchor>
  <xdr:twoCellAnchor>
    <xdr:from>
      <xdr:col>0</xdr:col>
      <xdr:colOff>733425</xdr:colOff>
      <xdr:row>20</xdr:row>
      <xdr:rowOff>342900</xdr:rowOff>
    </xdr:from>
    <xdr:to>
      <xdr:col>5</xdr:col>
      <xdr:colOff>542925</xdr:colOff>
      <xdr:row>21</xdr:row>
      <xdr:rowOff>38100</xdr:rowOff>
    </xdr:to>
    <xdr:grpSp>
      <xdr:nvGrpSpPr>
        <xdr:cNvPr id="21" name="Group 20">
          <a:hlinkClick xmlns:r="http://schemas.openxmlformats.org/officeDocument/2006/relationships" r:id="rId6"/>
        </xdr:cNvPr>
        <xdr:cNvGrpSpPr/>
      </xdr:nvGrpSpPr>
      <xdr:grpSpPr>
        <a:xfrm>
          <a:off x="733425" y="3629025"/>
          <a:ext cx="2895600" cy="457200"/>
          <a:chOff x="205739" y="64799"/>
          <a:chExt cx="3261719" cy="590400"/>
        </a:xfrm>
        <a:scene3d>
          <a:camera prst="obliqueTopRight"/>
          <a:lightRig rig="flat" dir="t"/>
        </a:scene3d>
      </xdr:grpSpPr>
      <xdr:sp macro="" textlink="">
        <xdr:nvSpPr>
          <xdr:cNvPr id="22" name="Rounded Rectangle 21"/>
          <xdr:cNvSpPr/>
        </xdr:nvSpPr>
        <xdr:spPr>
          <a:xfrm>
            <a:off x="205739" y="64799"/>
            <a:ext cx="3261719" cy="590400"/>
          </a:xfrm>
          <a:prstGeom prst="roundRect">
            <a:avLst/>
          </a:prstGeom>
          <a:ln>
            <a:solidFill>
              <a:schemeClr val="tx1"/>
            </a:solidFill>
          </a:ln>
        </xdr:spPr>
        <xdr:style>
          <a:lnRef idx="0">
            <a:schemeClr val="accent2"/>
          </a:lnRef>
          <a:fillRef idx="3">
            <a:schemeClr val="accent2"/>
          </a:fillRef>
          <a:effectRef idx="3">
            <a:schemeClr val="accent2"/>
          </a:effectRef>
          <a:fontRef idx="minor">
            <a:schemeClr val="lt1"/>
          </a:fontRef>
        </xdr:style>
      </xdr:sp>
      <xdr:sp macro="" textlink="">
        <xdr:nvSpPr>
          <xdr:cNvPr id="27" name="Rounded Rectangle 5"/>
          <xdr:cNvSpPr/>
        </xdr:nvSpPr>
        <xdr:spPr>
          <a:xfrm>
            <a:off x="234560" y="93620"/>
            <a:ext cx="3204077" cy="532758"/>
          </a:xfrm>
          <a:prstGeom prst="rect">
            <a:avLst/>
          </a:prstGeom>
          <a:ln>
            <a:solidFill>
              <a:schemeClr val="tx1"/>
            </a:solidFill>
          </a:ln>
        </xdr:spPr>
        <xdr:style>
          <a:lnRef idx="0">
            <a:schemeClr val="accent2"/>
          </a:lnRef>
          <a:fillRef idx="3">
            <a:schemeClr val="accent2"/>
          </a:fillRef>
          <a:effectRef idx="3">
            <a:schemeClr val="accent2"/>
          </a:effectRef>
          <a:fontRef idx="minor">
            <a:schemeClr val="lt1"/>
          </a:fontRef>
        </xdr:style>
        <xdr:txBody>
          <a:bodyPr spcFirstLastPara="0" vert="horz" wrap="square" lIns="108871" tIns="0" rIns="108871" bIns="0" numCol="1" spcCol="1270" anchor="ctr" anchorCtr="0">
            <a:noAutofit/>
          </a:bodyPr>
          <a:lstStyle/>
          <a:p>
            <a:pPr algn="ctr"/>
            <a:r>
              <a:rPr lang="en-US" sz="2200" b="0" cap="none" spc="0">
                <a:ln w="18415" cmpd="sng">
                  <a:solidFill>
                    <a:srgbClr val="FFFFFF"/>
                  </a:solidFill>
                  <a:prstDash val="solid"/>
                </a:ln>
                <a:solidFill>
                  <a:srgbClr val="FFFFFF"/>
                </a:solidFill>
                <a:effectLst>
                  <a:outerShdw blurRad="63500" dir="3600000" algn="tl" rotWithShape="0">
                    <a:srgbClr val="000000">
                      <a:alpha val="70000"/>
                    </a:srgbClr>
                  </a:outerShdw>
                  <a:reflection blurRad="6350" stA="55000" endA="300" endPos="45500" dir="5400000" sy="-100000" algn="bl" rotWithShape="0"/>
                </a:effectLst>
                <a:latin typeface="+mn-lt"/>
                <a:ea typeface="+mn-ea"/>
                <a:cs typeface="+mn-cs"/>
              </a:rPr>
              <a:t>Cetak</a:t>
            </a:r>
            <a:r>
              <a:rPr lang="en-US" sz="2200" b="0" cap="none" spc="0" baseline="0">
                <a:ln w="18415" cmpd="sng">
                  <a:solidFill>
                    <a:srgbClr val="FFFFFF"/>
                  </a:solidFill>
                  <a:prstDash val="solid"/>
                </a:ln>
                <a:solidFill>
                  <a:srgbClr val="FFFFFF"/>
                </a:solidFill>
                <a:effectLst>
                  <a:outerShdw blurRad="63500" dir="3600000" algn="tl" rotWithShape="0">
                    <a:srgbClr val="000000">
                      <a:alpha val="70000"/>
                    </a:srgbClr>
                  </a:outerShdw>
                  <a:reflection blurRad="6350" stA="55000" endA="300" endPos="45500" dir="5400000" sy="-100000" algn="bl" rotWithShape="0"/>
                </a:effectLst>
                <a:latin typeface="+mn-lt"/>
                <a:ea typeface="+mn-ea"/>
                <a:cs typeface="+mn-cs"/>
              </a:rPr>
              <a:t> Cover Rapor dll.</a:t>
            </a:r>
            <a:endParaRPr lang="en-US" sz="2200" b="0" cap="none" spc="0">
              <a:ln w="18415" cmpd="sng">
                <a:solidFill>
                  <a:srgbClr val="FFFFFF"/>
                </a:solidFill>
                <a:prstDash val="solid"/>
              </a:ln>
              <a:solidFill>
                <a:srgbClr val="FFFFFF"/>
              </a:solidFill>
              <a:effectLst>
                <a:outerShdw blurRad="63500" dir="3600000" algn="tl" rotWithShape="0">
                  <a:srgbClr val="000000">
                    <a:alpha val="70000"/>
                  </a:srgbClr>
                </a:outerShdw>
                <a:reflection blurRad="6350" stA="55000" endA="300" endPos="45500" dir="5400000" sy="-100000" algn="bl" rotWithShape="0"/>
              </a:effectLst>
            </a:endParaRPr>
          </a:p>
        </xdr:txBody>
      </xdr:sp>
    </xdr:grpSp>
    <xdr:clientData/>
  </xdr:twoCellAnchor>
  <xdr:twoCellAnchor>
    <xdr:from>
      <xdr:col>6</xdr:col>
      <xdr:colOff>76200</xdr:colOff>
      <xdr:row>20</xdr:row>
      <xdr:rowOff>342900</xdr:rowOff>
    </xdr:from>
    <xdr:to>
      <xdr:col>10</xdr:col>
      <xdr:colOff>28575</xdr:colOff>
      <xdr:row>21</xdr:row>
      <xdr:rowOff>19050</xdr:rowOff>
    </xdr:to>
    <xdr:grpSp>
      <xdr:nvGrpSpPr>
        <xdr:cNvPr id="30" name="Group 29">
          <a:hlinkClick xmlns:r="http://schemas.openxmlformats.org/officeDocument/2006/relationships" r:id="rId7"/>
        </xdr:cNvPr>
        <xdr:cNvGrpSpPr/>
      </xdr:nvGrpSpPr>
      <xdr:grpSpPr>
        <a:xfrm>
          <a:off x="3771900" y="3629025"/>
          <a:ext cx="2543175" cy="438150"/>
          <a:chOff x="205739" y="64799"/>
          <a:chExt cx="3261719" cy="590400"/>
        </a:xfrm>
        <a:scene3d>
          <a:camera prst="obliqueTopRight"/>
          <a:lightRig rig="flat" dir="t"/>
        </a:scene3d>
      </xdr:grpSpPr>
      <xdr:sp macro="" textlink="">
        <xdr:nvSpPr>
          <xdr:cNvPr id="31" name="Rounded Rectangle 30">
            <a:hlinkClick xmlns:r="http://schemas.openxmlformats.org/officeDocument/2006/relationships" r:id="rId8"/>
          </xdr:cNvPr>
          <xdr:cNvSpPr/>
        </xdr:nvSpPr>
        <xdr:spPr>
          <a:xfrm>
            <a:off x="205739" y="64799"/>
            <a:ext cx="3261719" cy="590400"/>
          </a:xfrm>
          <a:prstGeom prst="roundRect">
            <a:avLst/>
          </a:prstGeom>
          <a:ln w="6350">
            <a:solidFill>
              <a:schemeClr val="tx1"/>
            </a:solidFill>
          </a:ln>
        </xdr:spPr>
        <xdr:style>
          <a:lnRef idx="0">
            <a:schemeClr val="accent4"/>
          </a:lnRef>
          <a:fillRef idx="3">
            <a:schemeClr val="accent4"/>
          </a:fillRef>
          <a:effectRef idx="3">
            <a:schemeClr val="accent4"/>
          </a:effectRef>
          <a:fontRef idx="minor">
            <a:schemeClr val="lt1"/>
          </a:fontRef>
        </xdr:style>
      </xdr:sp>
      <xdr:sp macro="" textlink="">
        <xdr:nvSpPr>
          <xdr:cNvPr id="32" name="Rounded Rectangle 5">
            <a:hlinkClick xmlns:r="http://schemas.openxmlformats.org/officeDocument/2006/relationships" r:id="rId9"/>
          </xdr:cNvPr>
          <xdr:cNvSpPr/>
        </xdr:nvSpPr>
        <xdr:spPr>
          <a:xfrm>
            <a:off x="234560" y="93620"/>
            <a:ext cx="3204077" cy="532758"/>
          </a:xfrm>
          <a:prstGeom prst="rect">
            <a:avLst/>
          </a:prstGeom>
          <a:ln w="6350">
            <a:solidFill>
              <a:schemeClr val="tx1"/>
            </a:solidFill>
          </a:ln>
        </xdr:spPr>
        <xdr:style>
          <a:lnRef idx="0">
            <a:schemeClr val="accent4"/>
          </a:lnRef>
          <a:fillRef idx="3">
            <a:schemeClr val="accent4"/>
          </a:fillRef>
          <a:effectRef idx="3">
            <a:schemeClr val="accent4"/>
          </a:effectRef>
          <a:fontRef idx="minor">
            <a:schemeClr val="lt1"/>
          </a:fontRef>
        </xdr:style>
        <xdr:txBody>
          <a:bodyPr spcFirstLastPara="0" vert="horz" wrap="square" lIns="108871" tIns="0" rIns="108871" bIns="0" numCol="1" spcCol="1270" anchor="ctr" anchorCtr="0">
            <a:noAutofit/>
          </a:bodyPr>
          <a:lstStyle/>
          <a:p>
            <a:pPr algn="ctr"/>
            <a:r>
              <a:rPr lang="en-US" sz="2200" b="0" cap="none" spc="0">
                <a:ln w="18415" cmpd="sng">
                  <a:solidFill>
                    <a:srgbClr val="FFFFFF"/>
                  </a:solidFill>
                  <a:prstDash val="solid"/>
                </a:ln>
                <a:solidFill>
                  <a:srgbClr val="FFFFFF"/>
                </a:solidFill>
                <a:effectLst>
                  <a:outerShdw blurRad="63500" dir="3600000" algn="tl" rotWithShape="0">
                    <a:srgbClr val="000000">
                      <a:alpha val="70000"/>
                    </a:srgbClr>
                  </a:outerShdw>
                  <a:reflection blurRad="6350" stA="55000" endA="300" endPos="45500" dir="5400000" sy="-100000" algn="bl" rotWithShape="0"/>
                </a:effectLst>
                <a:latin typeface="+mn-lt"/>
                <a:ea typeface="+mn-ea"/>
                <a:cs typeface="+mn-cs"/>
              </a:rPr>
              <a:t>Cetak Kartu</a:t>
            </a:r>
            <a:r>
              <a:rPr lang="en-US" sz="2200" b="0" cap="none" spc="0" baseline="0">
                <a:ln w="18415" cmpd="sng">
                  <a:solidFill>
                    <a:srgbClr val="FFFFFF"/>
                  </a:solidFill>
                  <a:prstDash val="solid"/>
                </a:ln>
                <a:solidFill>
                  <a:srgbClr val="FFFFFF"/>
                </a:solidFill>
                <a:effectLst>
                  <a:outerShdw blurRad="63500" dir="3600000" algn="tl" rotWithShape="0">
                    <a:srgbClr val="000000">
                      <a:alpha val="70000"/>
                    </a:srgbClr>
                  </a:outerShdw>
                  <a:reflection blurRad="6350" stA="55000" endA="300" endPos="45500" dir="5400000" sy="-100000" algn="bl" rotWithShape="0"/>
                </a:effectLst>
                <a:latin typeface="+mn-lt"/>
                <a:ea typeface="+mn-ea"/>
                <a:cs typeface="+mn-cs"/>
              </a:rPr>
              <a:t> Pelajar</a:t>
            </a:r>
            <a:endParaRPr lang="en-US" sz="2200" b="0" cap="none" spc="0">
              <a:ln w="18415" cmpd="sng">
                <a:solidFill>
                  <a:srgbClr val="FFFFFF"/>
                </a:solidFill>
                <a:prstDash val="solid"/>
              </a:ln>
              <a:solidFill>
                <a:srgbClr val="FFFFFF"/>
              </a:solidFill>
              <a:effectLst>
                <a:outerShdw blurRad="63500" dir="3600000" algn="tl" rotWithShape="0">
                  <a:srgbClr val="000000">
                    <a:alpha val="70000"/>
                  </a:srgbClr>
                </a:outerShdw>
                <a:reflection blurRad="6350" stA="55000" endA="300" endPos="45500" dir="5400000" sy="-100000" algn="bl" rotWithShape="0"/>
              </a:effectLst>
            </a:endParaRPr>
          </a:p>
        </xdr:txBody>
      </xdr:sp>
    </xdr:grpSp>
    <xdr:clientData/>
  </xdr:twoCellAnchor>
  <xdr:twoCellAnchor>
    <xdr:from>
      <xdr:col>2</xdr:col>
      <xdr:colOff>552450</xdr:colOff>
      <xdr:row>21</xdr:row>
      <xdr:rowOff>152400</xdr:rowOff>
    </xdr:from>
    <xdr:to>
      <xdr:col>9</xdr:col>
      <xdr:colOff>28575</xdr:colOff>
      <xdr:row>21</xdr:row>
      <xdr:rowOff>609600</xdr:rowOff>
    </xdr:to>
    <xdr:grpSp>
      <xdr:nvGrpSpPr>
        <xdr:cNvPr id="33" name="Group 32"/>
        <xdr:cNvGrpSpPr/>
      </xdr:nvGrpSpPr>
      <xdr:grpSpPr>
        <a:xfrm>
          <a:off x="2124075" y="4200525"/>
          <a:ext cx="3114675" cy="457200"/>
          <a:chOff x="205739" y="64799"/>
          <a:chExt cx="3261719" cy="590400"/>
        </a:xfrm>
        <a:scene3d>
          <a:camera prst="obliqueTopRight"/>
          <a:lightRig rig="flat" dir="t"/>
        </a:scene3d>
      </xdr:grpSpPr>
      <xdr:sp macro="" textlink="">
        <xdr:nvSpPr>
          <xdr:cNvPr id="34" name="Rounded Rectangle 33"/>
          <xdr:cNvSpPr/>
        </xdr:nvSpPr>
        <xdr:spPr>
          <a:xfrm>
            <a:off x="205739" y="64799"/>
            <a:ext cx="3261719" cy="590400"/>
          </a:xfrm>
          <a:prstGeom prst="roundRect">
            <a:avLst/>
          </a:prstGeom>
          <a:ln w="9525">
            <a:solidFill>
              <a:sysClr val="windowText" lastClr="000000"/>
            </a:solidFill>
          </a:ln>
        </xdr:spPr>
        <xdr:style>
          <a:lnRef idx="0">
            <a:schemeClr val="accent3"/>
          </a:lnRef>
          <a:fillRef idx="3">
            <a:schemeClr val="accent3"/>
          </a:fillRef>
          <a:effectRef idx="3">
            <a:schemeClr val="accent3"/>
          </a:effectRef>
          <a:fontRef idx="minor">
            <a:schemeClr val="lt1"/>
          </a:fontRef>
        </xdr:style>
      </xdr:sp>
      <xdr:sp macro="" textlink="">
        <xdr:nvSpPr>
          <xdr:cNvPr id="35" name="Rounded Rectangle 5">
            <a:hlinkClick xmlns:r="http://schemas.openxmlformats.org/officeDocument/2006/relationships" r:id="rId10"/>
          </xdr:cNvPr>
          <xdr:cNvSpPr/>
        </xdr:nvSpPr>
        <xdr:spPr>
          <a:xfrm>
            <a:off x="234560" y="93620"/>
            <a:ext cx="3204077" cy="532758"/>
          </a:xfrm>
          <a:prstGeom prst="rect">
            <a:avLst/>
          </a:prstGeom>
          <a:ln w="9525">
            <a:solidFill>
              <a:sysClr val="windowText" lastClr="000000"/>
            </a:solidFill>
          </a:ln>
        </xdr:spPr>
        <xdr:style>
          <a:lnRef idx="0">
            <a:schemeClr val="accent3"/>
          </a:lnRef>
          <a:fillRef idx="3">
            <a:schemeClr val="accent3"/>
          </a:fillRef>
          <a:effectRef idx="3">
            <a:schemeClr val="accent3"/>
          </a:effectRef>
          <a:fontRef idx="minor">
            <a:schemeClr val="lt1"/>
          </a:fontRef>
        </xdr:style>
        <xdr:txBody>
          <a:bodyPr spcFirstLastPara="0" vert="horz" wrap="square" lIns="108871" tIns="0" rIns="108871" bIns="0" numCol="1" spcCol="1270" anchor="ctr" anchorCtr="0">
            <a:noAutofit/>
          </a:bodyPr>
          <a:lstStyle/>
          <a:p>
            <a:pPr algn="ctr"/>
            <a:r>
              <a:rPr lang="en-US" sz="2200" b="0" cap="none" spc="0">
                <a:ln w="18415" cmpd="sng">
                  <a:solidFill>
                    <a:srgbClr val="FFFFFF"/>
                  </a:solidFill>
                  <a:prstDash val="solid"/>
                </a:ln>
                <a:solidFill>
                  <a:srgbClr val="FFFFFF"/>
                </a:solidFill>
                <a:effectLst>
                  <a:outerShdw blurRad="63500" dir="3600000" algn="tl" rotWithShape="0">
                    <a:srgbClr val="000000">
                      <a:alpha val="70000"/>
                    </a:srgbClr>
                  </a:outerShdw>
                  <a:reflection blurRad="6350" stA="55000" endA="300" endPos="45500" dir="5400000" sy="-100000" algn="bl" rotWithShape="0"/>
                </a:effectLst>
                <a:latin typeface="+mn-lt"/>
                <a:ea typeface="+mn-ea"/>
                <a:cs typeface="+mn-cs"/>
              </a:rPr>
              <a:t>Buku</a:t>
            </a:r>
            <a:r>
              <a:rPr lang="en-US" sz="2200" b="0" cap="none" spc="0" baseline="0">
                <a:ln w="18415" cmpd="sng">
                  <a:solidFill>
                    <a:srgbClr val="FFFFFF"/>
                  </a:solidFill>
                  <a:prstDash val="solid"/>
                </a:ln>
                <a:solidFill>
                  <a:srgbClr val="FFFFFF"/>
                </a:solidFill>
                <a:effectLst>
                  <a:outerShdw blurRad="63500" dir="3600000" algn="tl" rotWithShape="0">
                    <a:srgbClr val="000000">
                      <a:alpha val="70000"/>
                    </a:srgbClr>
                  </a:outerShdw>
                  <a:reflection blurRad="6350" stA="55000" endA="300" endPos="45500" dir="5400000" sy="-100000" algn="bl" rotWithShape="0"/>
                </a:effectLst>
                <a:latin typeface="+mn-lt"/>
                <a:ea typeface="+mn-ea"/>
                <a:cs typeface="+mn-cs"/>
              </a:rPr>
              <a:t> Induk Siswa</a:t>
            </a:r>
            <a:endParaRPr lang="en-US" sz="2200" b="0" cap="none" spc="0">
              <a:ln w="18415" cmpd="sng">
                <a:solidFill>
                  <a:srgbClr val="FFFFFF"/>
                </a:solidFill>
                <a:prstDash val="solid"/>
              </a:ln>
              <a:solidFill>
                <a:srgbClr val="FFFFFF"/>
              </a:solidFill>
              <a:effectLst>
                <a:outerShdw blurRad="63500" dir="3600000" algn="tl" rotWithShape="0">
                  <a:srgbClr val="000000">
                    <a:alpha val="70000"/>
                  </a:srgbClr>
                </a:outerShdw>
                <a:reflection blurRad="6350" stA="55000" endA="300" endPos="45500" dir="5400000" sy="-100000" algn="bl" rotWithShape="0"/>
              </a:effectLst>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19050</xdr:colOff>
      <xdr:row>0</xdr:row>
      <xdr:rowOff>19051</xdr:rowOff>
    </xdr:from>
    <xdr:to>
      <xdr:col>0</xdr:col>
      <xdr:colOff>857250</xdr:colOff>
      <xdr:row>4</xdr:row>
      <xdr:rowOff>9525</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9050" y="19051"/>
          <a:ext cx="838200" cy="809624"/>
        </a:xfrm>
        <a:prstGeom prst="rect">
          <a:avLst/>
        </a:prstGeom>
      </xdr:spPr>
    </xdr:pic>
    <xdr:clientData/>
  </xdr:twoCellAnchor>
  <xdr:twoCellAnchor>
    <xdr:from>
      <xdr:col>0</xdr:col>
      <xdr:colOff>85726</xdr:colOff>
      <xdr:row>4</xdr:row>
      <xdr:rowOff>28573</xdr:rowOff>
    </xdr:from>
    <xdr:to>
      <xdr:col>0</xdr:col>
      <xdr:colOff>866775</xdr:colOff>
      <xdr:row>5</xdr:row>
      <xdr:rowOff>157451</xdr:rowOff>
    </xdr:to>
    <xdr:sp macro="" textlink="">
      <xdr:nvSpPr>
        <xdr:cNvPr id="3" name="Round Diagonal Corner Rectangle 2">
          <a:hlinkClick xmlns:r="http://schemas.openxmlformats.org/officeDocument/2006/relationships" r:id="rId3"/>
        </xdr:cNvPr>
        <xdr:cNvSpPr/>
      </xdr:nvSpPr>
      <xdr:spPr>
        <a:xfrm>
          <a:off x="85726" y="847723"/>
          <a:ext cx="7810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Admin</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twoCellAnchor editAs="oneCell">
    <xdr:from>
      <xdr:col>0</xdr:col>
      <xdr:colOff>0</xdr:colOff>
      <xdr:row>137</xdr:row>
      <xdr:rowOff>190499</xdr:rowOff>
    </xdr:from>
    <xdr:to>
      <xdr:col>1</xdr:col>
      <xdr:colOff>238125</xdr:colOff>
      <xdr:row>137</xdr:row>
      <xdr:rowOff>190499</xdr:rowOff>
    </xdr:to>
    <xdr:pic>
      <xdr:nvPicPr>
        <xdr:cNvPr id="4" name="Picture 3" descr="printer.png"/>
        <xdr:cNvPicPr>
          <a:picLocks noChangeAspect="1"/>
        </xdr:cNvPicPr>
      </xdr:nvPicPr>
      <xdr:blipFill>
        <a:blip xmlns:r="http://schemas.openxmlformats.org/officeDocument/2006/relationships" r:embed="rId4"/>
        <a:stretch>
          <a:fillRect/>
        </a:stretch>
      </xdr:blipFill>
      <xdr:spPr>
        <a:xfrm>
          <a:off x="0" y="36328349"/>
          <a:ext cx="1219200" cy="0"/>
        </a:xfrm>
        <a:prstGeom prst="rect">
          <a:avLst/>
        </a:prstGeom>
      </xdr:spPr>
    </xdr:pic>
    <xdr:clientData/>
  </xdr:twoCellAnchor>
  <xdr:twoCellAnchor editAs="oneCell">
    <xdr:from>
      <xdr:col>30</xdr:col>
      <xdr:colOff>0</xdr:colOff>
      <xdr:row>19</xdr:row>
      <xdr:rowOff>0</xdr:rowOff>
    </xdr:from>
    <xdr:to>
      <xdr:col>16384</xdr:col>
      <xdr:colOff>605678</xdr:colOff>
      <xdr:row>22</xdr:row>
      <xdr:rowOff>8404</xdr:rowOff>
    </xdr:to>
    <xdr:pic>
      <xdr:nvPicPr>
        <xdr:cNvPr id="11" name="Picture 10" descr="Untitled-1.png">
          <a:hlinkClick xmlns:r="http://schemas.openxmlformats.org/officeDocument/2006/relationships" r:id="rId5"/>
        </xdr:cNvPr>
        <xdr:cNvPicPr>
          <a:picLocks noChangeAspect="1"/>
        </xdr:cNvPicPr>
      </xdr:nvPicPr>
      <xdr:blipFill>
        <a:blip xmlns:r="http://schemas.openxmlformats.org/officeDocument/2006/relationships" r:embed="rId6"/>
        <a:stretch>
          <a:fillRect/>
        </a:stretch>
      </xdr:blipFill>
      <xdr:spPr>
        <a:xfrm>
          <a:off x="8305800" y="6162675"/>
          <a:ext cx="710453" cy="713254"/>
        </a:xfrm>
        <a:prstGeom prst="rect">
          <a:avLst/>
        </a:prstGeom>
      </xdr:spPr>
    </xdr:pic>
    <xdr:clientData/>
  </xdr:twoCellAnchor>
  <xdr:twoCellAnchor editAs="oneCell">
    <xdr:from>
      <xdr:col>30</xdr:col>
      <xdr:colOff>0</xdr:colOff>
      <xdr:row>43</xdr:row>
      <xdr:rowOff>0</xdr:rowOff>
    </xdr:from>
    <xdr:to>
      <xdr:col>16384</xdr:col>
      <xdr:colOff>605678</xdr:colOff>
      <xdr:row>45</xdr:row>
      <xdr:rowOff>208429</xdr:rowOff>
    </xdr:to>
    <xdr:pic>
      <xdr:nvPicPr>
        <xdr:cNvPr id="12" name="Picture 11" descr="Untitled-1.png">
          <a:hlinkClick xmlns:r="http://schemas.openxmlformats.org/officeDocument/2006/relationships" r:id="rId7"/>
        </xdr:cNvPr>
        <xdr:cNvPicPr>
          <a:picLocks noChangeAspect="1"/>
        </xdr:cNvPicPr>
      </xdr:nvPicPr>
      <xdr:blipFill>
        <a:blip xmlns:r="http://schemas.openxmlformats.org/officeDocument/2006/relationships" r:embed="rId6"/>
        <a:stretch>
          <a:fillRect/>
        </a:stretch>
      </xdr:blipFill>
      <xdr:spPr>
        <a:xfrm>
          <a:off x="8305800" y="11134725"/>
          <a:ext cx="710453" cy="713254"/>
        </a:xfrm>
        <a:prstGeom prst="rect">
          <a:avLst/>
        </a:prstGeom>
      </xdr:spPr>
    </xdr:pic>
    <xdr:clientData/>
  </xdr:twoCellAnchor>
  <xdr:twoCellAnchor editAs="oneCell">
    <xdr:from>
      <xdr:col>30</xdr:col>
      <xdr:colOff>0</xdr:colOff>
      <xdr:row>67</xdr:row>
      <xdr:rowOff>0</xdr:rowOff>
    </xdr:from>
    <xdr:to>
      <xdr:col>16384</xdr:col>
      <xdr:colOff>605678</xdr:colOff>
      <xdr:row>70</xdr:row>
      <xdr:rowOff>141754</xdr:rowOff>
    </xdr:to>
    <xdr:pic>
      <xdr:nvPicPr>
        <xdr:cNvPr id="13" name="Picture 12" descr="Untitled-1.png">
          <a:hlinkClick xmlns:r="http://schemas.openxmlformats.org/officeDocument/2006/relationships" r:id="rId8"/>
        </xdr:cNvPr>
        <xdr:cNvPicPr>
          <a:picLocks noChangeAspect="1"/>
        </xdr:cNvPicPr>
      </xdr:nvPicPr>
      <xdr:blipFill>
        <a:blip xmlns:r="http://schemas.openxmlformats.org/officeDocument/2006/relationships" r:embed="rId6"/>
        <a:stretch>
          <a:fillRect/>
        </a:stretch>
      </xdr:blipFill>
      <xdr:spPr>
        <a:xfrm>
          <a:off x="8305800" y="20888325"/>
          <a:ext cx="710453" cy="713254"/>
        </a:xfrm>
        <a:prstGeom prst="rect">
          <a:avLst/>
        </a:prstGeom>
      </xdr:spPr>
    </xdr:pic>
    <xdr:clientData/>
  </xdr:twoCellAnchor>
  <xdr:twoCellAnchor editAs="oneCell">
    <xdr:from>
      <xdr:col>30</xdr:col>
      <xdr:colOff>0</xdr:colOff>
      <xdr:row>107</xdr:row>
      <xdr:rowOff>0</xdr:rowOff>
    </xdr:from>
    <xdr:to>
      <xdr:col>16384</xdr:col>
      <xdr:colOff>605678</xdr:colOff>
      <xdr:row>110</xdr:row>
      <xdr:rowOff>84604</xdr:rowOff>
    </xdr:to>
    <xdr:pic>
      <xdr:nvPicPr>
        <xdr:cNvPr id="14" name="Picture 13" descr="Untitled-1.png">
          <a:hlinkClick xmlns:r="http://schemas.openxmlformats.org/officeDocument/2006/relationships" r:id="rId9"/>
        </xdr:cNvPr>
        <xdr:cNvPicPr>
          <a:picLocks noChangeAspect="1"/>
        </xdr:cNvPicPr>
      </xdr:nvPicPr>
      <xdr:blipFill>
        <a:blip xmlns:r="http://schemas.openxmlformats.org/officeDocument/2006/relationships" r:embed="rId6"/>
        <a:stretch>
          <a:fillRect/>
        </a:stretch>
      </xdr:blipFill>
      <xdr:spPr>
        <a:xfrm>
          <a:off x="8305800" y="30613350"/>
          <a:ext cx="710453" cy="713254"/>
        </a:xfrm>
        <a:prstGeom prst="rect">
          <a:avLst/>
        </a:prstGeom>
      </xdr:spPr>
    </xdr:pic>
    <xdr:clientData/>
  </xdr:twoCellAnchor>
  <xdr:twoCellAnchor editAs="oneCell">
    <xdr:from>
      <xdr:col>30</xdr:col>
      <xdr:colOff>0</xdr:colOff>
      <xdr:row>133</xdr:row>
      <xdr:rowOff>0</xdr:rowOff>
    </xdr:from>
    <xdr:to>
      <xdr:col>16384</xdr:col>
      <xdr:colOff>605678</xdr:colOff>
      <xdr:row>136</xdr:row>
      <xdr:rowOff>141754</xdr:rowOff>
    </xdr:to>
    <xdr:pic>
      <xdr:nvPicPr>
        <xdr:cNvPr id="15" name="Picture 14" descr="Untitled-1.png">
          <a:hlinkClick xmlns:r="http://schemas.openxmlformats.org/officeDocument/2006/relationships" r:id="rId10"/>
        </xdr:cNvPr>
        <xdr:cNvPicPr>
          <a:picLocks noChangeAspect="1"/>
        </xdr:cNvPicPr>
      </xdr:nvPicPr>
      <xdr:blipFill>
        <a:blip xmlns:r="http://schemas.openxmlformats.org/officeDocument/2006/relationships" r:embed="rId6"/>
        <a:stretch>
          <a:fillRect/>
        </a:stretch>
      </xdr:blipFill>
      <xdr:spPr>
        <a:xfrm>
          <a:off x="8305800" y="35566350"/>
          <a:ext cx="710453" cy="713254"/>
        </a:xfrm>
        <a:prstGeom prst="rect">
          <a:avLst/>
        </a:prstGeom>
      </xdr:spPr>
    </xdr:pic>
    <xdr:clientData/>
  </xdr:twoCellAnchor>
  <xdr:twoCellAnchor>
    <xdr:from>
      <xdr:col>1</xdr:col>
      <xdr:colOff>276225</xdr:colOff>
      <xdr:row>16</xdr:row>
      <xdr:rowOff>66675</xdr:rowOff>
    </xdr:from>
    <xdr:to>
      <xdr:col>22</xdr:col>
      <xdr:colOff>123825</xdr:colOff>
      <xdr:row>30</xdr:row>
      <xdr:rowOff>190500</xdr:rowOff>
    </xdr:to>
    <xdr:grpSp>
      <xdr:nvGrpSpPr>
        <xdr:cNvPr id="45" name="Group 44"/>
        <xdr:cNvGrpSpPr/>
      </xdr:nvGrpSpPr>
      <xdr:grpSpPr>
        <a:xfrm>
          <a:off x="1257300" y="3657600"/>
          <a:ext cx="4486275" cy="3752850"/>
          <a:chOff x="1257300" y="3657600"/>
          <a:chExt cx="4486275" cy="3752850"/>
        </a:xfrm>
      </xdr:grpSpPr>
      <xdr:pic>
        <xdr:nvPicPr>
          <xdr:cNvPr id="51206" name="Picture 6"/>
          <xdr:cNvPicPr>
            <a:picLocks noChangeAspect="1" noChangeArrowheads="1"/>
          </xdr:cNvPicPr>
        </xdr:nvPicPr>
        <xdr:blipFill>
          <a:blip xmlns:r="http://schemas.openxmlformats.org/officeDocument/2006/relationships" r:embed="rId11"/>
          <a:srcRect l="18611" t="130" r="20556" b="48568"/>
          <a:stretch>
            <a:fillRect/>
          </a:stretch>
        </xdr:blipFill>
        <xdr:spPr bwMode="auto">
          <a:xfrm>
            <a:off x="1514475" y="3657600"/>
            <a:ext cx="4171950" cy="3752850"/>
          </a:xfrm>
          <a:prstGeom prst="rect">
            <a:avLst/>
          </a:prstGeom>
          <a:noFill/>
          <a:ln w="1">
            <a:noFill/>
            <a:miter lim="800000"/>
            <a:headEnd/>
            <a:tailEnd type="none" w="med" len="med"/>
          </a:ln>
          <a:effectLst/>
        </xdr:spPr>
      </xdr:pic>
      <xdr:sp macro="" textlink="">
        <xdr:nvSpPr>
          <xdr:cNvPr id="20" name="Oval 19"/>
          <xdr:cNvSpPr/>
        </xdr:nvSpPr>
        <xdr:spPr>
          <a:xfrm>
            <a:off x="4638675" y="6838950"/>
            <a:ext cx="1104900" cy="571500"/>
          </a:xfrm>
          <a:prstGeom prst="ellipse">
            <a:avLst/>
          </a:prstGeom>
          <a:noFill/>
          <a:ln>
            <a:solidFill>
              <a:srgbClr val="FF0000"/>
            </a:solidFill>
          </a:ln>
        </xdr:spPr>
        <xdr:style>
          <a:lnRef idx="2">
            <a:schemeClr val="accent6"/>
          </a:lnRef>
          <a:fillRef idx="1">
            <a:schemeClr val="lt1"/>
          </a:fillRef>
          <a:effectRef idx="0">
            <a:schemeClr val="accent6"/>
          </a:effectRef>
          <a:fontRef idx="minor">
            <a:schemeClr val="dk1"/>
          </a:fontRef>
        </xdr:style>
        <xdr:txBody>
          <a:bodyPr rtlCol="0" anchor="ctr"/>
          <a:lstStyle/>
          <a:p>
            <a:pPr algn="ctr"/>
            <a:endParaRPr lang="en-US" sz="1100"/>
          </a:p>
        </xdr:txBody>
      </xdr:sp>
      <xdr:sp macro="" textlink="">
        <xdr:nvSpPr>
          <xdr:cNvPr id="22" name="Oval 21"/>
          <xdr:cNvSpPr/>
        </xdr:nvSpPr>
        <xdr:spPr>
          <a:xfrm>
            <a:off x="1257300" y="5724525"/>
            <a:ext cx="1104900" cy="571500"/>
          </a:xfrm>
          <a:prstGeom prst="ellipse">
            <a:avLst/>
          </a:prstGeom>
          <a:noFill/>
          <a:ln>
            <a:solidFill>
              <a:srgbClr val="FF0000"/>
            </a:solidFill>
          </a:ln>
        </xdr:spPr>
        <xdr:style>
          <a:lnRef idx="2">
            <a:schemeClr val="accent6"/>
          </a:lnRef>
          <a:fillRef idx="1">
            <a:schemeClr val="lt1"/>
          </a:fillRef>
          <a:effectRef idx="0">
            <a:schemeClr val="accent6"/>
          </a:effectRef>
          <a:fontRef idx="minor">
            <a:schemeClr val="dk1"/>
          </a:fontRef>
        </xdr:style>
        <xdr:txBody>
          <a:bodyPr rtlCol="0" anchor="ctr"/>
          <a:lstStyle/>
          <a:p>
            <a:pPr algn="ctr"/>
            <a:endParaRPr lang="en-US" sz="1100"/>
          </a:p>
        </xdr:txBody>
      </xdr:sp>
    </xdr:grpSp>
    <xdr:clientData/>
  </xdr:twoCellAnchor>
  <xdr:twoCellAnchor>
    <xdr:from>
      <xdr:col>10</xdr:col>
      <xdr:colOff>108825</xdr:colOff>
      <xdr:row>11</xdr:row>
      <xdr:rowOff>133350</xdr:rowOff>
    </xdr:from>
    <xdr:to>
      <xdr:col>12</xdr:col>
      <xdr:colOff>157875</xdr:colOff>
      <xdr:row>13</xdr:row>
      <xdr:rowOff>234075</xdr:rowOff>
    </xdr:to>
    <xdr:sp macro="" textlink="">
      <xdr:nvSpPr>
        <xdr:cNvPr id="27" name="Right Arrow 26"/>
        <xdr:cNvSpPr/>
      </xdr:nvSpPr>
      <xdr:spPr>
        <a:xfrm rot="5400000">
          <a:off x="2969062" y="2426138"/>
          <a:ext cx="500775" cy="315750"/>
        </a:xfrm>
        <a:prstGeom prst="rightArrow">
          <a:avLst/>
        </a:prstGeom>
        <a:solidFill>
          <a:srgbClr val="FF0000"/>
        </a:solidFill>
      </xdr:spPr>
      <xdr:style>
        <a:lnRef idx="0">
          <a:schemeClr val="lt1">
            <a:hueOff val="0"/>
            <a:satOff val="0"/>
            <a:lumOff val="0"/>
            <a:alphaOff val="0"/>
          </a:schemeClr>
        </a:lnRef>
        <a:fillRef idx="3">
          <a:schemeClr val="accent1">
            <a:hueOff val="0"/>
            <a:satOff val="0"/>
            <a:lumOff val="0"/>
            <a:alphaOff val="0"/>
          </a:schemeClr>
        </a:fillRef>
        <a:effectRef idx="2">
          <a:schemeClr val="accent1">
            <a:hueOff val="0"/>
            <a:satOff val="0"/>
            <a:lumOff val="0"/>
            <a:alphaOff val="0"/>
          </a:schemeClr>
        </a:effectRef>
        <a:fontRef idx="minor">
          <a:schemeClr val="lt1"/>
        </a:fontRef>
      </xdr:style>
    </xdr:sp>
    <xdr:clientData/>
  </xdr:twoCellAnchor>
  <xdr:twoCellAnchor>
    <xdr:from>
      <xdr:col>3</xdr:col>
      <xdr:colOff>38100</xdr:colOff>
      <xdr:row>10</xdr:row>
      <xdr:rowOff>171450</xdr:rowOff>
    </xdr:from>
    <xdr:to>
      <xdr:col>17</xdr:col>
      <xdr:colOff>95250</xdr:colOff>
      <xdr:row>14</xdr:row>
      <xdr:rowOff>98318</xdr:rowOff>
    </xdr:to>
    <xdr:grpSp>
      <xdr:nvGrpSpPr>
        <xdr:cNvPr id="46" name="Group 45"/>
        <xdr:cNvGrpSpPr/>
      </xdr:nvGrpSpPr>
      <xdr:grpSpPr>
        <a:xfrm>
          <a:off x="1524000" y="2171700"/>
          <a:ext cx="2886075" cy="1117493"/>
          <a:chOff x="1524000" y="2171700"/>
          <a:chExt cx="2886075" cy="1117493"/>
        </a:xfrm>
      </xdr:grpSpPr>
      <xdr:pic>
        <xdr:nvPicPr>
          <xdr:cNvPr id="28" name="Picture 4"/>
          <xdr:cNvPicPr>
            <a:picLocks noChangeAspect="1" noChangeArrowheads="1"/>
          </xdr:cNvPicPr>
        </xdr:nvPicPr>
        <xdr:blipFill>
          <a:blip xmlns:r="http://schemas.openxmlformats.org/officeDocument/2006/relationships" r:embed="rId12"/>
          <a:srcRect t="48969" r="67194" b="38542"/>
          <a:stretch>
            <a:fillRect/>
          </a:stretch>
        </xdr:blipFill>
        <xdr:spPr bwMode="auto">
          <a:xfrm>
            <a:off x="1524000" y="2171700"/>
            <a:ext cx="2886075" cy="1117493"/>
          </a:xfrm>
          <a:prstGeom prst="rect">
            <a:avLst/>
          </a:prstGeom>
          <a:noFill/>
          <a:ln w="1">
            <a:noFill/>
            <a:miter lim="800000"/>
            <a:headEnd/>
            <a:tailEnd type="none" w="med" len="med"/>
          </a:ln>
          <a:effectLst/>
        </xdr:spPr>
      </xdr:pic>
      <xdr:sp macro="" textlink="">
        <xdr:nvSpPr>
          <xdr:cNvPr id="29" name="Right Arrow 28"/>
          <xdr:cNvSpPr/>
        </xdr:nvSpPr>
        <xdr:spPr>
          <a:xfrm rot="5400000">
            <a:off x="3130987" y="2483289"/>
            <a:ext cx="500775" cy="315750"/>
          </a:xfrm>
          <a:prstGeom prst="rightArrow">
            <a:avLst/>
          </a:prstGeom>
          <a:solidFill>
            <a:srgbClr val="FF0000"/>
          </a:solidFill>
        </xdr:spPr>
        <xdr:style>
          <a:lnRef idx="0">
            <a:schemeClr val="lt1">
              <a:hueOff val="0"/>
              <a:satOff val="0"/>
              <a:lumOff val="0"/>
              <a:alphaOff val="0"/>
            </a:schemeClr>
          </a:lnRef>
          <a:fillRef idx="3">
            <a:schemeClr val="accent1">
              <a:hueOff val="0"/>
              <a:satOff val="0"/>
              <a:lumOff val="0"/>
              <a:alphaOff val="0"/>
            </a:schemeClr>
          </a:fillRef>
          <a:effectRef idx="2">
            <a:schemeClr val="accent1">
              <a:hueOff val="0"/>
              <a:satOff val="0"/>
              <a:lumOff val="0"/>
              <a:alphaOff val="0"/>
            </a:schemeClr>
          </a:effectRef>
          <a:fontRef idx="minor">
            <a:schemeClr val="lt1"/>
          </a:fontRef>
        </xdr:style>
      </xdr:sp>
    </xdr:grpSp>
    <xdr:clientData/>
  </xdr:twoCellAnchor>
  <xdr:twoCellAnchor>
    <xdr:from>
      <xdr:col>3</xdr:col>
      <xdr:colOff>28575</xdr:colOff>
      <xdr:row>5</xdr:row>
      <xdr:rowOff>43092</xdr:rowOff>
    </xdr:from>
    <xdr:to>
      <xdr:col>11</xdr:col>
      <xdr:colOff>76200</xdr:colOff>
      <xdr:row>8</xdr:row>
      <xdr:rowOff>85725</xdr:rowOff>
    </xdr:to>
    <xdr:grpSp>
      <xdr:nvGrpSpPr>
        <xdr:cNvPr id="47" name="Group 46"/>
        <xdr:cNvGrpSpPr/>
      </xdr:nvGrpSpPr>
      <xdr:grpSpPr>
        <a:xfrm>
          <a:off x="1514475" y="1052742"/>
          <a:ext cx="1657350" cy="633183"/>
          <a:chOff x="1514475" y="1052742"/>
          <a:chExt cx="1657350" cy="633183"/>
        </a:xfrm>
      </xdr:grpSpPr>
      <xdr:pic>
        <xdr:nvPicPr>
          <xdr:cNvPr id="51203" name="Picture 3"/>
          <xdr:cNvPicPr>
            <a:picLocks noChangeAspect="1" noChangeArrowheads="1"/>
          </xdr:cNvPicPr>
        </xdr:nvPicPr>
        <xdr:blipFill>
          <a:blip xmlns:r="http://schemas.openxmlformats.org/officeDocument/2006/relationships" r:embed="rId13"/>
          <a:srcRect r="86801" b="92799"/>
          <a:stretch>
            <a:fillRect/>
          </a:stretch>
        </xdr:blipFill>
        <xdr:spPr bwMode="auto">
          <a:xfrm>
            <a:off x="1514475" y="1052742"/>
            <a:ext cx="1657350" cy="633183"/>
          </a:xfrm>
          <a:prstGeom prst="rect">
            <a:avLst/>
          </a:prstGeom>
          <a:noFill/>
          <a:ln w="1">
            <a:noFill/>
            <a:miter lim="800000"/>
            <a:headEnd/>
            <a:tailEnd type="none" w="med" len="med"/>
          </a:ln>
          <a:effectLst/>
        </xdr:spPr>
      </xdr:pic>
      <xdr:sp macro="" textlink="">
        <xdr:nvSpPr>
          <xdr:cNvPr id="31" name="Right Arrow 30"/>
          <xdr:cNvSpPr/>
        </xdr:nvSpPr>
        <xdr:spPr>
          <a:xfrm rot="10800000">
            <a:off x="1888687" y="1311714"/>
            <a:ext cx="500775" cy="315750"/>
          </a:xfrm>
          <a:prstGeom prst="rightArrow">
            <a:avLst/>
          </a:prstGeom>
          <a:solidFill>
            <a:srgbClr val="FF0000"/>
          </a:solidFill>
        </xdr:spPr>
        <xdr:style>
          <a:lnRef idx="0">
            <a:schemeClr val="lt1">
              <a:hueOff val="0"/>
              <a:satOff val="0"/>
              <a:lumOff val="0"/>
              <a:alphaOff val="0"/>
            </a:schemeClr>
          </a:lnRef>
          <a:fillRef idx="3">
            <a:schemeClr val="accent1">
              <a:hueOff val="0"/>
              <a:satOff val="0"/>
              <a:lumOff val="0"/>
              <a:alphaOff val="0"/>
            </a:schemeClr>
          </a:fillRef>
          <a:effectRef idx="2">
            <a:schemeClr val="accent1">
              <a:hueOff val="0"/>
              <a:satOff val="0"/>
              <a:lumOff val="0"/>
              <a:alphaOff val="0"/>
            </a:schemeClr>
          </a:effectRef>
          <a:fontRef idx="minor">
            <a:schemeClr val="lt1"/>
          </a:fontRef>
        </xdr:style>
      </xdr:sp>
    </xdr:grpSp>
    <xdr:clientData/>
  </xdr:twoCellAnchor>
  <xdr:twoCellAnchor>
    <xdr:from>
      <xdr:col>2</xdr:col>
      <xdr:colOff>9525</xdr:colOff>
      <xdr:row>34</xdr:row>
      <xdr:rowOff>76200</xdr:rowOff>
    </xdr:from>
    <xdr:to>
      <xdr:col>22</xdr:col>
      <xdr:colOff>85725</xdr:colOff>
      <xdr:row>45</xdr:row>
      <xdr:rowOff>152400</xdr:rowOff>
    </xdr:to>
    <xdr:grpSp>
      <xdr:nvGrpSpPr>
        <xdr:cNvPr id="44" name="Group 43"/>
        <xdr:cNvGrpSpPr/>
      </xdr:nvGrpSpPr>
      <xdr:grpSpPr>
        <a:xfrm>
          <a:off x="1276350" y="8115300"/>
          <a:ext cx="4429125" cy="2438400"/>
          <a:chOff x="1276350" y="8115300"/>
          <a:chExt cx="4429125" cy="2438400"/>
        </a:xfrm>
      </xdr:grpSpPr>
      <xdr:pic>
        <xdr:nvPicPr>
          <xdr:cNvPr id="51208" name="Picture 8"/>
          <xdr:cNvPicPr>
            <a:picLocks noChangeAspect="1" noChangeArrowheads="1"/>
          </xdr:cNvPicPr>
        </xdr:nvPicPr>
        <xdr:blipFill>
          <a:blip xmlns:r="http://schemas.openxmlformats.org/officeDocument/2006/relationships" r:embed="rId14"/>
          <a:srcRect l="19584" t="2474" r="19583" b="64193"/>
          <a:stretch>
            <a:fillRect/>
          </a:stretch>
        </xdr:blipFill>
        <xdr:spPr bwMode="auto">
          <a:xfrm>
            <a:off x="1533525" y="8115300"/>
            <a:ext cx="4171950" cy="2438400"/>
          </a:xfrm>
          <a:prstGeom prst="rect">
            <a:avLst/>
          </a:prstGeom>
          <a:noFill/>
          <a:ln w="1">
            <a:noFill/>
            <a:miter lim="800000"/>
            <a:headEnd/>
            <a:tailEnd type="none" w="med" len="med"/>
          </a:ln>
          <a:effectLst/>
        </xdr:spPr>
      </xdr:pic>
      <xdr:sp macro="" textlink="">
        <xdr:nvSpPr>
          <xdr:cNvPr id="33" name="Oval 32"/>
          <xdr:cNvSpPr/>
        </xdr:nvSpPr>
        <xdr:spPr>
          <a:xfrm>
            <a:off x="1276350" y="9344025"/>
            <a:ext cx="1104900" cy="571500"/>
          </a:xfrm>
          <a:prstGeom prst="ellipse">
            <a:avLst/>
          </a:prstGeom>
          <a:noFill/>
          <a:ln>
            <a:solidFill>
              <a:srgbClr val="FF0000"/>
            </a:solidFill>
          </a:ln>
        </xdr:spPr>
        <xdr:style>
          <a:lnRef idx="2">
            <a:schemeClr val="accent6"/>
          </a:lnRef>
          <a:fillRef idx="1">
            <a:schemeClr val="lt1"/>
          </a:fillRef>
          <a:effectRef idx="0">
            <a:schemeClr val="accent6"/>
          </a:effectRef>
          <a:fontRef idx="minor">
            <a:schemeClr val="dk1"/>
          </a:fontRef>
        </xdr:style>
        <xdr:txBody>
          <a:bodyPr rtlCol="0" anchor="ctr"/>
          <a:lstStyle/>
          <a:p>
            <a:pPr algn="ctr"/>
            <a:endParaRPr lang="en-US" sz="1100"/>
          </a:p>
        </xdr:txBody>
      </xdr:sp>
    </xdr:grpSp>
    <xdr:clientData/>
  </xdr:twoCellAnchor>
  <xdr:twoCellAnchor>
    <xdr:from>
      <xdr:col>18</xdr:col>
      <xdr:colOff>97987</xdr:colOff>
      <xdr:row>40</xdr:row>
      <xdr:rowOff>187763</xdr:rowOff>
    </xdr:from>
    <xdr:to>
      <xdr:col>20</xdr:col>
      <xdr:colOff>160612</xdr:colOff>
      <xdr:row>42</xdr:row>
      <xdr:rowOff>122513</xdr:rowOff>
    </xdr:to>
    <xdr:sp macro="" textlink="">
      <xdr:nvSpPr>
        <xdr:cNvPr id="34" name="Right Arrow 33"/>
        <xdr:cNvSpPr/>
      </xdr:nvSpPr>
      <xdr:spPr>
        <a:xfrm rot="10800000">
          <a:off x="4631887" y="9512738"/>
          <a:ext cx="500775" cy="315750"/>
        </a:xfrm>
        <a:prstGeom prst="rightArrow">
          <a:avLst/>
        </a:prstGeom>
        <a:solidFill>
          <a:srgbClr val="FF0000"/>
        </a:solidFill>
      </xdr:spPr>
      <xdr:style>
        <a:lnRef idx="0">
          <a:schemeClr val="lt1">
            <a:hueOff val="0"/>
            <a:satOff val="0"/>
            <a:lumOff val="0"/>
            <a:alphaOff val="0"/>
          </a:schemeClr>
        </a:lnRef>
        <a:fillRef idx="3">
          <a:schemeClr val="accent1">
            <a:hueOff val="0"/>
            <a:satOff val="0"/>
            <a:lumOff val="0"/>
            <a:alphaOff val="0"/>
          </a:schemeClr>
        </a:fillRef>
        <a:effectRef idx="2">
          <a:schemeClr val="accent1">
            <a:hueOff val="0"/>
            <a:satOff val="0"/>
            <a:lumOff val="0"/>
            <a:alphaOff val="0"/>
          </a:schemeClr>
        </a:effectRef>
        <a:fontRef idx="minor">
          <a:schemeClr val="lt1"/>
        </a:fontRef>
      </xdr:style>
    </xdr:sp>
    <xdr:clientData/>
  </xdr:twoCellAnchor>
  <xdr:twoCellAnchor>
    <xdr:from>
      <xdr:col>4</xdr:col>
      <xdr:colOff>28575</xdr:colOff>
      <xdr:row>64</xdr:row>
      <xdr:rowOff>66675</xdr:rowOff>
    </xdr:from>
    <xdr:to>
      <xdr:col>23</xdr:col>
      <xdr:colOff>47625</xdr:colOff>
      <xdr:row>70</xdr:row>
      <xdr:rowOff>142875</xdr:rowOff>
    </xdr:to>
    <xdr:grpSp>
      <xdr:nvGrpSpPr>
        <xdr:cNvPr id="43" name="Group 42"/>
        <xdr:cNvGrpSpPr/>
      </xdr:nvGrpSpPr>
      <xdr:grpSpPr>
        <a:xfrm>
          <a:off x="1733550" y="14754225"/>
          <a:ext cx="4152900" cy="1219200"/>
          <a:chOff x="1733550" y="14754225"/>
          <a:chExt cx="4152900" cy="1219200"/>
        </a:xfrm>
      </xdr:grpSpPr>
      <xdr:pic>
        <xdr:nvPicPr>
          <xdr:cNvPr id="51210" name="Picture 10"/>
          <xdr:cNvPicPr>
            <a:picLocks noChangeAspect="1" noChangeArrowheads="1"/>
          </xdr:cNvPicPr>
        </xdr:nvPicPr>
        <xdr:blipFill>
          <a:blip xmlns:r="http://schemas.openxmlformats.org/officeDocument/2006/relationships" r:embed="rId15"/>
          <a:srcRect t="22135" r="62297" b="61198"/>
          <a:stretch>
            <a:fillRect/>
          </a:stretch>
        </xdr:blipFill>
        <xdr:spPr bwMode="auto">
          <a:xfrm>
            <a:off x="1733550" y="14754225"/>
            <a:ext cx="4152900" cy="1219200"/>
          </a:xfrm>
          <a:prstGeom prst="rect">
            <a:avLst/>
          </a:prstGeom>
          <a:noFill/>
          <a:ln w="1">
            <a:noFill/>
            <a:miter lim="800000"/>
            <a:headEnd/>
            <a:tailEnd type="none" w="med" len="med"/>
          </a:ln>
          <a:effectLst/>
        </xdr:spPr>
      </xdr:pic>
      <xdr:sp macro="" textlink="">
        <xdr:nvSpPr>
          <xdr:cNvPr id="37" name="Oval 36"/>
          <xdr:cNvSpPr/>
        </xdr:nvSpPr>
        <xdr:spPr>
          <a:xfrm>
            <a:off x="2152650" y="15278100"/>
            <a:ext cx="1104900" cy="571500"/>
          </a:xfrm>
          <a:prstGeom prst="ellipse">
            <a:avLst/>
          </a:prstGeom>
          <a:noFill/>
          <a:ln>
            <a:solidFill>
              <a:srgbClr val="FF0000"/>
            </a:solidFill>
          </a:ln>
        </xdr:spPr>
        <xdr:style>
          <a:lnRef idx="2">
            <a:schemeClr val="accent6"/>
          </a:lnRef>
          <a:fillRef idx="1">
            <a:schemeClr val="lt1"/>
          </a:fillRef>
          <a:effectRef idx="0">
            <a:schemeClr val="accent6"/>
          </a:effectRef>
          <a:fontRef idx="minor">
            <a:schemeClr val="dk1"/>
          </a:fontRef>
        </xdr:style>
        <xdr:txBody>
          <a:bodyPr rtlCol="0" anchor="ctr"/>
          <a:lstStyle/>
          <a:p>
            <a:pPr algn="ctr"/>
            <a:endParaRPr lang="en-US" sz="1100"/>
          </a:p>
        </xdr:txBody>
      </xdr:sp>
    </xdr:grpSp>
    <xdr:clientData/>
  </xdr:twoCellAnchor>
  <xdr:twoCellAnchor editAs="oneCell">
    <xdr:from>
      <xdr:col>3</xdr:col>
      <xdr:colOff>33131</xdr:colOff>
      <xdr:row>79</xdr:row>
      <xdr:rowOff>24849</xdr:rowOff>
    </xdr:from>
    <xdr:to>
      <xdr:col>27</xdr:col>
      <xdr:colOff>388039</xdr:colOff>
      <xdr:row>87</xdr:row>
      <xdr:rowOff>124238</xdr:rowOff>
    </xdr:to>
    <xdr:pic>
      <xdr:nvPicPr>
        <xdr:cNvPr id="51212" name="Picture 12"/>
        <xdr:cNvPicPr>
          <a:picLocks noChangeAspect="1" noChangeArrowheads="1"/>
        </xdr:cNvPicPr>
      </xdr:nvPicPr>
      <xdr:blipFill>
        <a:blip xmlns:r="http://schemas.openxmlformats.org/officeDocument/2006/relationships" r:embed="rId16"/>
        <a:srcRect l="7937" t="33284" r="3351" b="47130"/>
        <a:stretch>
          <a:fillRect/>
        </a:stretch>
      </xdr:blipFill>
      <xdr:spPr bwMode="auto">
        <a:xfrm>
          <a:off x="1515718" y="17559132"/>
          <a:ext cx="5506691" cy="1623389"/>
        </a:xfrm>
        <a:prstGeom prst="rect">
          <a:avLst/>
        </a:prstGeom>
        <a:noFill/>
        <a:ln w="1">
          <a:noFill/>
          <a:miter lim="800000"/>
          <a:headEnd/>
          <a:tailEnd type="none" w="med" len="med"/>
        </a:ln>
        <a:effectLst/>
      </xdr:spPr>
    </xdr:pic>
    <xdr:clientData/>
  </xdr:twoCellAnchor>
  <xdr:twoCellAnchor>
    <xdr:from>
      <xdr:col>3</xdr:col>
      <xdr:colOff>28575</xdr:colOff>
      <xdr:row>107</xdr:row>
      <xdr:rowOff>85725</xdr:rowOff>
    </xdr:from>
    <xdr:to>
      <xdr:col>27</xdr:col>
      <xdr:colOff>327630</xdr:colOff>
      <xdr:row>121</xdr:row>
      <xdr:rowOff>104775</xdr:rowOff>
    </xdr:to>
    <xdr:grpSp>
      <xdr:nvGrpSpPr>
        <xdr:cNvPr id="42" name="Group 41"/>
        <xdr:cNvGrpSpPr/>
      </xdr:nvGrpSpPr>
      <xdr:grpSpPr>
        <a:xfrm>
          <a:off x="1514475" y="22983825"/>
          <a:ext cx="5528280" cy="2743200"/>
          <a:chOff x="1514475" y="22821900"/>
          <a:chExt cx="5528280" cy="2743200"/>
        </a:xfrm>
      </xdr:grpSpPr>
      <xdr:pic>
        <xdr:nvPicPr>
          <xdr:cNvPr id="51213" name="Picture 13"/>
          <xdr:cNvPicPr>
            <a:picLocks noChangeAspect="1" noChangeArrowheads="1"/>
          </xdr:cNvPicPr>
        </xdr:nvPicPr>
        <xdr:blipFill>
          <a:blip xmlns:r="http://schemas.openxmlformats.org/officeDocument/2006/relationships" r:embed="rId17"/>
          <a:srcRect l="7538" t="33545" r="21392" b="24601"/>
          <a:stretch>
            <a:fillRect/>
          </a:stretch>
        </xdr:blipFill>
        <xdr:spPr bwMode="auto">
          <a:xfrm>
            <a:off x="1514475" y="22821900"/>
            <a:ext cx="5528280" cy="2743200"/>
          </a:xfrm>
          <a:prstGeom prst="rect">
            <a:avLst/>
          </a:prstGeom>
          <a:noFill/>
          <a:ln w="1">
            <a:noFill/>
            <a:miter lim="800000"/>
            <a:headEnd/>
            <a:tailEnd type="none" w="med" len="med"/>
          </a:ln>
          <a:effectLst/>
        </xdr:spPr>
      </xdr:pic>
      <xdr:sp macro="" textlink="">
        <xdr:nvSpPr>
          <xdr:cNvPr id="41" name="Oval 40"/>
          <xdr:cNvSpPr/>
        </xdr:nvSpPr>
        <xdr:spPr>
          <a:xfrm>
            <a:off x="5867400" y="23517226"/>
            <a:ext cx="466725" cy="400050"/>
          </a:xfrm>
          <a:prstGeom prst="ellipse">
            <a:avLst/>
          </a:prstGeom>
          <a:noFill/>
          <a:ln>
            <a:solidFill>
              <a:srgbClr val="FF0000"/>
            </a:solidFill>
          </a:ln>
        </xdr:spPr>
        <xdr:style>
          <a:lnRef idx="2">
            <a:schemeClr val="accent6"/>
          </a:lnRef>
          <a:fillRef idx="1">
            <a:schemeClr val="lt1"/>
          </a:fillRef>
          <a:effectRef idx="0">
            <a:schemeClr val="accent6"/>
          </a:effectRef>
          <a:fontRef idx="minor">
            <a:schemeClr val="dk1"/>
          </a:fontRef>
        </xdr:style>
        <xdr:txBody>
          <a:bodyPr rtlCol="0" anchor="ctr"/>
          <a:lstStyle/>
          <a:p>
            <a:pPr algn="ctr"/>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19050</xdr:colOff>
      <xdr:row>0</xdr:row>
      <xdr:rowOff>1</xdr:rowOff>
    </xdr:from>
    <xdr:to>
      <xdr:col>0</xdr:col>
      <xdr:colOff>857250</xdr:colOff>
      <xdr:row>3</xdr:row>
      <xdr:rowOff>381001</xdr:rowOff>
    </xdr:to>
    <xdr:pic>
      <xdr:nvPicPr>
        <xdr:cNvPr id="4" name="Picture 3"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9050" y="1"/>
          <a:ext cx="838200" cy="838200"/>
        </a:xfrm>
        <a:prstGeom prst="rect">
          <a:avLst/>
        </a:prstGeom>
      </xdr:spPr>
    </xdr:pic>
    <xdr:clientData/>
  </xdr:twoCellAnchor>
  <xdr:twoCellAnchor>
    <xdr:from>
      <xdr:col>0</xdr:col>
      <xdr:colOff>57151</xdr:colOff>
      <xdr:row>5</xdr:row>
      <xdr:rowOff>0</xdr:rowOff>
    </xdr:from>
    <xdr:to>
      <xdr:col>0</xdr:col>
      <xdr:colOff>838200</xdr:colOff>
      <xdr:row>6</xdr:row>
      <xdr:rowOff>109828</xdr:rowOff>
    </xdr:to>
    <xdr:sp macro="" textlink="">
      <xdr:nvSpPr>
        <xdr:cNvPr id="6" name="Round Diagonal Corner Rectangle 5">
          <a:hlinkClick xmlns:r="http://schemas.openxmlformats.org/officeDocument/2006/relationships" r:id="rId3"/>
        </xdr:cNvPr>
        <xdr:cNvSpPr/>
      </xdr:nvSpPr>
      <xdr:spPr>
        <a:xfrm>
          <a:off x="57151" y="876300"/>
          <a:ext cx="7810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Admin</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twoCellAnchor>
    <xdr:from>
      <xdr:col>0</xdr:col>
      <xdr:colOff>57150</xdr:colOff>
      <xdr:row>7</xdr:row>
      <xdr:rowOff>0</xdr:rowOff>
    </xdr:from>
    <xdr:to>
      <xdr:col>0</xdr:col>
      <xdr:colOff>838199</xdr:colOff>
      <xdr:row>9</xdr:row>
      <xdr:rowOff>117501</xdr:rowOff>
    </xdr:to>
    <xdr:sp macro="" textlink="">
      <xdr:nvSpPr>
        <xdr:cNvPr id="5" name="Round Diagonal Corner Rectangle 4">
          <a:hlinkClick xmlns:r="http://schemas.openxmlformats.org/officeDocument/2006/relationships" r:id="rId4"/>
        </xdr:cNvPr>
        <xdr:cNvSpPr/>
      </xdr:nvSpPr>
      <xdr:spPr>
        <a:xfrm>
          <a:off x="57150" y="1295400"/>
          <a:ext cx="781049" cy="536601"/>
        </a:xfrm>
        <a:prstGeom prst="round2DiagRect">
          <a:avLst/>
        </a:prstGeom>
        <a:ln/>
      </xdr:spPr>
      <xdr:style>
        <a:lnRef idx="0">
          <a:schemeClr val="accent2"/>
        </a:lnRef>
        <a:fillRef idx="3">
          <a:schemeClr val="accent2"/>
        </a:fillRef>
        <a:effectRef idx="3">
          <a:schemeClr val="accent2"/>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Data</a:t>
          </a:r>
          <a:r>
            <a:rPr lang="en-US" sz="1200" b="1" cap="none" spc="50" baseline="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 Kelas</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19050</xdr:colOff>
      <xdr:row>0</xdr:row>
      <xdr:rowOff>19051</xdr:rowOff>
    </xdr:from>
    <xdr:to>
      <xdr:col>0</xdr:col>
      <xdr:colOff>857250</xdr:colOff>
      <xdr:row>3</xdr:row>
      <xdr:rowOff>200026</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9050" y="19051"/>
          <a:ext cx="838200" cy="838200"/>
        </a:xfrm>
        <a:prstGeom prst="rect">
          <a:avLst/>
        </a:prstGeom>
      </xdr:spPr>
    </xdr:pic>
    <xdr:clientData/>
  </xdr:twoCellAnchor>
  <xdr:twoCellAnchor>
    <xdr:from>
      <xdr:col>0</xdr:col>
      <xdr:colOff>76201</xdr:colOff>
      <xdr:row>3</xdr:row>
      <xdr:rowOff>209549</xdr:rowOff>
    </xdr:from>
    <xdr:to>
      <xdr:col>0</xdr:col>
      <xdr:colOff>857250</xdr:colOff>
      <xdr:row>4</xdr:row>
      <xdr:rowOff>109827</xdr:rowOff>
    </xdr:to>
    <xdr:sp macro="" textlink="">
      <xdr:nvSpPr>
        <xdr:cNvPr id="3" name="Round Diagonal Corner Rectangle 2">
          <a:hlinkClick xmlns:r="http://schemas.openxmlformats.org/officeDocument/2006/relationships" r:id="rId3"/>
        </xdr:cNvPr>
        <xdr:cNvSpPr/>
      </xdr:nvSpPr>
      <xdr:spPr>
        <a:xfrm>
          <a:off x="76201" y="866774"/>
          <a:ext cx="7810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Admin</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twoCellAnchor>
    <xdr:from>
      <xdr:col>0</xdr:col>
      <xdr:colOff>71437</xdr:colOff>
      <xdr:row>10</xdr:row>
      <xdr:rowOff>166686</xdr:rowOff>
    </xdr:from>
    <xdr:to>
      <xdr:col>0</xdr:col>
      <xdr:colOff>852486</xdr:colOff>
      <xdr:row>14</xdr:row>
      <xdr:rowOff>17620</xdr:rowOff>
    </xdr:to>
    <xdr:sp macro="" textlink="">
      <xdr:nvSpPr>
        <xdr:cNvPr id="4" name="Round Diagonal Corner Rectangle 3">
          <a:hlinkClick xmlns:r="http://schemas.openxmlformats.org/officeDocument/2006/relationships" r:id="rId4"/>
        </xdr:cNvPr>
        <xdr:cNvSpPr/>
      </xdr:nvSpPr>
      <xdr:spPr>
        <a:xfrm>
          <a:off x="71437" y="2416967"/>
          <a:ext cx="781049" cy="612934"/>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Aharoni" pitchFamily="2" charset="-79"/>
              <a:ea typeface="Ebrima" pitchFamily="2" charset="0"/>
              <a:cs typeface="Aharoni" pitchFamily="2" charset="-79"/>
            </a:rPr>
            <a:t>Bio Buku</a:t>
          </a:r>
          <a:r>
            <a:rPr lang="en-US" sz="1200" b="1" cap="none" spc="50" baseline="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Aharoni" pitchFamily="2" charset="-79"/>
              <a:ea typeface="Ebrima" pitchFamily="2" charset="0"/>
              <a:cs typeface="Aharoni" pitchFamily="2" charset="-79"/>
            </a:rPr>
            <a:t> Induk</a:t>
          </a:r>
          <a:endParaRPr lang="en-US" sz="12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Aharoni" pitchFamily="2" charset="-79"/>
            <a:ea typeface="Ebrima" pitchFamily="2" charset="0"/>
            <a:cs typeface="Aharoni" pitchFamily="2" charset="-79"/>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85725</xdr:colOff>
      <xdr:row>0</xdr:row>
      <xdr:rowOff>1</xdr:rowOff>
    </xdr:from>
    <xdr:to>
      <xdr:col>0</xdr:col>
      <xdr:colOff>923925</xdr:colOff>
      <xdr:row>3</xdr:row>
      <xdr:rowOff>266701</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85725" y="1"/>
          <a:ext cx="838200" cy="838200"/>
        </a:xfrm>
        <a:prstGeom prst="rect">
          <a:avLst/>
        </a:prstGeom>
      </xdr:spPr>
    </xdr:pic>
    <xdr:clientData/>
  </xdr:twoCellAnchor>
  <xdr:twoCellAnchor>
    <xdr:from>
      <xdr:col>0</xdr:col>
      <xdr:colOff>133351</xdr:colOff>
      <xdr:row>3</xdr:row>
      <xdr:rowOff>304800</xdr:rowOff>
    </xdr:from>
    <xdr:to>
      <xdr:col>0</xdr:col>
      <xdr:colOff>914400</xdr:colOff>
      <xdr:row>4</xdr:row>
      <xdr:rowOff>233653</xdr:rowOff>
    </xdr:to>
    <xdr:sp macro="" textlink="">
      <xdr:nvSpPr>
        <xdr:cNvPr id="3" name="Round Diagonal Corner Rectangle 2">
          <a:hlinkClick xmlns:r="http://schemas.openxmlformats.org/officeDocument/2006/relationships" r:id="rId3"/>
        </xdr:cNvPr>
        <xdr:cNvSpPr/>
      </xdr:nvSpPr>
      <xdr:spPr>
        <a:xfrm>
          <a:off x="133351" y="876300"/>
          <a:ext cx="7810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Admin</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twoCellAnchor>
    <xdr:from>
      <xdr:col>0</xdr:col>
      <xdr:colOff>123825</xdr:colOff>
      <xdr:row>4</xdr:row>
      <xdr:rowOff>314325</xdr:rowOff>
    </xdr:from>
    <xdr:to>
      <xdr:col>0</xdr:col>
      <xdr:colOff>904874</xdr:colOff>
      <xdr:row>7</xdr:row>
      <xdr:rowOff>68023</xdr:rowOff>
    </xdr:to>
    <xdr:sp macro="" textlink="">
      <xdr:nvSpPr>
        <xdr:cNvPr id="4" name="Round Diagonal Corner Rectangle 3">
          <a:hlinkClick xmlns:r="http://schemas.openxmlformats.org/officeDocument/2006/relationships" r:id="rId4"/>
        </xdr:cNvPr>
        <xdr:cNvSpPr/>
      </xdr:nvSpPr>
      <xdr:spPr>
        <a:xfrm>
          <a:off x="123825" y="1276350"/>
          <a:ext cx="781049" cy="753823"/>
        </a:xfrm>
        <a:prstGeom prst="round2DiagRect">
          <a:avLst/>
        </a:prstGeom>
        <a:ln/>
      </xdr:spPr>
      <xdr:style>
        <a:lnRef idx="0">
          <a:schemeClr val="accent2"/>
        </a:lnRef>
        <a:fillRef idx="3">
          <a:schemeClr val="accent2"/>
        </a:fillRef>
        <a:effectRef idx="3">
          <a:schemeClr val="accent2"/>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Drop Down</a:t>
          </a:r>
          <a:r>
            <a:rPr lang="en-US" sz="1200" b="1" spc="50" baseline="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 List</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495300</xdr:colOff>
      <xdr:row>5</xdr:row>
      <xdr:rowOff>19050</xdr:rowOff>
    </xdr:from>
    <xdr:to>
      <xdr:col>9</xdr:col>
      <xdr:colOff>361949</xdr:colOff>
      <xdr:row>7</xdr:row>
      <xdr:rowOff>77453</xdr:rowOff>
    </xdr:to>
    <xdr:grpSp>
      <xdr:nvGrpSpPr>
        <xdr:cNvPr id="68" name="Group 67">
          <a:hlinkClick xmlns:r="http://schemas.openxmlformats.org/officeDocument/2006/relationships" r:id="rId1"/>
        </xdr:cNvPr>
        <xdr:cNvGrpSpPr/>
      </xdr:nvGrpSpPr>
      <xdr:grpSpPr>
        <a:xfrm>
          <a:off x="1539875" y="1177925"/>
          <a:ext cx="5045074" cy="439403"/>
          <a:chOff x="0" y="9091"/>
          <a:chExt cx="4114799" cy="439403"/>
        </a:xfrm>
        <a:scene3d>
          <a:camera prst="orthographicFront"/>
          <a:lightRig rig="threePt" dir="t">
            <a:rot lat="0" lon="0" rev="7500000"/>
          </a:lightRig>
        </a:scene3d>
      </xdr:grpSpPr>
      <xdr:sp macro="" textlink="">
        <xdr:nvSpPr>
          <xdr:cNvPr id="93" name="Rounded Rectangle 92"/>
          <xdr:cNvSpPr/>
        </xdr:nvSpPr>
        <xdr:spPr>
          <a:xfrm>
            <a:off x="0" y="9091"/>
            <a:ext cx="4114799" cy="439403"/>
          </a:xfrm>
          <a:prstGeom prst="roundRect">
            <a:avLst>
              <a:gd name="adj" fmla="val 10000"/>
            </a:avLst>
          </a:prstGeom>
          <a:sp3d prstMaterial="plastic">
            <a:bevelT w="127000" h="25400" prst="relaxedInset"/>
          </a:sp3d>
        </xdr:spPr>
        <xdr:style>
          <a:lnRef idx="0">
            <a:schemeClr val="lt1">
              <a:hueOff val="0"/>
              <a:satOff val="0"/>
              <a:lumOff val="0"/>
              <a:alphaOff val="0"/>
            </a:schemeClr>
          </a:lnRef>
          <a:fillRef idx="3">
            <a:schemeClr val="accent2">
              <a:hueOff val="0"/>
              <a:satOff val="0"/>
              <a:lumOff val="0"/>
              <a:alphaOff val="0"/>
            </a:schemeClr>
          </a:fillRef>
          <a:effectRef idx="2">
            <a:schemeClr val="accent2">
              <a:hueOff val="0"/>
              <a:satOff val="0"/>
              <a:lumOff val="0"/>
              <a:alphaOff val="0"/>
            </a:schemeClr>
          </a:effectRef>
          <a:fontRef idx="minor">
            <a:schemeClr val="lt1"/>
          </a:fontRef>
        </xdr:style>
      </xdr:sp>
      <xdr:sp macro="" textlink="">
        <xdr:nvSpPr>
          <xdr:cNvPr id="94" name="Rounded Rectangle 4"/>
          <xdr:cNvSpPr/>
        </xdr:nvSpPr>
        <xdr:spPr>
          <a:xfrm>
            <a:off x="12870" y="21961"/>
            <a:ext cx="4089059" cy="413663"/>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60960" tIns="60960" rIns="60960" bIns="60960" numCol="1" spcCol="1270" anchor="ctr" anchorCtr="0">
            <a:noAutofit/>
          </a:bodyPr>
          <a:lstStyle/>
          <a:p>
            <a:pPr lvl="0" algn="ctr" defTabSz="711200">
              <a:lnSpc>
                <a:spcPct val="90000"/>
              </a:lnSpc>
              <a:spcBef>
                <a:spcPct val="0"/>
              </a:spcBef>
              <a:spcAft>
                <a:spcPct val="35000"/>
              </a:spcAft>
            </a:pPr>
            <a:r>
              <a:rPr lang="en-US" sz="2000" b="1" kern="1200"/>
              <a:t>Input Nilai (Leger)</a:t>
            </a:r>
          </a:p>
        </xdr:txBody>
      </xdr:sp>
    </xdr:grpSp>
    <xdr:clientData/>
  </xdr:twoCellAnchor>
  <xdr:twoCellAnchor>
    <xdr:from>
      <xdr:col>5</xdr:col>
      <xdr:colOff>329759</xdr:colOff>
      <xdr:row>7</xdr:row>
      <xdr:rowOff>103826</xdr:rowOff>
    </xdr:from>
    <xdr:to>
      <xdr:col>5</xdr:col>
      <xdr:colOff>527490</xdr:colOff>
      <xdr:row>8</xdr:row>
      <xdr:rowOff>71565</xdr:rowOff>
    </xdr:to>
    <xdr:grpSp>
      <xdr:nvGrpSpPr>
        <xdr:cNvPr id="69" name="Group 68"/>
        <xdr:cNvGrpSpPr/>
      </xdr:nvGrpSpPr>
      <xdr:grpSpPr>
        <a:xfrm>
          <a:off x="3901634" y="1643701"/>
          <a:ext cx="197731" cy="158239"/>
          <a:chOff x="1958534" y="474867"/>
          <a:chExt cx="197731" cy="158239"/>
        </a:xfrm>
        <a:scene3d>
          <a:camera prst="orthographicFront"/>
          <a:lightRig rig="threePt" dir="t">
            <a:rot lat="0" lon="0" rev="7500000"/>
          </a:lightRig>
        </a:scene3d>
      </xdr:grpSpPr>
      <xdr:sp macro="" textlink="">
        <xdr:nvSpPr>
          <xdr:cNvPr id="91" name="Right Arrow 90"/>
          <xdr:cNvSpPr/>
        </xdr:nvSpPr>
        <xdr:spPr>
          <a:xfrm rot="5400000">
            <a:off x="1978280" y="455121"/>
            <a:ext cx="158239" cy="197731"/>
          </a:xfrm>
          <a:prstGeom prst="rightArrow">
            <a:avLst>
              <a:gd name="adj1" fmla="val 60000"/>
              <a:gd name="adj2" fmla="val 50000"/>
            </a:avLst>
          </a:prstGeom>
          <a:sp3d z="-70000" extrusionH="63500" prstMaterial="matte">
            <a:bevelT w="25400" h="6350" prst="relaxedInset"/>
            <a:contourClr>
              <a:schemeClr val="bg1"/>
            </a:contourClr>
          </a:sp3d>
        </xdr:spPr>
        <xdr:style>
          <a:lnRef idx="0">
            <a:schemeClr val="lt1">
              <a:hueOff val="0"/>
              <a:satOff val="0"/>
              <a:lumOff val="0"/>
              <a:alphaOff val="0"/>
            </a:schemeClr>
          </a:lnRef>
          <a:fillRef idx="1">
            <a:schemeClr val="accent2">
              <a:hueOff val="0"/>
              <a:satOff val="0"/>
              <a:lumOff val="0"/>
              <a:alphaOff val="0"/>
            </a:schemeClr>
          </a:fillRef>
          <a:effectRef idx="2">
            <a:schemeClr val="accent2">
              <a:hueOff val="0"/>
              <a:satOff val="0"/>
              <a:lumOff val="0"/>
              <a:alphaOff val="0"/>
            </a:schemeClr>
          </a:effectRef>
          <a:fontRef idx="minor">
            <a:schemeClr val="lt1"/>
          </a:fontRef>
        </xdr:style>
      </xdr:sp>
      <xdr:sp macro="" textlink="">
        <xdr:nvSpPr>
          <xdr:cNvPr id="92" name="Right Arrow 6"/>
          <xdr:cNvSpPr/>
        </xdr:nvSpPr>
        <xdr:spPr>
          <a:xfrm>
            <a:off x="1998080" y="474867"/>
            <a:ext cx="118639" cy="110767"/>
          </a:xfrm>
          <a:prstGeom prst="rect">
            <a:avLst/>
          </a:prstGeom>
          <a:sp3d z="-70000"/>
        </xdr:spPr>
        <xdr:style>
          <a:lnRef idx="0">
            <a:scrgbClr r="0" g="0" b="0"/>
          </a:lnRef>
          <a:fillRef idx="0">
            <a:scrgbClr r="0" g="0" b="0"/>
          </a:fillRef>
          <a:effectRef idx="0">
            <a:scrgbClr r="0" g="0" b="0"/>
          </a:effectRef>
          <a:fontRef idx="minor">
            <a:schemeClr val="lt1"/>
          </a:fontRef>
        </xdr:style>
        <xdr:txBody>
          <a:bodyPr spcFirstLastPara="0" vert="horz" wrap="square" lIns="0" tIns="0" rIns="0" bIns="0" numCol="1" spcCol="1270" anchor="ctr" anchorCtr="0">
            <a:noAutofit/>
          </a:bodyPr>
          <a:lstStyle/>
          <a:p>
            <a:pPr lvl="0" algn="ctr" defTabSz="311150">
              <a:lnSpc>
                <a:spcPct val="90000"/>
              </a:lnSpc>
              <a:spcBef>
                <a:spcPct val="0"/>
              </a:spcBef>
              <a:spcAft>
                <a:spcPct val="35000"/>
              </a:spcAft>
            </a:pPr>
            <a:endParaRPr lang="en-US" sz="700" kern="1200"/>
          </a:p>
        </xdr:txBody>
      </xdr:sp>
    </xdr:grpSp>
    <xdr:clientData/>
  </xdr:twoCellAnchor>
  <xdr:twoCellAnchor>
    <xdr:from>
      <xdr:col>1</xdr:col>
      <xdr:colOff>495300</xdr:colOff>
      <xdr:row>8</xdr:row>
      <xdr:rowOff>97939</xdr:rowOff>
    </xdr:from>
    <xdr:to>
      <xdr:col>9</xdr:col>
      <xdr:colOff>361949</xdr:colOff>
      <xdr:row>10</xdr:row>
      <xdr:rowOff>156342</xdr:rowOff>
    </xdr:to>
    <xdr:grpSp>
      <xdr:nvGrpSpPr>
        <xdr:cNvPr id="70" name="Group 69">
          <a:hlinkClick xmlns:r="http://schemas.openxmlformats.org/officeDocument/2006/relationships" r:id="rId2"/>
        </xdr:cNvPr>
        <xdr:cNvGrpSpPr/>
      </xdr:nvGrpSpPr>
      <xdr:grpSpPr>
        <a:xfrm>
          <a:off x="1539875" y="1828314"/>
          <a:ext cx="5045074" cy="439403"/>
          <a:chOff x="0" y="659480"/>
          <a:chExt cx="4114799" cy="439403"/>
        </a:xfrm>
        <a:scene3d>
          <a:camera prst="orthographicFront"/>
          <a:lightRig rig="threePt" dir="t">
            <a:rot lat="0" lon="0" rev="7500000"/>
          </a:lightRig>
        </a:scene3d>
      </xdr:grpSpPr>
      <xdr:sp macro="" textlink="">
        <xdr:nvSpPr>
          <xdr:cNvPr id="89" name="Rounded Rectangle 88"/>
          <xdr:cNvSpPr/>
        </xdr:nvSpPr>
        <xdr:spPr>
          <a:xfrm>
            <a:off x="0" y="659480"/>
            <a:ext cx="4114799" cy="439403"/>
          </a:xfrm>
          <a:prstGeom prst="roundRect">
            <a:avLst>
              <a:gd name="adj" fmla="val 10000"/>
            </a:avLst>
          </a:prstGeom>
          <a:sp3d prstMaterial="plastic">
            <a:bevelT w="127000" h="25400" prst="relaxedInset"/>
          </a:sp3d>
        </xdr:spPr>
        <xdr:style>
          <a:lnRef idx="0">
            <a:schemeClr val="lt1">
              <a:hueOff val="0"/>
              <a:satOff val="0"/>
              <a:lumOff val="0"/>
              <a:alphaOff val="0"/>
            </a:schemeClr>
          </a:lnRef>
          <a:fillRef idx="3">
            <a:schemeClr val="accent3">
              <a:hueOff val="0"/>
              <a:satOff val="0"/>
              <a:lumOff val="0"/>
              <a:alphaOff val="0"/>
            </a:schemeClr>
          </a:fillRef>
          <a:effectRef idx="2">
            <a:schemeClr val="accent3">
              <a:hueOff val="0"/>
              <a:satOff val="0"/>
              <a:lumOff val="0"/>
              <a:alphaOff val="0"/>
            </a:schemeClr>
          </a:effectRef>
          <a:fontRef idx="minor">
            <a:schemeClr val="lt1"/>
          </a:fontRef>
        </xdr:style>
      </xdr:sp>
      <xdr:sp macro="" textlink="">
        <xdr:nvSpPr>
          <xdr:cNvPr id="90" name="Rounded Rectangle 8"/>
          <xdr:cNvSpPr/>
        </xdr:nvSpPr>
        <xdr:spPr>
          <a:xfrm>
            <a:off x="12870" y="672350"/>
            <a:ext cx="4089059" cy="413663"/>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60960" tIns="60960" rIns="60960" bIns="60960" numCol="1" spcCol="1270" anchor="ctr" anchorCtr="0">
            <a:noAutofit/>
          </a:bodyPr>
          <a:lstStyle/>
          <a:p>
            <a:pPr lvl="0" algn="ctr" defTabSz="711200">
              <a:lnSpc>
                <a:spcPct val="90000"/>
              </a:lnSpc>
              <a:spcBef>
                <a:spcPct val="0"/>
              </a:spcBef>
              <a:spcAft>
                <a:spcPct val="35000"/>
              </a:spcAft>
            </a:pPr>
            <a:r>
              <a:rPr lang="en-US" sz="2000" b="1" kern="1200">
                <a:solidFill>
                  <a:schemeClr val="tx1"/>
                </a:solidFill>
              </a:rPr>
              <a:t>Input</a:t>
            </a:r>
            <a:r>
              <a:rPr lang="en-US" sz="2000" b="1" kern="1200" baseline="0">
                <a:solidFill>
                  <a:schemeClr val="tx1"/>
                </a:solidFill>
              </a:rPr>
              <a:t>  Deskripsi Mapel</a:t>
            </a:r>
            <a:endParaRPr lang="en-US" sz="2000" b="1" kern="1200">
              <a:solidFill>
                <a:schemeClr val="tx1"/>
              </a:solidFill>
            </a:endParaRPr>
          </a:p>
        </xdr:txBody>
      </xdr:sp>
    </xdr:grpSp>
    <xdr:clientData/>
  </xdr:twoCellAnchor>
  <xdr:twoCellAnchor>
    <xdr:from>
      <xdr:col>5</xdr:col>
      <xdr:colOff>329758</xdr:colOff>
      <xdr:row>10</xdr:row>
      <xdr:rowOff>183805</xdr:rowOff>
    </xdr:from>
    <xdr:to>
      <xdr:col>5</xdr:col>
      <xdr:colOff>527489</xdr:colOff>
      <xdr:row>11</xdr:row>
      <xdr:rowOff>158081</xdr:rowOff>
    </xdr:to>
    <xdr:grpSp>
      <xdr:nvGrpSpPr>
        <xdr:cNvPr id="71" name="Group 70"/>
        <xdr:cNvGrpSpPr/>
      </xdr:nvGrpSpPr>
      <xdr:grpSpPr>
        <a:xfrm>
          <a:off x="3901633" y="2295180"/>
          <a:ext cx="197731" cy="164776"/>
          <a:chOff x="1958533" y="1126346"/>
          <a:chExt cx="197731" cy="164776"/>
        </a:xfrm>
        <a:scene3d>
          <a:camera prst="orthographicFront"/>
          <a:lightRig rig="threePt" dir="t">
            <a:rot lat="0" lon="0" rev="7500000"/>
          </a:lightRig>
        </a:scene3d>
      </xdr:grpSpPr>
      <xdr:sp macro="" textlink="">
        <xdr:nvSpPr>
          <xdr:cNvPr id="87" name="Right Arrow 86"/>
          <xdr:cNvSpPr/>
        </xdr:nvSpPr>
        <xdr:spPr>
          <a:xfrm rot="5400000">
            <a:off x="1975011" y="1109868"/>
            <a:ext cx="164776" cy="197731"/>
          </a:xfrm>
          <a:prstGeom prst="rightArrow">
            <a:avLst>
              <a:gd name="adj1" fmla="val 60000"/>
              <a:gd name="adj2" fmla="val 50000"/>
            </a:avLst>
          </a:prstGeom>
          <a:sp3d z="-70000" extrusionH="63500" prstMaterial="matte">
            <a:bevelT w="25400" h="6350" prst="relaxedInset"/>
            <a:contourClr>
              <a:schemeClr val="bg1"/>
            </a:contourClr>
          </a:sp3d>
        </xdr:spPr>
        <xdr:style>
          <a:lnRef idx="0">
            <a:schemeClr val="lt1">
              <a:hueOff val="0"/>
              <a:satOff val="0"/>
              <a:lumOff val="0"/>
              <a:alphaOff val="0"/>
            </a:schemeClr>
          </a:lnRef>
          <a:fillRef idx="1">
            <a:schemeClr val="accent3">
              <a:hueOff val="0"/>
              <a:satOff val="0"/>
              <a:lumOff val="0"/>
              <a:alphaOff val="0"/>
            </a:schemeClr>
          </a:fillRef>
          <a:effectRef idx="2">
            <a:schemeClr val="accent3">
              <a:hueOff val="0"/>
              <a:satOff val="0"/>
              <a:lumOff val="0"/>
              <a:alphaOff val="0"/>
            </a:schemeClr>
          </a:effectRef>
          <a:fontRef idx="minor">
            <a:schemeClr val="lt1"/>
          </a:fontRef>
        </xdr:style>
      </xdr:sp>
      <xdr:sp macro="" textlink="">
        <xdr:nvSpPr>
          <xdr:cNvPr id="88" name="Right Arrow 10"/>
          <xdr:cNvSpPr/>
        </xdr:nvSpPr>
        <xdr:spPr>
          <a:xfrm>
            <a:off x="1998080" y="1126346"/>
            <a:ext cx="118639" cy="115343"/>
          </a:xfrm>
          <a:prstGeom prst="rect">
            <a:avLst/>
          </a:prstGeom>
          <a:sp3d z="-70000"/>
        </xdr:spPr>
        <xdr:style>
          <a:lnRef idx="0">
            <a:scrgbClr r="0" g="0" b="0"/>
          </a:lnRef>
          <a:fillRef idx="0">
            <a:scrgbClr r="0" g="0" b="0"/>
          </a:fillRef>
          <a:effectRef idx="0">
            <a:scrgbClr r="0" g="0" b="0"/>
          </a:effectRef>
          <a:fontRef idx="minor">
            <a:schemeClr val="lt1"/>
          </a:fontRef>
        </xdr:style>
        <xdr:txBody>
          <a:bodyPr spcFirstLastPara="0" vert="horz" wrap="square" lIns="0" tIns="0" rIns="0" bIns="0" numCol="1" spcCol="1270" anchor="ctr" anchorCtr="0">
            <a:noAutofit/>
          </a:bodyPr>
          <a:lstStyle/>
          <a:p>
            <a:pPr lvl="0" algn="ctr" defTabSz="355600">
              <a:lnSpc>
                <a:spcPct val="90000"/>
              </a:lnSpc>
              <a:spcBef>
                <a:spcPct val="0"/>
              </a:spcBef>
              <a:spcAft>
                <a:spcPct val="35000"/>
              </a:spcAft>
            </a:pPr>
            <a:endParaRPr lang="en-US" sz="800" kern="1200"/>
          </a:p>
        </xdr:txBody>
      </xdr:sp>
    </xdr:grpSp>
    <xdr:clientData/>
  </xdr:twoCellAnchor>
  <xdr:twoCellAnchor>
    <xdr:from>
      <xdr:col>1</xdr:col>
      <xdr:colOff>495300</xdr:colOff>
      <xdr:row>11</xdr:row>
      <xdr:rowOff>185544</xdr:rowOff>
    </xdr:from>
    <xdr:to>
      <xdr:col>9</xdr:col>
      <xdr:colOff>361949</xdr:colOff>
      <xdr:row>14</xdr:row>
      <xdr:rowOff>53447</xdr:rowOff>
    </xdr:to>
    <xdr:grpSp>
      <xdr:nvGrpSpPr>
        <xdr:cNvPr id="72" name="Group 71">
          <a:hlinkClick xmlns:r="http://schemas.openxmlformats.org/officeDocument/2006/relationships" r:id="rId3"/>
        </xdr:cNvPr>
        <xdr:cNvGrpSpPr/>
      </xdr:nvGrpSpPr>
      <xdr:grpSpPr>
        <a:xfrm>
          <a:off x="1539875" y="2487419"/>
          <a:ext cx="5045074" cy="439403"/>
          <a:chOff x="0" y="1318585"/>
          <a:chExt cx="4114799" cy="439403"/>
        </a:xfrm>
        <a:scene3d>
          <a:camera prst="orthographicFront"/>
          <a:lightRig rig="threePt" dir="t">
            <a:rot lat="0" lon="0" rev="7500000"/>
          </a:lightRig>
        </a:scene3d>
      </xdr:grpSpPr>
      <xdr:sp macro="" textlink="">
        <xdr:nvSpPr>
          <xdr:cNvPr id="85" name="Rounded Rectangle 84"/>
          <xdr:cNvSpPr/>
        </xdr:nvSpPr>
        <xdr:spPr>
          <a:xfrm>
            <a:off x="0" y="1318585"/>
            <a:ext cx="4114799" cy="439403"/>
          </a:xfrm>
          <a:prstGeom prst="roundRect">
            <a:avLst>
              <a:gd name="adj" fmla="val 10000"/>
            </a:avLst>
          </a:prstGeom>
          <a:sp3d prstMaterial="plastic">
            <a:bevelT w="127000" h="25400" prst="relaxedInset"/>
          </a:sp3d>
        </xdr:spPr>
        <xdr:style>
          <a:lnRef idx="0">
            <a:schemeClr val="lt1">
              <a:hueOff val="0"/>
              <a:satOff val="0"/>
              <a:lumOff val="0"/>
              <a:alphaOff val="0"/>
            </a:schemeClr>
          </a:lnRef>
          <a:fillRef idx="3">
            <a:schemeClr val="accent4">
              <a:hueOff val="0"/>
              <a:satOff val="0"/>
              <a:lumOff val="0"/>
              <a:alphaOff val="0"/>
            </a:schemeClr>
          </a:fillRef>
          <a:effectRef idx="2">
            <a:schemeClr val="accent4">
              <a:hueOff val="0"/>
              <a:satOff val="0"/>
              <a:lumOff val="0"/>
              <a:alphaOff val="0"/>
            </a:schemeClr>
          </a:effectRef>
          <a:fontRef idx="minor">
            <a:schemeClr val="lt1"/>
          </a:fontRef>
        </xdr:style>
      </xdr:sp>
      <xdr:sp macro="" textlink="">
        <xdr:nvSpPr>
          <xdr:cNvPr id="86" name="Rounded Rectangle 12"/>
          <xdr:cNvSpPr/>
        </xdr:nvSpPr>
        <xdr:spPr>
          <a:xfrm>
            <a:off x="12870" y="1331455"/>
            <a:ext cx="4089059" cy="413663"/>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60960" tIns="60960" rIns="60960" bIns="60960" numCol="1" spcCol="1270" anchor="ctr" anchorCtr="0">
            <a:noAutofit/>
          </a:bodyPr>
          <a:lstStyle/>
          <a:p>
            <a:pPr lvl="0" algn="ctr" defTabSz="711200">
              <a:lnSpc>
                <a:spcPct val="90000"/>
              </a:lnSpc>
              <a:spcBef>
                <a:spcPct val="0"/>
              </a:spcBef>
              <a:spcAft>
                <a:spcPct val="35000"/>
              </a:spcAft>
            </a:pPr>
            <a:r>
              <a:rPr lang="en-US" sz="2000" b="1" kern="1200"/>
              <a:t>Nilai Sikap Spiritual dan Sosial</a:t>
            </a:r>
          </a:p>
        </xdr:txBody>
      </xdr:sp>
    </xdr:grpSp>
    <xdr:clientData/>
  </xdr:twoCellAnchor>
  <xdr:twoCellAnchor>
    <xdr:from>
      <xdr:col>5</xdr:col>
      <xdr:colOff>329758</xdr:colOff>
      <xdr:row>14</xdr:row>
      <xdr:rowOff>80910</xdr:rowOff>
    </xdr:from>
    <xdr:to>
      <xdr:col>5</xdr:col>
      <xdr:colOff>527489</xdr:colOff>
      <xdr:row>15</xdr:row>
      <xdr:rowOff>55186</xdr:rowOff>
    </xdr:to>
    <xdr:grpSp>
      <xdr:nvGrpSpPr>
        <xdr:cNvPr id="73" name="Group 72"/>
        <xdr:cNvGrpSpPr/>
      </xdr:nvGrpSpPr>
      <xdr:grpSpPr>
        <a:xfrm>
          <a:off x="3901633" y="2954285"/>
          <a:ext cx="197731" cy="164776"/>
          <a:chOff x="1958533" y="1785451"/>
          <a:chExt cx="197731" cy="164776"/>
        </a:xfrm>
        <a:scene3d>
          <a:camera prst="orthographicFront"/>
          <a:lightRig rig="threePt" dir="t">
            <a:rot lat="0" lon="0" rev="7500000"/>
          </a:lightRig>
        </a:scene3d>
      </xdr:grpSpPr>
      <xdr:sp macro="" textlink="">
        <xdr:nvSpPr>
          <xdr:cNvPr id="83" name="Right Arrow 82"/>
          <xdr:cNvSpPr/>
        </xdr:nvSpPr>
        <xdr:spPr>
          <a:xfrm rot="5400000">
            <a:off x="1975011" y="1768973"/>
            <a:ext cx="164776" cy="197731"/>
          </a:xfrm>
          <a:prstGeom prst="rightArrow">
            <a:avLst>
              <a:gd name="adj1" fmla="val 60000"/>
              <a:gd name="adj2" fmla="val 50000"/>
            </a:avLst>
          </a:prstGeom>
          <a:sp3d z="-70000" extrusionH="63500" prstMaterial="matte">
            <a:bevelT w="25400" h="6350" prst="relaxedInset"/>
            <a:contourClr>
              <a:schemeClr val="bg1"/>
            </a:contourClr>
          </a:sp3d>
        </xdr:spPr>
        <xdr:style>
          <a:lnRef idx="0">
            <a:schemeClr val="lt1">
              <a:hueOff val="0"/>
              <a:satOff val="0"/>
              <a:lumOff val="0"/>
              <a:alphaOff val="0"/>
            </a:schemeClr>
          </a:lnRef>
          <a:fillRef idx="1">
            <a:schemeClr val="accent4">
              <a:hueOff val="0"/>
              <a:satOff val="0"/>
              <a:lumOff val="0"/>
              <a:alphaOff val="0"/>
            </a:schemeClr>
          </a:fillRef>
          <a:effectRef idx="2">
            <a:schemeClr val="accent4">
              <a:hueOff val="0"/>
              <a:satOff val="0"/>
              <a:lumOff val="0"/>
              <a:alphaOff val="0"/>
            </a:schemeClr>
          </a:effectRef>
          <a:fontRef idx="minor">
            <a:schemeClr val="lt1"/>
          </a:fontRef>
        </xdr:style>
      </xdr:sp>
      <xdr:sp macro="" textlink="">
        <xdr:nvSpPr>
          <xdr:cNvPr id="84" name="Right Arrow 14"/>
          <xdr:cNvSpPr/>
        </xdr:nvSpPr>
        <xdr:spPr>
          <a:xfrm>
            <a:off x="1998080" y="1785451"/>
            <a:ext cx="118639" cy="115343"/>
          </a:xfrm>
          <a:prstGeom prst="rect">
            <a:avLst/>
          </a:prstGeom>
          <a:sp3d z="-70000"/>
        </xdr:spPr>
        <xdr:style>
          <a:lnRef idx="0">
            <a:scrgbClr r="0" g="0" b="0"/>
          </a:lnRef>
          <a:fillRef idx="0">
            <a:scrgbClr r="0" g="0" b="0"/>
          </a:fillRef>
          <a:effectRef idx="0">
            <a:scrgbClr r="0" g="0" b="0"/>
          </a:effectRef>
          <a:fontRef idx="minor">
            <a:schemeClr val="lt1"/>
          </a:fontRef>
        </xdr:style>
        <xdr:txBody>
          <a:bodyPr spcFirstLastPara="0" vert="horz" wrap="square" lIns="0" tIns="0" rIns="0" bIns="0" numCol="1" spcCol="1270" anchor="ctr" anchorCtr="0">
            <a:noAutofit/>
          </a:bodyPr>
          <a:lstStyle/>
          <a:p>
            <a:pPr lvl="0" algn="ctr" defTabSz="355600">
              <a:lnSpc>
                <a:spcPct val="90000"/>
              </a:lnSpc>
              <a:spcBef>
                <a:spcPct val="0"/>
              </a:spcBef>
              <a:spcAft>
                <a:spcPct val="35000"/>
              </a:spcAft>
            </a:pPr>
            <a:endParaRPr lang="en-US" sz="800" kern="1200"/>
          </a:p>
        </xdr:txBody>
      </xdr:sp>
    </xdr:grpSp>
    <xdr:clientData/>
  </xdr:twoCellAnchor>
  <xdr:twoCellAnchor>
    <xdr:from>
      <xdr:col>1</xdr:col>
      <xdr:colOff>495300</xdr:colOff>
      <xdr:row>15</xdr:row>
      <xdr:rowOff>82649</xdr:rowOff>
    </xdr:from>
    <xdr:to>
      <xdr:col>9</xdr:col>
      <xdr:colOff>361949</xdr:colOff>
      <xdr:row>17</xdr:row>
      <xdr:rowOff>141052</xdr:rowOff>
    </xdr:to>
    <xdr:grpSp>
      <xdr:nvGrpSpPr>
        <xdr:cNvPr id="74" name="Group 73">
          <a:hlinkClick xmlns:r="http://schemas.openxmlformats.org/officeDocument/2006/relationships" r:id="rId4"/>
        </xdr:cNvPr>
        <xdr:cNvGrpSpPr/>
      </xdr:nvGrpSpPr>
      <xdr:grpSpPr>
        <a:xfrm>
          <a:off x="1539875" y="3146524"/>
          <a:ext cx="5045074" cy="439403"/>
          <a:chOff x="0" y="1977690"/>
          <a:chExt cx="4114799" cy="439403"/>
        </a:xfrm>
        <a:scene3d>
          <a:camera prst="orthographicFront"/>
          <a:lightRig rig="threePt" dir="t">
            <a:rot lat="0" lon="0" rev="7500000"/>
          </a:lightRig>
        </a:scene3d>
      </xdr:grpSpPr>
      <xdr:sp macro="" textlink="">
        <xdr:nvSpPr>
          <xdr:cNvPr id="81" name="Rounded Rectangle 80"/>
          <xdr:cNvSpPr/>
        </xdr:nvSpPr>
        <xdr:spPr>
          <a:xfrm>
            <a:off x="0" y="1977690"/>
            <a:ext cx="4114799" cy="439403"/>
          </a:xfrm>
          <a:prstGeom prst="roundRect">
            <a:avLst>
              <a:gd name="adj" fmla="val 10000"/>
            </a:avLst>
          </a:prstGeom>
          <a:sp3d prstMaterial="plastic">
            <a:bevelT w="127000" h="25400" prst="relaxedInset"/>
          </a:sp3d>
        </xdr:spPr>
        <xdr:style>
          <a:lnRef idx="0">
            <a:schemeClr val="lt1">
              <a:hueOff val="0"/>
              <a:satOff val="0"/>
              <a:lumOff val="0"/>
              <a:alphaOff val="0"/>
            </a:schemeClr>
          </a:lnRef>
          <a:fillRef idx="3">
            <a:schemeClr val="accent5">
              <a:hueOff val="0"/>
              <a:satOff val="0"/>
              <a:lumOff val="0"/>
              <a:alphaOff val="0"/>
            </a:schemeClr>
          </a:fillRef>
          <a:effectRef idx="2">
            <a:schemeClr val="accent5">
              <a:hueOff val="0"/>
              <a:satOff val="0"/>
              <a:lumOff val="0"/>
              <a:alphaOff val="0"/>
            </a:schemeClr>
          </a:effectRef>
          <a:fontRef idx="minor">
            <a:schemeClr val="lt1"/>
          </a:fontRef>
        </xdr:style>
      </xdr:sp>
      <xdr:sp macro="" textlink="">
        <xdr:nvSpPr>
          <xdr:cNvPr id="82" name="Rounded Rectangle 16"/>
          <xdr:cNvSpPr/>
        </xdr:nvSpPr>
        <xdr:spPr>
          <a:xfrm>
            <a:off x="12870" y="1990560"/>
            <a:ext cx="4089059" cy="413663"/>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60960" tIns="60960" rIns="60960" bIns="60960" numCol="1" spcCol="1270" anchor="ctr" anchorCtr="0">
            <a:noAutofit/>
          </a:bodyPr>
          <a:lstStyle/>
          <a:p>
            <a:pPr lvl="0" algn="ctr" defTabSz="711200">
              <a:lnSpc>
                <a:spcPct val="90000"/>
              </a:lnSpc>
              <a:spcBef>
                <a:spcPct val="0"/>
              </a:spcBef>
              <a:spcAft>
                <a:spcPct val="35000"/>
              </a:spcAft>
            </a:pPr>
            <a:r>
              <a:rPr lang="en-US" sz="2000" b="1" kern="1200">
                <a:solidFill>
                  <a:schemeClr val="tx1"/>
                </a:solidFill>
              </a:rPr>
              <a:t>Nilai Ekstrakurikuler</a:t>
            </a:r>
          </a:p>
        </xdr:txBody>
      </xdr:sp>
    </xdr:grpSp>
    <xdr:clientData/>
  </xdr:twoCellAnchor>
  <xdr:twoCellAnchor>
    <xdr:from>
      <xdr:col>5</xdr:col>
      <xdr:colOff>329758</xdr:colOff>
      <xdr:row>17</xdr:row>
      <xdr:rowOff>168515</xdr:rowOff>
    </xdr:from>
    <xdr:to>
      <xdr:col>5</xdr:col>
      <xdr:colOff>527489</xdr:colOff>
      <xdr:row>17</xdr:row>
      <xdr:rowOff>333291</xdr:rowOff>
    </xdr:to>
    <xdr:grpSp>
      <xdr:nvGrpSpPr>
        <xdr:cNvPr id="75" name="Group 74"/>
        <xdr:cNvGrpSpPr/>
      </xdr:nvGrpSpPr>
      <xdr:grpSpPr>
        <a:xfrm>
          <a:off x="3901633" y="3613390"/>
          <a:ext cx="197731" cy="164776"/>
          <a:chOff x="1958533" y="2444556"/>
          <a:chExt cx="197731" cy="164776"/>
        </a:xfrm>
        <a:scene3d>
          <a:camera prst="orthographicFront"/>
          <a:lightRig rig="threePt" dir="t">
            <a:rot lat="0" lon="0" rev="7500000"/>
          </a:lightRig>
        </a:scene3d>
      </xdr:grpSpPr>
      <xdr:sp macro="" textlink="">
        <xdr:nvSpPr>
          <xdr:cNvPr id="79" name="Right Arrow 78"/>
          <xdr:cNvSpPr/>
        </xdr:nvSpPr>
        <xdr:spPr>
          <a:xfrm rot="5400000">
            <a:off x="1975011" y="2428078"/>
            <a:ext cx="164776" cy="197731"/>
          </a:xfrm>
          <a:prstGeom prst="rightArrow">
            <a:avLst>
              <a:gd name="adj1" fmla="val 60000"/>
              <a:gd name="adj2" fmla="val 50000"/>
            </a:avLst>
          </a:prstGeom>
          <a:sp3d z="-70000" extrusionH="63500" prstMaterial="matte">
            <a:bevelT w="25400" h="6350" prst="relaxedInset"/>
            <a:contourClr>
              <a:schemeClr val="bg1"/>
            </a:contourClr>
          </a:sp3d>
        </xdr:spPr>
        <xdr:style>
          <a:lnRef idx="0">
            <a:schemeClr val="lt1">
              <a:hueOff val="0"/>
              <a:satOff val="0"/>
              <a:lumOff val="0"/>
              <a:alphaOff val="0"/>
            </a:schemeClr>
          </a:lnRef>
          <a:fillRef idx="1">
            <a:schemeClr val="accent5">
              <a:hueOff val="0"/>
              <a:satOff val="0"/>
              <a:lumOff val="0"/>
              <a:alphaOff val="0"/>
            </a:schemeClr>
          </a:fillRef>
          <a:effectRef idx="2">
            <a:schemeClr val="accent5">
              <a:hueOff val="0"/>
              <a:satOff val="0"/>
              <a:lumOff val="0"/>
              <a:alphaOff val="0"/>
            </a:schemeClr>
          </a:effectRef>
          <a:fontRef idx="minor">
            <a:schemeClr val="lt1"/>
          </a:fontRef>
        </xdr:style>
      </xdr:sp>
      <xdr:sp macro="" textlink="">
        <xdr:nvSpPr>
          <xdr:cNvPr id="80" name="Right Arrow 18"/>
          <xdr:cNvSpPr/>
        </xdr:nvSpPr>
        <xdr:spPr>
          <a:xfrm>
            <a:off x="1998080" y="2444556"/>
            <a:ext cx="118639" cy="115343"/>
          </a:xfrm>
          <a:prstGeom prst="rect">
            <a:avLst/>
          </a:prstGeom>
          <a:sp3d z="-70000"/>
        </xdr:spPr>
        <xdr:style>
          <a:lnRef idx="0">
            <a:scrgbClr r="0" g="0" b="0"/>
          </a:lnRef>
          <a:fillRef idx="0">
            <a:scrgbClr r="0" g="0" b="0"/>
          </a:fillRef>
          <a:effectRef idx="0">
            <a:scrgbClr r="0" g="0" b="0"/>
          </a:effectRef>
          <a:fontRef idx="minor">
            <a:schemeClr val="lt1"/>
          </a:fontRef>
        </xdr:style>
        <xdr:txBody>
          <a:bodyPr spcFirstLastPara="0" vert="horz" wrap="square" lIns="0" tIns="0" rIns="0" bIns="0" numCol="1" spcCol="1270" anchor="ctr" anchorCtr="0">
            <a:noAutofit/>
          </a:bodyPr>
          <a:lstStyle/>
          <a:p>
            <a:pPr lvl="0" algn="ctr" defTabSz="355600">
              <a:lnSpc>
                <a:spcPct val="90000"/>
              </a:lnSpc>
              <a:spcBef>
                <a:spcPct val="0"/>
              </a:spcBef>
              <a:spcAft>
                <a:spcPct val="35000"/>
              </a:spcAft>
            </a:pPr>
            <a:endParaRPr lang="en-US" sz="800" kern="1200"/>
          </a:p>
        </xdr:txBody>
      </xdr:sp>
    </xdr:grpSp>
    <xdr:clientData/>
  </xdr:twoCellAnchor>
  <xdr:twoCellAnchor>
    <xdr:from>
      <xdr:col>1</xdr:col>
      <xdr:colOff>495300</xdr:colOff>
      <xdr:row>17</xdr:row>
      <xdr:rowOff>360754</xdr:rowOff>
    </xdr:from>
    <xdr:to>
      <xdr:col>9</xdr:col>
      <xdr:colOff>361949</xdr:colOff>
      <xdr:row>19</xdr:row>
      <xdr:rowOff>9582</xdr:rowOff>
    </xdr:to>
    <xdr:grpSp>
      <xdr:nvGrpSpPr>
        <xdr:cNvPr id="76" name="Group 75">
          <a:hlinkClick xmlns:r="http://schemas.openxmlformats.org/officeDocument/2006/relationships" r:id="rId5"/>
        </xdr:cNvPr>
        <xdr:cNvGrpSpPr/>
      </xdr:nvGrpSpPr>
      <xdr:grpSpPr>
        <a:xfrm>
          <a:off x="1539875" y="3805629"/>
          <a:ext cx="5045074" cy="442578"/>
          <a:chOff x="0" y="2636795"/>
          <a:chExt cx="4114799" cy="439403"/>
        </a:xfrm>
        <a:scene3d>
          <a:camera prst="orthographicFront"/>
          <a:lightRig rig="threePt" dir="t">
            <a:rot lat="0" lon="0" rev="7500000"/>
          </a:lightRig>
        </a:scene3d>
      </xdr:grpSpPr>
      <xdr:sp macro="" textlink="">
        <xdr:nvSpPr>
          <xdr:cNvPr id="77" name="Rounded Rectangle 76"/>
          <xdr:cNvSpPr/>
        </xdr:nvSpPr>
        <xdr:spPr>
          <a:xfrm>
            <a:off x="0" y="2636795"/>
            <a:ext cx="4114799" cy="439403"/>
          </a:xfrm>
          <a:prstGeom prst="roundRect">
            <a:avLst>
              <a:gd name="adj" fmla="val 10000"/>
            </a:avLst>
          </a:prstGeom>
          <a:sp3d prstMaterial="plastic">
            <a:bevelT w="127000" h="25400" prst="relaxedInset"/>
          </a:sp3d>
        </xdr:spPr>
        <xdr:style>
          <a:lnRef idx="0">
            <a:schemeClr val="lt1">
              <a:hueOff val="0"/>
              <a:satOff val="0"/>
              <a:lumOff val="0"/>
              <a:alphaOff val="0"/>
            </a:schemeClr>
          </a:lnRef>
          <a:fillRef idx="3">
            <a:schemeClr val="accent6">
              <a:hueOff val="0"/>
              <a:satOff val="0"/>
              <a:lumOff val="0"/>
              <a:alphaOff val="0"/>
            </a:schemeClr>
          </a:fillRef>
          <a:effectRef idx="2">
            <a:schemeClr val="accent6">
              <a:hueOff val="0"/>
              <a:satOff val="0"/>
              <a:lumOff val="0"/>
              <a:alphaOff val="0"/>
            </a:schemeClr>
          </a:effectRef>
          <a:fontRef idx="minor">
            <a:schemeClr val="lt1"/>
          </a:fontRef>
        </xdr:style>
      </xdr:sp>
      <xdr:sp macro="" textlink="">
        <xdr:nvSpPr>
          <xdr:cNvPr id="78" name="Rounded Rectangle 20"/>
          <xdr:cNvSpPr/>
        </xdr:nvSpPr>
        <xdr:spPr>
          <a:xfrm>
            <a:off x="12870" y="2649665"/>
            <a:ext cx="4089059" cy="413663"/>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60960" tIns="60960" rIns="60960" bIns="60960" numCol="1" spcCol="1270" anchor="ctr" anchorCtr="0">
            <a:noAutofit/>
          </a:bodyPr>
          <a:lstStyle/>
          <a:p>
            <a:pPr lvl="0" algn="ctr" defTabSz="711200">
              <a:lnSpc>
                <a:spcPct val="90000"/>
              </a:lnSpc>
              <a:spcBef>
                <a:spcPct val="0"/>
              </a:spcBef>
              <a:spcAft>
                <a:spcPct val="35000"/>
              </a:spcAft>
            </a:pPr>
            <a:r>
              <a:rPr lang="en-US" sz="2000" b="1" kern="1200">
                <a:solidFill>
                  <a:schemeClr val="tx1"/>
                </a:solidFill>
              </a:rPr>
              <a:t>Prestasi Siswa</a:t>
            </a:r>
          </a:p>
        </xdr:txBody>
      </xdr:sp>
    </xdr:grpSp>
    <xdr:clientData/>
  </xdr:twoCellAnchor>
  <xdr:twoCellAnchor editAs="oneCell">
    <xdr:from>
      <xdr:col>0</xdr:col>
      <xdr:colOff>0</xdr:colOff>
      <xdr:row>0</xdr:row>
      <xdr:rowOff>1</xdr:rowOff>
    </xdr:from>
    <xdr:to>
      <xdr:col>0</xdr:col>
      <xdr:colOff>838200</xdr:colOff>
      <xdr:row>3</xdr:row>
      <xdr:rowOff>142876</xdr:rowOff>
    </xdr:to>
    <xdr:pic>
      <xdr:nvPicPr>
        <xdr:cNvPr id="3" name="Picture 2" descr="Home.png">
          <a:hlinkClick xmlns:r="http://schemas.openxmlformats.org/officeDocument/2006/relationships" r:id="rId6"/>
        </xdr:cNvPr>
        <xdr:cNvPicPr>
          <a:picLocks noChangeAspect="1"/>
        </xdr:cNvPicPr>
      </xdr:nvPicPr>
      <xdr:blipFill>
        <a:blip xmlns:r="http://schemas.openxmlformats.org/officeDocument/2006/relationships" r:embed="rId7" cstate="print"/>
        <a:stretch>
          <a:fillRect/>
        </a:stretch>
      </xdr:blipFill>
      <xdr:spPr>
        <a:xfrm>
          <a:off x="0" y="1"/>
          <a:ext cx="838200" cy="838200"/>
        </a:xfrm>
        <a:prstGeom prst="rect">
          <a:avLst/>
        </a:prstGeom>
      </xdr:spPr>
    </xdr:pic>
    <xdr:clientData/>
  </xdr:twoCellAnchor>
  <xdr:twoCellAnchor>
    <xdr:from>
      <xdr:col>0</xdr:col>
      <xdr:colOff>981075</xdr:colOff>
      <xdr:row>4</xdr:row>
      <xdr:rowOff>159234</xdr:rowOff>
    </xdr:from>
    <xdr:to>
      <xdr:col>2</xdr:col>
      <xdr:colOff>0</xdr:colOff>
      <xdr:row>7</xdr:row>
      <xdr:rowOff>95250</xdr:rowOff>
    </xdr:to>
    <xdr:sp macro="" textlink="">
      <xdr:nvSpPr>
        <xdr:cNvPr id="27" name="Oval 26"/>
        <xdr:cNvSpPr/>
      </xdr:nvSpPr>
      <xdr:spPr>
        <a:xfrm>
          <a:off x="981075" y="1254609"/>
          <a:ext cx="552450" cy="507516"/>
        </a:xfrm>
        <a:prstGeom prst="ellipse">
          <a:avLst/>
        </a:prstGeom>
        <a:ln/>
      </xdr:spPr>
      <xdr:style>
        <a:lnRef idx="2">
          <a:schemeClr val="dk1"/>
        </a:lnRef>
        <a:fillRef idx="1">
          <a:schemeClr val="lt1"/>
        </a:fillRef>
        <a:effectRef idx="0">
          <a:schemeClr val="dk1"/>
        </a:effectRef>
        <a:fontRef idx="minor">
          <a:schemeClr val="dk1"/>
        </a:fontRef>
      </xdr:style>
      <xdr:txBody>
        <a:bodyPr rtlCol="0" anchor="ctr"/>
        <a:lstStyle/>
        <a:p>
          <a:pPr algn="ctr"/>
          <a:r>
            <a:rPr lang="en-US" sz="2400" b="1"/>
            <a:t>1</a:t>
          </a:r>
        </a:p>
      </xdr:txBody>
    </xdr:sp>
    <xdr:clientData/>
  </xdr:twoCellAnchor>
  <xdr:twoCellAnchor>
    <xdr:from>
      <xdr:col>0</xdr:col>
      <xdr:colOff>981075</xdr:colOff>
      <xdr:row>8</xdr:row>
      <xdr:rowOff>47625</xdr:rowOff>
    </xdr:from>
    <xdr:to>
      <xdr:col>2</xdr:col>
      <xdr:colOff>0</xdr:colOff>
      <xdr:row>10</xdr:row>
      <xdr:rowOff>174141</xdr:rowOff>
    </xdr:to>
    <xdr:sp macro="" textlink="">
      <xdr:nvSpPr>
        <xdr:cNvPr id="28" name="Oval 27"/>
        <xdr:cNvSpPr/>
      </xdr:nvSpPr>
      <xdr:spPr>
        <a:xfrm>
          <a:off x="981075" y="1905000"/>
          <a:ext cx="552450" cy="507516"/>
        </a:xfrm>
        <a:prstGeom prst="ellipse">
          <a:avLst/>
        </a:prstGeom>
        <a:ln/>
      </xdr:spPr>
      <xdr:style>
        <a:lnRef idx="2">
          <a:schemeClr val="dk1"/>
        </a:lnRef>
        <a:fillRef idx="1">
          <a:schemeClr val="lt1"/>
        </a:fillRef>
        <a:effectRef idx="0">
          <a:schemeClr val="dk1"/>
        </a:effectRef>
        <a:fontRef idx="minor">
          <a:schemeClr val="dk1"/>
        </a:fontRef>
      </xdr:style>
      <xdr:txBody>
        <a:bodyPr rtlCol="0" anchor="ctr"/>
        <a:lstStyle/>
        <a:p>
          <a:pPr algn="ctr"/>
          <a:r>
            <a:rPr lang="en-US" sz="2400" b="1"/>
            <a:t>2</a:t>
          </a:r>
        </a:p>
      </xdr:txBody>
    </xdr:sp>
    <xdr:clientData/>
  </xdr:twoCellAnchor>
  <xdr:twoCellAnchor>
    <xdr:from>
      <xdr:col>0</xdr:col>
      <xdr:colOff>981075</xdr:colOff>
      <xdr:row>11</xdr:row>
      <xdr:rowOff>133350</xdr:rowOff>
    </xdr:from>
    <xdr:to>
      <xdr:col>2</xdr:col>
      <xdr:colOff>0</xdr:colOff>
      <xdr:row>14</xdr:row>
      <xdr:rowOff>69366</xdr:rowOff>
    </xdr:to>
    <xdr:sp macro="" textlink="">
      <xdr:nvSpPr>
        <xdr:cNvPr id="29" name="Oval 28"/>
        <xdr:cNvSpPr/>
      </xdr:nvSpPr>
      <xdr:spPr>
        <a:xfrm>
          <a:off x="981075" y="2562225"/>
          <a:ext cx="552450" cy="507516"/>
        </a:xfrm>
        <a:prstGeom prst="ellipse">
          <a:avLst/>
        </a:prstGeom>
        <a:ln/>
      </xdr:spPr>
      <xdr:style>
        <a:lnRef idx="2">
          <a:schemeClr val="dk1"/>
        </a:lnRef>
        <a:fillRef idx="1">
          <a:schemeClr val="lt1"/>
        </a:fillRef>
        <a:effectRef idx="0">
          <a:schemeClr val="dk1"/>
        </a:effectRef>
        <a:fontRef idx="minor">
          <a:schemeClr val="dk1"/>
        </a:fontRef>
      </xdr:style>
      <xdr:txBody>
        <a:bodyPr rtlCol="0" anchor="ctr"/>
        <a:lstStyle/>
        <a:p>
          <a:pPr algn="ctr"/>
          <a:r>
            <a:rPr lang="en-US" sz="2400" b="1"/>
            <a:t>3</a:t>
          </a:r>
        </a:p>
      </xdr:txBody>
    </xdr:sp>
    <xdr:clientData/>
  </xdr:twoCellAnchor>
  <xdr:twoCellAnchor>
    <xdr:from>
      <xdr:col>0</xdr:col>
      <xdr:colOff>981075</xdr:colOff>
      <xdr:row>15</xdr:row>
      <xdr:rowOff>38100</xdr:rowOff>
    </xdr:from>
    <xdr:to>
      <xdr:col>2</xdr:col>
      <xdr:colOff>0</xdr:colOff>
      <xdr:row>17</xdr:row>
      <xdr:rowOff>164616</xdr:rowOff>
    </xdr:to>
    <xdr:sp macro="" textlink="">
      <xdr:nvSpPr>
        <xdr:cNvPr id="30" name="Oval 29"/>
        <xdr:cNvSpPr/>
      </xdr:nvSpPr>
      <xdr:spPr>
        <a:xfrm>
          <a:off x="981075" y="3228975"/>
          <a:ext cx="552450" cy="507516"/>
        </a:xfrm>
        <a:prstGeom prst="ellipse">
          <a:avLst/>
        </a:prstGeom>
        <a:ln/>
      </xdr:spPr>
      <xdr:style>
        <a:lnRef idx="2">
          <a:schemeClr val="dk1"/>
        </a:lnRef>
        <a:fillRef idx="1">
          <a:schemeClr val="lt1"/>
        </a:fillRef>
        <a:effectRef idx="0">
          <a:schemeClr val="dk1"/>
        </a:effectRef>
        <a:fontRef idx="minor">
          <a:schemeClr val="dk1"/>
        </a:fontRef>
      </xdr:style>
      <xdr:txBody>
        <a:bodyPr rtlCol="0" anchor="ctr"/>
        <a:lstStyle/>
        <a:p>
          <a:pPr algn="ctr"/>
          <a:r>
            <a:rPr lang="en-US" sz="2400" b="1"/>
            <a:t>4</a:t>
          </a:r>
        </a:p>
      </xdr:txBody>
    </xdr:sp>
    <xdr:clientData/>
  </xdr:twoCellAnchor>
  <xdr:twoCellAnchor>
    <xdr:from>
      <xdr:col>0</xdr:col>
      <xdr:colOff>981075</xdr:colOff>
      <xdr:row>17</xdr:row>
      <xdr:rowOff>323850</xdr:rowOff>
    </xdr:from>
    <xdr:to>
      <xdr:col>2</xdr:col>
      <xdr:colOff>0</xdr:colOff>
      <xdr:row>19</xdr:row>
      <xdr:rowOff>40791</xdr:rowOff>
    </xdr:to>
    <xdr:sp macro="" textlink="">
      <xdr:nvSpPr>
        <xdr:cNvPr id="31" name="Oval 30"/>
        <xdr:cNvSpPr/>
      </xdr:nvSpPr>
      <xdr:spPr>
        <a:xfrm>
          <a:off x="981075" y="3895725"/>
          <a:ext cx="552450" cy="507516"/>
        </a:xfrm>
        <a:prstGeom prst="ellipse">
          <a:avLst/>
        </a:prstGeom>
        <a:ln/>
      </xdr:spPr>
      <xdr:style>
        <a:lnRef idx="2">
          <a:schemeClr val="dk1"/>
        </a:lnRef>
        <a:fillRef idx="1">
          <a:schemeClr val="lt1"/>
        </a:fillRef>
        <a:effectRef idx="0">
          <a:schemeClr val="dk1"/>
        </a:effectRef>
        <a:fontRef idx="minor">
          <a:schemeClr val="dk1"/>
        </a:fontRef>
      </xdr:style>
      <xdr:txBody>
        <a:bodyPr rtlCol="0" anchor="ctr"/>
        <a:lstStyle/>
        <a:p>
          <a:pPr algn="ctr"/>
          <a:r>
            <a:rPr lang="en-US" sz="2400" b="1"/>
            <a:t>5</a:t>
          </a:r>
        </a:p>
      </xdr:txBody>
    </xdr:sp>
    <xdr:clientData/>
  </xdr:twoCellAnchor>
  <xdr:twoCellAnchor>
    <xdr:from>
      <xdr:col>10</xdr:col>
      <xdr:colOff>209550</xdr:colOff>
      <xdr:row>7</xdr:row>
      <xdr:rowOff>152400</xdr:rowOff>
    </xdr:from>
    <xdr:to>
      <xdr:col>10</xdr:col>
      <xdr:colOff>419100</xdr:colOff>
      <xdr:row>18</xdr:row>
      <xdr:rowOff>9525</xdr:rowOff>
    </xdr:to>
    <xdr:cxnSp macro="">
      <xdr:nvCxnSpPr>
        <xdr:cNvPr id="53" name="Elbow Connector 52"/>
        <xdr:cNvCxnSpPr/>
      </xdr:nvCxnSpPr>
      <xdr:spPr>
        <a:xfrm rot="5400000" flipH="1" flipV="1">
          <a:off x="6029325" y="2876550"/>
          <a:ext cx="2247900" cy="209550"/>
        </a:xfrm>
        <a:prstGeom prst="bentConnector3">
          <a:avLst>
            <a:gd name="adj1" fmla="val 10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581025</xdr:colOff>
      <xdr:row>18</xdr:row>
      <xdr:rowOff>9525</xdr:rowOff>
    </xdr:from>
    <xdr:to>
      <xdr:col>10</xdr:col>
      <xdr:colOff>219075</xdr:colOff>
      <xdr:row>18</xdr:row>
      <xdr:rowOff>11113</xdr:rowOff>
    </xdr:to>
    <xdr:cxnSp macro="">
      <xdr:nvCxnSpPr>
        <xdr:cNvPr id="64" name="Straight Connector 63"/>
        <xdr:cNvCxnSpPr/>
      </xdr:nvCxnSpPr>
      <xdr:spPr>
        <a:xfrm rot="10800000">
          <a:off x="6810375" y="4105275"/>
          <a:ext cx="247650" cy="158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7</xdr:row>
      <xdr:rowOff>152400</xdr:rowOff>
    </xdr:from>
    <xdr:to>
      <xdr:col>10</xdr:col>
      <xdr:colOff>552450</xdr:colOff>
      <xdr:row>7</xdr:row>
      <xdr:rowOff>153988</xdr:rowOff>
    </xdr:to>
    <xdr:cxnSp macro="">
      <xdr:nvCxnSpPr>
        <xdr:cNvPr id="66" name="Straight Arrow Connector 65"/>
        <xdr:cNvCxnSpPr/>
      </xdr:nvCxnSpPr>
      <xdr:spPr>
        <a:xfrm>
          <a:off x="7210425" y="1857375"/>
          <a:ext cx="180975"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57149</xdr:colOff>
      <xdr:row>6</xdr:row>
      <xdr:rowOff>114225</xdr:rowOff>
    </xdr:from>
    <xdr:to>
      <xdr:col>17</xdr:col>
      <xdr:colOff>312995</xdr:colOff>
      <xdr:row>9</xdr:row>
      <xdr:rowOff>0</xdr:rowOff>
    </xdr:to>
    <xdr:sp macro="" textlink="">
      <xdr:nvSpPr>
        <xdr:cNvPr id="96" name="Rectangle 95"/>
        <xdr:cNvSpPr/>
      </xdr:nvSpPr>
      <xdr:spPr>
        <a:xfrm>
          <a:off x="7486649" y="1628700"/>
          <a:ext cx="3656271" cy="457275"/>
        </a:xfrm>
        <a:prstGeom prst="rect">
          <a:avLst/>
        </a:prstGeom>
        <a:scene3d>
          <a:camera prst="orthographicFront"/>
          <a:lightRig rig="flat" dir="t"/>
        </a:scene3d>
        <a:sp3d z="190500" extrusionH="12700" prstMaterial="plastic">
          <a:bevelT w="50800" h="50800"/>
        </a:sp3d>
      </xdr:spPr>
      <xdr:style>
        <a:lnRef idx="1">
          <a:schemeClr val="dk2">
            <a:hueOff val="0"/>
            <a:satOff val="0"/>
            <a:lumOff val="0"/>
            <a:alphaOff val="0"/>
          </a:schemeClr>
        </a:lnRef>
        <a:fillRef idx="1">
          <a:schemeClr val="lt2">
            <a:alpha val="90000"/>
            <a:hueOff val="0"/>
            <a:satOff val="0"/>
            <a:lumOff val="0"/>
            <a:alphaOff val="0"/>
          </a:schemeClr>
        </a:fillRef>
        <a:effectRef idx="2">
          <a:schemeClr val="lt2">
            <a:alpha val="90000"/>
            <a:hueOff val="0"/>
            <a:satOff val="0"/>
            <a:lumOff val="0"/>
            <a:alphaOff val="0"/>
          </a:schemeClr>
        </a:effectRef>
        <a:fontRef idx="minor">
          <a:schemeClr val="dk1">
            <a:hueOff val="0"/>
            <a:satOff val="0"/>
            <a:lumOff val="0"/>
            <a:alphaOff val="0"/>
          </a:schemeClr>
        </a:fontRef>
      </xdr:style>
    </xdr:sp>
    <xdr:clientData/>
  </xdr:twoCellAnchor>
  <xdr:twoCellAnchor>
    <xdr:from>
      <xdr:col>12</xdr:col>
      <xdr:colOff>13220</xdr:colOff>
      <xdr:row>5</xdr:row>
      <xdr:rowOff>9525</xdr:rowOff>
    </xdr:from>
    <xdr:to>
      <xdr:col>17</xdr:col>
      <xdr:colOff>313533</xdr:colOff>
      <xdr:row>7</xdr:row>
      <xdr:rowOff>164190</xdr:rowOff>
    </xdr:to>
    <xdr:grpSp>
      <xdr:nvGrpSpPr>
        <xdr:cNvPr id="97" name="Group 96">
          <a:hlinkClick xmlns:r="http://schemas.openxmlformats.org/officeDocument/2006/relationships" r:id="rId8"/>
        </xdr:cNvPr>
        <xdr:cNvGrpSpPr/>
      </xdr:nvGrpSpPr>
      <xdr:grpSpPr>
        <a:xfrm>
          <a:off x="7776095" y="1168400"/>
          <a:ext cx="3316563" cy="535665"/>
          <a:chOff x="205739" y="64799"/>
          <a:chExt cx="3261719" cy="590400"/>
        </a:xfrm>
        <a:scene3d>
          <a:camera prst="orthographicFront"/>
          <a:lightRig rig="flat" dir="t"/>
        </a:scene3d>
      </xdr:grpSpPr>
      <xdr:sp macro="" textlink="">
        <xdr:nvSpPr>
          <xdr:cNvPr id="106" name="Rounded Rectangle 105"/>
          <xdr:cNvSpPr/>
        </xdr:nvSpPr>
        <xdr:spPr>
          <a:xfrm>
            <a:off x="205739" y="64799"/>
            <a:ext cx="3261719" cy="590400"/>
          </a:xfrm>
          <a:prstGeom prst="roundRect">
            <a:avLst/>
          </a:prstGeom>
          <a:sp3d prstMaterial="plastic">
            <a:bevelT w="120900" h="88900"/>
            <a:bevelB w="88900" h="31750" prst="angle"/>
          </a:sp3d>
        </xdr:spPr>
        <xdr:style>
          <a:lnRef idx="0">
            <a:schemeClr val="lt2">
              <a:hueOff val="0"/>
              <a:satOff val="0"/>
              <a:lumOff val="0"/>
              <a:alphaOff val="0"/>
            </a:schemeClr>
          </a:lnRef>
          <a:fillRef idx="3">
            <a:schemeClr val="dk2">
              <a:hueOff val="0"/>
              <a:satOff val="0"/>
              <a:lumOff val="0"/>
              <a:alphaOff val="0"/>
            </a:schemeClr>
          </a:fillRef>
          <a:effectRef idx="2">
            <a:schemeClr val="dk2">
              <a:hueOff val="0"/>
              <a:satOff val="0"/>
              <a:lumOff val="0"/>
              <a:alphaOff val="0"/>
            </a:schemeClr>
          </a:effectRef>
          <a:fontRef idx="minor">
            <a:schemeClr val="lt1"/>
          </a:fontRef>
        </xdr:style>
      </xdr:sp>
      <xdr:sp macro="" textlink="">
        <xdr:nvSpPr>
          <xdr:cNvPr id="107" name="Rounded Rectangle 5"/>
          <xdr:cNvSpPr/>
        </xdr:nvSpPr>
        <xdr:spPr>
          <a:xfrm>
            <a:off x="234560" y="93620"/>
            <a:ext cx="3204077" cy="532758"/>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108871" tIns="0" rIns="108871" bIns="0" numCol="1" spcCol="1270" anchor="ctr" anchorCtr="0">
            <a:noAutofit/>
          </a:bodyPr>
          <a:lstStyle/>
          <a:p>
            <a:pPr lvl="0" algn="l" defTabSz="889000">
              <a:lnSpc>
                <a:spcPct val="90000"/>
              </a:lnSpc>
              <a:spcBef>
                <a:spcPct val="0"/>
              </a:spcBef>
              <a:spcAft>
                <a:spcPct val="35000"/>
              </a:spcAft>
            </a:pPr>
            <a:r>
              <a:rPr lang="en-US" sz="2000" kern="1200"/>
              <a:t>Cetak Rapor </a:t>
            </a:r>
          </a:p>
        </xdr:txBody>
      </xdr:sp>
    </xdr:grpSp>
    <xdr:clientData/>
  </xdr:twoCellAnchor>
  <xdr:twoCellAnchor>
    <xdr:from>
      <xdr:col>11</xdr:col>
      <xdr:colOff>57149</xdr:colOff>
      <xdr:row>11</xdr:row>
      <xdr:rowOff>40352</xdr:rowOff>
    </xdr:from>
    <xdr:to>
      <xdr:col>17</xdr:col>
      <xdr:colOff>312995</xdr:colOff>
      <xdr:row>13</xdr:row>
      <xdr:rowOff>123826</xdr:rowOff>
    </xdr:to>
    <xdr:sp macro="" textlink="">
      <xdr:nvSpPr>
        <xdr:cNvPr id="98" name="Rectangle 97"/>
        <xdr:cNvSpPr/>
      </xdr:nvSpPr>
      <xdr:spPr>
        <a:xfrm>
          <a:off x="7486649" y="2507327"/>
          <a:ext cx="3656271" cy="464474"/>
        </a:xfrm>
        <a:prstGeom prst="rect">
          <a:avLst/>
        </a:prstGeom>
        <a:scene3d>
          <a:camera prst="orthographicFront"/>
          <a:lightRig rig="flat" dir="t"/>
        </a:scene3d>
        <a:sp3d z="190500" extrusionH="12700" prstMaterial="plastic">
          <a:bevelT w="50800" h="50800"/>
        </a:sp3d>
      </xdr:spPr>
      <xdr:style>
        <a:lnRef idx="1">
          <a:schemeClr val="dk2">
            <a:hueOff val="0"/>
            <a:satOff val="0"/>
            <a:lumOff val="0"/>
            <a:alphaOff val="0"/>
          </a:schemeClr>
        </a:lnRef>
        <a:fillRef idx="1">
          <a:schemeClr val="lt2">
            <a:alpha val="90000"/>
            <a:hueOff val="0"/>
            <a:satOff val="0"/>
            <a:lumOff val="0"/>
            <a:alphaOff val="0"/>
          </a:schemeClr>
        </a:fillRef>
        <a:effectRef idx="2">
          <a:schemeClr val="lt2">
            <a:alpha val="90000"/>
            <a:hueOff val="0"/>
            <a:satOff val="0"/>
            <a:lumOff val="0"/>
            <a:alphaOff val="0"/>
          </a:schemeClr>
        </a:effectRef>
        <a:fontRef idx="minor">
          <a:schemeClr val="dk1">
            <a:hueOff val="0"/>
            <a:satOff val="0"/>
            <a:lumOff val="0"/>
            <a:alphaOff val="0"/>
          </a:schemeClr>
        </a:fontRef>
      </xdr:style>
    </xdr:sp>
    <xdr:clientData/>
  </xdr:twoCellAnchor>
  <xdr:twoCellAnchor>
    <xdr:from>
      <xdr:col>12</xdr:col>
      <xdr:colOff>13220</xdr:colOff>
      <xdr:row>9</xdr:row>
      <xdr:rowOff>126151</xdr:rowOff>
    </xdr:from>
    <xdr:to>
      <xdr:col>17</xdr:col>
      <xdr:colOff>313576</xdr:colOff>
      <xdr:row>12</xdr:row>
      <xdr:rowOff>98749</xdr:rowOff>
    </xdr:to>
    <xdr:grpSp>
      <xdr:nvGrpSpPr>
        <xdr:cNvPr id="99" name="Group 98"/>
        <xdr:cNvGrpSpPr/>
      </xdr:nvGrpSpPr>
      <xdr:grpSpPr>
        <a:xfrm>
          <a:off x="7776095" y="2047026"/>
          <a:ext cx="3316606" cy="544098"/>
          <a:chOff x="205739" y="972000"/>
          <a:chExt cx="3261748" cy="590400"/>
        </a:xfrm>
        <a:scene3d>
          <a:camera prst="orthographicFront"/>
          <a:lightRig rig="flat" dir="t"/>
        </a:scene3d>
      </xdr:grpSpPr>
      <xdr:sp macro="" textlink="">
        <xdr:nvSpPr>
          <xdr:cNvPr id="104" name="Rounded Rectangle 103"/>
          <xdr:cNvSpPr/>
        </xdr:nvSpPr>
        <xdr:spPr>
          <a:xfrm>
            <a:off x="205739" y="972000"/>
            <a:ext cx="3261748" cy="590400"/>
          </a:xfrm>
          <a:prstGeom prst="roundRect">
            <a:avLst/>
          </a:prstGeom>
          <a:sp3d prstMaterial="plastic">
            <a:bevelT w="120900" h="88900"/>
            <a:bevelB w="88900" h="31750" prst="angle"/>
          </a:sp3d>
        </xdr:spPr>
        <xdr:style>
          <a:lnRef idx="0">
            <a:schemeClr val="lt2">
              <a:hueOff val="0"/>
              <a:satOff val="0"/>
              <a:lumOff val="0"/>
              <a:alphaOff val="0"/>
            </a:schemeClr>
          </a:lnRef>
          <a:fillRef idx="3">
            <a:schemeClr val="dk2">
              <a:hueOff val="0"/>
              <a:satOff val="0"/>
              <a:lumOff val="0"/>
              <a:alphaOff val="0"/>
            </a:schemeClr>
          </a:fillRef>
          <a:effectRef idx="2">
            <a:schemeClr val="dk2">
              <a:hueOff val="0"/>
              <a:satOff val="0"/>
              <a:lumOff val="0"/>
              <a:alphaOff val="0"/>
            </a:schemeClr>
          </a:effectRef>
          <a:fontRef idx="minor">
            <a:schemeClr val="lt1"/>
          </a:fontRef>
        </xdr:style>
      </xdr:sp>
      <xdr:sp macro="" textlink="">
        <xdr:nvSpPr>
          <xdr:cNvPr id="105" name="Rounded Rectangle 8">
            <a:hlinkClick xmlns:r="http://schemas.openxmlformats.org/officeDocument/2006/relationships" r:id="rId9"/>
          </xdr:cNvPr>
          <xdr:cNvSpPr/>
        </xdr:nvSpPr>
        <xdr:spPr>
          <a:xfrm>
            <a:off x="234560" y="1000821"/>
            <a:ext cx="3204106" cy="532758"/>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108871" tIns="0" rIns="108871" bIns="0" numCol="1" spcCol="1270" anchor="ctr" anchorCtr="0">
            <a:noAutofit/>
          </a:bodyPr>
          <a:lstStyle/>
          <a:p>
            <a:pPr lvl="0" algn="l" defTabSz="889000">
              <a:lnSpc>
                <a:spcPct val="90000"/>
              </a:lnSpc>
              <a:spcBef>
                <a:spcPct val="0"/>
              </a:spcBef>
              <a:spcAft>
                <a:spcPct val="35000"/>
              </a:spcAft>
            </a:pPr>
            <a:r>
              <a:rPr lang="en-US" sz="2000" kern="1200"/>
              <a:t>Cetak Rangking (Urutan)</a:t>
            </a:r>
          </a:p>
        </xdr:txBody>
      </xdr:sp>
    </xdr:grpSp>
    <xdr:clientData/>
  </xdr:twoCellAnchor>
  <xdr:twoCellAnchor>
    <xdr:from>
      <xdr:col>11</xdr:col>
      <xdr:colOff>57149</xdr:colOff>
      <xdr:row>15</xdr:row>
      <xdr:rowOff>156975</xdr:rowOff>
    </xdr:from>
    <xdr:to>
      <xdr:col>17</xdr:col>
      <xdr:colOff>312995</xdr:colOff>
      <xdr:row>17</xdr:row>
      <xdr:rowOff>238124</xdr:rowOff>
    </xdr:to>
    <xdr:sp macro="" textlink="">
      <xdr:nvSpPr>
        <xdr:cNvPr id="100" name="Rectangle 99"/>
        <xdr:cNvSpPr/>
      </xdr:nvSpPr>
      <xdr:spPr>
        <a:xfrm>
          <a:off x="7486649" y="3385950"/>
          <a:ext cx="3656271" cy="462149"/>
        </a:xfrm>
        <a:prstGeom prst="rect">
          <a:avLst/>
        </a:prstGeom>
        <a:scene3d>
          <a:camera prst="orthographicFront"/>
          <a:lightRig rig="flat" dir="t"/>
        </a:scene3d>
        <a:sp3d z="190500" extrusionH="12700" prstMaterial="plastic">
          <a:bevelT w="50800" h="50800"/>
        </a:sp3d>
      </xdr:spPr>
      <xdr:style>
        <a:lnRef idx="1">
          <a:schemeClr val="dk2">
            <a:hueOff val="0"/>
            <a:satOff val="0"/>
            <a:lumOff val="0"/>
            <a:alphaOff val="0"/>
          </a:schemeClr>
        </a:lnRef>
        <a:fillRef idx="1">
          <a:schemeClr val="lt2">
            <a:alpha val="90000"/>
            <a:hueOff val="0"/>
            <a:satOff val="0"/>
            <a:lumOff val="0"/>
            <a:alphaOff val="0"/>
          </a:schemeClr>
        </a:fillRef>
        <a:effectRef idx="2">
          <a:schemeClr val="lt2">
            <a:alpha val="90000"/>
            <a:hueOff val="0"/>
            <a:satOff val="0"/>
            <a:lumOff val="0"/>
            <a:alphaOff val="0"/>
          </a:schemeClr>
        </a:effectRef>
        <a:fontRef idx="minor">
          <a:schemeClr val="dk1">
            <a:hueOff val="0"/>
            <a:satOff val="0"/>
            <a:lumOff val="0"/>
            <a:alphaOff val="0"/>
          </a:schemeClr>
        </a:fontRef>
      </xdr:style>
    </xdr:sp>
    <xdr:clientData/>
  </xdr:twoCellAnchor>
  <xdr:twoCellAnchor>
    <xdr:from>
      <xdr:col>12</xdr:col>
      <xdr:colOff>13220</xdr:colOff>
      <xdr:row>14</xdr:row>
      <xdr:rowOff>52276</xdr:rowOff>
    </xdr:from>
    <xdr:to>
      <xdr:col>17</xdr:col>
      <xdr:colOff>314325</xdr:colOff>
      <xdr:row>17</xdr:row>
      <xdr:rowOff>22150</xdr:rowOff>
    </xdr:to>
    <xdr:grpSp>
      <xdr:nvGrpSpPr>
        <xdr:cNvPr id="101" name="Group 100">
          <a:hlinkClick xmlns:r="http://schemas.openxmlformats.org/officeDocument/2006/relationships" r:id="rId10"/>
        </xdr:cNvPr>
        <xdr:cNvGrpSpPr/>
      </xdr:nvGrpSpPr>
      <xdr:grpSpPr>
        <a:xfrm>
          <a:off x="7776095" y="2925651"/>
          <a:ext cx="3317355" cy="541374"/>
          <a:chOff x="205739" y="1879200"/>
          <a:chExt cx="3271772" cy="590400"/>
        </a:xfrm>
        <a:scene3d>
          <a:camera prst="orthographicFront"/>
          <a:lightRig rig="flat" dir="t"/>
        </a:scene3d>
      </xdr:grpSpPr>
      <xdr:sp macro="" textlink="">
        <xdr:nvSpPr>
          <xdr:cNvPr id="102" name="Rounded Rectangle 101"/>
          <xdr:cNvSpPr/>
        </xdr:nvSpPr>
        <xdr:spPr>
          <a:xfrm>
            <a:off x="205739" y="1879200"/>
            <a:ext cx="3271772" cy="590400"/>
          </a:xfrm>
          <a:prstGeom prst="roundRect">
            <a:avLst/>
          </a:prstGeom>
          <a:sp3d prstMaterial="plastic">
            <a:bevelT w="120900" h="88900"/>
            <a:bevelB w="88900" h="31750" prst="angle"/>
          </a:sp3d>
        </xdr:spPr>
        <xdr:style>
          <a:lnRef idx="0">
            <a:schemeClr val="lt2">
              <a:hueOff val="0"/>
              <a:satOff val="0"/>
              <a:lumOff val="0"/>
              <a:alphaOff val="0"/>
            </a:schemeClr>
          </a:lnRef>
          <a:fillRef idx="3">
            <a:schemeClr val="dk2">
              <a:hueOff val="0"/>
              <a:satOff val="0"/>
              <a:lumOff val="0"/>
              <a:alphaOff val="0"/>
            </a:schemeClr>
          </a:fillRef>
          <a:effectRef idx="2">
            <a:schemeClr val="dk2">
              <a:hueOff val="0"/>
              <a:satOff val="0"/>
              <a:lumOff val="0"/>
              <a:alphaOff val="0"/>
            </a:schemeClr>
          </a:effectRef>
          <a:fontRef idx="minor">
            <a:schemeClr val="lt1"/>
          </a:fontRef>
        </xdr:style>
      </xdr:sp>
      <xdr:sp macro="" textlink="">
        <xdr:nvSpPr>
          <xdr:cNvPr id="103" name="Rounded Rectangle 11"/>
          <xdr:cNvSpPr/>
        </xdr:nvSpPr>
        <xdr:spPr>
          <a:xfrm>
            <a:off x="234560" y="1908021"/>
            <a:ext cx="3214130" cy="532758"/>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108871" tIns="0" rIns="108871" bIns="0" numCol="1" spcCol="1270" anchor="ctr" anchorCtr="0">
            <a:noAutofit/>
          </a:bodyPr>
          <a:lstStyle/>
          <a:p>
            <a:pPr lvl="0" algn="l" defTabSz="889000">
              <a:lnSpc>
                <a:spcPct val="90000"/>
              </a:lnSpc>
              <a:spcBef>
                <a:spcPct val="0"/>
              </a:spcBef>
              <a:spcAft>
                <a:spcPct val="35000"/>
              </a:spcAft>
            </a:pPr>
            <a:r>
              <a:rPr lang="en-US" sz="2000" kern="1200"/>
              <a:t>Cetak Nilai</a:t>
            </a:r>
            <a:r>
              <a:rPr lang="en-US" sz="2000" kern="1200" baseline="0"/>
              <a:t> (Leger)</a:t>
            </a:r>
            <a:endParaRPr lang="en-US" sz="2000" kern="1200"/>
          </a:p>
        </xdr:txBody>
      </xdr:sp>
    </xdr:grpSp>
    <xdr:clientData/>
  </xdr:twoCellAnchor>
  <xdr:twoCellAnchor>
    <xdr:from>
      <xdr:col>11</xdr:col>
      <xdr:colOff>66675</xdr:colOff>
      <xdr:row>18</xdr:row>
      <xdr:rowOff>161849</xdr:rowOff>
    </xdr:from>
    <xdr:to>
      <xdr:col>17</xdr:col>
      <xdr:colOff>322521</xdr:colOff>
      <xdr:row>20</xdr:row>
      <xdr:rowOff>128698</xdr:rowOff>
    </xdr:to>
    <xdr:sp macro="" textlink="">
      <xdr:nvSpPr>
        <xdr:cNvPr id="62" name="Rectangle 61"/>
        <xdr:cNvSpPr/>
      </xdr:nvSpPr>
      <xdr:spPr>
        <a:xfrm>
          <a:off x="7496175" y="4257599"/>
          <a:ext cx="3656271" cy="462149"/>
        </a:xfrm>
        <a:prstGeom prst="rect">
          <a:avLst/>
        </a:prstGeom>
        <a:scene3d>
          <a:camera prst="orthographicFront"/>
          <a:lightRig rig="flat" dir="t"/>
        </a:scene3d>
        <a:sp3d z="190500" extrusionH="12700" prstMaterial="plastic">
          <a:bevelT w="50800" h="50800"/>
        </a:sp3d>
      </xdr:spPr>
      <xdr:style>
        <a:lnRef idx="1">
          <a:schemeClr val="dk2">
            <a:hueOff val="0"/>
            <a:satOff val="0"/>
            <a:lumOff val="0"/>
            <a:alphaOff val="0"/>
          </a:schemeClr>
        </a:lnRef>
        <a:fillRef idx="1">
          <a:schemeClr val="lt2">
            <a:alpha val="90000"/>
            <a:hueOff val="0"/>
            <a:satOff val="0"/>
            <a:lumOff val="0"/>
            <a:alphaOff val="0"/>
          </a:schemeClr>
        </a:fillRef>
        <a:effectRef idx="2">
          <a:schemeClr val="lt2">
            <a:alpha val="90000"/>
            <a:hueOff val="0"/>
            <a:satOff val="0"/>
            <a:lumOff val="0"/>
            <a:alphaOff val="0"/>
          </a:schemeClr>
        </a:effectRef>
        <a:fontRef idx="minor">
          <a:schemeClr val="dk1">
            <a:hueOff val="0"/>
            <a:satOff val="0"/>
            <a:lumOff val="0"/>
            <a:alphaOff val="0"/>
          </a:schemeClr>
        </a:fontRef>
      </xdr:style>
    </xdr:sp>
    <xdr:clientData/>
  </xdr:twoCellAnchor>
  <xdr:twoCellAnchor>
    <xdr:from>
      <xdr:col>12</xdr:col>
      <xdr:colOff>22746</xdr:colOff>
      <xdr:row>17</xdr:row>
      <xdr:rowOff>352425</xdr:rowOff>
    </xdr:from>
    <xdr:to>
      <xdr:col>17</xdr:col>
      <xdr:colOff>323851</xdr:colOff>
      <xdr:row>19</xdr:row>
      <xdr:rowOff>103224</xdr:rowOff>
    </xdr:to>
    <xdr:grpSp>
      <xdr:nvGrpSpPr>
        <xdr:cNvPr id="63" name="Group 62">
          <a:hlinkClick xmlns:r="http://schemas.openxmlformats.org/officeDocument/2006/relationships" r:id="rId11"/>
        </xdr:cNvPr>
        <xdr:cNvGrpSpPr/>
      </xdr:nvGrpSpPr>
      <xdr:grpSpPr>
        <a:xfrm>
          <a:off x="7785621" y="3797300"/>
          <a:ext cx="3317355" cy="544549"/>
          <a:chOff x="205739" y="1879200"/>
          <a:chExt cx="3271772" cy="590400"/>
        </a:xfrm>
        <a:scene3d>
          <a:camera prst="orthographicFront"/>
          <a:lightRig rig="flat" dir="t"/>
        </a:scene3d>
      </xdr:grpSpPr>
      <xdr:sp macro="" textlink="">
        <xdr:nvSpPr>
          <xdr:cNvPr id="65" name="Rounded Rectangle 64"/>
          <xdr:cNvSpPr/>
        </xdr:nvSpPr>
        <xdr:spPr>
          <a:xfrm>
            <a:off x="205739" y="1879200"/>
            <a:ext cx="3271772" cy="590400"/>
          </a:xfrm>
          <a:prstGeom prst="roundRect">
            <a:avLst/>
          </a:prstGeom>
          <a:sp3d prstMaterial="plastic">
            <a:bevelT w="120900" h="88900"/>
            <a:bevelB w="88900" h="31750" prst="angle"/>
          </a:sp3d>
        </xdr:spPr>
        <xdr:style>
          <a:lnRef idx="0">
            <a:schemeClr val="lt2">
              <a:hueOff val="0"/>
              <a:satOff val="0"/>
              <a:lumOff val="0"/>
              <a:alphaOff val="0"/>
            </a:schemeClr>
          </a:lnRef>
          <a:fillRef idx="3">
            <a:schemeClr val="dk2">
              <a:hueOff val="0"/>
              <a:satOff val="0"/>
              <a:lumOff val="0"/>
              <a:alphaOff val="0"/>
            </a:schemeClr>
          </a:fillRef>
          <a:effectRef idx="2">
            <a:schemeClr val="dk2">
              <a:hueOff val="0"/>
              <a:satOff val="0"/>
              <a:lumOff val="0"/>
              <a:alphaOff val="0"/>
            </a:schemeClr>
          </a:effectRef>
          <a:fontRef idx="minor">
            <a:schemeClr val="lt1"/>
          </a:fontRef>
        </xdr:style>
      </xdr:sp>
      <xdr:sp macro="" textlink="">
        <xdr:nvSpPr>
          <xdr:cNvPr id="67" name="Rounded Rectangle 11"/>
          <xdr:cNvSpPr/>
        </xdr:nvSpPr>
        <xdr:spPr>
          <a:xfrm>
            <a:off x="234560" y="1908021"/>
            <a:ext cx="3214130" cy="532758"/>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108871" tIns="0" rIns="108871" bIns="0" numCol="1" spcCol="1270" anchor="ctr" anchorCtr="0">
            <a:noAutofit/>
          </a:bodyPr>
          <a:lstStyle/>
          <a:p>
            <a:pPr lvl="0" algn="l" defTabSz="889000">
              <a:lnSpc>
                <a:spcPct val="90000"/>
              </a:lnSpc>
              <a:spcBef>
                <a:spcPct val="0"/>
              </a:spcBef>
              <a:spcAft>
                <a:spcPct val="35000"/>
              </a:spcAft>
            </a:pPr>
            <a:r>
              <a:rPr lang="en-US" sz="2000" kern="1200"/>
              <a:t>Cetak</a:t>
            </a:r>
            <a:r>
              <a:rPr lang="en-US" sz="2000" kern="1200" baseline="0"/>
              <a:t> Tanda Terima Rapor</a:t>
            </a:r>
            <a:endParaRPr lang="en-US" sz="2000"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95250</xdr:colOff>
      <xdr:row>0</xdr:row>
      <xdr:rowOff>1</xdr:rowOff>
    </xdr:from>
    <xdr:to>
      <xdr:col>1</xdr:col>
      <xdr:colOff>819150</xdr:colOff>
      <xdr:row>3</xdr:row>
      <xdr:rowOff>161926</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5250" y="1"/>
          <a:ext cx="838200" cy="838200"/>
        </a:xfrm>
        <a:prstGeom prst="rect">
          <a:avLst/>
        </a:prstGeom>
      </xdr:spPr>
    </xdr:pic>
    <xdr:clientData/>
  </xdr:twoCellAnchor>
  <xdr:twoCellAnchor>
    <xdr:from>
      <xdr:col>1</xdr:col>
      <xdr:colOff>9526</xdr:colOff>
      <xdr:row>3</xdr:row>
      <xdr:rowOff>142874</xdr:rowOff>
    </xdr:from>
    <xdr:to>
      <xdr:col>1</xdr:col>
      <xdr:colOff>790575</xdr:colOff>
      <xdr:row>4</xdr:row>
      <xdr:rowOff>43152</xdr:rowOff>
    </xdr:to>
    <xdr:sp macro="" textlink="">
      <xdr:nvSpPr>
        <xdr:cNvPr id="3" name="Round Diagonal Corner Rectangle 2">
          <a:hlinkClick xmlns:r="http://schemas.openxmlformats.org/officeDocument/2006/relationships" r:id="rId3"/>
        </xdr:cNvPr>
        <xdr:cNvSpPr/>
      </xdr:nvSpPr>
      <xdr:spPr>
        <a:xfrm>
          <a:off x="123826" y="819149"/>
          <a:ext cx="7810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twoCellAnchor>
    <xdr:from>
      <xdr:col>1</xdr:col>
      <xdr:colOff>495300</xdr:colOff>
      <xdr:row>36</xdr:row>
      <xdr:rowOff>180975</xdr:rowOff>
    </xdr:from>
    <xdr:to>
      <xdr:col>2</xdr:col>
      <xdr:colOff>220860</xdr:colOff>
      <xdr:row>39</xdr:row>
      <xdr:rowOff>152399</xdr:rowOff>
    </xdr:to>
    <xdr:sp macro="" textlink="">
      <xdr:nvSpPr>
        <xdr:cNvPr id="5" name="Up Arrow 4">
          <a:hlinkClick xmlns:r="http://schemas.openxmlformats.org/officeDocument/2006/relationships" r:id="rId4"/>
        </xdr:cNvPr>
        <xdr:cNvSpPr/>
      </xdr:nvSpPr>
      <xdr:spPr>
        <a:xfrm>
          <a:off x="609600" y="7810500"/>
          <a:ext cx="687585" cy="600074"/>
        </a:xfrm>
        <a:prstGeom prst="upArrow">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clientData/>
  </xdr:twoCellAnchor>
  <xdr:twoCellAnchor>
    <xdr:from>
      <xdr:col>0</xdr:col>
      <xdr:colOff>114299</xdr:colOff>
      <xdr:row>4</xdr:row>
      <xdr:rowOff>104775</xdr:rowOff>
    </xdr:from>
    <xdr:to>
      <xdr:col>2</xdr:col>
      <xdr:colOff>333375</xdr:colOff>
      <xdr:row>5</xdr:row>
      <xdr:rowOff>143927</xdr:rowOff>
    </xdr:to>
    <xdr:sp macro="" textlink="">
      <xdr:nvSpPr>
        <xdr:cNvPr id="6" name="Round Diagonal Corner Rectangle 5">
          <a:hlinkClick xmlns:r="http://schemas.openxmlformats.org/officeDocument/2006/relationships" r:id="rId5"/>
        </xdr:cNvPr>
        <xdr:cNvSpPr/>
      </xdr:nvSpPr>
      <xdr:spPr>
        <a:xfrm>
          <a:off x="114299" y="1200150"/>
          <a:ext cx="1295401" cy="258227"/>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haroni" pitchFamily="2" charset="-79"/>
              <a:ea typeface="Ebrima" pitchFamily="2" charset="0"/>
              <a:cs typeface="Aharoni" pitchFamily="2" charset="-79"/>
            </a:rPr>
            <a:t>Buku Induk</a:t>
          </a:r>
          <a:r>
            <a:rPr lang="en-US"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haroni" pitchFamily="2" charset="-79"/>
              <a:ea typeface="Ebrima" pitchFamily="2" charset="0"/>
              <a:cs typeface="Aharoni" pitchFamily="2" charset="-79"/>
            </a:rPr>
            <a:t> </a:t>
          </a:r>
          <a:endParaRPr lang="en-US"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haroni" pitchFamily="2" charset="-79"/>
            <a:ea typeface="Ebrima" pitchFamily="2" charset="0"/>
            <a:cs typeface="Aharoni" pitchFamily="2" charset="-79"/>
          </a:endParaRPr>
        </a:p>
      </xdr:txBody>
    </xdr:sp>
    <xdr:clientData/>
  </xdr:twoCellAnchor>
  <xdr:twoCellAnchor>
    <xdr:from>
      <xdr:col>1</xdr:col>
      <xdr:colOff>19050</xdr:colOff>
      <xdr:row>32</xdr:row>
      <xdr:rowOff>114300</xdr:rowOff>
    </xdr:from>
    <xdr:to>
      <xdr:col>2</xdr:col>
      <xdr:colOff>352426</xdr:colOff>
      <xdr:row>33</xdr:row>
      <xdr:rowOff>162977</xdr:rowOff>
    </xdr:to>
    <xdr:sp macro="" textlink="">
      <xdr:nvSpPr>
        <xdr:cNvPr id="7" name="Round Diagonal Corner Rectangle 6">
          <a:hlinkClick xmlns:r="http://schemas.openxmlformats.org/officeDocument/2006/relationships" r:id="rId6"/>
        </xdr:cNvPr>
        <xdr:cNvSpPr/>
      </xdr:nvSpPr>
      <xdr:spPr>
        <a:xfrm>
          <a:off x="133350" y="6905625"/>
          <a:ext cx="1295401" cy="258227"/>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haroni" pitchFamily="2" charset="-79"/>
              <a:ea typeface="Ebrima" pitchFamily="2" charset="0"/>
              <a:cs typeface="Aharoni" pitchFamily="2" charset="-79"/>
            </a:rPr>
            <a:t>Lihat Predikat</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xdr:colOff>
      <xdr:row>0</xdr:row>
      <xdr:rowOff>19051</xdr:rowOff>
    </xdr:from>
    <xdr:to>
      <xdr:col>0</xdr:col>
      <xdr:colOff>857250</xdr:colOff>
      <xdr:row>2</xdr:row>
      <xdr:rowOff>371476</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9050" y="19051"/>
          <a:ext cx="838200" cy="838200"/>
        </a:xfrm>
        <a:prstGeom prst="rect">
          <a:avLst/>
        </a:prstGeom>
      </xdr:spPr>
    </xdr:pic>
    <xdr:clientData/>
  </xdr:twoCellAnchor>
  <xdr:twoCellAnchor>
    <xdr:from>
      <xdr:col>0</xdr:col>
      <xdr:colOff>76201</xdr:colOff>
      <xdr:row>2</xdr:row>
      <xdr:rowOff>380998</xdr:rowOff>
    </xdr:from>
    <xdr:to>
      <xdr:col>0</xdr:col>
      <xdr:colOff>857250</xdr:colOff>
      <xdr:row>4</xdr:row>
      <xdr:rowOff>71726</xdr:rowOff>
    </xdr:to>
    <xdr:sp macro="" textlink="">
      <xdr:nvSpPr>
        <xdr:cNvPr id="3" name="Round Diagonal Corner Rectangle 2">
          <a:hlinkClick xmlns:r="http://schemas.openxmlformats.org/officeDocument/2006/relationships" r:id="rId3"/>
        </xdr:cNvPr>
        <xdr:cNvSpPr/>
      </xdr:nvSpPr>
      <xdr:spPr>
        <a:xfrm>
          <a:off x="76201" y="866773"/>
          <a:ext cx="7810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19050</xdr:colOff>
      <xdr:row>0</xdr:row>
      <xdr:rowOff>19051</xdr:rowOff>
    </xdr:from>
    <xdr:to>
      <xdr:col>0</xdr:col>
      <xdr:colOff>857250</xdr:colOff>
      <xdr:row>2</xdr:row>
      <xdr:rowOff>371476</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9050" y="19051"/>
          <a:ext cx="838200" cy="838200"/>
        </a:xfrm>
        <a:prstGeom prst="rect">
          <a:avLst/>
        </a:prstGeom>
      </xdr:spPr>
    </xdr:pic>
    <xdr:clientData/>
  </xdr:twoCellAnchor>
  <xdr:twoCellAnchor>
    <xdr:from>
      <xdr:col>0</xdr:col>
      <xdr:colOff>76201</xdr:colOff>
      <xdr:row>2</xdr:row>
      <xdr:rowOff>380999</xdr:rowOff>
    </xdr:from>
    <xdr:to>
      <xdr:col>0</xdr:col>
      <xdr:colOff>857250</xdr:colOff>
      <xdr:row>4</xdr:row>
      <xdr:rowOff>81252</xdr:rowOff>
    </xdr:to>
    <xdr:sp macro="" textlink="">
      <xdr:nvSpPr>
        <xdr:cNvPr id="3" name="Round Diagonal Corner Rectangle 2">
          <a:hlinkClick xmlns:r="http://schemas.openxmlformats.org/officeDocument/2006/relationships" r:id="rId3"/>
        </xdr:cNvPr>
        <xdr:cNvSpPr/>
      </xdr:nvSpPr>
      <xdr:spPr>
        <a:xfrm>
          <a:off x="76201" y="866774"/>
          <a:ext cx="7810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xdr:colOff>
      <xdr:row>0</xdr:row>
      <xdr:rowOff>19051</xdr:rowOff>
    </xdr:from>
    <xdr:to>
      <xdr:col>0</xdr:col>
      <xdr:colOff>857250</xdr:colOff>
      <xdr:row>2</xdr:row>
      <xdr:rowOff>371476</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9050" y="19051"/>
          <a:ext cx="838200" cy="838200"/>
        </a:xfrm>
        <a:prstGeom prst="rect">
          <a:avLst/>
        </a:prstGeom>
      </xdr:spPr>
    </xdr:pic>
    <xdr:clientData/>
  </xdr:twoCellAnchor>
  <xdr:twoCellAnchor>
    <xdr:from>
      <xdr:col>0</xdr:col>
      <xdr:colOff>76201</xdr:colOff>
      <xdr:row>2</xdr:row>
      <xdr:rowOff>390524</xdr:rowOff>
    </xdr:from>
    <xdr:to>
      <xdr:col>0</xdr:col>
      <xdr:colOff>857250</xdr:colOff>
      <xdr:row>4</xdr:row>
      <xdr:rowOff>81252</xdr:rowOff>
    </xdr:to>
    <xdr:sp macro="" textlink="">
      <xdr:nvSpPr>
        <xdr:cNvPr id="3" name="Round Diagonal Corner Rectangle 2">
          <a:hlinkClick xmlns:r="http://schemas.openxmlformats.org/officeDocument/2006/relationships" r:id="rId3"/>
        </xdr:cNvPr>
        <xdr:cNvSpPr/>
      </xdr:nvSpPr>
      <xdr:spPr>
        <a:xfrm>
          <a:off x="76201" y="876299"/>
          <a:ext cx="7810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19050</xdr:colOff>
      <xdr:row>0</xdr:row>
      <xdr:rowOff>19051</xdr:rowOff>
    </xdr:from>
    <xdr:to>
      <xdr:col>0</xdr:col>
      <xdr:colOff>857250</xdr:colOff>
      <xdr:row>2</xdr:row>
      <xdr:rowOff>371476</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9050" y="19051"/>
          <a:ext cx="838200" cy="838200"/>
        </a:xfrm>
        <a:prstGeom prst="rect">
          <a:avLst/>
        </a:prstGeom>
      </xdr:spPr>
    </xdr:pic>
    <xdr:clientData/>
  </xdr:twoCellAnchor>
  <xdr:twoCellAnchor>
    <xdr:from>
      <xdr:col>0</xdr:col>
      <xdr:colOff>76201</xdr:colOff>
      <xdr:row>2</xdr:row>
      <xdr:rowOff>380999</xdr:rowOff>
    </xdr:from>
    <xdr:to>
      <xdr:col>0</xdr:col>
      <xdr:colOff>857250</xdr:colOff>
      <xdr:row>4</xdr:row>
      <xdr:rowOff>81252</xdr:rowOff>
    </xdr:to>
    <xdr:sp macro="" textlink="">
      <xdr:nvSpPr>
        <xdr:cNvPr id="3" name="Round Diagonal Corner Rectangle 2">
          <a:hlinkClick xmlns:r="http://schemas.openxmlformats.org/officeDocument/2006/relationships" r:id="rId3"/>
        </xdr:cNvPr>
        <xdr:cNvSpPr/>
      </xdr:nvSpPr>
      <xdr:spPr>
        <a:xfrm>
          <a:off x="76201" y="866774"/>
          <a:ext cx="7810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838200</xdr:colOff>
      <xdr:row>4</xdr:row>
      <xdr:rowOff>27370</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0" y="1"/>
          <a:ext cx="838200" cy="838200"/>
        </a:xfrm>
        <a:prstGeom prst="rect">
          <a:avLst/>
        </a:prstGeom>
      </xdr:spPr>
    </xdr:pic>
    <xdr:clientData/>
  </xdr:twoCellAnchor>
  <xdr:twoCellAnchor>
    <xdr:from>
      <xdr:col>0</xdr:col>
      <xdr:colOff>57151</xdr:colOff>
      <xdr:row>4</xdr:row>
      <xdr:rowOff>57150</xdr:rowOff>
    </xdr:from>
    <xdr:to>
      <xdr:col>0</xdr:col>
      <xdr:colOff>838200</xdr:colOff>
      <xdr:row>6</xdr:row>
      <xdr:rowOff>251971</xdr:rowOff>
    </xdr:to>
    <xdr:sp macro="" textlink="">
      <xdr:nvSpPr>
        <xdr:cNvPr id="3" name="Round Diagonal Corner Rectangle 2">
          <a:hlinkClick xmlns:r="http://schemas.openxmlformats.org/officeDocument/2006/relationships" r:id="rId3"/>
        </xdr:cNvPr>
        <xdr:cNvSpPr/>
      </xdr:nvSpPr>
      <xdr:spPr>
        <a:xfrm>
          <a:off x="57151" y="848458"/>
          <a:ext cx="7810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twoCellAnchor>
    <xdr:from>
      <xdr:col>9</xdr:col>
      <xdr:colOff>152960</xdr:colOff>
      <xdr:row>0</xdr:row>
      <xdr:rowOff>161192</xdr:rowOff>
    </xdr:from>
    <xdr:to>
      <xdr:col>9</xdr:col>
      <xdr:colOff>904875</xdr:colOff>
      <xdr:row>5</xdr:row>
      <xdr:rowOff>36634</xdr:rowOff>
    </xdr:to>
    <xdr:pic macro="[0]!Sheet1.Cetak">
      <xdr:nvPicPr>
        <xdr:cNvPr id="5" name="Picture 4" descr="Print.png"/>
        <xdr:cNvPicPr>
          <a:picLocks noChangeAspect="1"/>
        </xdr:cNvPicPr>
      </xdr:nvPicPr>
      <xdr:blipFill>
        <a:blip xmlns:r="http://schemas.openxmlformats.org/officeDocument/2006/relationships" r:embed="rId4" cstate="print"/>
        <a:srcRect l="12751" t="11763" r="13424" b="12486"/>
        <a:stretch>
          <a:fillRect/>
        </a:stretch>
      </xdr:blipFill>
      <xdr:spPr>
        <a:xfrm>
          <a:off x="6754518" y="161192"/>
          <a:ext cx="751915" cy="747346"/>
        </a:xfrm>
        <a:prstGeom prst="rect">
          <a:avLst/>
        </a:prstGeom>
      </xdr:spPr>
    </xdr:pic>
    <xdr:clientData/>
  </xdr:twoCellAnchor>
  <xdr:twoCellAnchor>
    <xdr:from>
      <xdr:col>9</xdr:col>
      <xdr:colOff>187963</xdr:colOff>
      <xdr:row>4</xdr:row>
      <xdr:rowOff>185386</xdr:rowOff>
    </xdr:from>
    <xdr:to>
      <xdr:col>9</xdr:col>
      <xdr:colOff>772286</xdr:colOff>
      <xdr:row>6</xdr:row>
      <xdr:rowOff>189542</xdr:rowOff>
    </xdr:to>
    <xdr:sp macro="" textlink="">
      <xdr:nvSpPr>
        <xdr:cNvPr id="6" name="TextBox 5"/>
        <xdr:cNvSpPr txBox="1"/>
      </xdr:nvSpPr>
      <xdr:spPr>
        <a:xfrm>
          <a:off x="6798313" y="985486"/>
          <a:ext cx="584323" cy="26133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pPr algn="l"/>
          <a:r>
            <a:rPr lang="en-US" sz="1400" b="1">
              <a:solidFill>
                <a:srgbClr val="FF0000"/>
              </a:solidFill>
              <a:latin typeface="Arial" pitchFamily="34" charset="0"/>
              <a:cs typeface="Arial" pitchFamily="34" charset="0"/>
            </a:rPr>
            <a:t>Cetak</a:t>
          </a:r>
        </a:p>
      </xdr:txBody>
    </xdr:sp>
    <xdr:clientData/>
  </xdr:twoCellAnchor>
  <xdr:twoCellAnchor>
    <xdr:from>
      <xdr:col>9</xdr:col>
      <xdr:colOff>87311</xdr:colOff>
      <xdr:row>6</xdr:row>
      <xdr:rowOff>380997</xdr:rowOff>
    </xdr:from>
    <xdr:to>
      <xdr:col>9</xdr:col>
      <xdr:colOff>985974</xdr:colOff>
      <xdr:row>12</xdr:row>
      <xdr:rowOff>69985</xdr:rowOff>
    </xdr:to>
    <xdr:grpSp>
      <xdr:nvGrpSpPr>
        <xdr:cNvPr id="7" name="Group 6"/>
        <xdr:cNvGrpSpPr/>
      </xdr:nvGrpSpPr>
      <xdr:grpSpPr>
        <a:xfrm>
          <a:off x="6697661" y="1314447"/>
          <a:ext cx="898663" cy="1022488"/>
          <a:chOff x="8972550" y="2324100"/>
          <a:chExt cx="895350" cy="1028700"/>
        </a:xfrm>
      </xdr:grpSpPr>
      <xdr:pic macro="[0]!Group7_Click">
        <xdr:nvPicPr>
          <xdr:cNvPr id="8" name="Picture 7" descr="Preview.png"/>
          <xdr:cNvPicPr>
            <a:picLocks noChangeAspect="1"/>
          </xdr:cNvPicPr>
        </xdr:nvPicPr>
        <xdr:blipFill>
          <a:blip xmlns:r="http://schemas.openxmlformats.org/officeDocument/2006/relationships" r:embed="rId5" cstate="print"/>
          <a:stretch>
            <a:fillRect/>
          </a:stretch>
        </xdr:blipFill>
        <xdr:spPr>
          <a:xfrm>
            <a:off x="9048749" y="2324100"/>
            <a:ext cx="819151" cy="824433"/>
          </a:xfrm>
          <a:prstGeom prst="rect">
            <a:avLst/>
          </a:prstGeom>
        </xdr:spPr>
      </xdr:pic>
      <xdr:sp macro="[0]!Group7_Click" textlink="">
        <xdr:nvSpPr>
          <xdr:cNvPr id="9" name="TextBox 8"/>
          <xdr:cNvSpPr txBox="1"/>
        </xdr:nvSpPr>
        <xdr:spPr>
          <a:xfrm>
            <a:off x="8972550" y="3122940"/>
            <a:ext cx="790575" cy="2298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en-US" sz="1400" b="1">
                <a:solidFill>
                  <a:srgbClr val="FF0000"/>
                </a:solidFill>
                <a:latin typeface="Arial" pitchFamily="34" charset="0"/>
                <a:cs typeface="Arial" pitchFamily="34" charset="0"/>
              </a:rPr>
              <a:t>Pratinjau</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0</xdr:colOff>
      <xdr:row>2</xdr:row>
      <xdr:rowOff>236920</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0" y="1"/>
          <a:ext cx="838200" cy="836994"/>
        </a:xfrm>
        <a:prstGeom prst="rect">
          <a:avLst/>
        </a:prstGeom>
      </xdr:spPr>
    </xdr:pic>
    <xdr:clientData/>
  </xdr:twoCellAnchor>
  <xdr:twoCellAnchor>
    <xdr:from>
      <xdr:col>10</xdr:col>
      <xdr:colOff>38101</xdr:colOff>
      <xdr:row>0</xdr:row>
      <xdr:rowOff>189768</xdr:rowOff>
    </xdr:from>
    <xdr:to>
      <xdr:col>11</xdr:col>
      <xdr:colOff>571501</xdr:colOff>
      <xdr:row>6</xdr:row>
      <xdr:rowOff>188777</xdr:rowOff>
    </xdr:to>
    <xdr:grpSp>
      <xdr:nvGrpSpPr>
        <xdr:cNvPr id="3" name="Group 2"/>
        <xdr:cNvGrpSpPr/>
      </xdr:nvGrpSpPr>
      <xdr:grpSpPr>
        <a:xfrm>
          <a:off x="6629401" y="189768"/>
          <a:ext cx="838200" cy="1389659"/>
          <a:chOff x="6934200" y="161193"/>
          <a:chExt cx="923925" cy="1342799"/>
        </a:xfrm>
      </xdr:grpSpPr>
      <xdr:pic macro="[0]!Sheet1.Cetak">
        <xdr:nvPicPr>
          <xdr:cNvPr id="4" name="Picture 3" descr="Print.png"/>
          <xdr:cNvPicPr>
            <a:picLocks noChangeAspect="1"/>
          </xdr:cNvPicPr>
        </xdr:nvPicPr>
        <xdr:blipFill>
          <a:blip xmlns:r="http://schemas.openxmlformats.org/officeDocument/2006/relationships" r:embed="rId3" cstate="print"/>
          <a:srcRect l="12751" t="11763" r="13424" b="12486"/>
          <a:stretch>
            <a:fillRect/>
          </a:stretch>
        </xdr:blipFill>
        <xdr:spPr>
          <a:xfrm>
            <a:off x="6934200" y="161193"/>
            <a:ext cx="923925" cy="857982"/>
          </a:xfrm>
          <a:prstGeom prst="rect">
            <a:avLst/>
          </a:prstGeom>
        </xdr:spPr>
      </xdr:pic>
      <xdr:sp macro="[0]!Sheet1.Cetak" textlink="">
        <xdr:nvSpPr>
          <xdr:cNvPr id="5" name="TextBox 4"/>
          <xdr:cNvSpPr txBox="1"/>
        </xdr:nvSpPr>
        <xdr:spPr>
          <a:xfrm>
            <a:off x="7055488" y="1019175"/>
            <a:ext cx="584323" cy="484817"/>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pPr algn="l"/>
            <a:r>
              <a:rPr lang="en-US" sz="1400" b="1">
                <a:solidFill>
                  <a:srgbClr val="FF0000"/>
                </a:solidFill>
                <a:latin typeface="Arial" pitchFamily="34" charset="0"/>
                <a:cs typeface="Arial" pitchFamily="34" charset="0"/>
              </a:rPr>
              <a:t>Cetak</a:t>
            </a:r>
          </a:p>
        </xdr:txBody>
      </xdr:sp>
    </xdr:grpSp>
    <xdr:clientData/>
  </xdr:twoCellAnchor>
  <xdr:twoCellAnchor>
    <xdr:from>
      <xdr:col>10</xdr:col>
      <xdr:colOff>11112</xdr:colOff>
      <xdr:row>6</xdr:row>
      <xdr:rowOff>171447</xdr:rowOff>
    </xdr:from>
    <xdr:to>
      <xdr:col>11</xdr:col>
      <xdr:colOff>561976</xdr:colOff>
      <xdr:row>11</xdr:row>
      <xdr:rowOff>101363</xdr:rowOff>
    </xdr:to>
    <xdr:grpSp>
      <xdr:nvGrpSpPr>
        <xdr:cNvPr id="6" name="Group 5"/>
        <xdr:cNvGrpSpPr/>
      </xdr:nvGrpSpPr>
      <xdr:grpSpPr>
        <a:xfrm>
          <a:off x="6602412" y="1562097"/>
          <a:ext cx="855664" cy="891941"/>
          <a:chOff x="8972550" y="2324100"/>
          <a:chExt cx="895350" cy="1028700"/>
        </a:xfrm>
      </xdr:grpSpPr>
      <xdr:pic macro="[0]!Group7_Click">
        <xdr:nvPicPr>
          <xdr:cNvPr id="7" name="Picture 6" descr="Preview.png"/>
          <xdr:cNvPicPr>
            <a:picLocks noChangeAspect="1"/>
          </xdr:cNvPicPr>
        </xdr:nvPicPr>
        <xdr:blipFill>
          <a:blip xmlns:r="http://schemas.openxmlformats.org/officeDocument/2006/relationships" r:embed="rId4" cstate="print"/>
          <a:stretch>
            <a:fillRect/>
          </a:stretch>
        </xdr:blipFill>
        <xdr:spPr>
          <a:xfrm>
            <a:off x="9048749" y="2324100"/>
            <a:ext cx="819151" cy="824433"/>
          </a:xfrm>
          <a:prstGeom prst="rect">
            <a:avLst/>
          </a:prstGeom>
        </xdr:spPr>
      </xdr:pic>
      <xdr:sp macro="[0]!Group7_Click" textlink="">
        <xdr:nvSpPr>
          <xdr:cNvPr id="8" name="TextBox 7"/>
          <xdr:cNvSpPr txBox="1"/>
        </xdr:nvSpPr>
        <xdr:spPr>
          <a:xfrm>
            <a:off x="8972550" y="3122940"/>
            <a:ext cx="790575" cy="2298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en-US" sz="1400" b="1">
                <a:solidFill>
                  <a:srgbClr val="FF0000"/>
                </a:solidFill>
                <a:latin typeface="Arial" pitchFamily="34" charset="0"/>
                <a:cs typeface="Arial" pitchFamily="34" charset="0"/>
              </a:rPr>
              <a:t>Pratinjau</a:t>
            </a:r>
          </a:p>
        </xdr:txBody>
      </xdr:sp>
    </xdr:grpSp>
    <xdr:clientData/>
  </xdr:twoCellAnchor>
  <xdr:twoCellAnchor>
    <xdr:from>
      <xdr:col>0</xdr:col>
      <xdr:colOff>38101</xdr:colOff>
      <xdr:row>5</xdr:row>
      <xdr:rowOff>19050</xdr:rowOff>
    </xdr:from>
    <xdr:to>
      <xdr:col>1</xdr:col>
      <xdr:colOff>390525</xdr:colOff>
      <xdr:row>6</xdr:row>
      <xdr:rowOff>138403</xdr:rowOff>
    </xdr:to>
    <xdr:sp macro="" textlink="">
      <xdr:nvSpPr>
        <xdr:cNvPr id="9" name="Round Diagonal Corner Rectangle 8">
          <a:hlinkClick xmlns:r="http://schemas.openxmlformats.org/officeDocument/2006/relationships" r:id="rId5"/>
        </xdr:cNvPr>
        <xdr:cNvSpPr/>
      </xdr:nvSpPr>
      <xdr:spPr>
        <a:xfrm>
          <a:off x="38101" y="1038225"/>
          <a:ext cx="12382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Leger Ganjil</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twoCellAnchor>
    <xdr:from>
      <xdr:col>0</xdr:col>
      <xdr:colOff>38100</xdr:colOff>
      <xdr:row>20</xdr:row>
      <xdr:rowOff>238125</xdr:rowOff>
    </xdr:from>
    <xdr:to>
      <xdr:col>1</xdr:col>
      <xdr:colOff>409575</xdr:colOff>
      <xdr:row>22</xdr:row>
      <xdr:rowOff>109828</xdr:rowOff>
    </xdr:to>
    <xdr:sp macro="" textlink="">
      <xdr:nvSpPr>
        <xdr:cNvPr id="10" name="Round Diagonal Corner Rectangle 9">
          <a:hlinkClick xmlns:r="http://schemas.openxmlformats.org/officeDocument/2006/relationships" r:id="rId6"/>
        </xdr:cNvPr>
        <xdr:cNvSpPr/>
      </xdr:nvSpPr>
      <xdr:spPr>
        <a:xfrm>
          <a:off x="38100" y="4152900"/>
          <a:ext cx="1257300"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Leger Genap</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twoCellAnchor editAs="oneCell">
    <xdr:from>
      <xdr:col>0</xdr:col>
      <xdr:colOff>152400</xdr:colOff>
      <xdr:row>0</xdr:row>
      <xdr:rowOff>171450</xdr:rowOff>
    </xdr:from>
    <xdr:to>
      <xdr:col>1</xdr:col>
      <xdr:colOff>104775</xdr:colOff>
      <xdr:row>4</xdr:row>
      <xdr:rowOff>65469</xdr:rowOff>
    </xdr:to>
    <xdr:pic>
      <xdr:nvPicPr>
        <xdr:cNvPr id="11" name="Picture 10" descr="Home.png">
          <a:hlinkClick xmlns:r="http://schemas.openxmlformats.org/officeDocument/2006/relationships" r:id="rId7"/>
        </xdr:cNvPr>
        <xdr:cNvPicPr>
          <a:picLocks noChangeAspect="1"/>
        </xdr:cNvPicPr>
      </xdr:nvPicPr>
      <xdr:blipFill>
        <a:blip xmlns:r="http://schemas.openxmlformats.org/officeDocument/2006/relationships" r:embed="rId2" cstate="print"/>
        <a:stretch>
          <a:fillRect/>
        </a:stretch>
      </xdr:blipFill>
      <xdr:spPr>
        <a:xfrm>
          <a:off x="152400" y="171450"/>
          <a:ext cx="838200" cy="83699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0</xdr:row>
      <xdr:rowOff>1</xdr:rowOff>
    </xdr:from>
    <xdr:to>
      <xdr:col>2</xdr:col>
      <xdr:colOff>209550</xdr:colOff>
      <xdr:row>3</xdr:row>
      <xdr:rowOff>123825</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14300" y="1"/>
          <a:ext cx="838200" cy="800099"/>
        </a:xfrm>
        <a:prstGeom prst="rect">
          <a:avLst/>
        </a:prstGeom>
      </xdr:spPr>
    </xdr:pic>
    <xdr:clientData/>
  </xdr:twoCellAnchor>
  <xdr:twoCellAnchor>
    <xdr:from>
      <xdr:col>1</xdr:col>
      <xdr:colOff>57151</xdr:colOff>
      <xdr:row>3</xdr:row>
      <xdr:rowOff>247649</xdr:rowOff>
    </xdr:from>
    <xdr:to>
      <xdr:col>2</xdr:col>
      <xdr:colOff>171450</xdr:colOff>
      <xdr:row>4</xdr:row>
      <xdr:rowOff>147927</xdr:rowOff>
    </xdr:to>
    <xdr:sp macro="" textlink="">
      <xdr:nvSpPr>
        <xdr:cNvPr id="3" name="Round Diagonal Corner Rectangle 2">
          <a:hlinkClick xmlns:r="http://schemas.openxmlformats.org/officeDocument/2006/relationships" r:id="rId3"/>
        </xdr:cNvPr>
        <xdr:cNvSpPr/>
      </xdr:nvSpPr>
      <xdr:spPr>
        <a:xfrm>
          <a:off x="171451" y="923924"/>
          <a:ext cx="7429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twoCellAnchor>
    <xdr:from>
      <xdr:col>1</xdr:col>
      <xdr:colOff>50427</xdr:colOff>
      <xdr:row>20</xdr:row>
      <xdr:rowOff>162654</xdr:rowOff>
    </xdr:from>
    <xdr:to>
      <xdr:col>2</xdr:col>
      <xdr:colOff>342737</xdr:colOff>
      <xdr:row>25</xdr:row>
      <xdr:rowOff>159804</xdr:rowOff>
    </xdr:to>
    <xdr:grpSp>
      <xdr:nvGrpSpPr>
        <xdr:cNvPr id="10" name="Group 9"/>
        <xdr:cNvGrpSpPr/>
      </xdr:nvGrpSpPr>
      <xdr:grpSpPr>
        <a:xfrm>
          <a:off x="162486" y="4633801"/>
          <a:ext cx="919839" cy="1061709"/>
          <a:chOff x="162486" y="4633801"/>
          <a:chExt cx="919839" cy="1061709"/>
        </a:xfrm>
      </xdr:grpSpPr>
      <xdr:pic macro="[0]!Group7_Click">
        <xdr:nvPicPr>
          <xdr:cNvPr id="6" name="Picture 5" descr="Preview.png"/>
          <xdr:cNvPicPr>
            <a:picLocks noChangeAspect="1"/>
          </xdr:cNvPicPr>
        </xdr:nvPicPr>
        <xdr:blipFill>
          <a:blip xmlns:r="http://schemas.openxmlformats.org/officeDocument/2006/relationships" r:embed="rId4" cstate="print"/>
          <a:stretch>
            <a:fillRect/>
          </a:stretch>
        </xdr:blipFill>
        <xdr:spPr>
          <a:xfrm>
            <a:off x="179255" y="4633801"/>
            <a:ext cx="903070" cy="832926"/>
          </a:xfrm>
          <a:prstGeom prst="rect">
            <a:avLst/>
          </a:prstGeom>
        </xdr:spPr>
      </xdr:pic>
      <xdr:sp macro="[0]!Group7_Click" textlink="">
        <xdr:nvSpPr>
          <xdr:cNvPr id="7" name="TextBox 6"/>
          <xdr:cNvSpPr txBox="1"/>
        </xdr:nvSpPr>
        <xdr:spPr>
          <a:xfrm>
            <a:off x="162486" y="5463282"/>
            <a:ext cx="871566" cy="232228"/>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en-US" sz="1400" b="1">
                <a:solidFill>
                  <a:srgbClr val="FF0000"/>
                </a:solidFill>
                <a:latin typeface="Arial" pitchFamily="34" charset="0"/>
                <a:cs typeface="Arial" pitchFamily="34" charset="0"/>
              </a:rPr>
              <a:t>Pratinjau</a:t>
            </a:r>
          </a:p>
        </xdr:txBody>
      </xdr:sp>
    </xdr:grpSp>
    <xdr:clientData/>
  </xdr:twoCellAnchor>
  <xdr:twoCellAnchor>
    <xdr:from>
      <xdr:col>1</xdr:col>
      <xdr:colOff>94224</xdr:colOff>
      <xdr:row>15</xdr:row>
      <xdr:rowOff>47625</xdr:rowOff>
    </xdr:from>
    <xdr:to>
      <xdr:col>2</xdr:col>
      <xdr:colOff>276225</xdr:colOff>
      <xdr:row>20</xdr:row>
      <xdr:rowOff>23206</xdr:rowOff>
    </xdr:to>
    <xdr:grpSp>
      <xdr:nvGrpSpPr>
        <xdr:cNvPr id="9" name="Group 8"/>
        <xdr:cNvGrpSpPr/>
      </xdr:nvGrpSpPr>
      <xdr:grpSpPr>
        <a:xfrm>
          <a:off x="206283" y="3454213"/>
          <a:ext cx="809530" cy="1040140"/>
          <a:chOff x="541899" y="3514725"/>
          <a:chExt cx="751915" cy="1023331"/>
        </a:xfrm>
      </xdr:grpSpPr>
      <xdr:pic macro="[0]!Sheet1.Cetak">
        <xdr:nvPicPr>
          <xdr:cNvPr id="4" name="Picture 3" descr="Print.png"/>
          <xdr:cNvPicPr>
            <a:picLocks noChangeAspect="1"/>
          </xdr:cNvPicPr>
        </xdr:nvPicPr>
        <xdr:blipFill>
          <a:blip xmlns:r="http://schemas.openxmlformats.org/officeDocument/2006/relationships" r:embed="rId5" cstate="print"/>
          <a:srcRect l="12751" t="11763" r="13424" b="12486"/>
          <a:stretch>
            <a:fillRect/>
          </a:stretch>
        </xdr:blipFill>
        <xdr:spPr>
          <a:xfrm>
            <a:off x="541899" y="3514725"/>
            <a:ext cx="751915" cy="753207"/>
          </a:xfrm>
          <a:prstGeom prst="rect">
            <a:avLst/>
          </a:prstGeom>
        </xdr:spPr>
      </xdr:pic>
      <xdr:sp macro="[0]!Sheet1.Cetak" textlink="">
        <xdr:nvSpPr>
          <xdr:cNvPr id="8" name="TextBox 7"/>
          <xdr:cNvSpPr txBox="1"/>
        </xdr:nvSpPr>
        <xdr:spPr>
          <a:xfrm>
            <a:off x="609600" y="4286250"/>
            <a:ext cx="584323" cy="251806"/>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pPr algn="ctr"/>
            <a:r>
              <a:rPr lang="en-US" sz="1400" b="1">
                <a:solidFill>
                  <a:srgbClr val="FF0000"/>
                </a:solidFill>
                <a:latin typeface="Arial" pitchFamily="34" charset="0"/>
                <a:cs typeface="Arial" pitchFamily="34" charset="0"/>
              </a:rPr>
              <a:t>Cetak</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11205</xdr:colOff>
      <xdr:row>0</xdr:row>
      <xdr:rowOff>145678</xdr:rowOff>
    </xdr:from>
    <xdr:to>
      <xdr:col>3</xdr:col>
      <xdr:colOff>0</xdr:colOff>
      <xdr:row>4</xdr:row>
      <xdr:rowOff>11205</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rcRect l="5682"/>
        <a:stretch>
          <a:fillRect/>
        </a:stretch>
      </xdr:blipFill>
      <xdr:spPr>
        <a:xfrm>
          <a:off x="11205" y="145678"/>
          <a:ext cx="930089" cy="963703"/>
        </a:xfrm>
        <a:prstGeom prst="rect">
          <a:avLst/>
        </a:prstGeom>
      </xdr:spPr>
    </xdr:pic>
    <xdr:clientData/>
  </xdr:twoCellAnchor>
  <xdr:twoCellAnchor>
    <xdr:from>
      <xdr:col>0</xdr:col>
      <xdr:colOff>76761</xdr:colOff>
      <xdr:row>4</xdr:row>
      <xdr:rowOff>42025</xdr:rowOff>
    </xdr:from>
    <xdr:to>
      <xdr:col>2</xdr:col>
      <xdr:colOff>6163</xdr:colOff>
      <xdr:row>5</xdr:row>
      <xdr:rowOff>132802</xdr:rowOff>
    </xdr:to>
    <xdr:sp macro="" textlink="">
      <xdr:nvSpPr>
        <xdr:cNvPr id="3" name="Round Diagonal Corner Rectangle 2">
          <a:hlinkClick xmlns:r="http://schemas.openxmlformats.org/officeDocument/2006/relationships" r:id="rId3"/>
        </xdr:cNvPr>
        <xdr:cNvSpPr/>
      </xdr:nvSpPr>
      <xdr:spPr>
        <a:xfrm>
          <a:off x="76761" y="1140201"/>
          <a:ext cx="781049" cy="314895"/>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twoCellAnchor>
    <xdr:from>
      <xdr:col>56</xdr:col>
      <xdr:colOff>129430</xdr:colOff>
      <xdr:row>6</xdr:row>
      <xdr:rowOff>58993</xdr:rowOff>
    </xdr:from>
    <xdr:to>
      <xdr:col>56</xdr:col>
      <xdr:colOff>1109382</xdr:colOff>
      <xdr:row>12</xdr:row>
      <xdr:rowOff>67237</xdr:rowOff>
    </xdr:to>
    <xdr:grpSp>
      <xdr:nvGrpSpPr>
        <xdr:cNvPr id="12" name="Group 11"/>
        <xdr:cNvGrpSpPr/>
      </xdr:nvGrpSpPr>
      <xdr:grpSpPr>
        <a:xfrm>
          <a:off x="13766989" y="1605405"/>
          <a:ext cx="979952" cy="1285714"/>
          <a:chOff x="336178" y="2804440"/>
          <a:chExt cx="845320" cy="1072915"/>
        </a:xfrm>
      </xdr:grpSpPr>
      <xdr:pic macro="[0]!Group7_Click">
        <xdr:nvPicPr>
          <xdr:cNvPr id="7" name="Picture 6" descr="Preview.png"/>
          <xdr:cNvPicPr>
            <a:picLocks noChangeAspect="1"/>
          </xdr:cNvPicPr>
        </xdr:nvPicPr>
        <xdr:blipFill>
          <a:blip xmlns:r="http://schemas.openxmlformats.org/officeDocument/2006/relationships" r:embed="rId4" cstate="print"/>
          <a:stretch>
            <a:fillRect/>
          </a:stretch>
        </xdr:blipFill>
        <xdr:spPr>
          <a:xfrm>
            <a:off x="364153" y="2804440"/>
            <a:ext cx="817345" cy="832926"/>
          </a:xfrm>
          <a:prstGeom prst="rect">
            <a:avLst/>
          </a:prstGeom>
        </xdr:spPr>
      </xdr:pic>
      <xdr:sp macro="[0]!Group7_Click" textlink="">
        <xdr:nvSpPr>
          <xdr:cNvPr id="8" name="TextBox 7"/>
          <xdr:cNvSpPr txBox="1"/>
        </xdr:nvSpPr>
        <xdr:spPr>
          <a:xfrm>
            <a:off x="336178" y="3645127"/>
            <a:ext cx="842991" cy="232228"/>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en-US" sz="1400" b="1">
                <a:solidFill>
                  <a:srgbClr val="FF0000"/>
                </a:solidFill>
                <a:latin typeface="Arial" pitchFamily="34" charset="0"/>
                <a:cs typeface="Arial" pitchFamily="34" charset="0"/>
              </a:rPr>
              <a:t>Pratinjau</a:t>
            </a:r>
          </a:p>
        </xdr:txBody>
      </xdr:sp>
    </xdr:grpSp>
    <xdr:clientData/>
  </xdr:twoCellAnchor>
  <xdr:twoCellAnchor>
    <xdr:from>
      <xdr:col>56</xdr:col>
      <xdr:colOff>184433</xdr:colOff>
      <xdr:row>1</xdr:row>
      <xdr:rowOff>91320</xdr:rowOff>
    </xdr:from>
    <xdr:to>
      <xdr:col>56</xdr:col>
      <xdr:colOff>1100810</xdr:colOff>
      <xdr:row>6</xdr:row>
      <xdr:rowOff>26879</xdr:rowOff>
    </xdr:to>
    <xdr:grpSp>
      <xdr:nvGrpSpPr>
        <xdr:cNvPr id="9" name="Group 8"/>
        <xdr:cNvGrpSpPr/>
      </xdr:nvGrpSpPr>
      <xdr:grpSpPr>
        <a:xfrm>
          <a:off x="13821992" y="315438"/>
          <a:ext cx="916377" cy="1257853"/>
          <a:chOff x="541899" y="3514725"/>
          <a:chExt cx="751915" cy="1023331"/>
        </a:xfrm>
      </xdr:grpSpPr>
      <xdr:pic macro="[0]!Sheet1.Cetak">
        <xdr:nvPicPr>
          <xdr:cNvPr id="10" name="Picture 9" descr="Print.png"/>
          <xdr:cNvPicPr>
            <a:picLocks noChangeAspect="1"/>
          </xdr:cNvPicPr>
        </xdr:nvPicPr>
        <xdr:blipFill>
          <a:blip xmlns:r="http://schemas.openxmlformats.org/officeDocument/2006/relationships" r:embed="rId5" cstate="print"/>
          <a:srcRect l="12751" t="11763" r="13424" b="12486"/>
          <a:stretch>
            <a:fillRect/>
          </a:stretch>
        </xdr:blipFill>
        <xdr:spPr>
          <a:xfrm>
            <a:off x="541899" y="3514725"/>
            <a:ext cx="751915" cy="753207"/>
          </a:xfrm>
          <a:prstGeom prst="rect">
            <a:avLst/>
          </a:prstGeom>
        </xdr:spPr>
      </xdr:pic>
      <xdr:sp macro="[0]!Sheet1.Cetak" textlink="">
        <xdr:nvSpPr>
          <xdr:cNvPr id="11" name="TextBox 10"/>
          <xdr:cNvSpPr txBox="1"/>
        </xdr:nvSpPr>
        <xdr:spPr>
          <a:xfrm>
            <a:off x="609600" y="4286250"/>
            <a:ext cx="584323" cy="251806"/>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pPr algn="ctr"/>
            <a:r>
              <a:rPr lang="en-US" sz="1400" b="1">
                <a:solidFill>
                  <a:srgbClr val="FF0000"/>
                </a:solidFill>
                <a:latin typeface="Arial" pitchFamily="34" charset="0"/>
                <a:cs typeface="Arial" pitchFamily="34" charset="0"/>
              </a:rPr>
              <a:t>Cetak</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19050</xdr:colOff>
      <xdr:row>0</xdr:row>
      <xdr:rowOff>19051</xdr:rowOff>
    </xdr:from>
    <xdr:to>
      <xdr:col>0</xdr:col>
      <xdr:colOff>19050</xdr:colOff>
      <xdr:row>2</xdr:row>
      <xdr:rowOff>66676</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9050" y="19051"/>
          <a:ext cx="838200" cy="838200"/>
        </a:xfrm>
        <a:prstGeom prst="rect">
          <a:avLst/>
        </a:prstGeom>
      </xdr:spPr>
    </xdr:pic>
    <xdr:clientData/>
  </xdr:twoCellAnchor>
  <xdr:twoCellAnchor>
    <xdr:from>
      <xdr:col>0</xdr:col>
      <xdr:colOff>78686</xdr:colOff>
      <xdr:row>3</xdr:row>
      <xdr:rowOff>14493</xdr:rowOff>
    </xdr:from>
    <xdr:to>
      <xdr:col>0</xdr:col>
      <xdr:colOff>853109</xdr:colOff>
      <xdr:row>5</xdr:row>
      <xdr:rowOff>10849</xdr:rowOff>
    </xdr:to>
    <xdr:sp macro="" textlink="">
      <xdr:nvSpPr>
        <xdr:cNvPr id="3" name="Round Diagonal Corner Rectangle 2">
          <a:hlinkClick xmlns:r="http://schemas.openxmlformats.org/officeDocument/2006/relationships" r:id="rId3"/>
        </xdr:cNvPr>
        <xdr:cNvSpPr/>
      </xdr:nvSpPr>
      <xdr:spPr>
        <a:xfrm>
          <a:off x="78686" y="817906"/>
          <a:ext cx="774423"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Admin</a:t>
          </a:r>
        </a:p>
      </xdr:txBody>
    </xdr:sp>
    <xdr:clientData/>
  </xdr:twoCellAnchor>
  <xdr:twoCellAnchor>
    <xdr:from>
      <xdr:col>3</xdr:col>
      <xdr:colOff>101311</xdr:colOff>
      <xdr:row>3</xdr:row>
      <xdr:rowOff>51955</xdr:rowOff>
    </xdr:from>
    <xdr:to>
      <xdr:col>4</xdr:col>
      <xdr:colOff>167120</xdr:colOff>
      <xdr:row>5</xdr:row>
      <xdr:rowOff>90055</xdr:rowOff>
    </xdr:to>
    <xdr:pic>
      <xdr:nvPicPr>
        <xdr:cNvPr id="4" name="Picture 2" descr="D:\DATA\LOGO\PEMKAB LU TRANSPARENT.png"/>
        <xdr:cNvPicPr>
          <a:picLocks noChangeAspect="1" noChangeArrowheads="1"/>
        </xdr:cNvPicPr>
      </xdr:nvPicPr>
      <xdr:blipFill>
        <a:blip xmlns:r="http://schemas.openxmlformats.org/officeDocument/2006/relationships" r:embed="rId4" cstate="print"/>
        <a:srcRect/>
        <a:stretch>
          <a:fillRect/>
        </a:stretch>
      </xdr:blipFill>
      <xdr:spPr bwMode="auto">
        <a:xfrm>
          <a:off x="1691986" y="947305"/>
          <a:ext cx="246784" cy="361950"/>
        </a:xfrm>
        <a:prstGeom prst="rect">
          <a:avLst/>
        </a:prstGeom>
        <a:noFill/>
        <a:ln w="9525">
          <a:noFill/>
          <a:miter lim="800000"/>
          <a:headEnd/>
          <a:tailEnd/>
        </a:ln>
      </xdr:spPr>
    </xdr:pic>
    <xdr:clientData/>
  </xdr:twoCellAnchor>
  <xdr:twoCellAnchor>
    <xdr:from>
      <xdr:col>3</xdr:col>
      <xdr:colOff>101311</xdr:colOff>
      <xdr:row>39</xdr:row>
      <xdr:rowOff>51955</xdr:rowOff>
    </xdr:from>
    <xdr:to>
      <xdr:col>4</xdr:col>
      <xdr:colOff>167120</xdr:colOff>
      <xdr:row>41</xdr:row>
      <xdr:rowOff>90055</xdr:rowOff>
    </xdr:to>
    <xdr:pic>
      <xdr:nvPicPr>
        <xdr:cNvPr id="5" name="Picture 2" descr="D:\DATA\LOGO\PEMKAB LU TRANSPARENT.png"/>
        <xdr:cNvPicPr>
          <a:picLocks noChangeAspect="1" noChangeArrowheads="1"/>
        </xdr:cNvPicPr>
      </xdr:nvPicPr>
      <xdr:blipFill>
        <a:blip xmlns:r="http://schemas.openxmlformats.org/officeDocument/2006/relationships" r:embed="rId4" cstate="print"/>
        <a:srcRect/>
        <a:stretch>
          <a:fillRect/>
        </a:stretch>
      </xdr:blipFill>
      <xdr:spPr bwMode="auto">
        <a:xfrm>
          <a:off x="1691986" y="3319030"/>
          <a:ext cx="246784" cy="361950"/>
        </a:xfrm>
        <a:prstGeom prst="rect">
          <a:avLst/>
        </a:prstGeom>
        <a:noFill/>
        <a:ln w="9525">
          <a:noFill/>
          <a:miter lim="800000"/>
          <a:headEnd/>
          <a:tailEnd/>
        </a:ln>
      </xdr:spPr>
    </xdr:pic>
    <xdr:clientData/>
  </xdr:twoCellAnchor>
  <xdr:twoCellAnchor>
    <xdr:from>
      <xdr:col>44</xdr:col>
      <xdr:colOff>523875</xdr:colOff>
      <xdr:row>11</xdr:row>
      <xdr:rowOff>38100</xdr:rowOff>
    </xdr:from>
    <xdr:to>
      <xdr:col>46</xdr:col>
      <xdr:colOff>136663</xdr:colOff>
      <xdr:row>33</xdr:row>
      <xdr:rowOff>66674</xdr:rowOff>
    </xdr:to>
    <xdr:grpSp>
      <xdr:nvGrpSpPr>
        <xdr:cNvPr id="8" name="Group 7"/>
        <xdr:cNvGrpSpPr/>
      </xdr:nvGrpSpPr>
      <xdr:grpSpPr>
        <a:xfrm>
          <a:off x="10231092" y="1885122"/>
          <a:ext cx="838614" cy="831987"/>
          <a:chOff x="10296525" y="2028825"/>
          <a:chExt cx="831988" cy="857249"/>
        </a:xfrm>
      </xdr:grpSpPr>
      <xdr:pic macro="[0]!Group7_Click">
        <xdr:nvPicPr>
          <xdr:cNvPr id="9" name="Picture 8" descr="Preview.png"/>
          <xdr:cNvPicPr>
            <a:picLocks noChangeAspect="1"/>
          </xdr:cNvPicPr>
        </xdr:nvPicPr>
        <xdr:blipFill>
          <a:blip xmlns:r="http://schemas.openxmlformats.org/officeDocument/2006/relationships" r:embed="rId5" cstate="print"/>
          <a:stretch>
            <a:fillRect/>
          </a:stretch>
        </xdr:blipFill>
        <xdr:spPr>
          <a:xfrm>
            <a:off x="10419618" y="2028825"/>
            <a:ext cx="708895" cy="687027"/>
          </a:xfrm>
          <a:prstGeom prst="rect">
            <a:avLst/>
          </a:prstGeom>
        </xdr:spPr>
      </xdr:pic>
      <xdr:sp macro="[0]!Group7_Click" textlink="">
        <xdr:nvSpPr>
          <xdr:cNvPr id="10" name="TextBox 9"/>
          <xdr:cNvSpPr txBox="1"/>
        </xdr:nvSpPr>
        <xdr:spPr>
          <a:xfrm>
            <a:off x="10296525" y="2694524"/>
            <a:ext cx="684165" cy="19155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en-US" sz="1400" b="1">
                <a:solidFill>
                  <a:srgbClr val="FF0000"/>
                </a:solidFill>
                <a:latin typeface="Arial" pitchFamily="34" charset="0"/>
                <a:cs typeface="Arial" pitchFamily="34" charset="0"/>
              </a:rPr>
              <a:t>Pratinjau</a:t>
            </a:r>
          </a:p>
        </xdr:txBody>
      </xdr:sp>
    </xdr:grpSp>
    <xdr:clientData/>
  </xdr:twoCellAnchor>
  <xdr:twoCellAnchor>
    <xdr:from>
      <xdr:col>45</xdr:col>
      <xdr:colOff>28575</xdr:colOff>
      <xdr:row>3</xdr:row>
      <xdr:rowOff>0</xdr:rowOff>
    </xdr:from>
    <xdr:to>
      <xdr:col>46</xdr:col>
      <xdr:colOff>150814</xdr:colOff>
      <xdr:row>10</xdr:row>
      <xdr:rowOff>42256</xdr:rowOff>
    </xdr:to>
    <xdr:grpSp>
      <xdr:nvGrpSpPr>
        <xdr:cNvPr id="11" name="Group 10"/>
        <xdr:cNvGrpSpPr/>
      </xdr:nvGrpSpPr>
      <xdr:grpSpPr>
        <a:xfrm>
          <a:off x="10348705" y="803413"/>
          <a:ext cx="735152" cy="936778"/>
          <a:chOff x="10382250" y="895350"/>
          <a:chExt cx="731839" cy="956656"/>
        </a:xfrm>
      </xdr:grpSpPr>
      <xdr:pic macro="[0]!Sheet1.Cetak">
        <xdr:nvPicPr>
          <xdr:cNvPr id="12" name="Picture 11" descr="Print.png"/>
          <xdr:cNvPicPr>
            <a:picLocks noChangeAspect="1"/>
          </xdr:cNvPicPr>
        </xdr:nvPicPr>
        <xdr:blipFill>
          <a:blip xmlns:r="http://schemas.openxmlformats.org/officeDocument/2006/relationships" r:embed="rId6" cstate="print"/>
          <a:srcRect l="12751" t="11763" r="13424" b="12486"/>
          <a:stretch>
            <a:fillRect/>
          </a:stretch>
        </xdr:blipFill>
        <xdr:spPr>
          <a:xfrm>
            <a:off x="10390749" y="895350"/>
            <a:ext cx="723340" cy="713642"/>
          </a:xfrm>
          <a:prstGeom prst="rect">
            <a:avLst/>
          </a:prstGeom>
        </xdr:spPr>
      </xdr:pic>
      <xdr:sp macro="[0]!Sheet1.Cetak" textlink="">
        <xdr:nvSpPr>
          <xdr:cNvPr id="13" name="TextBox 12"/>
          <xdr:cNvSpPr txBox="1"/>
        </xdr:nvSpPr>
        <xdr:spPr>
          <a:xfrm>
            <a:off x="10382250" y="1600200"/>
            <a:ext cx="584323" cy="251806"/>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pPr algn="l"/>
            <a:r>
              <a:rPr lang="en-US" sz="1400" b="1">
                <a:solidFill>
                  <a:srgbClr val="FF0000"/>
                </a:solidFill>
                <a:latin typeface="Arial" pitchFamily="34" charset="0"/>
                <a:cs typeface="Arial" pitchFamily="34" charset="0"/>
              </a:rPr>
              <a:t>Cetak</a:t>
            </a:r>
          </a:p>
        </xdr:txBody>
      </xdr:sp>
    </xdr:grpSp>
    <xdr:clientData/>
  </xdr:twoCellAnchor>
  <xdr:twoCellAnchor editAs="oneCell">
    <xdr:from>
      <xdr:col>0</xdr:col>
      <xdr:colOff>57150</xdr:colOff>
      <xdr:row>0</xdr:row>
      <xdr:rowOff>0</xdr:rowOff>
    </xdr:from>
    <xdr:to>
      <xdr:col>0</xdr:col>
      <xdr:colOff>834907</xdr:colOff>
      <xdr:row>2</xdr:row>
      <xdr:rowOff>275592</xdr:rowOff>
    </xdr:to>
    <xdr:pic>
      <xdr:nvPicPr>
        <xdr:cNvPr id="18" name="Picture 17" descr="Home.png">
          <a:hlinkClick xmlns:r="http://schemas.openxmlformats.org/officeDocument/2006/relationships" r:id="rId7"/>
        </xdr:cNvPr>
        <xdr:cNvPicPr>
          <a:picLocks noChangeAspect="1"/>
        </xdr:cNvPicPr>
      </xdr:nvPicPr>
      <xdr:blipFill>
        <a:blip xmlns:r="http://schemas.openxmlformats.org/officeDocument/2006/relationships" r:embed="rId8" cstate="print"/>
        <a:stretch>
          <a:fillRect/>
        </a:stretch>
      </xdr:blipFill>
      <xdr:spPr>
        <a:xfrm>
          <a:off x="57150" y="0"/>
          <a:ext cx="777757" cy="780831"/>
        </a:xfrm>
        <a:prstGeom prst="rect">
          <a:avLst/>
        </a:prstGeom>
      </xdr:spPr>
    </xdr:pic>
    <xdr:clientData/>
  </xdr:twoCellAnchor>
  <xdr:twoCellAnchor>
    <xdr:from>
      <xdr:col>3</xdr:col>
      <xdr:colOff>101311</xdr:colOff>
      <xdr:row>39</xdr:row>
      <xdr:rowOff>51955</xdr:rowOff>
    </xdr:from>
    <xdr:to>
      <xdr:col>4</xdr:col>
      <xdr:colOff>167120</xdr:colOff>
      <xdr:row>41</xdr:row>
      <xdr:rowOff>90055</xdr:rowOff>
    </xdr:to>
    <xdr:pic>
      <xdr:nvPicPr>
        <xdr:cNvPr id="23" name="Picture 2" descr="D:\DATA\LOGO\PEMKAB LU TRANSPARENT.png"/>
        <xdr:cNvPicPr>
          <a:picLocks noChangeAspect="1" noChangeArrowheads="1"/>
        </xdr:cNvPicPr>
      </xdr:nvPicPr>
      <xdr:blipFill>
        <a:blip xmlns:r="http://schemas.openxmlformats.org/officeDocument/2006/relationships" r:embed="rId4" cstate="print"/>
        <a:srcRect/>
        <a:stretch>
          <a:fillRect/>
        </a:stretch>
      </xdr:blipFill>
      <xdr:spPr bwMode="auto">
        <a:xfrm>
          <a:off x="1691986" y="852055"/>
          <a:ext cx="246784" cy="361950"/>
        </a:xfrm>
        <a:prstGeom prst="rect">
          <a:avLst/>
        </a:prstGeom>
        <a:noFill/>
        <a:ln w="9525">
          <a:noFill/>
          <a:miter lim="800000"/>
          <a:headEnd/>
          <a:tailEnd/>
        </a:ln>
      </xdr:spPr>
    </xdr:pic>
    <xdr:clientData/>
  </xdr:twoCellAnchor>
  <xdr:twoCellAnchor>
    <xdr:from>
      <xdr:col>3</xdr:col>
      <xdr:colOff>101311</xdr:colOff>
      <xdr:row>39</xdr:row>
      <xdr:rowOff>51955</xdr:rowOff>
    </xdr:from>
    <xdr:to>
      <xdr:col>4</xdr:col>
      <xdr:colOff>167120</xdr:colOff>
      <xdr:row>41</xdr:row>
      <xdr:rowOff>90055</xdr:rowOff>
    </xdr:to>
    <xdr:pic>
      <xdr:nvPicPr>
        <xdr:cNvPr id="46" name="Picture 2" descr="D:\DATA\LOGO\PEMKAB LU TRANSPARENT.png"/>
        <xdr:cNvPicPr>
          <a:picLocks noChangeAspect="1" noChangeArrowheads="1"/>
        </xdr:cNvPicPr>
      </xdr:nvPicPr>
      <xdr:blipFill>
        <a:blip xmlns:r="http://schemas.openxmlformats.org/officeDocument/2006/relationships" r:embed="rId4" cstate="print"/>
        <a:srcRect/>
        <a:stretch>
          <a:fillRect/>
        </a:stretch>
      </xdr:blipFill>
      <xdr:spPr bwMode="auto">
        <a:xfrm>
          <a:off x="1691986" y="852055"/>
          <a:ext cx="246784" cy="361950"/>
        </a:xfrm>
        <a:prstGeom prst="rect">
          <a:avLst/>
        </a:prstGeom>
        <a:noFill/>
        <a:ln w="9525">
          <a:noFill/>
          <a:miter lim="800000"/>
          <a:headEnd/>
          <a:tailEnd/>
        </a:ln>
      </xdr:spPr>
    </xdr:pic>
    <xdr:clientData/>
  </xdr:twoCellAnchor>
  <xdr:twoCellAnchor>
    <xdr:from>
      <xdr:col>3</xdr:col>
      <xdr:colOff>101311</xdr:colOff>
      <xdr:row>75</xdr:row>
      <xdr:rowOff>51955</xdr:rowOff>
    </xdr:from>
    <xdr:to>
      <xdr:col>4</xdr:col>
      <xdr:colOff>167120</xdr:colOff>
      <xdr:row>77</xdr:row>
      <xdr:rowOff>90055</xdr:rowOff>
    </xdr:to>
    <xdr:pic>
      <xdr:nvPicPr>
        <xdr:cNvPr id="53" name="Picture 2" descr="D:\DATA\LOGO\PEMKAB LU TRANSPARENT.png"/>
        <xdr:cNvPicPr>
          <a:picLocks noChangeAspect="1" noChangeArrowheads="1"/>
        </xdr:cNvPicPr>
      </xdr:nvPicPr>
      <xdr:blipFill>
        <a:blip xmlns:r="http://schemas.openxmlformats.org/officeDocument/2006/relationships" r:embed="rId4" cstate="print"/>
        <a:srcRect/>
        <a:stretch>
          <a:fillRect/>
        </a:stretch>
      </xdr:blipFill>
      <xdr:spPr bwMode="auto">
        <a:xfrm>
          <a:off x="1691986" y="852055"/>
          <a:ext cx="246784" cy="361950"/>
        </a:xfrm>
        <a:prstGeom prst="rect">
          <a:avLst/>
        </a:prstGeom>
        <a:noFill/>
        <a:ln w="9525">
          <a:noFill/>
          <a:miter lim="800000"/>
          <a:headEnd/>
          <a:tailEnd/>
        </a:ln>
      </xdr:spPr>
    </xdr:pic>
    <xdr:clientData/>
  </xdr:twoCellAnchor>
  <xdr:twoCellAnchor>
    <xdr:from>
      <xdr:col>3</xdr:col>
      <xdr:colOff>101311</xdr:colOff>
      <xdr:row>111</xdr:row>
      <xdr:rowOff>51955</xdr:rowOff>
    </xdr:from>
    <xdr:to>
      <xdr:col>4</xdr:col>
      <xdr:colOff>167120</xdr:colOff>
      <xdr:row>113</xdr:row>
      <xdr:rowOff>90055</xdr:rowOff>
    </xdr:to>
    <xdr:pic>
      <xdr:nvPicPr>
        <xdr:cNvPr id="60" name="Picture 2" descr="D:\DATA\LOGO\PEMKAB LU TRANSPARENT.png"/>
        <xdr:cNvPicPr>
          <a:picLocks noChangeAspect="1" noChangeArrowheads="1"/>
        </xdr:cNvPicPr>
      </xdr:nvPicPr>
      <xdr:blipFill>
        <a:blip xmlns:r="http://schemas.openxmlformats.org/officeDocument/2006/relationships" r:embed="rId4" cstate="print"/>
        <a:srcRect/>
        <a:stretch>
          <a:fillRect/>
        </a:stretch>
      </xdr:blipFill>
      <xdr:spPr bwMode="auto">
        <a:xfrm>
          <a:off x="1691986" y="852055"/>
          <a:ext cx="246784" cy="361950"/>
        </a:xfrm>
        <a:prstGeom prst="rect">
          <a:avLst/>
        </a:prstGeom>
        <a:noFill/>
        <a:ln w="9525">
          <a:noFill/>
          <a:miter lim="800000"/>
          <a:headEnd/>
          <a:tailEnd/>
        </a:ln>
      </xdr:spPr>
    </xdr:pic>
    <xdr:clientData/>
  </xdr:twoCellAnchor>
  <xdr:twoCellAnchor>
    <xdr:from>
      <xdr:col>44</xdr:col>
      <xdr:colOff>51224</xdr:colOff>
      <xdr:row>115</xdr:row>
      <xdr:rowOff>120224</xdr:rowOff>
    </xdr:from>
    <xdr:to>
      <xdr:col>45</xdr:col>
      <xdr:colOff>110699</xdr:colOff>
      <xdr:row>126</xdr:row>
      <xdr:rowOff>5924</xdr:rowOff>
    </xdr:to>
    <xdr:sp macro="" textlink="">
      <xdr:nvSpPr>
        <xdr:cNvPr id="85" name="Right Arrow 84">
          <a:hlinkClick xmlns:r="http://schemas.openxmlformats.org/officeDocument/2006/relationships" r:id="rId9"/>
        </xdr:cNvPr>
        <xdr:cNvSpPr/>
      </xdr:nvSpPr>
      <xdr:spPr>
        <a:xfrm rot="16200000">
          <a:off x="9658349" y="8601074"/>
          <a:ext cx="942975" cy="669075"/>
        </a:xfrm>
        <a:prstGeom prst="rightArrow">
          <a:avLst/>
        </a:prstGeom>
      </xdr:spPr>
      <xdr:style>
        <a:lnRef idx="0">
          <a:schemeClr val="accent6"/>
        </a:lnRef>
        <a:fillRef idx="3">
          <a:schemeClr val="accent6"/>
        </a:fillRef>
        <a:effectRef idx="3">
          <a:schemeClr val="accent6"/>
        </a:effectRef>
        <a:fontRef idx="minor">
          <a:schemeClr val="lt1"/>
        </a:fontRef>
      </xdr:style>
    </xdr:sp>
    <xdr:clientData/>
  </xdr:twoCellAnchor>
  <xdr:twoCellAnchor>
    <xdr:from>
      <xdr:col>44</xdr:col>
      <xdr:colOff>38100</xdr:colOff>
      <xdr:row>79</xdr:row>
      <xdr:rowOff>161925</xdr:rowOff>
    </xdr:from>
    <xdr:to>
      <xdr:col>45</xdr:col>
      <xdr:colOff>97575</xdr:colOff>
      <xdr:row>95</xdr:row>
      <xdr:rowOff>0</xdr:rowOff>
    </xdr:to>
    <xdr:sp macro="" textlink="">
      <xdr:nvSpPr>
        <xdr:cNvPr id="86" name="Right Arrow 85">
          <a:hlinkClick xmlns:r="http://schemas.openxmlformats.org/officeDocument/2006/relationships" r:id="rId10"/>
        </xdr:cNvPr>
        <xdr:cNvSpPr/>
      </xdr:nvSpPr>
      <xdr:spPr>
        <a:xfrm rot="16200000">
          <a:off x="9645225" y="6299625"/>
          <a:ext cx="942975" cy="669075"/>
        </a:xfrm>
        <a:prstGeom prst="rightArrow">
          <a:avLst/>
        </a:prstGeom>
      </xdr:spPr>
      <xdr:style>
        <a:lnRef idx="0">
          <a:schemeClr val="accent6"/>
        </a:lnRef>
        <a:fillRef idx="3">
          <a:schemeClr val="accent6"/>
        </a:fillRef>
        <a:effectRef idx="3">
          <a:schemeClr val="accent6"/>
        </a:effectRef>
        <a:fontRef idx="minor">
          <a:schemeClr val="lt1"/>
        </a:fontRef>
      </xdr:style>
    </xdr:sp>
    <xdr:clientData/>
  </xdr:twoCellAnchor>
  <xdr:twoCellAnchor>
    <xdr:from>
      <xdr:col>41</xdr:col>
      <xdr:colOff>82827</xdr:colOff>
      <xdr:row>40</xdr:row>
      <xdr:rowOff>115956</xdr:rowOff>
    </xdr:from>
    <xdr:to>
      <xdr:col>45</xdr:col>
      <xdr:colOff>612913</xdr:colOff>
      <xdr:row>74</xdr:row>
      <xdr:rowOff>31887</xdr:rowOff>
    </xdr:to>
    <xdr:grpSp>
      <xdr:nvGrpSpPr>
        <xdr:cNvPr id="43" name="Group 42">
          <a:hlinkClick xmlns:r="http://schemas.openxmlformats.org/officeDocument/2006/relationships" r:id="rId11"/>
        </xdr:cNvPr>
        <xdr:cNvGrpSpPr/>
      </xdr:nvGrpSpPr>
      <xdr:grpSpPr>
        <a:xfrm>
          <a:off x="8713305" y="3371021"/>
          <a:ext cx="2219738" cy="1936888"/>
          <a:chOff x="0" y="213270"/>
          <a:chExt cx="2390179" cy="1434107"/>
        </a:xfrm>
        <a:scene3d>
          <a:camera prst="orthographicFront"/>
          <a:lightRig rig="threePt" dir="t">
            <a:rot lat="0" lon="0" rev="7500000"/>
          </a:lightRig>
        </a:scene3d>
      </xdr:grpSpPr>
      <xdr:sp macro="" textlink="">
        <xdr:nvSpPr>
          <xdr:cNvPr id="44" name="Rectangle 43"/>
          <xdr:cNvSpPr/>
        </xdr:nvSpPr>
        <xdr:spPr>
          <a:xfrm>
            <a:off x="0" y="213270"/>
            <a:ext cx="2390179" cy="1434107"/>
          </a:xfrm>
          <a:prstGeom prst="rect">
            <a:avLst/>
          </a:prstGeom>
          <a:sp3d prstMaterial="plastic">
            <a:bevelT w="127000" h="25400" prst="relaxedInset"/>
          </a:sp3d>
        </xdr:spPr>
        <xdr:style>
          <a:lnRef idx="0">
            <a:schemeClr val="lt1">
              <a:hueOff val="0"/>
              <a:satOff val="0"/>
              <a:lumOff val="0"/>
              <a:alphaOff val="0"/>
            </a:schemeClr>
          </a:lnRef>
          <a:fillRef idx="3">
            <a:schemeClr val="accent1">
              <a:hueOff val="0"/>
              <a:satOff val="0"/>
              <a:lumOff val="0"/>
              <a:alphaOff val="0"/>
            </a:schemeClr>
          </a:fillRef>
          <a:effectRef idx="2">
            <a:schemeClr val="accent1">
              <a:hueOff val="0"/>
              <a:satOff val="0"/>
              <a:lumOff val="0"/>
              <a:alphaOff val="0"/>
            </a:schemeClr>
          </a:effectRef>
          <a:fontRef idx="minor">
            <a:schemeClr val="lt1"/>
          </a:fontRef>
        </xdr:style>
      </xdr:sp>
      <xdr:sp macro="" textlink="">
        <xdr:nvSpPr>
          <xdr:cNvPr id="45" name="Rectangle 44"/>
          <xdr:cNvSpPr/>
        </xdr:nvSpPr>
        <xdr:spPr>
          <a:xfrm>
            <a:off x="152400" y="232320"/>
            <a:ext cx="2237779" cy="1415057"/>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38100" tIns="38100" rIns="38100" bIns="38100" numCol="1" spcCol="1270" anchor="ctr" anchorCtr="0">
            <a:noAutofit/>
          </a:bodyPr>
          <a:lstStyle/>
          <a:p>
            <a:pPr lvl="0" algn="l" defTabSz="444500">
              <a:lnSpc>
                <a:spcPct val="90000"/>
              </a:lnSpc>
              <a:spcBef>
                <a:spcPct val="0"/>
              </a:spcBef>
              <a:spcAft>
                <a:spcPct val="35000"/>
              </a:spcAft>
            </a:pPr>
            <a:r>
              <a:rPr lang="en-US" sz="1200" b="1" i="0" u="none" kern="1200"/>
              <a:t>Cara Memasukkan Foto :</a:t>
            </a:r>
            <a:endParaRPr lang="en-US" sz="1200" b="1" kern="1200"/>
          </a:p>
          <a:p>
            <a:pPr lvl="0" algn="l" defTabSz="444500">
              <a:lnSpc>
                <a:spcPct val="90000"/>
              </a:lnSpc>
              <a:spcBef>
                <a:spcPct val="0"/>
              </a:spcBef>
              <a:spcAft>
                <a:spcPct val="35000"/>
              </a:spcAft>
            </a:pPr>
            <a:r>
              <a:rPr lang="en-US" sz="1200" b="0" i="0" u="none" kern="1200"/>
              <a:t>1. Klik pada kotak isian foto</a:t>
            </a:r>
            <a:endParaRPr lang="en-US" sz="1200" kern="1200"/>
          </a:p>
          <a:p>
            <a:pPr lvl="0" algn="l" defTabSz="444500">
              <a:lnSpc>
                <a:spcPct val="90000"/>
              </a:lnSpc>
              <a:spcBef>
                <a:spcPct val="0"/>
              </a:spcBef>
              <a:spcAft>
                <a:spcPct val="35000"/>
              </a:spcAft>
            </a:pPr>
            <a:r>
              <a:rPr lang="en-US" sz="1200" b="0" i="0" u="none" kern="1200"/>
              <a:t>2. Klik menu insert, picture</a:t>
            </a:r>
            <a:endParaRPr lang="en-US" sz="1200" kern="1200"/>
          </a:p>
          <a:p>
            <a:pPr lvl="0" algn="l" defTabSz="444500">
              <a:lnSpc>
                <a:spcPct val="90000"/>
              </a:lnSpc>
              <a:spcBef>
                <a:spcPct val="0"/>
              </a:spcBef>
              <a:spcAft>
                <a:spcPct val="35000"/>
              </a:spcAft>
            </a:pPr>
            <a:r>
              <a:rPr lang="en-US" sz="1200" b="0" i="0" u="none" kern="1200"/>
              <a:t>3. Atur ukuran foto menggunakan mouse</a:t>
            </a:r>
            <a:r>
              <a:rPr lang="en-US" sz="1200" b="0" i="0" u="none" kern="1200" baseline="0"/>
              <a:t> </a:t>
            </a:r>
            <a:r>
              <a:rPr lang="en-US" sz="1200" b="0" i="0" u="none" kern="1200"/>
              <a:t>(ukuran sesuaikan dengan ukuran kotak isian</a:t>
            </a:r>
            <a:r>
              <a:rPr lang="en-US" sz="1200" b="0" i="0" u="none" kern="1200" baseline="0"/>
              <a:t> </a:t>
            </a:r>
            <a:r>
              <a:rPr lang="en-US" sz="1200" b="0" i="0" u="none" kern="1200"/>
              <a:t>foto)</a:t>
            </a:r>
            <a:endParaRPr lang="en-US" sz="1200" kern="1200"/>
          </a:p>
          <a:p>
            <a:pPr lvl="0" algn="l" defTabSz="444500">
              <a:lnSpc>
                <a:spcPct val="90000"/>
              </a:lnSpc>
              <a:spcBef>
                <a:spcPct val="0"/>
              </a:spcBef>
              <a:spcAft>
                <a:spcPct val="35000"/>
              </a:spcAft>
            </a:pPr>
            <a:r>
              <a:rPr lang="en-US" sz="1200" b="0" i="0" u="none" kern="1200"/>
              <a:t>4. Ulangi</a:t>
            </a:r>
            <a:r>
              <a:rPr lang="en-US" sz="1200" b="0" i="0" u="none" kern="1200" baseline="0"/>
              <a:t> untuk setiap halaman</a:t>
            </a:r>
            <a:endParaRPr lang="en-US" sz="1200"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19050</xdr:colOff>
      <xdr:row>0</xdr:row>
      <xdr:rowOff>19051</xdr:rowOff>
    </xdr:from>
    <xdr:to>
      <xdr:col>0</xdr:col>
      <xdr:colOff>857250</xdr:colOff>
      <xdr:row>2</xdr:row>
      <xdr:rowOff>342900</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9050" y="19051"/>
          <a:ext cx="838200" cy="809624"/>
        </a:xfrm>
        <a:prstGeom prst="rect">
          <a:avLst/>
        </a:prstGeom>
      </xdr:spPr>
    </xdr:pic>
    <xdr:clientData/>
  </xdr:twoCellAnchor>
  <xdr:twoCellAnchor>
    <xdr:from>
      <xdr:col>0</xdr:col>
      <xdr:colOff>76201</xdr:colOff>
      <xdr:row>2</xdr:row>
      <xdr:rowOff>380998</xdr:rowOff>
    </xdr:from>
    <xdr:to>
      <xdr:col>0</xdr:col>
      <xdr:colOff>857250</xdr:colOff>
      <xdr:row>4</xdr:row>
      <xdr:rowOff>79180</xdr:rowOff>
    </xdr:to>
    <xdr:sp macro="" textlink="">
      <xdr:nvSpPr>
        <xdr:cNvPr id="3" name="Round Diagonal Corner Rectangle 2">
          <a:hlinkClick xmlns:r="http://schemas.openxmlformats.org/officeDocument/2006/relationships" r:id="rId3"/>
        </xdr:cNvPr>
        <xdr:cNvSpPr/>
      </xdr:nvSpPr>
      <xdr:spPr>
        <a:xfrm>
          <a:off x="76201" y="869672"/>
          <a:ext cx="7810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Admin</a:t>
          </a:r>
        </a:p>
      </xdr:txBody>
    </xdr:sp>
    <xdr:clientData/>
  </xdr:twoCellAnchor>
  <xdr:twoCellAnchor editAs="oneCell">
    <xdr:from>
      <xdr:col>0</xdr:col>
      <xdr:colOff>0</xdr:colOff>
      <xdr:row>157</xdr:row>
      <xdr:rowOff>190499</xdr:rowOff>
    </xdr:from>
    <xdr:to>
      <xdr:col>2</xdr:col>
      <xdr:colOff>19050</xdr:colOff>
      <xdr:row>157</xdr:row>
      <xdr:rowOff>190499</xdr:rowOff>
    </xdr:to>
    <xdr:pic>
      <xdr:nvPicPr>
        <xdr:cNvPr id="4" name="Picture 3" descr="printer.png"/>
        <xdr:cNvPicPr>
          <a:picLocks noChangeAspect="1"/>
        </xdr:cNvPicPr>
      </xdr:nvPicPr>
      <xdr:blipFill>
        <a:blip xmlns:r="http://schemas.openxmlformats.org/officeDocument/2006/relationships" r:embed="rId4"/>
        <a:stretch>
          <a:fillRect/>
        </a:stretch>
      </xdr:blipFill>
      <xdr:spPr>
        <a:xfrm>
          <a:off x="0" y="36328349"/>
          <a:ext cx="1219200" cy="0"/>
        </a:xfrm>
        <a:prstGeom prst="rect">
          <a:avLst/>
        </a:prstGeom>
      </xdr:spPr>
    </xdr:pic>
    <xdr:clientData/>
  </xdr:twoCellAnchor>
  <xdr:twoCellAnchor>
    <xdr:from>
      <xdr:col>33</xdr:col>
      <xdr:colOff>257175</xdr:colOff>
      <xdr:row>2</xdr:row>
      <xdr:rowOff>371475</xdr:rowOff>
    </xdr:from>
    <xdr:to>
      <xdr:col>34</xdr:col>
      <xdr:colOff>514350</xdr:colOff>
      <xdr:row>8</xdr:row>
      <xdr:rowOff>146400</xdr:rowOff>
    </xdr:to>
    <xdr:grpSp>
      <xdr:nvGrpSpPr>
        <xdr:cNvPr id="5" name="Group 4"/>
        <xdr:cNvGrpSpPr/>
      </xdr:nvGrpSpPr>
      <xdr:grpSpPr>
        <a:xfrm>
          <a:off x="8913019" y="859631"/>
          <a:ext cx="864394" cy="1179863"/>
          <a:chOff x="9048750" y="857250"/>
          <a:chExt cx="866775" cy="1175100"/>
        </a:xfrm>
      </xdr:grpSpPr>
      <xdr:pic macro="[0]!Sheet1.Cetak">
        <xdr:nvPicPr>
          <xdr:cNvPr id="6" name="Picture 5" descr="Print.png"/>
          <xdr:cNvPicPr>
            <a:picLocks noChangeAspect="1"/>
          </xdr:cNvPicPr>
        </xdr:nvPicPr>
        <xdr:blipFill>
          <a:blip xmlns:r="http://schemas.openxmlformats.org/officeDocument/2006/relationships" r:embed="rId5" cstate="print"/>
          <a:srcRect l="12751" t="11763" r="13424" b="12486"/>
          <a:stretch>
            <a:fillRect/>
          </a:stretch>
        </xdr:blipFill>
        <xdr:spPr>
          <a:xfrm>
            <a:off x="9048750" y="857250"/>
            <a:ext cx="866775" cy="866775"/>
          </a:xfrm>
          <a:prstGeom prst="rect">
            <a:avLst/>
          </a:prstGeom>
        </xdr:spPr>
      </xdr:pic>
      <xdr:sp macro="[0]!Sheet1.Cetak" textlink="">
        <xdr:nvSpPr>
          <xdr:cNvPr id="7" name="TextBox 6"/>
          <xdr:cNvSpPr txBox="1"/>
        </xdr:nvSpPr>
        <xdr:spPr>
          <a:xfrm>
            <a:off x="9144000" y="1733550"/>
            <a:ext cx="673582" cy="29880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400" b="1">
                <a:solidFill>
                  <a:srgbClr val="FF0000"/>
                </a:solidFill>
                <a:latin typeface="Arial" pitchFamily="34" charset="0"/>
                <a:cs typeface="Arial" pitchFamily="34" charset="0"/>
              </a:rPr>
              <a:t>Cetak</a:t>
            </a:r>
          </a:p>
        </xdr:txBody>
      </xdr:sp>
    </xdr:grpSp>
    <xdr:clientData/>
  </xdr:twoCellAnchor>
  <xdr:twoCellAnchor>
    <xdr:from>
      <xdr:col>33</xdr:col>
      <xdr:colOff>180975</xdr:colOff>
      <xdr:row>10</xdr:row>
      <xdr:rowOff>47625</xdr:rowOff>
    </xdr:from>
    <xdr:to>
      <xdr:col>34</xdr:col>
      <xdr:colOff>466725</xdr:colOff>
      <xdr:row>15</xdr:row>
      <xdr:rowOff>76200</xdr:rowOff>
    </xdr:to>
    <xdr:grpSp>
      <xdr:nvGrpSpPr>
        <xdr:cNvPr id="22" name="Group 21"/>
        <xdr:cNvGrpSpPr/>
      </xdr:nvGrpSpPr>
      <xdr:grpSpPr>
        <a:xfrm>
          <a:off x="8836819" y="2333625"/>
          <a:ext cx="892969" cy="1040606"/>
          <a:chOff x="8972550" y="2324100"/>
          <a:chExt cx="895350" cy="1028700"/>
        </a:xfrm>
      </xdr:grpSpPr>
      <xdr:pic macro="[0]!Group7_Click">
        <xdr:nvPicPr>
          <xdr:cNvPr id="13" name="Picture 12" descr="Preview.png"/>
          <xdr:cNvPicPr>
            <a:picLocks noChangeAspect="1"/>
          </xdr:cNvPicPr>
        </xdr:nvPicPr>
        <xdr:blipFill>
          <a:blip xmlns:r="http://schemas.openxmlformats.org/officeDocument/2006/relationships" r:embed="rId6" cstate="print"/>
          <a:stretch>
            <a:fillRect/>
          </a:stretch>
        </xdr:blipFill>
        <xdr:spPr>
          <a:xfrm>
            <a:off x="9048749" y="2324100"/>
            <a:ext cx="819151" cy="824433"/>
          </a:xfrm>
          <a:prstGeom prst="rect">
            <a:avLst/>
          </a:prstGeom>
        </xdr:spPr>
      </xdr:pic>
      <xdr:sp macro="[0]!Group7_Click" textlink="">
        <xdr:nvSpPr>
          <xdr:cNvPr id="15" name="TextBox 14"/>
          <xdr:cNvSpPr txBox="1"/>
        </xdr:nvSpPr>
        <xdr:spPr>
          <a:xfrm>
            <a:off x="8972550" y="3122940"/>
            <a:ext cx="790575" cy="2298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en-US" sz="1400" b="1">
                <a:solidFill>
                  <a:srgbClr val="FF0000"/>
                </a:solidFill>
                <a:latin typeface="Arial" pitchFamily="34" charset="0"/>
                <a:cs typeface="Arial" pitchFamily="34" charset="0"/>
              </a:rPr>
              <a:t>Pratinjau</a:t>
            </a:r>
          </a:p>
        </xdr:txBody>
      </xdr:sp>
    </xdr:grpSp>
    <xdr:clientData/>
  </xdr:twoCellAnchor>
  <xdr:twoCellAnchor editAs="oneCell">
    <xdr:from>
      <xdr:col>0</xdr:col>
      <xdr:colOff>0</xdr:colOff>
      <xdr:row>171</xdr:row>
      <xdr:rowOff>190499</xdr:rowOff>
    </xdr:from>
    <xdr:to>
      <xdr:col>2</xdr:col>
      <xdr:colOff>19050</xdr:colOff>
      <xdr:row>171</xdr:row>
      <xdr:rowOff>190499</xdr:rowOff>
    </xdr:to>
    <xdr:pic>
      <xdr:nvPicPr>
        <xdr:cNvPr id="12" name="Picture 11" descr="printer.png"/>
        <xdr:cNvPicPr>
          <a:picLocks noChangeAspect="1"/>
        </xdr:cNvPicPr>
      </xdr:nvPicPr>
      <xdr:blipFill>
        <a:blip xmlns:r="http://schemas.openxmlformats.org/officeDocument/2006/relationships" r:embed="rId4"/>
        <a:stretch>
          <a:fillRect/>
        </a:stretch>
      </xdr:blipFill>
      <xdr:spPr>
        <a:xfrm>
          <a:off x="0" y="30091672"/>
          <a:ext cx="1220665" cy="0"/>
        </a:xfrm>
        <a:prstGeom prst="rect">
          <a:avLst/>
        </a:prstGeom>
      </xdr:spPr>
    </xdr:pic>
    <xdr:clientData/>
  </xdr:twoCellAnchor>
  <xdr:twoCellAnchor editAs="oneCell">
    <xdr:from>
      <xdr:col>32</xdr:col>
      <xdr:colOff>58831</xdr:colOff>
      <xdr:row>219</xdr:row>
      <xdr:rowOff>68205</xdr:rowOff>
    </xdr:from>
    <xdr:to>
      <xdr:col>33</xdr:col>
      <xdr:colOff>287431</xdr:colOff>
      <xdr:row>223</xdr:row>
      <xdr:rowOff>20580</xdr:rowOff>
    </xdr:to>
    <xdr:pic>
      <xdr:nvPicPr>
        <xdr:cNvPr id="14" name="Picture 13" descr="Untitled-1.png">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8519272" y="45014999"/>
          <a:ext cx="710453" cy="714375"/>
        </a:xfrm>
        <a:prstGeom prst="rect">
          <a:avLst/>
        </a:prstGeom>
      </xdr:spPr>
    </xdr:pic>
    <xdr:clientData/>
  </xdr:twoCellAnchor>
  <xdr:twoCellAnchor editAs="oneCell">
    <xdr:from>
      <xdr:col>32</xdr:col>
      <xdr:colOff>0</xdr:colOff>
      <xdr:row>175</xdr:row>
      <xdr:rowOff>89637</xdr:rowOff>
    </xdr:from>
    <xdr:to>
      <xdr:col>33</xdr:col>
      <xdr:colOff>228600</xdr:colOff>
      <xdr:row>178</xdr:row>
      <xdr:rowOff>141744</xdr:rowOff>
    </xdr:to>
    <xdr:pic>
      <xdr:nvPicPr>
        <xdr:cNvPr id="16" name="Picture 15" descr="Untitled-1.png">
          <a:hlinkClick xmlns:r="http://schemas.openxmlformats.org/officeDocument/2006/relationships" r:id="rId9"/>
        </xdr:cNvPr>
        <xdr:cNvPicPr>
          <a:picLocks noChangeAspect="1"/>
        </xdr:cNvPicPr>
      </xdr:nvPicPr>
      <xdr:blipFill>
        <a:blip xmlns:r="http://schemas.openxmlformats.org/officeDocument/2006/relationships" r:embed="rId8"/>
        <a:stretch>
          <a:fillRect/>
        </a:stretch>
      </xdr:blipFill>
      <xdr:spPr>
        <a:xfrm>
          <a:off x="8460441" y="36508755"/>
          <a:ext cx="710453" cy="713254"/>
        </a:xfrm>
        <a:prstGeom prst="rect">
          <a:avLst/>
        </a:prstGeom>
      </xdr:spPr>
    </xdr:pic>
    <xdr:clientData/>
  </xdr:twoCellAnchor>
  <xdr:twoCellAnchor editAs="oneCell">
    <xdr:from>
      <xdr:col>32</xdr:col>
      <xdr:colOff>0</xdr:colOff>
      <xdr:row>124</xdr:row>
      <xdr:rowOff>100829</xdr:rowOff>
    </xdr:from>
    <xdr:to>
      <xdr:col>33</xdr:col>
      <xdr:colOff>228600</xdr:colOff>
      <xdr:row>127</xdr:row>
      <xdr:rowOff>40877</xdr:rowOff>
    </xdr:to>
    <xdr:pic>
      <xdr:nvPicPr>
        <xdr:cNvPr id="17" name="Picture 16" descr="Untitled-1.png">
          <a:hlinkClick xmlns:r="http://schemas.openxmlformats.org/officeDocument/2006/relationships" r:id="rId10"/>
        </xdr:cNvPr>
        <xdr:cNvPicPr>
          <a:picLocks noChangeAspect="1"/>
        </xdr:cNvPicPr>
      </xdr:nvPicPr>
      <xdr:blipFill>
        <a:blip xmlns:r="http://schemas.openxmlformats.org/officeDocument/2006/relationships" r:embed="rId8"/>
        <a:stretch>
          <a:fillRect/>
        </a:stretch>
      </xdr:blipFill>
      <xdr:spPr>
        <a:xfrm>
          <a:off x="8460441" y="26266564"/>
          <a:ext cx="710453" cy="713254"/>
        </a:xfrm>
        <a:prstGeom prst="rect">
          <a:avLst/>
        </a:prstGeom>
      </xdr:spPr>
    </xdr:pic>
    <xdr:clientData/>
  </xdr:twoCellAnchor>
  <xdr:twoCellAnchor editAs="oneCell">
    <xdr:from>
      <xdr:col>32</xdr:col>
      <xdr:colOff>0</xdr:colOff>
      <xdr:row>83</xdr:row>
      <xdr:rowOff>68889</xdr:rowOff>
    </xdr:from>
    <xdr:to>
      <xdr:col>33</xdr:col>
      <xdr:colOff>228600</xdr:colOff>
      <xdr:row>86</xdr:row>
      <xdr:rowOff>141727</xdr:rowOff>
    </xdr:to>
    <xdr:pic>
      <xdr:nvPicPr>
        <xdr:cNvPr id="18" name="Picture 17" descr="Untitled-1.png">
          <a:hlinkClick xmlns:r="http://schemas.openxmlformats.org/officeDocument/2006/relationships" r:id="rId11"/>
        </xdr:cNvPr>
        <xdr:cNvPicPr>
          <a:picLocks noChangeAspect="1"/>
        </xdr:cNvPicPr>
      </xdr:nvPicPr>
      <xdr:blipFill>
        <a:blip xmlns:r="http://schemas.openxmlformats.org/officeDocument/2006/relationships" r:embed="rId8"/>
        <a:stretch>
          <a:fillRect/>
        </a:stretch>
      </xdr:blipFill>
      <xdr:spPr>
        <a:xfrm>
          <a:off x="8460441" y="15891595"/>
          <a:ext cx="710453" cy="722779"/>
        </a:xfrm>
        <a:prstGeom prst="rect">
          <a:avLst/>
        </a:prstGeom>
      </xdr:spPr>
    </xdr:pic>
    <xdr:clientData/>
  </xdr:twoCellAnchor>
  <xdr:twoCellAnchor editAs="oneCell">
    <xdr:from>
      <xdr:col>32</xdr:col>
      <xdr:colOff>0</xdr:colOff>
      <xdr:row>42</xdr:row>
      <xdr:rowOff>156888</xdr:rowOff>
    </xdr:from>
    <xdr:to>
      <xdr:col>33</xdr:col>
      <xdr:colOff>228600</xdr:colOff>
      <xdr:row>44</xdr:row>
      <xdr:rowOff>486901</xdr:rowOff>
    </xdr:to>
    <xdr:pic>
      <xdr:nvPicPr>
        <xdr:cNvPr id="19" name="Picture 18" descr="Untitled-1.png">
          <a:hlinkClick xmlns:r="http://schemas.openxmlformats.org/officeDocument/2006/relationships" r:id="rId12"/>
        </xdr:cNvPr>
        <xdr:cNvPicPr>
          <a:picLocks noChangeAspect="1"/>
        </xdr:cNvPicPr>
      </xdr:nvPicPr>
      <xdr:blipFill>
        <a:blip xmlns:r="http://schemas.openxmlformats.org/officeDocument/2006/relationships" r:embed="rId8"/>
        <a:stretch>
          <a:fillRect/>
        </a:stretch>
      </xdr:blipFill>
      <xdr:spPr>
        <a:xfrm>
          <a:off x="8460441" y="9603447"/>
          <a:ext cx="710453" cy="713254"/>
        </a:xfrm>
        <a:prstGeom prst="rect">
          <a:avLst/>
        </a:prstGeom>
      </xdr:spPr>
    </xdr:pic>
    <xdr:clientData/>
  </xdr:twoCellAnchor>
  <xdr:twoCellAnchor editAs="oneCell">
    <xdr:from>
      <xdr:col>10</xdr:col>
      <xdr:colOff>8283</xdr:colOff>
      <xdr:row>16</xdr:row>
      <xdr:rowOff>240194</xdr:rowOff>
    </xdr:from>
    <xdr:to>
      <xdr:col>20</xdr:col>
      <xdr:colOff>13446</xdr:colOff>
      <xdr:row>23</xdr:row>
      <xdr:rowOff>37715</xdr:rowOff>
    </xdr:to>
    <xdr:pic>
      <xdr:nvPicPr>
        <xdr:cNvPr id="20" name="Picture 19" descr="Untitled-1.png"/>
        <xdr:cNvPicPr>
          <a:picLocks noChangeAspect="1"/>
        </xdr:cNvPicPr>
      </xdr:nvPicPr>
      <xdr:blipFill>
        <a:blip xmlns:r="http://schemas.openxmlformats.org/officeDocument/2006/relationships" r:embed="rId13" cstate="print"/>
        <a:stretch>
          <a:fillRect/>
        </a:stretch>
      </xdr:blipFill>
      <xdr:spPr>
        <a:xfrm>
          <a:off x="2923761" y="3710607"/>
          <a:ext cx="2158642" cy="238169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38101</xdr:colOff>
      <xdr:row>1</xdr:row>
      <xdr:rowOff>9525</xdr:rowOff>
    </xdr:from>
    <xdr:to>
      <xdr:col>0</xdr:col>
      <xdr:colOff>799385</xdr:colOff>
      <xdr:row>3</xdr:row>
      <xdr:rowOff>122047</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rcRect l="5682"/>
        <a:stretch>
          <a:fillRect/>
        </a:stretch>
      </xdr:blipFill>
      <xdr:spPr>
        <a:xfrm>
          <a:off x="38101" y="47625"/>
          <a:ext cx="761284" cy="788797"/>
        </a:xfrm>
        <a:prstGeom prst="rect">
          <a:avLst/>
        </a:prstGeom>
      </xdr:spPr>
    </xdr:pic>
    <xdr:clientData/>
  </xdr:twoCellAnchor>
  <xdr:twoCellAnchor>
    <xdr:from>
      <xdr:col>0</xdr:col>
      <xdr:colOff>36981</xdr:colOff>
      <xdr:row>3</xdr:row>
      <xdr:rowOff>156324</xdr:rowOff>
    </xdr:from>
    <xdr:to>
      <xdr:col>0</xdr:col>
      <xdr:colOff>790574</xdr:colOff>
      <xdr:row>4</xdr:row>
      <xdr:rowOff>56602</xdr:rowOff>
    </xdr:to>
    <xdr:sp macro="" textlink="">
      <xdr:nvSpPr>
        <xdr:cNvPr id="3" name="Round Diagonal Corner Rectangle 2">
          <a:hlinkClick xmlns:r="http://schemas.openxmlformats.org/officeDocument/2006/relationships" r:id="rId3"/>
        </xdr:cNvPr>
        <xdr:cNvSpPr/>
      </xdr:nvSpPr>
      <xdr:spPr>
        <a:xfrm>
          <a:off x="36981" y="870699"/>
          <a:ext cx="753593"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twoCellAnchor>
    <xdr:from>
      <xdr:col>16384</xdr:col>
      <xdr:colOff>3535459</xdr:colOff>
      <xdr:row>7</xdr:row>
      <xdr:rowOff>78602</xdr:rowOff>
    </xdr:from>
    <xdr:to>
      <xdr:col>16384</xdr:col>
      <xdr:colOff>4515411</xdr:colOff>
      <xdr:row>13</xdr:row>
      <xdr:rowOff>78441</xdr:rowOff>
    </xdr:to>
    <xdr:grpSp>
      <xdr:nvGrpSpPr>
        <xdr:cNvPr id="4" name="Group 3"/>
        <xdr:cNvGrpSpPr/>
      </xdr:nvGrpSpPr>
      <xdr:grpSpPr>
        <a:xfrm>
          <a:off x="10831609" y="1793102"/>
          <a:ext cx="0" cy="1285714"/>
          <a:chOff x="336178" y="2804440"/>
          <a:chExt cx="845320" cy="1072915"/>
        </a:xfrm>
      </xdr:grpSpPr>
      <xdr:pic macro="[0]!Group7_Click">
        <xdr:nvPicPr>
          <xdr:cNvPr id="5" name="Picture 4" descr="Preview.png"/>
          <xdr:cNvPicPr>
            <a:picLocks noChangeAspect="1"/>
          </xdr:cNvPicPr>
        </xdr:nvPicPr>
        <xdr:blipFill>
          <a:blip xmlns:r="http://schemas.openxmlformats.org/officeDocument/2006/relationships" r:embed="rId4" cstate="print"/>
          <a:stretch>
            <a:fillRect/>
          </a:stretch>
        </xdr:blipFill>
        <xdr:spPr>
          <a:xfrm>
            <a:off x="364153" y="2804440"/>
            <a:ext cx="817345" cy="832926"/>
          </a:xfrm>
          <a:prstGeom prst="rect">
            <a:avLst/>
          </a:prstGeom>
        </xdr:spPr>
      </xdr:pic>
      <xdr:sp macro="[0]!Group7_Click" textlink="">
        <xdr:nvSpPr>
          <xdr:cNvPr id="6" name="TextBox 5"/>
          <xdr:cNvSpPr txBox="1"/>
        </xdr:nvSpPr>
        <xdr:spPr>
          <a:xfrm>
            <a:off x="336178" y="3645127"/>
            <a:ext cx="842991" cy="232228"/>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en-US" sz="1400" b="1">
                <a:solidFill>
                  <a:srgbClr val="FF0000"/>
                </a:solidFill>
                <a:latin typeface="Arial" pitchFamily="34" charset="0"/>
                <a:cs typeface="Arial" pitchFamily="34" charset="0"/>
              </a:rPr>
              <a:t>Pratinjau</a:t>
            </a:r>
          </a:p>
        </xdr:txBody>
      </xdr:sp>
    </xdr:grpSp>
    <xdr:clientData/>
  </xdr:twoCellAnchor>
  <xdr:twoCellAnchor>
    <xdr:from>
      <xdr:col>16384</xdr:col>
      <xdr:colOff>3590462</xdr:colOff>
      <xdr:row>2</xdr:row>
      <xdr:rowOff>169760</xdr:rowOff>
    </xdr:from>
    <xdr:to>
      <xdr:col>16384</xdr:col>
      <xdr:colOff>4506839</xdr:colOff>
      <xdr:row>7</xdr:row>
      <xdr:rowOff>46488</xdr:rowOff>
    </xdr:to>
    <xdr:grpSp>
      <xdr:nvGrpSpPr>
        <xdr:cNvPr id="7" name="Group 6"/>
        <xdr:cNvGrpSpPr/>
      </xdr:nvGrpSpPr>
      <xdr:grpSpPr>
        <a:xfrm>
          <a:off x="10829462" y="503135"/>
          <a:ext cx="1977" cy="1257853"/>
          <a:chOff x="541899" y="3514725"/>
          <a:chExt cx="751915" cy="1023331"/>
        </a:xfrm>
      </xdr:grpSpPr>
      <xdr:pic macro="[0]!Sheet1.Cetak">
        <xdr:nvPicPr>
          <xdr:cNvPr id="8" name="Picture 7" descr="Print.png"/>
          <xdr:cNvPicPr>
            <a:picLocks noChangeAspect="1"/>
          </xdr:cNvPicPr>
        </xdr:nvPicPr>
        <xdr:blipFill>
          <a:blip xmlns:r="http://schemas.openxmlformats.org/officeDocument/2006/relationships" r:embed="rId5" cstate="print"/>
          <a:srcRect l="12751" t="11763" r="13424" b="12486"/>
          <a:stretch>
            <a:fillRect/>
          </a:stretch>
        </xdr:blipFill>
        <xdr:spPr>
          <a:xfrm>
            <a:off x="541899" y="3514725"/>
            <a:ext cx="751915" cy="753207"/>
          </a:xfrm>
          <a:prstGeom prst="rect">
            <a:avLst/>
          </a:prstGeom>
        </xdr:spPr>
      </xdr:pic>
      <xdr:sp macro="[0]!Sheet1.Cetak" textlink="">
        <xdr:nvSpPr>
          <xdr:cNvPr id="9" name="TextBox 8"/>
          <xdr:cNvSpPr txBox="1"/>
        </xdr:nvSpPr>
        <xdr:spPr>
          <a:xfrm>
            <a:off x="609600" y="4286250"/>
            <a:ext cx="584323" cy="251806"/>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pPr algn="ctr"/>
            <a:r>
              <a:rPr lang="en-US" sz="1400" b="1">
                <a:solidFill>
                  <a:srgbClr val="FF0000"/>
                </a:solidFill>
                <a:latin typeface="Arial" pitchFamily="34" charset="0"/>
                <a:cs typeface="Arial" pitchFamily="34" charset="0"/>
              </a:rPr>
              <a:t>Cetak</a:t>
            </a:r>
          </a:p>
        </xdr:txBody>
      </xdr:sp>
    </xdr:grpSp>
    <xdr:clientData/>
  </xdr:twoCellAnchor>
  <xdr:twoCellAnchor>
    <xdr:from>
      <xdr:col>32</xdr:col>
      <xdr:colOff>247650</xdr:colOff>
      <xdr:row>8</xdr:row>
      <xdr:rowOff>80292</xdr:rowOff>
    </xdr:from>
    <xdr:to>
      <xdr:col>33</xdr:col>
      <xdr:colOff>457200</xdr:colOff>
      <xdr:row>13</xdr:row>
      <xdr:rowOff>69181</xdr:rowOff>
    </xdr:to>
    <xdr:grpSp>
      <xdr:nvGrpSpPr>
        <xdr:cNvPr id="10" name="Group 9"/>
        <xdr:cNvGrpSpPr/>
      </xdr:nvGrpSpPr>
      <xdr:grpSpPr>
        <a:xfrm>
          <a:off x="9039225" y="1994817"/>
          <a:ext cx="819150" cy="1074739"/>
          <a:chOff x="336178" y="2804440"/>
          <a:chExt cx="845320" cy="1072915"/>
        </a:xfrm>
      </xdr:grpSpPr>
      <xdr:pic macro="[0]!Group7_Click">
        <xdr:nvPicPr>
          <xdr:cNvPr id="11" name="Picture 10" descr="Preview.png"/>
          <xdr:cNvPicPr>
            <a:picLocks noChangeAspect="1"/>
          </xdr:cNvPicPr>
        </xdr:nvPicPr>
        <xdr:blipFill>
          <a:blip xmlns:r="http://schemas.openxmlformats.org/officeDocument/2006/relationships" r:embed="rId4" cstate="print"/>
          <a:stretch>
            <a:fillRect/>
          </a:stretch>
        </xdr:blipFill>
        <xdr:spPr>
          <a:xfrm>
            <a:off x="364153" y="2804440"/>
            <a:ext cx="817345" cy="832926"/>
          </a:xfrm>
          <a:prstGeom prst="rect">
            <a:avLst/>
          </a:prstGeom>
        </xdr:spPr>
      </xdr:pic>
      <xdr:sp macro="[0]!Group7_Click" textlink="">
        <xdr:nvSpPr>
          <xdr:cNvPr id="12" name="TextBox 11"/>
          <xdr:cNvSpPr txBox="1"/>
        </xdr:nvSpPr>
        <xdr:spPr>
          <a:xfrm>
            <a:off x="336178" y="3645127"/>
            <a:ext cx="842991" cy="232228"/>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en-US" sz="1400" b="1">
                <a:solidFill>
                  <a:srgbClr val="FF0000"/>
                </a:solidFill>
                <a:latin typeface="Arial" pitchFamily="34" charset="0"/>
                <a:cs typeface="Arial" pitchFamily="34" charset="0"/>
              </a:rPr>
              <a:t>Pratinjau</a:t>
            </a:r>
          </a:p>
        </xdr:txBody>
      </xdr:sp>
    </xdr:grpSp>
    <xdr:clientData/>
  </xdr:twoCellAnchor>
  <xdr:twoCellAnchor>
    <xdr:from>
      <xdr:col>32</xdr:col>
      <xdr:colOff>302653</xdr:colOff>
      <xdr:row>2</xdr:row>
      <xdr:rowOff>371476</xdr:rowOff>
    </xdr:from>
    <xdr:to>
      <xdr:col>33</xdr:col>
      <xdr:colOff>459060</xdr:colOff>
      <xdr:row>7</xdr:row>
      <xdr:rowOff>41801</xdr:rowOff>
    </xdr:to>
    <xdr:grpSp>
      <xdr:nvGrpSpPr>
        <xdr:cNvPr id="13" name="Group 12"/>
        <xdr:cNvGrpSpPr/>
      </xdr:nvGrpSpPr>
      <xdr:grpSpPr>
        <a:xfrm>
          <a:off x="9094228" y="704851"/>
          <a:ext cx="766007" cy="1051450"/>
          <a:chOff x="541899" y="3514725"/>
          <a:chExt cx="751915" cy="1023331"/>
        </a:xfrm>
      </xdr:grpSpPr>
      <xdr:pic macro="[0]!Sheet1.Cetak">
        <xdr:nvPicPr>
          <xdr:cNvPr id="14" name="Picture 13" descr="Print.png"/>
          <xdr:cNvPicPr>
            <a:picLocks noChangeAspect="1"/>
          </xdr:cNvPicPr>
        </xdr:nvPicPr>
        <xdr:blipFill>
          <a:blip xmlns:r="http://schemas.openxmlformats.org/officeDocument/2006/relationships" r:embed="rId5" cstate="print"/>
          <a:srcRect l="12751" t="11763" r="13424" b="12486"/>
          <a:stretch>
            <a:fillRect/>
          </a:stretch>
        </xdr:blipFill>
        <xdr:spPr>
          <a:xfrm>
            <a:off x="541899" y="3514725"/>
            <a:ext cx="751915" cy="753207"/>
          </a:xfrm>
          <a:prstGeom prst="rect">
            <a:avLst/>
          </a:prstGeom>
        </xdr:spPr>
      </xdr:pic>
      <xdr:sp macro="[0]!Sheet1.Cetak" textlink="">
        <xdr:nvSpPr>
          <xdr:cNvPr id="15" name="TextBox 14"/>
          <xdr:cNvSpPr txBox="1"/>
        </xdr:nvSpPr>
        <xdr:spPr>
          <a:xfrm>
            <a:off x="609600" y="4286250"/>
            <a:ext cx="584323" cy="251806"/>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pPr algn="ctr"/>
            <a:r>
              <a:rPr lang="en-US" sz="1400" b="1">
                <a:solidFill>
                  <a:srgbClr val="FF0000"/>
                </a:solidFill>
                <a:latin typeface="Arial" pitchFamily="34" charset="0"/>
                <a:cs typeface="Arial" pitchFamily="34" charset="0"/>
              </a:rPr>
              <a:t>Cetak</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2</xdr:col>
      <xdr:colOff>0</xdr:colOff>
      <xdr:row>5</xdr:row>
      <xdr:rowOff>19050</xdr:rowOff>
    </xdr:from>
    <xdr:to>
      <xdr:col>9</xdr:col>
      <xdr:colOff>361949</xdr:colOff>
      <xdr:row>7</xdr:row>
      <xdr:rowOff>77453</xdr:rowOff>
    </xdr:to>
    <xdr:grpSp>
      <xdr:nvGrpSpPr>
        <xdr:cNvPr id="2" name="Group 1">
          <a:hlinkClick xmlns:r="http://schemas.openxmlformats.org/officeDocument/2006/relationships" r:id="rId1"/>
        </xdr:cNvPr>
        <xdr:cNvGrpSpPr/>
      </xdr:nvGrpSpPr>
      <xdr:grpSpPr>
        <a:xfrm>
          <a:off x="1533525" y="1200150"/>
          <a:ext cx="5057774" cy="439403"/>
          <a:chOff x="0" y="9091"/>
          <a:chExt cx="4114799" cy="439403"/>
        </a:xfrm>
        <a:scene3d>
          <a:camera prst="orthographicFront"/>
          <a:lightRig rig="threePt" dir="t">
            <a:rot lat="0" lon="0" rev="7500000"/>
          </a:lightRig>
        </a:scene3d>
      </xdr:grpSpPr>
      <xdr:sp macro="" textlink="">
        <xdr:nvSpPr>
          <xdr:cNvPr id="3" name="Rounded Rectangle 2"/>
          <xdr:cNvSpPr/>
        </xdr:nvSpPr>
        <xdr:spPr>
          <a:xfrm>
            <a:off x="0" y="9091"/>
            <a:ext cx="4114799" cy="439403"/>
          </a:xfrm>
          <a:prstGeom prst="roundRect">
            <a:avLst>
              <a:gd name="adj" fmla="val 10000"/>
            </a:avLst>
          </a:prstGeom>
          <a:sp3d prstMaterial="plastic">
            <a:bevelT w="127000" h="25400" prst="relaxedInset"/>
          </a:sp3d>
        </xdr:spPr>
        <xdr:style>
          <a:lnRef idx="0">
            <a:schemeClr val="lt1">
              <a:hueOff val="0"/>
              <a:satOff val="0"/>
              <a:lumOff val="0"/>
              <a:alphaOff val="0"/>
            </a:schemeClr>
          </a:lnRef>
          <a:fillRef idx="3">
            <a:schemeClr val="accent2">
              <a:hueOff val="0"/>
              <a:satOff val="0"/>
              <a:lumOff val="0"/>
              <a:alphaOff val="0"/>
            </a:schemeClr>
          </a:fillRef>
          <a:effectRef idx="2">
            <a:schemeClr val="accent2">
              <a:hueOff val="0"/>
              <a:satOff val="0"/>
              <a:lumOff val="0"/>
              <a:alphaOff val="0"/>
            </a:schemeClr>
          </a:effectRef>
          <a:fontRef idx="minor">
            <a:schemeClr val="lt1"/>
          </a:fontRef>
        </xdr:style>
      </xdr:sp>
      <xdr:sp macro="" textlink="">
        <xdr:nvSpPr>
          <xdr:cNvPr id="4" name="Rounded Rectangle 4"/>
          <xdr:cNvSpPr/>
        </xdr:nvSpPr>
        <xdr:spPr>
          <a:xfrm>
            <a:off x="12870" y="21961"/>
            <a:ext cx="4089059" cy="413663"/>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60960" tIns="60960" rIns="60960" bIns="60960" numCol="1" spcCol="1270" anchor="ctr" anchorCtr="0">
            <a:noAutofit/>
          </a:bodyPr>
          <a:lstStyle/>
          <a:p>
            <a:pPr lvl="0" algn="ctr" defTabSz="711200">
              <a:lnSpc>
                <a:spcPct val="90000"/>
              </a:lnSpc>
              <a:spcBef>
                <a:spcPct val="0"/>
              </a:spcBef>
              <a:spcAft>
                <a:spcPct val="35000"/>
              </a:spcAft>
            </a:pPr>
            <a:r>
              <a:rPr lang="en-US" sz="2000" b="1" kern="1200"/>
              <a:t>Input Nilai (Leger)</a:t>
            </a:r>
          </a:p>
        </xdr:txBody>
      </xdr:sp>
    </xdr:grpSp>
    <xdr:clientData/>
  </xdr:twoCellAnchor>
  <xdr:twoCellAnchor>
    <xdr:from>
      <xdr:col>5</xdr:col>
      <xdr:colOff>329759</xdr:colOff>
      <xdr:row>7</xdr:row>
      <xdr:rowOff>103826</xdr:rowOff>
    </xdr:from>
    <xdr:to>
      <xdr:col>5</xdr:col>
      <xdr:colOff>527490</xdr:colOff>
      <xdr:row>8</xdr:row>
      <xdr:rowOff>71565</xdr:rowOff>
    </xdr:to>
    <xdr:grpSp>
      <xdr:nvGrpSpPr>
        <xdr:cNvPr id="5" name="Group 4"/>
        <xdr:cNvGrpSpPr/>
      </xdr:nvGrpSpPr>
      <xdr:grpSpPr>
        <a:xfrm>
          <a:off x="3901634" y="1665926"/>
          <a:ext cx="197731" cy="158239"/>
          <a:chOff x="1958534" y="474867"/>
          <a:chExt cx="197731" cy="158239"/>
        </a:xfrm>
        <a:scene3d>
          <a:camera prst="orthographicFront"/>
          <a:lightRig rig="threePt" dir="t">
            <a:rot lat="0" lon="0" rev="7500000"/>
          </a:lightRig>
        </a:scene3d>
      </xdr:grpSpPr>
      <xdr:sp macro="" textlink="">
        <xdr:nvSpPr>
          <xdr:cNvPr id="6" name="Right Arrow 5"/>
          <xdr:cNvSpPr/>
        </xdr:nvSpPr>
        <xdr:spPr>
          <a:xfrm rot="5400000">
            <a:off x="1978280" y="455121"/>
            <a:ext cx="158239" cy="197731"/>
          </a:xfrm>
          <a:prstGeom prst="rightArrow">
            <a:avLst>
              <a:gd name="adj1" fmla="val 60000"/>
              <a:gd name="adj2" fmla="val 50000"/>
            </a:avLst>
          </a:prstGeom>
          <a:sp3d z="-70000" extrusionH="63500" prstMaterial="matte">
            <a:bevelT w="25400" h="6350" prst="relaxedInset"/>
            <a:contourClr>
              <a:schemeClr val="bg1"/>
            </a:contourClr>
          </a:sp3d>
        </xdr:spPr>
        <xdr:style>
          <a:lnRef idx="0">
            <a:schemeClr val="lt1">
              <a:hueOff val="0"/>
              <a:satOff val="0"/>
              <a:lumOff val="0"/>
              <a:alphaOff val="0"/>
            </a:schemeClr>
          </a:lnRef>
          <a:fillRef idx="1">
            <a:schemeClr val="accent2">
              <a:hueOff val="0"/>
              <a:satOff val="0"/>
              <a:lumOff val="0"/>
              <a:alphaOff val="0"/>
            </a:schemeClr>
          </a:fillRef>
          <a:effectRef idx="2">
            <a:schemeClr val="accent2">
              <a:hueOff val="0"/>
              <a:satOff val="0"/>
              <a:lumOff val="0"/>
              <a:alphaOff val="0"/>
            </a:schemeClr>
          </a:effectRef>
          <a:fontRef idx="minor">
            <a:schemeClr val="lt1"/>
          </a:fontRef>
        </xdr:style>
      </xdr:sp>
      <xdr:sp macro="" textlink="">
        <xdr:nvSpPr>
          <xdr:cNvPr id="7" name="Right Arrow 6"/>
          <xdr:cNvSpPr/>
        </xdr:nvSpPr>
        <xdr:spPr>
          <a:xfrm>
            <a:off x="1998080" y="474867"/>
            <a:ext cx="118639" cy="110767"/>
          </a:xfrm>
          <a:prstGeom prst="rect">
            <a:avLst/>
          </a:prstGeom>
          <a:sp3d z="-70000"/>
        </xdr:spPr>
        <xdr:style>
          <a:lnRef idx="0">
            <a:scrgbClr r="0" g="0" b="0"/>
          </a:lnRef>
          <a:fillRef idx="0">
            <a:scrgbClr r="0" g="0" b="0"/>
          </a:fillRef>
          <a:effectRef idx="0">
            <a:scrgbClr r="0" g="0" b="0"/>
          </a:effectRef>
          <a:fontRef idx="minor">
            <a:schemeClr val="lt1"/>
          </a:fontRef>
        </xdr:style>
        <xdr:txBody>
          <a:bodyPr spcFirstLastPara="0" vert="horz" wrap="square" lIns="0" tIns="0" rIns="0" bIns="0" numCol="1" spcCol="1270" anchor="ctr" anchorCtr="0">
            <a:noAutofit/>
          </a:bodyPr>
          <a:lstStyle/>
          <a:p>
            <a:pPr lvl="0" algn="ctr" defTabSz="311150">
              <a:lnSpc>
                <a:spcPct val="90000"/>
              </a:lnSpc>
              <a:spcBef>
                <a:spcPct val="0"/>
              </a:spcBef>
              <a:spcAft>
                <a:spcPct val="35000"/>
              </a:spcAft>
            </a:pPr>
            <a:endParaRPr lang="en-US" sz="700" kern="1200"/>
          </a:p>
        </xdr:txBody>
      </xdr:sp>
    </xdr:grpSp>
    <xdr:clientData/>
  </xdr:twoCellAnchor>
  <xdr:twoCellAnchor>
    <xdr:from>
      <xdr:col>2</xdr:col>
      <xdr:colOff>0</xdr:colOff>
      <xdr:row>8</xdr:row>
      <xdr:rowOff>97939</xdr:rowOff>
    </xdr:from>
    <xdr:to>
      <xdr:col>9</xdr:col>
      <xdr:colOff>361949</xdr:colOff>
      <xdr:row>10</xdr:row>
      <xdr:rowOff>156342</xdr:rowOff>
    </xdr:to>
    <xdr:grpSp>
      <xdr:nvGrpSpPr>
        <xdr:cNvPr id="8" name="Group 7">
          <a:hlinkClick xmlns:r="http://schemas.openxmlformats.org/officeDocument/2006/relationships" r:id="rId2"/>
        </xdr:cNvPr>
        <xdr:cNvGrpSpPr/>
      </xdr:nvGrpSpPr>
      <xdr:grpSpPr>
        <a:xfrm>
          <a:off x="1533525" y="1850539"/>
          <a:ext cx="5057774" cy="439403"/>
          <a:chOff x="0" y="659480"/>
          <a:chExt cx="4114799" cy="439403"/>
        </a:xfrm>
        <a:scene3d>
          <a:camera prst="orthographicFront"/>
          <a:lightRig rig="threePt" dir="t">
            <a:rot lat="0" lon="0" rev="7500000"/>
          </a:lightRig>
        </a:scene3d>
      </xdr:grpSpPr>
      <xdr:sp macro="" textlink="">
        <xdr:nvSpPr>
          <xdr:cNvPr id="9" name="Rounded Rectangle 8"/>
          <xdr:cNvSpPr/>
        </xdr:nvSpPr>
        <xdr:spPr>
          <a:xfrm>
            <a:off x="0" y="659480"/>
            <a:ext cx="4114799" cy="439403"/>
          </a:xfrm>
          <a:prstGeom prst="roundRect">
            <a:avLst>
              <a:gd name="adj" fmla="val 10000"/>
            </a:avLst>
          </a:prstGeom>
          <a:sp3d prstMaterial="plastic">
            <a:bevelT w="127000" h="25400" prst="relaxedInset"/>
          </a:sp3d>
        </xdr:spPr>
        <xdr:style>
          <a:lnRef idx="0">
            <a:schemeClr val="lt1">
              <a:hueOff val="0"/>
              <a:satOff val="0"/>
              <a:lumOff val="0"/>
              <a:alphaOff val="0"/>
            </a:schemeClr>
          </a:lnRef>
          <a:fillRef idx="3">
            <a:schemeClr val="accent3">
              <a:hueOff val="0"/>
              <a:satOff val="0"/>
              <a:lumOff val="0"/>
              <a:alphaOff val="0"/>
            </a:schemeClr>
          </a:fillRef>
          <a:effectRef idx="2">
            <a:schemeClr val="accent3">
              <a:hueOff val="0"/>
              <a:satOff val="0"/>
              <a:lumOff val="0"/>
              <a:alphaOff val="0"/>
            </a:schemeClr>
          </a:effectRef>
          <a:fontRef idx="minor">
            <a:schemeClr val="lt1"/>
          </a:fontRef>
        </xdr:style>
      </xdr:sp>
      <xdr:sp macro="" textlink="">
        <xdr:nvSpPr>
          <xdr:cNvPr id="10" name="Rounded Rectangle 8"/>
          <xdr:cNvSpPr/>
        </xdr:nvSpPr>
        <xdr:spPr>
          <a:xfrm>
            <a:off x="12870" y="672350"/>
            <a:ext cx="4089059" cy="413663"/>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60960" tIns="60960" rIns="60960" bIns="60960" numCol="1" spcCol="1270" anchor="ctr" anchorCtr="0">
            <a:noAutofit/>
          </a:bodyPr>
          <a:lstStyle/>
          <a:p>
            <a:pPr lvl="0" algn="ctr" defTabSz="711200">
              <a:lnSpc>
                <a:spcPct val="90000"/>
              </a:lnSpc>
              <a:spcBef>
                <a:spcPct val="0"/>
              </a:spcBef>
              <a:spcAft>
                <a:spcPct val="35000"/>
              </a:spcAft>
            </a:pPr>
            <a:r>
              <a:rPr lang="en-US" sz="2000" b="1" kern="1200">
                <a:solidFill>
                  <a:schemeClr val="tx1"/>
                </a:solidFill>
              </a:rPr>
              <a:t>Input Deskripsi Mapel</a:t>
            </a:r>
          </a:p>
        </xdr:txBody>
      </xdr:sp>
    </xdr:grpSp>
    <xdr:clientData/>
  </xdr:twoCellAnchor>
  <xdr:twoCellAnchor>
    <xdr:from>
      <xdr:col>5</xdr:col>
      <xdr:colOff>329758</xdr:colOff>
      <xdr:row>10</xdr:row>
      <xdr:rowOff>183805</xdr:rowOff>
    </xdr:from>
    <xdr:to>
      <xdr:col>5</xdr:col>
      <xdr:colOff>527489</xdr:colOff>
      <xdr:row>11</xdr:row>
      <xdr:rowOff>158081</xdr:rowOff>
    </xdr:to>
    <xdr:grpSp>
      <xdr:nvGrpSpPr>
        <xdr:cNvPr id="11" name="Group 10"/>
        <xdr:cNvGrpSpPr/>
      </xdr:nvGrpSpPr>
      <xdr:grpSpPr>
        <a:xfrm>
          <a:off x="3901633" y="2317405"/>
          <a:ext cx="197731" cy="164776"/>
          <a:chOff x="1958533" y="1126346"/>
          <a:chExt cx="197731" cy="164776"/>
        </a:xfrm>
        <a:scene3d>
          <a:camera prst="orthographicFront"/>
          <a:lightRig rig="threePt" dir="t">
            <a:rot lat="0" lon="0" rev="7500000"/>
          </a:lightRig>
        </a:scene3d>
      </xdr:grpSpPr>
      <xdr:sp macro="" textlink="">
        <xdr:nvSpPr>
          <xdr:cNvPr id="12" name="Right Arrow 11"/>
          <xdr:cNvSpPr/>
        </xdr:nvSpPr>
        <xdr:spPr>
          <a:xfrm rot="5400000">
            <a:off x="1975011" y="1109868"/>
            <a:ext cx="164776" cy="197731"/>
          </a:xfrm>
          <a:prstGeom prst="rightArrow">
            <a:avLst>
              <a:gd name="adj1" fmla="val 60000"/>
              <a:gd name="adj2" fmla="val 50000"/>
            </a:avLst>
          </a:prstGeom>
          <a:sp3d z="-70000" extrusionH="63500" prstMaterial="matte">
            <a:bevelT w="25400" h="6350" prst="relaxedInset"/>
            <a:contourClr>
              <a:schemeClr val="bg1"/>
            </a:contourClr>
          </a:sp3d>
        </xdr:spPr>
        <xdr:style>
          <a:lnRef idx="0">
            <a:schemeClr val="lt1">
              <a:hueOff val="0"/>
              <a:satOff val="0"/>
              <a:lumOff val="0"/>
              <a:alphaOff val="0"/>
            </a:schemeClr>
          </a:lnRef>
          <a:fillRef idx="1">
            <a:schemeClr val="accent3">
              <a:hueOff val="0"/>
              <a:satOff val="0"/>
              <a:lumOff val="0"/>
              <a:alphaOff val="0"/>
            </a:schemeClr>
          </a:fillRef>
          <a:effectRef idx="2">
            <a:schemeClr val="accent3">
              <a:hueOff val="0"/>
              <a:satOff val="0"/>
              <a:lumOff val="0"/>
              <a:alphaOff val="0"/>
            </a:schemeClr>
          </a:effectRef>
          <a:fontRef idx="minor">
            <a:schemeClr val="lt1"/>
          </a:fontRef>
        </xdr:style>
      </xdr:sp>
      <xdr:sp macro="" textlink="">
        <xdr:nvSpPr>
          <xdr:cNvPr id="13" name="Right Arrow 10"/>
          <xdr:cNvSpPr/>
        </xdr:nvSpPr>
        <xdr:spPr>
          <a:xfrm>
            <a:off x="1998080" y="1126346"/>
            <a:ext cx="118639" cy="115343"/>
          </a:xfrm>
          <a:prstGeom prst="rect">
            <a:avLst/>
          </a:prstGeom>
          <a:sp3d z="-70000"/>
        </xdr:spPr>
        <xdr:style>
          <a:lnRef idx="0">
            <a:scrgbClr r="0" g="0" b="0"/>
          </a:lnRef>
          <a:fillRef idx="0">
            <a:scrgbClr r="0" g="0" b="0"/>
          </a:fillRef>
          <a:effectRef idx="0">
            <a:scrgbClr r="0" g="0" b="0"/>
          </a:effectRef>
          <a:fontRef idx="minor">
            <a:schemeClr val="lt1"/>
          </a:fontRef>
        </xdr:style>
        <xdr:txBody>
          <a:bodyPr spcFirstLastPara="0" vert="horz" wrap="square" lIns="0" tIns="0" rIns="0" bIns="0" numCol="1" spcCol="1270" anchor="ctr" anchorCtr="0">
            <a:noAutofit/>
          </a:bodyPr>
          <a:lstStyle/>
          <a:p>
            <a:pPr lvl="0" algn="ctr" defTabSz="355600">
              <a:lnSpc>
                <a:spcPct val="90000"/>
              </a:lnSpc>
              <a:spcBef>
                <a:spcPct val="0"/>
              </a:spcBef>
              <a:spcAft>
                <a:spcPct val="35000"/>
              </a:spcAft>
            </a:pPr>
            <a:endParaRPr lang="en-US" sz="800" kern="1200"/>
          </a:p>
        </xdr:txBody>
      </xdr:sp>
    </xdr:grpSp>
    <xdr:clientData/>
  </xdr:twoCellAnchor>
  <xdr:twoCellAnchor>
    <xdr:from>
      <xdr:col>2</xdr:col>
      <xdr:colOff>0</xdr:colOff>
      <xdr:row>11</xdr:row>
      <xdr:rowOff>185544</xdr:rowOff>
    </xdr:from>
    <xdr:to>
      <xdr:col>9</xdr:col>
      <xdr:colOff>361949</xdr:colOff>
      <xdr:row>14</xdr:row>
      <xdr:rowOff>53447</xdr:rowOff>
    </xdr:to>
    <xdr:grpSp>
      <xdr:nvGrpSpPr>
        <xdr:cNvPr id="14" name="Group 13"/>
        <xdr:cNvGrpSpPr/>
      </xdr:nvGrpSpPr>
      <xdr:grpSpPr>
        <a:xfrm>
          <a:off x="1533525" y="2509644"/>
          <a:ext cx="5057774" cy="439403"/>
          <a:chOff x="0" y="1318585"/>
          <a:chExt cx="4114799" cy="439403"/>
        </a:xfrm>
        <a:scene3d>
          <a:camera prst="orthographicFront"/>
          <a:lightRig rig="threePt" dir="t">
            <a:rot lat="0" lon="0" rev="7500000"/>
          </a:lightRig>
        </a:scene3d>
      </xdr:grpSpPr>
      <xdr:sp macro="" textlink="">
        <xdr:nvSpPr>
          <xdr:cNvPr id="15" name="Rounded Rectangle 14"/>
          <xdr:cNvSpPr/>
        </xdr:nvSpPr>
        <xdr:spPr>
          <a:xfrm>
            <a:off x="0" y="1318585"/>
            <a:ext cx="4114799" cy="439403"/>
          </a:xfrm>
          <a:prstGeom prst="roundRect">
            <a:avLst>
              <a:gd name="adj" fmla="val 10000"/>
            </a:avLst>
          </a:prstGeom>
          <a:sp3d prstMaterial="plastic">
            <a:bevelT w="127000" h="25400" prst="relaxedInset"/>
          </a:sp3d>
        </xdr:spPr>
        <xdr:style>
          <a:lnRef idx="0">
            <a:schemeClr val="lt1">
              <a:hueOff val="0"/>
              <a:satOff val="0"/>
              <a:lumOff val="0"/>
              <a:alphaOff val="0"/>
            </a:schemeClr>
          </a:lnRef>
          <a:fillRef idx="3">
            <a:schemeClr val="accent4">
              <a:hueOff val="0"/>
              <a:satOff val="0"/>
              <a:lumOff val="0"/>
              <a:alphaOff val="0"/>
            </a:schemeClr>
          </a:fillRef>
          <a:effectRef idx="2">
            <a:schemeClr val="accent4">
              <a:hueOff val="0"/>
              <a:satOff val="0"/>
              <a:lumOff val="0"/>
              <a:alphaOff val="0"/>
            </a:schemeClr>
          </a:effectRef>
          <a:fontRef idx="minor">
            <a:schemeClr val="lt1"/>
          </a:fontRef>
        </xdr:style>
      </xdr:sp>
      <xdr:sp macro="" textlink="">
        <xdr:nvSpPr>
          <xdr:cNvPr id="16" name="Rounded Rectangle 12">
            <a:hlinkClick xmlns:r="http://schemas.openxmlformats.org/officeDocument/2006/relationships" r:id="rId3"/>
          </xdr:cNvPr>
          <xdr:cNvSpPr/>
        </xdr:nvSpPr>
        <xdr:spPr>
          <a:xfrm>
            <a:off x="12870" y="1331455"/>
            <a:ext cx="4089059" cy="413663"/>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60960" tIns="60960" rIns="60960" bIns="60960" numCol="1" spcCol="1270" anchor="ctr" anchorCtr="0">
            <a:noAutofit/>
          </a:bodyPr>
          <a:lstStyle/>
          <a:p>
            <a:pPr lvl="0" algn="ctr" defTabSz="711200">
              <a:lnSpc>
                <a:spcPct val="90000"/>
              </a:lnSpc>
              <a:spcBef>
                <a:spcPct val="0"/>
              </a:spcBef>
              <a:spcAft>
                <a:spcPct val="35000"/>
              </a:spcAft>
            </a:pPr>
            <a:r>
              <a:rPr lang="en-US" sz="2000" b="1" kern="1200"/>
              <a:t>Nilai Sikap Spiritual dan Sosial</a:t>
            </a:r>
          </a:p>
        </xdr:txBody>
      </xdr:sp>
    </xdr:grpSp>
    <xdr:clientData/>
  </xdr:twoCellAnchor>
  <xdr:twoCellAnchor>
    <xdr:from>
      <xdr:col>5</xdr:col>
      <xdr:colOff>329758</xdr:colOff>
      <xdr:row>14</xdr:row>
      <xdr:rowOff>80910</xdr:rowOff>
    </xdr:from>
    <xdr:to>
      <xdr:col>5</xdr:col>
      <xdr:colOff>527489</xdr:colOff>
      <xdr:row>15</xdr:row>
      <xdr:rowOff>55186</xdr:rowOff>
    </xdr:to>
    <xdr:grpSp>
      <xdr:nvGrpSpPr>
        <xdr:cNvPr id="17" name="Group 16"/>
        <xdr:cNvGrpSpPr/>
      </xdr:nvGrpSpPr>
      <xdr:grpSpPr>
        <a:xfrm>
          <a:off x="3901633" y="2976510"/>
          <a:ext cx="197731" cy="164776"/>
          <a:chOff x="1958533" y="1785451"/>
          <a:chExt cx="197731" cy="164776"/>
        </a:xfrm>
        <a:scene3d>
          <a:camera prst="orthographicFront"/>
          <a:lightRig rig="threePt" dir="t">
            <a:rot lat="0" lon="0" rev="7500000"/>
          </a:lightRig>
        </a:scene3d>
      </xdr:grpSpPr>
      <xdr:sp macro="" textlink="">
        <xdr:nvSpPr>
          <xdr:cNvPr id="18" name="Right Arrow 17"/>
          <xdr:cNvSpPr/>
        </xdr:nvSpPr>
        <xdr:spPr>
          <a:xfrm rot="5400000">
            <a:off x="1975011" y="1768973"/>
            <a:ext cx="164776" cy="197731"/>
          </a:xfrm>
          <a:prstGeom prst="rightArrow">
            <a:avLst>
              <a:gd name="adj1" fmla="val 60000"/>
              <a:gd name="adj2" fmla="val 50000"/>
            </a:avLst>
          </a:prstGeom>
          <a:sp3d z="-70000" extrusionH="63500" prstMaterial="matte">
            <a:bevelT w="25400" h="6350" prst="relaxedInset"/>
            <a:contourClr>
              <a:schemeClr val="bg1"/>
            </a:contourClr>
          </a:sp3d>
        </xdr:spPr>
        <xdr:style>
          <a:lnRef idx="0">
            <a:schemeClr val="lt1">
              <a:hueOff val="0"/>
              <a:satOff val="0"/>
              <a:lumOff val="0"/>
              <a:alphaOff val="0"/>
            </a:schemeClr>
          </a:lnRef>
          <a:fillRef idx="1">
            <a:schemeClr val="accent4">
              <a:hueOff val="0"/>
              <a:satOff val="0"/>
              <a:lumOff val="0"/>
              <a:alphaOff val="0"/>
            </a:schemeClr>
          </a:fillRef>
          <a:effectRef idx="2">
            <a:schemeClr val="accent4">
              <a:hueOff val="0"/>
              <a:satOff val="0"/>
              <a:lumOff val="0"/>
              <a:alphaOff val="0"/>
            </a:schemeClr>
          </a:effectRef>
          <a:fontRef idx="minor">
            <a:schemeClr val="lt1"/>
          </a:fontRef>
        </xdr:style>
      </xdr:sp>
      <xdr:sp macro="" textlink="">
        <xdr:nvSpPr>
          <xdr:cNvPr id="19" name="Right Arrow 14"/>
          <xdr:cNvSpPr/>
        </xdr:nvSpPr>
        <xdr:spPr>
          <a:xfrm>
            <a:off x="1998080" y="1785451"/>
            <a:ext cx="118639" cy="115343"/>
          </a:xfrm>
          <a:prstGeom prst="rect">
            <a:avLst/>
          </a:prstGeom>
          <a:sp3d z="-70000"/>
        </xdr:spPr>
        <xdr:style>
          <a:lnRef idx="0">
            <a:scrgbClr r="0" g="0" b="0"/>
          </a:lnRef>
          <a:fillRef idx="0">
            <a:scrgbClr r="0" g="0" b="0"/>
          </a:fillRef>
          <a:effectRef idx="0">
            <a:scrgbClr r="0" g="0" b="0"/>
          </a:effectRef>
          <a:fontRef idx="minor">
            <a:schemeClr val="lt1"/>
          </a:fontRef>
        </xdr:style>
        <xdr:txBody>
          <a:bodyPr spcFirstLastPara="0" vert="horz" wrap="square" lIns="0" tIns="0" rIns="0" bIns="0" numCol="1" spcCol="1270" anchor="ctr" anchorCtr="0">
            <a:noAutofit/>
          </a:bodyPr>
          <a:lstStyle/>
          <a:p>
            <a:pPr lvl="0" algn="ctr" defTabSz="355600">
              <a:lnSpc>
                <a:spcPct val="90000"/>
              </a:lnSpc>
              <a:spcBef>
                <a:spcPct val="0"/>
              </a:spcBef>
              <a:spcAft>
                <a:spcPct val="35000"/>
              </a:spcAft>
            </a:pPr>
            <a:endParaRPr lang="en-US" sz="800" kern="1200"/>
          </a:p>
        </xdr:txBody>
      </xdr:sp>
    </xdr:grpSp>
    <xdr:clientData/>
  </xdr:twoCellAnchor>
  <xdr:twoCellAnchor>
    <xdr:from>
      <xdr:col>2</xdr:col>
      <xdr:colOff>0</xdr:colOff>
      <xdr:row>15</xdr:row>
      <xdr:rowOff>82649</xdr:rowOff>
    </xdr:from>
    <xdr:to>
      <xdr:col>9</xdr:col>
      <xdr:colOff>361949</xdr:colOff>
      <xdr:row>17</xdr:row>
      <xdr:rowOff>141052</xdr:rowOff>
    </xdr:to>
    <xdr:grpSp>
      <xdr:nvGrpSpPr>
        <xdr:cNvPr id="20" name="Group 19">
          <a:hlinkClick xmlns:r="http://schemas.openxmlformats.org/officeDocument/2006/relationships" r:id="rId4"/>
        </xdr:cNvPr>
        <xdr:cNvGrpSpPr/>
      </xdr:nvGrpSpPr>
      <xdr:grpSpPr>
        <a:xfrm>
          <a:off x="1533525" y="3168749"/>
          <a:ext cx="5057774" cy="439403"/>
          <a:chOff x="0" y="1977690"/>
          <a:chExt cx="4114799" cy="439403"/>
        </a:xfrm>
        <a:scene3d>
          <a:camera prst="orthographicFront"/>
          <a:lightRig rig="threePt" dir="t">
            <a:rot lat="0" lon="0" rev="7500000"/>
          </a:lightRig>
        </a:scene3d>
      </xdr:grpSpPr>
      <xdr:sp macro="" textlink="">
        <xdr:nvSpPr>
          <xdr:cNvPr id="21" name="Rounded Rectangle 20"/>
          <xdr:cNvSpPr/>
        </xdr:nvSpPr>
        <xdr:spPr>
          <a:xfrm>
            <a:off x="0" y="1977690"/>
            <a:ext cx="4114799" cy="439403"/>
          </a:xfrm>
          <a:prstGeom prst="roundRect">
            <a:avLst>
              <a:gd name="adj" fmla="val 10000"/>
            </a:avLst>
          </a:prstGeom>
          <a:sp3d prstMaterial="plastic">
            <a:bevelT w="127000" h="25400" prst="relaxedInset"/>
          </a:sp3d>
        </xdr:spPr>
        <xdr:style>
          <a:lnRef idx="0">
            <a:schemeClr val="lt1">
              <a:hueOff val="0"/>
              <a:satOff val="0"/>
              <a:lumOff val="0"/>
              <a:alphaOff val="0"/>
            </a:schemeClr>
          </a:lnRef>
          <a:fillRef idx="3">
            <a:schemeClr val="accent5">
              <a:hueOff val="0"/>
              <a:satOff val="0"/>
              <a:lumOff val="0"/>
              <a:alphaOff val="0"/>
            </a:schemeClr>
          </a:fillRef>
          <a:effectRef idx="2">
            <a:schemeClr val="accent5">
              <a:hueOff val="0"/>
              <a:satOff val="0"/>
              <a:lumOff val="0"/>
              <a:alphaOff val="0"/>
            </a:schemeClr>
          </a:effectRef>
          <a:fontRef idx="minor">
            <a:schemeClr val="lt1"/>
          </a:fontRef>
        </xdr:style>
      </xdr:sp>
      <xdr:sp macro="" textlink="">
        <xdr:nvSpPr>
          <xdr:cNvPr id="22" name="Rounded Rectangle 16"/>
          <xdr:cNvSpPr/>
        </xdr:nvSpPr>
        <xdr:spPr>
          <a:xfrm>
            <a:off x="12870" y="1990560"/>
            <a:ext cx="4089059" cy="413663"/>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60960" tIns="60960" rIns="60960" bIns="60960" numCol="1" spcCol="1270" anchor="ctr" anchorCtr="0">
            <a:noAutofit/>
          </a:bodyPr>
          <a:lstStyle/>
          <a:p>
            <a:pPr lvl="0" algn="ctr" defTabSz="711200">
              <a:lnSpc>
                <a:spcPct val="90000"/>
              </a:lnSpc>
              <a:spcBef>
                <a:spcPct val="0"/>
              </a:spcBef>
              <a:spcAft>
                <a:spcPct val="35000"/>
              </a:spcAft>
            </a:pPr>
            <a:r>
              <a:rPr lang="en-US" sz="2000" b="1" kern="1200">
                <a:solidFill>
                  <a:schemeClr val="tx1"/>
                </a:solidFill>
              </a:rPr>
              <a:t>Nilai Ekstrakurikuler</a:t>
            </a:r>
          </a:p>
        </xdr:txBody>
      </xdr:sp>
    </xdr:grpSp>
    <xdr:clientData/>
  </xdr:twoCellAnchor>
  <xdr:twoCellAnchor>
    <xdr:from>
      <xdr:col>5</xdr:col>
      <xdr:colOff>329758</xdr:colOff>
      <xdr:row>17</xdr:row>
      <xdr:rowOff>168515</xdr:rowOff>
    </xdr:from>
    <xdr:to>
      <xdr:col>5</xdr:col>
      <xdr:colOff>527489</xdr:colOff>
      <xdr:row>17</xdr:row>
      <xdr:rowOff>333291</xdr:rowOff>
    </xdr:to>
    <xdr:grpSp>
      <xdr:nvGrpSpPr>
        <xdr:cNvPr id="23" name="Group 22"/>
        <xdr:cNvGrpSpPr/>
      </xdr:nvGrpSpPr>
      <xdr:grpSpPr>
        <a:xfrm>
          <a:off x="3901633" y="3635615"/>
          <a:ext cx="197731" cy="164776"/>
          <a:chOff x="1958533" y="2444556"/>
          <a:chExt cx="197731" cy="164776"/>
        </a:xfrm>
        <a:scene3d>
          <a:camera prst="orthographicFront"/>
          <a:lightRig rig="threePt" dir="t">
            <a:rot lat="0" lon="0" rev="7500000"/>
          </a:lightRig>
        </a:scene3d>
      </xdr:grpSpPr>
      <xdr:sp macro="" textlink="">
        <xdr:nvSpPr>
          <xdr:cNvPr id="24" name="Right Arrow 23"/>
          <xdr:cNvSpPr/>
        </xdr:nvSpPr>
        <xdr:spPr>
          <a:xfrm rot="5400000">
            <a:off x="1975011" y="2428078"/>
            <a:ext cx="164776" cy="197731"/>
          </a:xfrm>
          <a:prstGeom prst="rightArrow">
            <a:avLst>
              <a:gd name="adj1" fmla="val 60000"/>
              <a:gd name="adj2" fmla="val 50000"/>
            </a:avLst>
          </a:prstGeom>
          <a:sp3d z="-70000" extrusionH="63500" prstMaterial="matte">
            <a:bevelT w="25400" h="6350" prst="relaxedInset"/>
            <a:contourClr>
              <a:schemeClr val="bg1"/>
            </a:contourClr>
          </a:sp3d>
        </xdr:spPr>
        <xdr:style>
          <a:lnRef idx="0">
            <a:schemeClr val="lt1">
              <a:hueOff val="0"/>
              <a:satOff val="0"/>
              <a:lumOff val="0"/>
              <a:alphaOff val="0"/>
            </a:schemeClr>
          </a:lnRef>
          <a:fillRef idx="1">
            <a:schemeClr val="accent5">
              <a:hueOff val="0"/>
              <a:satOff val="0"/>
              <a:lumOff val="0"/>
              <a:alphaOff val="0"/>
            </a:schemeClr>
          </a:fillRef>
          <a:effectRef idx="2">
            <a:schemeClr val="accent5">
              <a:hueOff val="0"/>
              <a:satOff val="0"/>
              <a:lumOff val="0"/>
              <a:alphaOff val="0"/>
            </a:schemeClr>
          </a:effectRef>
          <a:fontRef idx="minor">
            <a:schemeClr val="lt1"/>
          </a:fontRef>
        </xdr:style>
      </xdr:sp>
      <xdr:sp macro="" textlink="">
        <xdr:nvSpPr>
          <xdr:cNvPr id="25" name="Right Arrow 18"/>
          <xdr:cNvSpPr/>
        </xdr:nvSpPr>
        <xdr:spPr>
          <a:xfrm>
            <a:off x="1998080" y="2444556"/>
            <a:ext cx="118639" cy="115343"/>
          </a:xfrm>
          <a:prstGeom prst="rect">
            <a:avLst/>
          </a:prstGeom>
          <a:sp3d z="-70000"/>
        </xdr:spPr>
        <xdr:style>
          <a:lnRef idx="0">
            <a:scrgbClr r="0" g="0" b="0"/>
          </a:lnRef>
          <a:fillRef idx="0">
            <a:scrgbClr r="0" g="0" b="0"/>
          </a:fillRef>
          <a:effectRef idx="0">
            <a:scrgbClr r="0" g="0" b="0"/>
          </a:effectRef>
          <a:fontRef idx="minor">
            <a:schemeClr val="lt1"/>
          </a:fontRef>
        </xdr:style>
        <xdr:txBody>
          <a:bodyPr spcFirstLastPara="0" vert="horz" wrap="square" lIns="0" tIns="0" rIns="0" bIns="0" numCol="1" spcCol="1270" anchor="ctr" anchorCtr="0">
            <a:noAutofit/>
          </a:bodyPr>
          <a:lstStyle/>
          <a:p>
            <a:pPr lvl="0" algn="ctr" defTabSz="355600">
              <a:lnSpc>
                <a:spcPct val="90000"/>
              </a:lnSpc>
              <a:spcBef>
                <a:spcPct val="0"/>
              </a:spcBef>
              <a:spcAft>
                <a:spcPct val="35000"/>
              </a:spcAft>
            </a:pPr>
            <a:endParaRPr lang="en-US" sz="800" kern="1200"/>
          </a:p>
        </xdr:txBody>
      </xdr:sp>
    </xdr:grpSp>
    <xdr:clientData/>
  </xdr:twoCellAnchor>
  <xdr:twoCellAnchor>
    <xdr:from>
      <xdr:col>2</xdr:col>
      <xdr:colOff>0</xdr:colOff>
      <xdr:row>17</xdr:row>
      <xdr:rowOff>360754</xdr:rowOff>
    </xdr:from>
    <xdr:to>
      <xdr:col>9</xdr:col>
      <xdr:colOff>361949</xdr:colOff>
      <xdr:row>19</xdr:row>
      <xdr:rowOff>9582</xdr:rowOff>
    </xdr:to>
    <xdr:grpSp>
      <xdr:nvGrpSpPr>
        <xdr:cNvPr id="26" name="Group 25"/>
        <xdr:cNvGrpSpPr/>
      </xdr:nvGrpSpPr>
      <xdr:grpSpPr>
        <a:xfrm>
          <a:off x="1533525" y="3827854"/>
          <a:ext cx="5057774" cy="439403"/>
          <a:chOff x="0" y="2636795"/>
          <a:chExt cx="4114799" cy="439403"/>
        </a:xfrm>
        <a:scene3d>
          <a:camera prst="orthographicFront"/>
          <a:lightRig rig="threePt" dir="t">
            <a:rot lat="0" lon="0" rev="7500000"/>
          </a:lightRig>
        </a:scene3d>
      </xdr:grpSpPr>
      <xdr:sp macro="" textlink="">
        <xdr:nvSpPr>
          <xdr:cNvPr id="27" name="Rounded Rectangle 26">
            <a:hlinkClick xmlns:r="http://schemas.openxmlformats.org/officeDocument/2006/relationships" r:id="rId5"/>
          </xdr:cNvPr>
          <xdr:cNvSpPr/>
        </xdr:nvSpPr>
        <xdr:spPr>
          <a:xfrm>
            <a:off x="0" y="2636795"/>
            <a:ext cx="4114799" cy="439403"/>
          </a:xfrm>
          <a:prstGeom prst="roundRect">
            <a:avLst>
              <a:gd name="adj" fmla="val 10000"/>
            </a:avLst>
          </a:prstGeom>
          <a:sp3d prstMaterial="plastic">
            <a:bevelT w="127000" h="25400" prst="relaxedInset"/>
          </a:sp3d>
        </xdr:spPr>
        <xdr:style>
          <a:lnRef idx="0">
            <a:schemeClr val="lt1">
              <a:hueOff val="0"/>
              <a:satOff val="0"/>
              <a:lumOff val="0"/>
              <a:alphaOff val="0"/>
            </a:schemeClr>
          </a:lnRef>
          <a:fillRef idx="3">
            <a:schemeClr val="accent6">
              <a:hueOff val="0"/>
              <a:satOff val="0"/>
              <a:lumOff val="0"/>
              <a:alphaOff val="0"/>
            </a:schemeClr>
          </a:fillRef>
          <a:effectRef idx="2">
            <a:schemeClr val="accent6">
              <a:hueOff val="0"/>
              <a:satOff val="0"/>
              <a:lumOff val="0"/>
              <a:alphaOff val="0"/>
            </a:schemeClr>
          </a:effectRef>
          <a:fontRef idx="minor">
            <a:schemeClr val="lt1"/>
          </a:fontRef>
        </xdr:style>
      </xdr:sp>
      <xdr:sp macro="" textlink="">
        <xdr:nvSpPr>
          <xdr:cNvPr id="28" name="Rounded Rectangle 20">
            <a:hlinkClick xmlns:r="http://schemas.openxmlformats.org/officeDocument/2006/relationships" r:id="rId6"/>
          </xdr:cNvPr>
          <xdr:cNvSpPr/>
        </xdr:nvSpPr>
        <xdr:spPr>
          <a:xfrm>
            <a:off x="12870" y="2649665"/>
            <a:ext cx="4089059" cy="413663"/>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60960" tIns="60960" rIns="60960" bIns="60960" numCol="1" spcCol="1270" anchor="ctr" anchorCtr="0">
            <a:noAutofit/>
          </a:bodyPr>
          <a:lstStyle/>
          <a:p>
            <a:pPr lvl="0" algn="ctr" defTabSz="711200">
              <a:lnSpc>
                <a:spcPct val="90000"/>
              </a:lnSpc>
              <a:spcBef>
                <a:spcPct val="0"/>
              </a:spcBef>
              <a:spcAft>
                <a:spcPct val="35000"/>
              </a:spcAft>
            </a:pPr>
            <a:r>
              <a:rPr lang="en-US" sz="2000" b="1" kern="1200">
                <a:solidFill>
                  <a:schemeClr val="tx1"/>
                </a:solidFill>
              </a:rPr>
              <a:t>Prestasi Siswa</a:t>
            </a:r>
          </a:p>
        </xdr:txBody>
      </xdr:sp>
    </xdr:grpSp>
    <xdr:clientData/>
  </xdr:twoCellAnchor>
  <xdr:twoCellAnchor editAs="oneCell">
    <xdr:from>
      <xdr:col>0</xdr:col>
      <xdr:colOff>0</xdr:colOff>
      <xdr:row>0</xdr:row>
      <xdr:rowOff>1</xdr:rowOff>
    </xdr:from>
    <xdr:to>
      <xdr:col>0</xdr:col>
      <xdr:colOff>838200</xdr:colOff>
      <xdr:row>3</xdr:row>
      <xdr:rowOff>133351</xdr:rowOff>
    </xdr:to>
    <xdr:pic>
      <xdr:nvPicPr>
        <xdr:cNvPr id="29" name="Picture 28" descr="Home.png">
          <a:hlinkClick xmlns:r="http://schemas.openxmlformats.org/officeDocument/2006/relationships" r:id="rId7"/>
        </xdr:cNvPr>
        <xdr:cNvPicPr>
          <a:picLocks noChangeAspect="1"/>
        </xdr:cNvPicPr>
      </xdr:nvPicPr>
      <xdr:blipFill>
        <a:blip xmlns:r="http://schemas.openxmlformats.org/officeDocument/2006/relationships" r:embed="rId8" cstate="print"/>
        <a:stretch>
          <a:fillRect/>
        </a:stretch>
      </xdr:blipFill>
      <xdr:spPr>
        <a:xfrm>
          <a:off x="0" y="1"/>
          <a:ext cx="838200" cy="838200"/>
        </a:xfrm>
        <a:prstGeom prst="rect">
          <a:avLst/>
        </a:prstGeom>
      </xdr:spPr>
    </xdr:pic>
    <xdr:clientData/>
  </xdr:twoCellAnchor>
  <xdr:twoCellAnchor>
    <xdr:from>
      <xdr:col>0</xdr:col>
      <xdr:colOff>981075</xdr:colOff>
      <xdr:row>4</xdr:row>
      <xdr:rowOff>159234</xdr:rowOff>
    </xdr:from>
    <xdr:to>
      <xdr:col>2</xdr:col>
      <xdr:colOff>0</xdr:colOff>
      <xdr:row>7</xdr:row>
      <xdr:rowOff>95250</xdr:rowOff>
    </xdr:to>
    <xdr:sp macro="" textlink="">
      <xdr:nvSpPr>
        <xdr:cNvPr id="30" name="Oval 29"/>
        <xdr:cNvSpPr/>
      </xdr:nvSpPr>
      <xdr:spPr>
        <a:xfrm>
          <a:off x="981075" y="1292709"/>
          <a:ext cx="552450" cy="507516"/>
        </a:xfrm>
        <a:prstGeom prst="ellipse">
          <a:avLst/>
        </a:prstGeom>
        <a:ln/>
      </xdr:spPr>
      <xdr:style>
        <a:lnRef idx="2">
          <a:schemeClr val="dk1"/>
        </a:lnRef>
        <a:fillRef idx="1">
          <a:schemeClr val="lt1"/>
        </a:fillRef>
        <a:effectRef idx="0">
          <a:schemeClr val="dk1"/>
        </a:effectRef>
        <a:fontRef idx="minor">
          <a:schemeClr val="dk1"/>
        </a:fontRef>
      </xdr:style>
      <xdr:txBody>
        <a:bodyPr rtlCol="0" anchor="ctr"/>
        <a:lstStyle/>
        <a:p>
          <a:pPr algn="ctr"/>
          <a:r>
            <a:rPr lang="en-US" sz="2400" b="1"/>
            <a:t>1</a:t>
          </a:r>
        </a:p>
      </xdr:txBody>
    </xdr:sp>
    <xdr:clientData/>
  </xdr:twoCellAnchor>
  <xdr:twoCellAnchor>
    <xdr:from>
      <xdr:col>0</xdr:col>
      <xdr:colOff>981075</xdr:colOff>
      <xdr:row>8</xdr:row>
      <xdr:rowOff>47625</xdr:rowOff>
    </xdr:from>
    <xdr:to>
      <xdr:col>2</xdr:col>
      <xdr:colOff>0</xdr:colOff>
      <xdr:row>10</xdr:row>
      <xdr:rowOff>174141</xdr:rowOff>
    </xdr:to>
    <xdr:sp macro="" textlink="">
      <xdr:nvSpPr>
        <xdr:cNvPr id="31" name="Oval 30"/>
        <xdr:cNvSpPr/>
      </xdr:nvSpPr>
      <xdr:spPr>
        <a:xfrm>
          <a:off x="981075" y="1943100"/>
          <a:ext cx="552450" cy="507516"/>
        </a:xfrm>
        <a:prstGeom prst="ellipse">
          <a:avLst/>
        </a:prstGeom>
        <a:ln/>
      </xdr:spPr>
      <xdr:style>
        <a:lnRef idx="2">
          <a:schemeClr val="dk1"/>
        </a:lnRef>
        <a:fillRef idx="1">
          <a:schemeClr val="lt1"/>
        </a:fillRef>
        <a:effectRef idx="0">
          <a:schemeClr val="dk1"/>
        </a:effectRef>
        <a:fontRef idx="minor">
          <a:schemeClr val="dk1"/>
        </a:fontRef>
      </xdr:style>
      <xdr:txBody>
        <a:bodyPr rtlCol="0" anchor="ctr"/>
        <a:lstStyle/>
        <a:p>
          <a:pPr algn="ctr"/>
          <a:r>
            <a:rPr lang="en-US" sz="2400" b="1"/>
            <a:t>2</a:t>
          </a:r>
        </a:p>
      </xdr:txBody>
    </xdr:sp>
    <xdr:clientData/>
  </xdr:twoCellAnchor>
  <xdr:twoCellAnchor>
    <xdr:from>
      <xdr:col>0</xdr:col>
      <xdr:colOff>981075</xdr:colOff>
      <xdr:row>11</xdr:row>
      <xdr:rowOff>133350</xdr:rowOff>
    </xdr:from>
    <xdr:to>
      <xdr:col>2</xdr:col>
      <xdr:colOff>0</xdr:colOff>
      <xdr:row>14</xdr:row>
      <xdr:rowOff>69366</xdr:rowOff>
    </xdr:to>
    <xdr:sp macro="" textlink="">
      <xdr:nvSpPr>
        <xdr:cNvPr id="32" name="Oval 31"/>
        <xdr:cNvSpPr/>
      </xdr:nvSpPr>
      <xdr:spPr>
        <a:xfrm>
          <a:off x="981075" y="2600325"/>
          <a:ext cx="552450" cy="507516"/>
        </a:xfrm>
        <a:prstGeom prst="ellipse">
          <a:avLst/>
        </a:prstGeom>
        <a:ln/>
      </xdr:spPr>
      <xdr:style>
        <a:lnRef idx="2">
          <a:schemeClr val="dk1"/>
        </a:lnRef>
        <a:fillRef idx="1">
          <a:schemeClr val="lt1"/>
        </a:fillRef>
        <a:effectRef idx="0">
          <a:schemeClr val="dk1"/>
        </a:effectRef>
        <a:fontRef idx="minor">
          <a:schemeClr val="dk1"/>
        </a:fontRef>
      </xdr:style>
      <xdr:txBody>
        <a:bodyPr rtlCol="0" anchor="ctr"/>
        <a:lstStyle/>
        <a:p>
          <a:pPr algn="ctr"/>
          <a:r>
            <a:rPr lang="en-US" sz="2400" b="1"/>
            <a:t>3</a:t>
          </a:r>
        </a:p>
      </xdr:txBody>
    </xdr:sp>
    <xdr:clientData/>
  </xdr:twoCellAnchor>
  <xdr:twoCellAnchor>
    <xdr:from>
      <xdr:col>0</xdr:col>
      <xdr:colOff>981075</xdr:colOff>
      <xdr:row>15</xdr:row>
      <xdr:rowOff>38100</xdr:rowOff>
    </xdr:from>
    <xdr:to>
      <xdr:col>2</xdr:col>
      <xdr:colOff>0</xdr:colOff>
      <xdr:row>17</xdr:row>
      <xdr:rowOff>164616</xdr:rowOff>
    </xdr:to>
    <xdr:sp macro="" textlink="">
      <xdr:nvSpPr>
        <xdr:cNvPr id="33" name="Oval 32"/>
        <xdr:cNvSpPr/>
      </xdr:nvSpPr>
      <xdr:spPr>
        <a:xfrm>
          <a:off x="981075" y="3267075"/>
          <a:ext cx="552450" cy="507516"/>
        </a:xfrm>
        <a:prstGeom prst="ellipse">
          <a:avLst/>
        </a:prstGeom>
        <a:ln/>
      </xdr:spPr>
      <xdr:style>
        <a:lnRef idx="2">
          <a:schemeClr val="dk1"/>
        </a:lnRef>
        <a:fillRef idx="1">
          <a:schemeClr val="lt1"/>
        </a:fillRef>
        <a:effectRef idx="0">
          <a:schemeClr val="dk1"/>
        </a:effectRef>
        <a:fontRef idx="minor">
          <a:schemeClr val="dk1"/>
        </a:fontRef>
      </xdr:style>
      <xdr:txBody>
        <a:bodyPr rtlCol="0" anchor="ctr"/>
        <a:lstStyle/>
        <a:p>
          <a:pPr algn="ctr"/>
          <a:r>
            <a:rPr lang="en-US" sz="2400" b="1"/>
            <a:t>4</a:t>
          </a:r>
        </a:p>
      </xdr:txBody>
    </xdr:sp>
    <xdr:clientData/>
  </xdr:twoCellAnchor>
  <xdr:twoCellAnchor>
    <xdr:from>
      <xdr:col>0</xdr:col>
      <xdr:colOff>981075</xdr:colOff>
      <xdr:row>17</xdr:row>
      <xdr:rowOff>323850</xdr:rowOff>
    </xdr:from>
    <xdr:to>
      <xdr:col>2</xdr:col>
      <xdr:colOff>0</xdr:colOff>
      <xdr:row>19</xdr:row>
      <xdr:rowOff>40791</xdr:rowOff>
    </xdr:to>
    <xdr:sp macro="" textlink="">
      <xdr:nvSpPr>
        <xdr:cNvPr id="34" name="Oval 33"/>
        <xdr:cNvSpPr/>
      </xdr:nvSpPr>
      <xdr:spPr>
        <a:xfrm>
          <a:off x="981075" y="3933825"/>
          <a:ext cx="552450" cy="507516"/>
        </a:xfrm>
        <a:prstGeom prst="ellipse">
          <a:avLst/>
        </a:prstGeom>
        <a:ln/>
      </xdr:spPr>
      <xdr:style>
        <a:lnRef idx="2">
          <a:schemeClr val="dk1"/>
        </a:lnRef>
        <a:fillRef idx="1">
          <a:schemeClr val="lt1"/>
        </a:fillRef>
        <a:effectRef idx="0">
          <a:schemeClr val="dk1"/>
        </a:effectRef>
        <a:fontRef idx="minor">
          <a:schemeClr val="dk1"/>
        </a:fontRef>
      </xdr:style>
      <xdr:txBody>
        <a:bodyPr rtlCol="0" anchor="ctr"/>
        <a:lstStyle/>
        <a:p>
          <a:pPr algn="ctr"/>
          <a:r>
            <a:rPr lang="en-US" sz="2400" b="1"/>
            <a:t>5</a:t>
          </a:r>
        </a:p>
      </xdr:txBody>
    </xdr:sp>
    <xdr:clientData/>
  </xdr:twoCellAnchor>
  <xdr:twoCellAnchor>
    <xdr:from>
      <xdr:col>10</xdr:col>
      <xdr:colOff>200025</xdr:colOff>
      <xdr:row>8</xdr:row>
      <xdr:rowOff>85725</xdr:rowOff>
    </xdr:from>
    <xdr:to>
      <xdr:col>10</xdr:col>
      <xdr:colOff>409575</xdr:colOff>
      <xdr:row>18</xdr:row>
      <xdr:rowOff>133350</xdr:rowOff>
    </xdr:to>
    <xdr:cxnSp macro="">
      <xdr:nvCxnSpPr>
        <xdr:cNvPr id="35" name="Elbow Connector 34"/>
        <xdr:cNvCxnSpPr/>
      </xdr:nvCxnSpPr>
      <xdr:spPr>
        <a:xfrm rot="5400000" flipH="1" flipV="1">
          <a:off x="6019800" y="3000375"/>
          <a:ext cx="2247900" cy="209550"/>
        </a:xfrm>
        <a:prstGeom prst="bentConnector3">
          <a:avLst>
            <a:gd name="adj1" fmla="val 100000"/>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561975</xdr:colOff>
      <xdr:row>18</xdr:row>
      <xdr:rowOff>133350</xdr:rowOff>
    </xdr:from>
    <xdr:to>
      <xdr:col>10</xdr:col>
      <xdr:colOff>200025</xdr:colOff>
      <xdr:row>18</xdr:row>
      <xdr:rowOff>134938</xdr:rowOff>
    </xdr:to>
    <xdr:cxnSp macro="">
      <xdr:nvCxnSpPr>
        <xdr:cNvPr id="36" name="Straight Connector 35"/>
        <xdr:cNvCxnSpPr/>
      </xdr:nvCxnSpPr>
      <xdr:spPr>
        <a:xfrm rot="10800000">
          <a:off x="6791325" y="4229100"/>
          <a:ext cx="247650" cy="158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8</xdr:row>
      <xdr:rowOff>85725</xdr:rowOff>
    </xdr:from>
    <xdr:to>
      <xdr:col>10</xdr:col>
      <xdr:colOff>552450</xdr:colOff>
      <xdr:row>8</xdr:row>
      <xdr:rowOff>87313</xdr:rowOff>
    </xdr:to>
    <xdr:cxnSp macro="">
      <xdr:nvCxnSpPr>
        <xdr:cNvPr id="37" name="Straight Arrow Connector 36"/>
        <xdr:cNvCxnSpPr/>
      </xdr:nvCxnSpPr>
      <xdr:spPr>
        <a:xfrm>
          <a:off x="7210425" y="1981200"/>
          <a:ext cx="180975"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57149</xdr:colOff>
      <xdr:row>6</xdr:row>
      <xdr:rowOff>152325</xdr:rowOff>
    </xdr:from>
    <xdr:to>
      <xdr:col>17</xdr:col>
      <xdr:colOff>312995</xdr:colOff>
      <xdr:row>9</xdr:row>
      <xdr:rowOff>28575</xdr:rowOff>
    </xdr:to>
    <xdr:sp macro="" textlink="">
      <xdr:nvSpPr>
        <xdr:cNvPr id="38" name="Rectangle 37"/>
        <xdr:cNvSpPr/>
      </xdr:nvSpPr>
      <xdr:spPr>
        <a:xfrm>
          <a:off x="7486649" y="1666800"/>
          <a:ext cx="3656271" cy="447750"/>
        </a:xfrm>
        <a:prstGeom prst="rect">
          <a:avLst/>
        </a:prstGeom>
        <a:scene3d>
          <a:camera prst="orthographicFront"/>
          <a:lightRig rig="flat" dir="t"/>
        </a:scene3d>
        <a:sp3d z="190500" extrusionH="12700" prstMaterial="plastic">
          <a:bevelT w="50800" h="50800"/>
        </a:sp3d>
      </xdr:spPr>
      <xdr:style>
        <a:lnRef idx="1">
          <a:schemeClr val="dk2">
            <a:hueOff val="0"/>
            <a:satOff val="0"/>
            <a:lumOff val="0"/>
            <a:alphaOff val="0"/>
          </a:schemeClr>
        </a:lnRef>
        <a:fillRef idx="1">
          <a:schemeClr val="lt2">
            <a:alpha val="90000"/>
            <a:hueOff val="0"/>
            <a:satOff val="0"/>
            <a:lumOff val="0"/>
            <a:alphaOff val="0"/>
          </a:schemeClr>
        </a:fillRef>
        <a:effectRef idx="2">
          <a:schemeClr val="lt2">
            <a:alpha val="90000"/>
            <a:hueOff val="0"/>
            <a:satOff val="0"/>
            <a:lumOff val="0"/>
            <a:alphaOff val="0"/>
          </a:schemeClr>
        </a:effectRef>
        <a:fontRef idx="minor">
          <a:schemeClr val="dk1">
            <a:hueOff val="0"/>
            <a:satOff val="0"/>
            <a:lumOff val="0"/>
            <a:alphaOff val="0"/>
          </a:schemeClr>
        </a:fontRef>
      </xdr:style>
    </xdr:sp>
    <xdr:clientData/>
  </xdr:twoCellAnchor>
  <xdr:twoCellAnchor>
    <xdr:from>
      <xdr:col>12</xdr:col>
      <xdr:colOff>13220</xdr:colOff>
      <xdr:row>5</xdr:row>
      <xdr:rowOff>47625</xdr:rowOff>
    </xdr:from>
    <xdr:to>
      <xdr:col>17</xdr:col>
      <xdr:colOff>313533</xdr:colOff>
      <xdr:row>8</xdr:row>
      <xdr:rowOff>632</xdr:rowOff>
    </xdr:to>
    <xdr:grpSp>
      <xdr:nvGrpSpPr>
        <xdr:cNvPr id="39" name="Group 38"/>
        <xdr:cNvGrpSpPr/>
      </xdr:nvGrpSpPr>
      <xdr:grpSpPr>
        <a:xfrm>
          <a:off x="7795145" y="1228725"/>
          <a:ext cx="3348313" cy="524507"/>
          <a:chOff x="205739" y="64799"/>
          <a:chExt cx="3261719" cy="590400"/>
        </a:xfrm>
        <a:scene3d>
          <a:camera prst="orthographicFront"/>
          <a:lightRig rig="flat" dir="t"/>
        </a:scene3d>
      </xdr:grpSpPr>
      <xdr:sp macro="" textlink="">
        <xdr:nvSpPr>
          <xdr:cNvPr id="40" name="Rounded Rectangle 39"/>
          <xdr:cNvSpPr/>
        </xdr:nvSpPr>
        <xdr:spPr>
          <a:xfrm>
            <a:off x="205739" y="64799"/>
            <a:ext cx="3261719" cy="590400"/>
          </a:xfrm>
          <a:prstGeom prst="roundRect">
            <a:avLst/>
          </a:prstGeom>
          <a:sp3d prstMaterial="plastic">
            <a:bevelT w="120900" h="88900"/>
            <a:bevelB w="88900" h="31750" prst="angle"/>
          </a:sp3d>
        </xdr:spPr>
        <xdr:style>
          <a:lnRef idx="0">
            <a:schemeClr val="lt2">
              <a:hueOff val="0"/>
              <a:satOff val="0"/>
              <a:lumOff val="0"/>
              <a:alphaOff val="0"/>
            </a:schemeClr>
          </a:lnRef>
          <a:fillRef idx="3">
            <a:schemeClr val="dk2">
              <a:hueOff val="0"/>
              <a:satOff val="0"/>
              <a:lumOff val="0"/>
              <a:alphaOff val="0"/>
            </a:schemeClr>
          </a:fillRef>
          <a:effectRef idx="2">
            <a:schemeClr val="dk2">
              <a:hueOff val="0"/>
              <a:satOff val="0"/>
              <a:lumOff val="0"/>
              <a:alphaOff val="0"/>
            </a:schemeClr>
          </a:effectRef>
          <a:fontRef idx="minor">
            <a:schemeClr val="lt1"/>
          </a:fontRef>
        </xdr:style>
      </xdr:sp>
      <xdr:sp macro="" textlink="">
        <xdr:nvSpPr>
          <xdr:cNvPr id="41" name="Rounded Rectangle 5">
            <a:hlinkClick xmlns:r="http://schemas.openxmlformats.org/officeDocument/2006/relationships" r:id="rId9"/>
          </xdr:cNvPr>
          <xdr:cNvSpPr/>
        </xdr:nvSpPr>
        <xdr:spPr>
          <a:xfrm>
            <a:off x="234560" y="93620"/>
            <a:ext cx="3204077" cy="532758"/>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108871" tIns="0" rIns="108871" bIns="0" numCol="1" spcCol="1270" anchor="ctr" anchorCtr="0">
            <a:noAutofit/>
          </a:bodyPr>
          <a:lstStyle/>
          <a:p>
            <a:pPr lvl="0" algn="l" defTabSz="889000">
              <a:lnSpc>
                <a:spcPct val="90000"/>
              </a:lnSpc>
              <a:spcBef>
                <a:spcPct val="0"/>
              </a:spcBef>
              <a:spcAft>
                <a:spcPct val="35000"/>
              </a:spcAft>
            </a:pPr>
            <a:r>
              <a:rPr lang="en-US" sz="2000" kern="1200"/>
              <a:t>Cetak Rapor </a:t>
            </a:r>
          </a:p>
        </xdr:txBody>
      </xdr:sp>
    </xdr:grpSp>
    <xdr:clientData/>
  </xdr:twoCellAnchor>
  <xdr:twoCellAnchor>
    <xdr:from>
      <xdr:col>11</xdr:col>
      <xdr:colOff>57149</xdr:colOff>
      <xdr:row>11</xdr:row>
      <xdr:rowOff>68926</xdr:rowOff>
    </xdr:from>
    <xdr:to>
      <xdr:col>17</xdr:col>
      <xdr:colOff>312995</xdr:colOff>
      <xdr:row>13</xdr:row>
      <xdr:rowOff>135676</xdr:rowOff>
    </xdr:to>
    <xdr:sp macro="" textlink="">
      <xdr:nvSpPr>
        <xdr:cNvPr id="42" name="Rectangle 41"/>
        <xdr:cNvSpPr/>
      </xdr:nvSpPr>
      <xdr:spPr>
        <a:xfrm>
          <a:off x="7486649" y="2535901"/>
          <a:ext cx="3656271" cy="447750"/>
        </a:xfrm>
        <a:prstGeom prst="rect">
          <a:avLst/>
        </a:prstGeom>
        <a:scene3d>
          <a:camera prst="orthographicFront"/>
          <a:lightRig rig="flat" dir="t"/>
        </a:scene3d>
        <a:sp3d z="190500" extrusionH="12700" prstMaterial="plastic">
          <a:bevelT w="50800" h="50800"/>
        </a:sp3d>
      </xdr:spPr>
      <xdr:style>
        <a:lnRef idx="1">
          <a:schemeClr val="dk2">
            <a:hueOff val="0"/>
            <a:satOff val="0"/>
            <a:lumOff val="0"/>
            <a:alphaOff val="0"/>
          </a:schemeClr>
        </a:lnRef>
        <a:fillRef idx="1">
          <a:schemeClr val="lt2">
            <a:alpha val="90000"/>
            <a:hueOff val="0"/>
            <a:satOff val="0"/>
            <a:lumOff val="0"/>
            <a:alphaOff val="0"/>
          </a:schemeClr>
        </a:fillRef>
        <a:effectRef idx="2">
          <a:schemeClr val="lt2">
            <a:alpha val="90000"/>
            <a:hueOff val="0"/>
            <a:satOff val="0"/>
            <a:lumOff val="0"/>
            <a:alphaOff val="0"/>
          </a:schemeClr>
        </a:effectRef>
        <a:fontRef idx="minor">
          <a:schemeClr val="dk1">
            <a:hueOff val="0"/>
            <a:satOff val="0"/>
            <a:lumOff val="0"/>
            <a:alphaOff val="0"/>
          </a:schemeClr>
        </a:fontRef>
      </xdr:style>
    </xdr:sp>
    <xdr:clientData/>
  </xdr:twoCellAnchor>
  <xdr:twoCellAnchor>
    <xdr:from>
      <xdr:col>12</xdr:col>
      <xdr:colOff>13220</xdr:colOff>
      <xdr:row>9</xdr:row>
      <xdr:rowOff>154726</xdr:rowOff>
    </xdr:from>
    <xdr:to>
      <xdr:col>17</xdr:col>
      <xdr:colOff>313576</xdr:colOff>
      <xdr:row>12</xdr:row>
      <xdr:rowOff>107733</xdr:rowOff>
    </xdr:to>
    <xdr:grpSp>
      <xdr:nvGrpSpPr>
        <xdr:cNvPr id="43" name="Group 42"/>
        <xdr:cNvGrpSpPr/>
      </xdr:nvGrpSpPr>
      <xdr:grpSpPr>
        <a:xfrm>
          <a:off x="7795145" y="2097826"/>
          <a:ext cx="3348356" cy="524507"/>
          <a:chOff x="205739" y="972000"/>
          <a:chExt cx="3261748" cy="590400"/>
        </a:xfrm>
        <a:scene3d>
          <a:camera prst="orthographicFront"/>
          <a:lightRig rig="flat" dir="t"/>
        </a:scene3d>
      </xdr:grpSpPr>
      <xdr:sp macro="" textlink="">
        <xdr:nvSpPr>
          <xdr:cNvPr id="44" name="Rounded Rectangle 43">
            <a:hlinkClick xmlns:r="http://schemas.openxmlformats.org/officeDocument/2006/relationships" r:id="rId10"/>
          </xdr:cNvPr>
          <xdr:cNvSpPr/>
        </xdr:nvSpPr>
        <xdr:spPr>
          <a:xfrm>
            <a:off x="205739" y="972000"/>
            <a:ext cx="3261748" cy="590400"/>
          </a:xfrm>
          <a:prstGeom prst="roundRect">
            <a:avLst/>
          </a:prstGeom>
          <a:sp3d prstMaterial="plastic">
            <a:bevelT w="120900" h="88900"/>
            <a:bevelB w="88900" h="31750" prst="angle"/>
          </a:sp3d>
        </xdr:spPr>
        <xdr:style>
          <a:lnRef idx="0">
            <a:schemeClr val="lt2">
              <a:hueOff val="0"/>
              <a:satOff val="0"/>
              <a:lumOff val="0"/>
              <a:alphaOff val="0"/>
            </a:schemeClr>
          </a:lnRef>
          <a:fillRef idx="3">
            <a:schemeClr val="dk2">
              <a:hueOff val="0"/>
              <a:satOff val="0"/>
              <a:lumOff val="0"/>
              <a:alphaOff val="0"/>
            </a:schemeClr>
          </a:fillRef>
          <a:effectRef idx="2">
            <a:schemeClr val="dk2">
              <a:hueOff val="0"/>
              <a:satOff val="0"/>
              <a:lumOff val="0"/>
              <a:alphaOff val="0"/>
            </a:schemeClr>
          </a:effectRef>
          <a:fontRef idx="minor">
            <a:schemeClr val="lt1"/>
          </a:fontRef>
        </xdr:style>
      </xdr:sp>
      <xdr:sp macro="" textlink="">
        <xdr:nvSpPr>
          <xdr:cNvPr id="45" name="Rounded Rectangle 8">
            <a:hlinkClick xmlns:r="http://schemas.openxmlformats.org/officeDocument/2006/relationships" r:id="rId11"/>
          </xdr:cNvPr>
          <xdr:cNvSpPr/>
        </xdr:nvSpPr>
        <xdr:spPr>
          <a:xfrm>
            <a:off x="234560" y="1000821"/>
            <a:ext cx="3204106" cy="532758"/>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108871" tIns="0" rIns="108871" bIns="0" numCol="1" spcCol="1270" anchor="ctr" anchorCtr="0">
            <a:noAutofit/>
          </a:bodyPr>
          <a:lstStyle/>
          <a:p>
            <a:pPr lvl="0" algn="l" defTabSz="889000">
              <a:lnSpc>
                <a:spcPct val="90000"/>
              </a:lnSpc>
              <a:spcBef>
                <a:spcPct val="0"/>
              </a:spcBef>
              <a:spcAft>
                <a:spcPct val="35000"/>
              </a:spcAft>
            </a:pPr>
            <a:r>
              <a:rPr lang="en-US" sz="2000" kern="1200"/>
              <a:t>Cetak Rangking (Urutan)</a:t>
            </a:r>
          </a:p>
        </xdr:txBody>
      </xdr:sp>
    </xdr:grpSp>
    <xdr:clientData/>
  </xdr:twoCellAnchor>
  <xdr:twoCellAnchor>
    <xdr:from>
      <xdr:col>11</xdr:col>
      <xdr:colOff>57149</xdr:colOff>
      <xdr:row>15</xdr:row>
      <xdr:rowOff>166501</xdr:rowOff>
    </xdr:from>
    <xdr:to>
      <xdr:col>17</xdr:col>
      <xdr:colOff>312995</xdr:colOff>
      <xdr:row>17</xdr:row>
      <xdr:rowOff>233251</xdr:rowOff>
    </xdr:to>
    <xdr:sp macro="" textlink="">
      <xdr:nvSpPr>
        <xdr:cNvPr id="46" name="Rectangle 45"/>
        <xdr:cNvSpPr/>
      </xdr:nvSpPr>
      <xdr:spPr>
        <a:xfrm>
          <a:off x="7486649" y="3395476"/>
          <a:ext cx="3656271" cy="447750"/>
        </a:xfrm>
        <a:prstGeom prst="rect">
          <a:avLst/>
        </a:prstGeom>
        <a:scene3d>
          <a:camera prst="orthographicFront"/>
          <a:lightRig rig="flat" dir="t"/>
        </a:scene3d>
        <a:sp3d z="190500" extrusionH="12700" prstMaterial="plastic">
          <a:bevelT w="50800" h="50800"/>
        </a:sp3d>
      </xdr:spPr>
      <xdr:style>
        <a:lnRef idx="1">
          <a:schemeClr val="dk2">
            <a:hueOff val="0"/>
            <a:satOff val="0"/>
            <a:lumOff val="0"/>
            <a:alphaOff val="0"/>
          </a:schemeClr>
        </a:lnRef>
        <a:fillRef idx="1">
          <a:schemeClr val="lt2">
            <a:alpha val="90000"/>
            <a:hueOff val="0"/>
            <a:satOff val="0"/>
            <a:lumOff val="0"/>
            <a:alphaOff val="0"/>
          </a:schemeClr>
        </a:fillRef>
        <a:effectRef idx="2">
          <a:schemeClr val="lt2">
            <a:alpha val="90000"/>
            <a:hueOff val="0"/>
            <a:satOff val="0"/>
            <a:lumOff val="0"/>
            <a:alphaOff val="0"/>
          </a:schemeClr>
        </a:effectRef>
        <a:fontRef idx="minor">
          <a:schemeClr val="dk1">
            <a:hueOff val="0"/>
            <a:satOff val="0"/>
            <a:lumOff val="0"/>
            <a:alphaOff val="0"/>
          </a:schemeClr>
        </a:fontRef>
      </xdr:style>
    </xdr:sp>
    <xdr:clientData/>
  </xdr:twoCellAnchor>
  <xdr:twoCellAnchor>
    <xdr:from>
      <xdr:col>12</xdr:col>
      <xdr:colOff>13220</xdr:colOff>
      <xdr:row>14</xdr:row>
      <xdr:rowOff>61801</xdr:rowOff>
    </xdr:from>
    <xdr:to>
      <xdr:col>17</xdr:col>
      <xdr:colOff>314325</xdr:colOff>
      <xdr:row>17</xdr:row>
      <xdr:rowOff>14808</xdr:rowOff>
    </xdr:to>
    <xdr:grpSp>
      <xdr:nvGrpSpPr>
        <xdr:cNvPr id="47" name="Group 46">
          <a:hlinkClick xmlns:r="http://schemas.openxmlformats.org/officeDocument/2006/relationships" r:id="rId12"/>
        </xdr:cNvPr>
        <xdr:cNvGrpSpPr/>
      </xdr:nvGrpSpPr>
      <xdr:grpSpPr>
        <a:xfrm>
          <a:off x="7795145" y="2957401"/>
          <a:ext cx="3349105" cy="524507"/>
          <a:chOff x="205739" y="1879200"/>
          <a:chExt cx="3271772" cy="590400"/>
        </a:xfrm>
        <a:scene3d>
          <a:camera prst="orthographicFront"/>
          <a:lightRig rig="flat" dir="t"/>
        </a:scene3d>
      </xdr:grpSpPr>
      <xdr:sp macro="" textlink="">
        <xdr:nvSpPr>
          <xdr:cNvPr id="48" name="Rounded Rectangle 47"/>
          <xdr:cNvSpPr/>
        </xdr:nvSpPr>
        <xdr:spPr>
          <a:xfrm>
            <a:off x="205739" y="1879200"/>
            <a:ext cx="3271772" cy="590400"/>
          </a:xfrm>
          <a:prstGeom prst="roundRect">
            <a:avLst/>
          </a:prstGeom>
          <a:sp3d prstMaterial="plastic">
            <a:bevelT w="120900" h="88900"/>
            <a:bevelB w="88900" h="31750" prst="angle"/>
          </a:sp3d>
        </xdr:spPr>
        <xdr:style>
          <a:lnRef idx="0">
            <a:schemeClr val="lt2">
              <a:hueOff val="0"/>
              <a:satOff val="0"/>
              <a:lumOff val="0"/>
              <a:alphaOff val="0"/>
            </a:schemeClr>
          </a:lnRef>
          <a:fillRef idx="3">
            <a:schemeClr val="dk2">
              <a:hueOff val="0"/>
              <a:satOff val="0"/>
              <a:lumOff val="0"/>
              <a:alphaOff val="0"/>
            </a:schemeClr>
          </a:fillRef>
          <a:effectRef idx="2">
            <a:schemeClr val="dk2">
              <a:hueOff val="0"/>
              <a:satOff val="0"/>
              <a:lumOff val="0"/>
              <a:alphaOff val="0"/>
            </a:schemeClr>
          </a:effectRef>
          <a:fontRef idx="minor">
            <a:schemeClr val="lt1"/>
          </a:fontRef>
        </xdr:style>
      </xdr:sp>
      <xdr:sp macro="" textlink="">
        <xdr:nvSpPr>
          <xdr:cNvPr id="49" name="Rounded Rectangle 11"/>
          <xdr:cNvSpPr/>
        </xdr:nvSpPr>
        <xdr:spPr>
          <a:xfrm>
            <a:off x="234560" y="1908021"/>
            <a:ext cx="3214130" cy="532758"/>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108871" tIns="0" rIns="108871" bIns="0" numCol="1" spcCol="1270" anchor="ctr" anchorCtr="0">
            <a:noAutofit/>
          </a:bodyPr>
          <a:lstStyle/>
          <a:p>
            <a:pPr lvl="0" algn="l" defTabSz="889000">
              <a:lnSpc>
                <a:spcPct val="90000"/>
              </a:lnSpc>
              <a:spcBef>
                <a:spcPct val="0"/>
              </a:spcBef>
              <a:spcAft>
                <a:spcPct val="35000"/>
              </a:spcAft>
            </a:pPr>
            <a:r>
              <a:rPr lang="en-US" sz="2000" kern="1200"/>
              <a:t>Cetak Nilai (Leger)</a:t>
            </a:r>
          </a:p>
        </xdr:txBody>
      </xdr:sp>
    </xdr:grpSp>
    <xdr:clientData/>
  </xdr:twoCellAnchor>
  <xdr:twoCellAnchor>
    <xdr:from>
      <xdr:col>11</xdr:col>
      <xdr:colOff>76200</xdr:colOff>
      <xdr:row>18</xdr:row>
      <xdr:rowOff>171375</xdr:rowOff>
    </xdr:from>
    <xdr:to>
      <xdr:col>17</xdr:col>
      <xdr:colOff>332046</xdr:colOff>
      <xdr:row>20</xdr:row>
      <xdr:rowOff>123825</xdr:rowOff>
    </xdr:to>
    <xdr:sp macro="" textlink="">
      <xdr:nvSpPr>
        <xdr:cNvPr id="50" name="Rectangle 49"/>
        <xdr:cNvSpPr/>
      </xdr:nvSpPr>
      <xdr:spPr>
        <a:xfrm>
          <a:off x="7505700" y="4267125"/>
          <a:ext cx="3656271" cy="447750"/>
        </a:xfrm>
        <a:prstGeom prst="rect">
          <a:avLst/>
        </a:prstGeom>
        <a:scene3d>
          <a:camera prst="orthographicFront"/>
          <a:lightRig rig="flat" dir="t"/>
        </a:scene3d>
        <a:sp3d z="190500" extrusionH="12700" prstMaterial="plastic">
          <a:bevelT w="50800" h="50800"/>
        </a:sp3d>
      </xdr:spPr>
      <xdr:style>
        <a:lnRef idx="1">
          <a:schemeClr val="dk2">
            <a:hueOff val="0"/>
            <a:satOff val="0"/>
            <a:lumOff val="0"/>
            <a:alphaOff val="0"/>
          </a:schemeClr>
        </a:lnRef>
        <a:fillRef idx="1">
          <a:schemeClr val="lt2">
            <a:alpha val="90000"/>
            <a:hueOff val="0"/>
            <a:satOff val="0"/>
            <a:lumOff val="0"/>
            <a:alphaOff val="0"/>
          </a:schemeClr>
        </a:fillRef>
        <a:effectRef idx="2">
          <a:schemeClr val="lt2">
            <a:alpha val="90000"/>
            <a:hueOff val="0"/>
            <a:satOff val="0"/>
            <a:lumOff val="0"/>
            <a:alphaOff val="0"/>
          </a:schemeClr>
        </a:effectRef>
        <a:fontRef idx="minor">
          <a:schemeClr val="dk1">
            <a:hueOff val="0"/>
            <a:satOff val="0"/>
            <a:lumOff val="0"/>
            <a:alphaOff val="0"/>
          </a:schemeClr>
        </a:fontRef>
      </xdr:style>
    </xdr:sp>
    <xdr:clientData/>
  </xdr:twoCellAnchor>
  <xdr:twoCellAnchor>
    <xdr:from>
      <xdr:col>12</xdr:col>
      <xdr:colOff>32271</xdr:colOff>
      <xdr:row>17</xdr:row>
      <xdr:rowOff>361950</xdr:rowOff>
    </xdr:from>
    <xdr:to>
      <xdr:col>17</xdr:col>
      <xdr:colOff>333376</xdr:colOff>
      <xdr:row>19</xdr:row>
      <xdr:rowOff>95882</xdr:rowOff>
    </xdr:to>
    <xdr:grpSp>
      <xdr:nvGrpSpPr>
        <xdr:cNvPr id="51" name="Group 50">
          <a:hlinkClick xmlns:r="http://schemas.openxmlformats.org/officeDocument/2006/relationships" r:id="rId13"/>
        </xdr:cNvPr>
        <xdr:cNvGrpSpPr/>
      </xdr:nvGrpSpPr>
      <xdr:grpSpPr>
        <a:xfrm>
          <a:off x="7814196" y="3829050"/>
          <a:ext cx="3349105" cy="524507"/>
          <a:chOff x="205739" y="1879200"/>
          <a:chExt cx="3271772" cy="590400"/>
        </a:xfrm>
        <a:scene3d>
          <a:camera prst="orthographicFront"/>
          <a:lightRig rig="flat" dir="t"/>
        </a:scene3d>
      </xdr:grpSpPr>
      <xdr:sp macro="" textlink="">
        <xdr:nvSpPr>
          <xdr:cNvPr id="52" name="Rounded Rectangle 51"/>
          <xdr:cNvSpPr/>
        </xdr:nvSpPr>
        <xdr:spPr>
          <a:xfrm>
            <a:off x="205739" y="1879200"/>
            <a:ext cx="3271772" cy="590400"/>
          </a:xfrm>
          <a:prstGeom prst="roundRect">
            <a:avLst/>
          </a:prstGeom>
          <a:sp3d prstMaterial="plastic">
            <a:bevelT w="120900" h="88900"/>
            <a:bevelB w="88900" h="31750" prst="angle"/>
          </a:sp3d>
        </xdr:spPr>
        <xdr:style>
          <a:lnRef idx="0">
            <a:schemeClr val="lt2">
              <a:hueOff val="0"/>
              <a:satOff val="0"/>
              <a:lumOff val="0"/>
              <a:alphaOff val="0"/>
            </a:schemeClr>
          </a:lnRef>
          <a:fillRef idx="3">
            <a:schemeClr val="dk2">
              <a:hueOff val="0"/>
              <a:satOff val="0"/>
              <a:lumOff val="0"/>
              <a:alphaOff val="0"/>
            </a:schemeClr>
          </a:fillRef>
          <a:effectRef idx="2">
            <a:schemeClr val="dk2">
              <a:hueOff val="0"/>
              <a:satOff val="0"/>
              <a:lumOff val="0"/>
              <a:alphaOff val="0"/>
            </a:schemeClr>
          </a:effectRef>
          <a:fontRef idx="minor">
            <a:schemeClr val="lt1"/>
          </a:fontRef>
        </xdr:style>
      </xdr:sp>
      <xdr:sp macro="" textlink="">
        <xdr:nvSpPr>
          <xdr:cNvPr id="53" name="Rounded Rectangle 11"/>
          <xdr:cNvSpPr/>
        </xdr:nvSpPr>
        <xdr:spPr>
          <a:xfrm>
            <a:off x="234560" y="1908021"/>
            <a:ext cx="3214130" cy="532758"/>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108871" tIns="0" rIns="108871" bIns="0" numCol="1" spcCol="1270" anchor="ctr" anchorCtr="0">
            <a:noAutofit/>
          </a:bodyPr>
          <a:lstStyle/>
          <a:p>
            <a:pPr lvl="0" algn="l" defTabSz="889000">
              <a:lnSpc>
                <a:spcPct val="90000"/>
              </a:lnSpc>
              <a:spcBef>
                <a:spcPct val="0"/>
              </a:spcBef>
              <a:spcAft>
                <a:spcPct val="35000"/>
              </a:spcAft>
            </a:pPr>
            <a:r>
              <a:rPr lang="en-US" sz="2000" kern="1200"/>
              <a:t>Cetak</a:t>
            </a:r>
            <a:r>
              <a:rPr lang="en-US" sz="2000" kern="1200" baseline="0"/>
              <a:t> Tanda Terima Rapor</a:t>
            </a:r>
            <a:endParaRPr lang="en-US" sz="2000"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76200</xdr:colOff>
      <xdr:row>0</xdr:row>
      <xdr:rowOff>1</xdr:rowOff>
    </xdr:from>
    <xdr:to>
      <xdr:col>1</xdr:col>
      <xdr:colOff>800100</xdr:colOff>
      <xdr:row>3</xdr:row>
      <xdr:rowOff>161926</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76200" y="1"/>
          <a:ext cx="838200" cy="838200"/>
        </a:xfrm>
        <a:prstGeom prst="rect">
          <a:avLst/>
        </a:prstGeom>
      </xdr:spPr>
    </xdr:pic>
    <xdr:clientData/>
  </xdr:twoCellAnchor>
  <xdr:twoCellAnchor>
    <xdr:from>
      <xdr:col>1</xdr:col>
      <xdr:colOff>9526</xdr:colOff>
      <xdr:row>3</xdr:row>
      <xdr:rowOff>133349</xdr:rowOff>
    </xdr:from>
    <xdr:to>
      <xdr:col>1</xdr:col>
      <xdr:colOff>790575</xdr:colOff>
      <xdr:row>4</xdr:row>
      <xdr:rowOff>33627</xdr:rowOff>
    </xdr:to>
    <xdr:sp macro="" textlink="">
      <xdr:nvSpPr>
        <xdr:cNvPr id="3" name="Round Diagonal Corner Rectangle 2">
          <a:hlinkClick xmlns:r="http://schemas.openxmlformats.org/officeDocument/2006/relationships" r:id="rId3"/>
        </xdr:cNvPr>
        <xdr:cNvSpPr/>
      </xdr:nvSpPr>
      <xdr:spPr>
        <a:xfrm>
          <a:off x="123826" y="809624"/>
          <a:ext cx="7810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twoCellAnchor>
    <xdr:from>
      <xdr:col>1</xdr:col>
      <xdr:colOff>495300</xdr:colOff>
      <xdr:row>36</xdr:row>
      <xdr:rowOff>180975</xdr:rowOff>
    </xdr:from>
    <xdr:to>
      <xdr:col>2</xdr:col>
      <xdr:colOff>220860</xdr:colOff>
      <xdr:row>39</xdr:row>
      <xdr:rowOff>152399</xdr:rowOff>
    </xdr:to>
    <xdr:sp macro="" textlink="">
      <xdr:nvSpPr>
        <xdr:cNvPr id="4" name="Up Arrow 3">
          <a:hlinkClick xmlns:r="http://schemas.openxmlformats.org/officeDocument/2006/relationships" r:id="rId4"/>
        </xdr:cNvPr>
        <xdr:cNvSpPr/>
      </xdr:nvSpPr>
      <xdr:spPr>
        <a:xfrm>
          <a:off x="609600" y="7810500"/>
          <a:ext cx="687585" cy="600074"/>
        </a:xfrm>
        <a:prstGeom prst="upArrow">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sp>
    <xdr:clientData/>
  </xdr:twoCellAnchor>
  <xdr:twoCellAnchor>
    <xdr:from>
      <xdr:col>1</xdr:col>
      <xdr:colOff>0</xdr:colOff>
      <xdr:row>4</xdr:row>
      <xdr:rowOff>104775</xdr:rowOff>
    </xdr:from>
    <xdr:to>
      <xdr:col>2</xdr:col>
      <xdr:colOff>333376</xdr:colOff>
      <xdr:row>5</xdr:row>
      <xdr:rowOff>143927</xdr:rowOff>
    </xdr:to>
    <xdr:sp macro="" textlink="">
      <xdr:nvSpPr>
        <xdr:cNvPr id="5" name="Round Diagonal Corner Rectangle 4">
          <a:hlinkClick xmlns:r="http://schemas.openxmlformats.org/officeDocument/2006/relationships" r:id="rId5"/>
        </xdr:cNvPr>
        <xdr:cNvSpPr/>
      </xdr:nvSpPr>
      <xdr:spPr>
        <a:xfrm>
          <a:off x="114300" y="1200150"/>
          <a:ext cx="1295401" cy="258227"/>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haroni" pitchFamily="2" charset="-79"/>
              <a:ea typeface="Ebrima" pitchFamily="2" charset="0"/>
              <a:cs typeface="Aharoni" pitchFamily="2" charset="-79"/>
            </a:rPr>
            <a:t>Buku Induk</a:t>
          </a:r>
          <a:r>
            <a:rPr lang="en-US"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haroni" pitchFamily="2" charset="-79"/>
              <a:ea typeface="Ebrima" pitchFamily="2" charset="0"/>
              <a:cs typeface="Aharoni" pitchFamily="2" charset="-79"/>
            </a:rPr>
            <a:t> </a:t>
          </a:r>
          <a:endParaRPr lang="en-US"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haroni" pitchFamily="2" charset="-79"/>
            <a:ea typeface="Ebrima" pitchFamily="2" charset="0"/>
            <a:cs typeface="Aharoni" pitchFamily="2" charset="-79"/>
          </a:endParaRPr>
        </a:p>
      </xdr:txBody>
    </xdr:sp>
    <xdr:clientData/>
  </xdr:twoCellAnchor>
  <xdr:twoCellAnchor>
    <xdr:from>
      <xdr:col>1</xdr:col>
      <xdr:colOff>11204</xdr:colOff>
      <xdr:row>32</xdr:row>
      <xdr:rowOff>123264</xdr:rowOff>
    </xdr:from>
    <xdr:to>
      <xdr:col>2</xdr:col>
      <xdr:colOff>344580</xdr:colOff>
      <xdr:row>33</xdr:row>
      <xdr:rowOff>173622</xdr:rowOff>
    </xdr:to>
    <xdr:sp macro="" textlink="">
      <xdr:nvSpPr>
        <xdr:cNvPr id="6" name="Round Diagonal Corner Rectangle 5">
          <a:hlinkClick xmlns:r="http://schemas.openxmlformats.org/officeDocument/2006/relationships" r:id="rId6"/>
        </xdr:cNvPr>
        <xdr:cNvSpPr/>
      </xdr:nvSpPr>
      <xdr:spPr>
        <a:xfrm>
          <a:off x="123263" y="6958852"/>
          <a:ext cx="1297082" cy="263270"/>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haroni" pitchFamily="2" charset="-79"/>
              <a:ea typeface="Ebrima" pitchFamily="2" charset="0"/>
              <a:cs typeface="Aharoni" pitchFamily="2" charset="-79"/>
            </a:rPr>
            <a:t>Lihat</a:t>
          </a:r>
          <a:r>
            <a:rPr lang="en-US"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haroni" pitchFamily="2" charset="-79"/>
              <a:ea typeface="Ebrima" pitchFamily="2" charset="0"/>
              <a:cs typeface="Aharoni" pitchFamily="2" charset="-79"/>
            </a:rPr>
            <a:t> Predikat</a:t>
          </a:r>
          <a:endParaRPr lang="en-US"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haroni" pitchFamily="2" charset="-79"/>
            <a:ea typeface="Ebrima" pitchFamily="2" charset="0"/>
            <a:cs typeface="Aharoni" pitchFamily="2" charset="-79"/>
          </a:endParaRPr>
        </a:p>
      </xdr:txBody>
    </xdr:sp>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19050</xdr:colOff>
      <xdr:row>0</xdr:row>
      <xdr:rowOff>19051</xdr:rowOff>
    </xdr:from>
    <xdr:to>
      <xdr:col>0</xdr:col>
      <xdr:colOff>857250</xdr:colOff>
      <xdr:row>2</xdr:row>
      <xdr:rowOff>371476</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9050" y="19051"/>
          <a:ext cx="838200" cy="838200"/>
        </a:xfrm>
        <a:prstGeom prst="rect">
          <a:avLst/>
        </a:prstGeom>
      </xdr:spPr>
    </xdr:pic>
    <xdr:clientData/>
  </xdr:twoCellAnchor>
  <xdr:twoCellAnchor>
    <xdr:from>
      <xdr:col>0</xdr:col>
      <xdr:colOff>76201</xdr:colOff>
      <xdr:row>2</xdr:row>
      <xdr:rowOff>380998</xdr:rowOff>
    </xdr:from>
    <xdr:to>
      <xdr:col>0</xdr:col>
      <xdr:colOff>857250</xdr:colOff>
      <xdr:row>4</xdr:row>
      <xdr:rowOff>71726</xdr:rowOff>
    </xdr:to>
    <xdr:sp macro="" textlink="">
      <xdr:nvSpPr>
        <xdr:cNvPr id="3" name="Round Diagonal Corner Rectangle 2">
          <a:hlinkClick xmlns:r="http://schemas.openxmlformats.org/officeDocument/2006/relationships" r:id="rId3"/>
        </xdr:cNvPr>
        <xdr:cNvSpPr/>
      </xdr:nvSpPr>
      <xdr:spPr>
        <a:xfrm>
          <a:off x="76201" y="866773"/>
          <a:ext cx="7810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19050</xdr:colOff>
      <xdr:row>0</xdr:row>
      <xdr:rowOff>19051</xdr:rowOff>
    </xdr:from>
    <xdr:to>
      <xdr:col>0</xdr:col>
      <xdr:colOff>857250</xdr:colOff>
      <xdr:row>2</xdr:row>
      <xdr:rowOff>371476</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9050" y="19051"/>
          <a:ext cx="838200" cy="838200"/>
        </a:xfrm>
        <a:prstGeom prst="rect">
          <a:avLst/>
        </a:prstGeom>
      </xdr:spPr>
    </xdr:pic>
    <xdr:clientData/>
  </xdr:twoCellAnchor>
  <xdr:twoCellAnchor>
    <xdr:from>
      <xdr:col>0</xdr:col>
      <xdr:colOff>76201</xdr:colOff>
      <xdr:row>2</xdr:row>
      <xdr:rowOff>380999</xdr:rowOff>
    </xdr:from>
    <xdr:to>
      <xdr:col>0</xdr:col>
      <xdr:colOff>857250</xdr:colOff>
      <xdr:row>4</xdr:row>
      <xdr:rowOff>81252</xdr:rowOff>
    </xdr:to>
    <xdr:sp macro="" textlink="">
      <xdr:nvSpPr>
        <xdr:cNvPr id="3" name="Round Diagonal Corner Rectangle 2">
          <a:hlinkClick xmlns:r="http://schemas.openxmlformats.org/officeDocument/2006/relationships" r:id="rId3"/>
        </xdr:cNvPr>
        <xdr:cNvSpPr/>
      </xdr:nvSpPr>
      <xdr:spPr>
        <a:xfrm>
          <a:off x="76201" y="866774"/>
          <a:ext cx="7810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19050</xdr:colOff>
      <xdr:row>0</xdr:row>
      <xdr:rowOff>19051</xdr:rowOff>
    </xdr:from>
    <xdr:to>
      <xdr:col>0</xdr:col>
      <xdr:colOff>857250</xdr:colOff>
      <xdr:row>2</xdr:row>
      <xdr:rowOff>371476</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9050" y="19051"/>
          <a:ext cx="838200" cy="838200"/>
        </a:xfrm>
        <a:prstGeom prst="rect">
          <a:avLst/>
        </a:prstGeom>
      </xdr:spPr>
    </xdr:pic>
    <xdr:clientData/>
  </xdr:twoCellAnchor>
  <xdr:twoCellAnchor>
    <xdr:from>
      <xdr:col>0</xdr:col>
      <xdr:colOff>76201</xdr:colOff>
      <xdr:row>2</xdr:row>
      <xdr:rowOff>390524</xdr:rowOff>
    </xdr:from>
    <xdr:to>
      <xdr:col>0</xdr:col>
      <xdr:colOff>857250</xdr:colOff>
      <xdr:row>4</xdr:row>
      <xdr:rowOff>81252</xdr:rowOff>
    </xdr:to>
    <xdr:sp macro="" textlink="">
      <xdr:nvSpPr>
        <xdr:cNvPr id="3" name="Round Diagonal Corner Rectangle 2">
          <a:hlinkClick xmlns:r="http://schemas.openxmlformats.org/officeDocument/2006/relationships" r:id="rId3"/>
        </xdr:cNvPr>
        <xdr:cNvSpPr/>
      </xdr:nvSpPr>
      <xdr:spPr>
        <a:xfrm>
          <a:off x="76201" y="876299"/>
          <a:ext cx="7810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19050</xdr:colOff>
      <xdr:row>0</xdr:row>
      <xdr:rowOff>19051</xdr:rowOff>
    </xdr:from>
    <xdr:to>
      <xdr:col>0</xdr:col>
      <xdr:colOff>857250</xdr:colOff>
      <xdr:row>2</xdr:row>
      <xdr:rowOff>371476</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9050" y="19051"/>
          <a:ext cx="838200" cy="838200"/>
        </a:xfrm>
        <a:prstGeom prst="rect">
          <a:avLst/>
        </a:prstGeom>
      </xdr:spPr>
    </xdr:pic>
    <xdr:clientData/>
  </xdr:twoCellAnchor>
  <xdr:twoCellAnchor>
    <xdr:from>
      <xdr:col>0</xdr:col>
      <xdr:colOff>76201</xdr:colOff>
      <xdr:row>2</xdr:row>
      <xdr:rowOff>380999</xdr:rowOff>
    </xdr:from>
    <xdr:to>
      <xdr:col>0</xdr:col>
      <xdr:colOff>857250</xdr:colOff>
      <xdr:row>4</xdr:row>
      <xdr:rowOff>81252</xdr:rowOff>
    </xdr:to>
    <xdr:sp macro="" textlink="">
      <xdr:nvSpPr>
        <xdr:cNvPr id="3" name="Round Diagonal Corner Rectangle 2">
          <a:hlinkClick xmlns:r="http://schemas.openxmlformats.org/officeDocument/2006/relationships" r:id="rId3"/>
        </xdr:cNvPr>
        <xdr:cNvSpPr/>
      </xdr:nvSpPr>
      <xdr:spPr>
        <a:xfrm>
          <a:off x="76201" y="866774"/>
          <a:ext cx="7810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522</xdr:colOff>
      <xdr:row>0</xdr:row>
      <xdr:rowOff>123267</xdr:rowOff>
    </xdr:from>
    <xdr:to>
      <xdr:col>2</xdr:col>
      <xdr:colOff>23534</xdr:colOff>
      <xdr:row>3</xdr:row>
      <xdr:rowOff>381000</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522" y="123267"/>
          <a:ext cx="930688" cy="941292"/>
        </a:xfrm>
        <a:prstGeom prst="rect">
          <a:avLst/>
        </a:prstGeom>
      </xdr:spPr>
    </xdr:pic>
    <xdr:clientData/>
  </xdr:twoCellAnchor>
  <xdr:twoCellAnchor>
    <xdr:from>
      <xdr:col>0</xdr:col>
      <xdr:colOff>44825</xdr:colOff>
      <xdr:row>4</xdr:row>
      <xdr:rowOff>8407</xdr:rowOff>
    </xdr:from>
    <xdr:to>
      <xdr:col>1</xdr:col>
      <xdr:colOff>790576</xdr:colOff>
      <xdr:row>5</xdr:row>
      <xdr:rowOff>103667</xdr:rowOff>
    </xdr:to>
    <xdr:sp macro="" textlink="">
      <xdr:nvSpPr>
        <xdr:cNvPr id="3" name="Round Diagonal Corner Rectangle 2">
          <a:hlinkClick xmlns:r="http://schemas.openxmlformats.org/officeDocument/2006/relationships" r:id="rId3"/>
        </xdr:cNvPr>
        <xdr:cNvSpPr/>
      </xdr:nvSpPr>
      <xdr:spPr>
        <a:xfrm>
          <a:off x="44825" y="1106583"/>
          <a:ext cx="857810"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twoCellAnchor>
    <xdr:from>
      <xdr:col>56</xdr:col>
      <xdr:colOff>243874</xdr:colOff>
      <xdr:row>8</xdr:row>
      <xdr:rowOff>71437</xdr:rowOff>
    </xdr:from>
    <xdr:to>
      <xdr:col>56</xdr:col>
      <xdr:colOff>1298303</xdr:colOff>
      <xdr:row>14</xdr:row>
      <xdr:rowOff>102529</xdr:rowOff>
    </xdr:to>
    <xdr:grpSp>
      <xdr:nvGrpSpPr>
        <xdr:cNvPr id="10" name="Group 9"/>
        <xdr:cNvGrpSpPr/>
      </xdr:nvGrpSpPr>
      <xdr:grpSpPr>
        <a:xfrm>
          <a:off x="13948668" y="2043672"/>
          <a:ext cx="1054429" cy="1308563"/>
          <a:chOff x="13993492" y="2043672"/>
          <a:chExt cx="1054429" cy="1308563"/>
        </a:xfrm>
      </xdr:grpSpPr>
      <xdr:pic macro="[0]!Group7_Click">
        <xdr:nvPicPr>
          <xdr:cNvPr id="4" name="Picture 3" descr="Preview.png"/>
          <xdr:cNvPicPr>
            <a:picLocks noChangeAspect="1"/>
          </xdr:cNvPicPr>
        </xdr:nvPicPr>
        <xdr:blipFill>
          <a:blip xmlns:r="http://schemas.openxmlformats.org/officeDocument/2006/relationships" r:embed="rId4" cstate="print"/>
          <a:stretch>
            <a:fillRect/>
          </a:stretch>
        </xdr:blipFill>
        <xdr:spPr>
          <a:xfrm>
            <a:off x="13993492" y="2043672"/>
            <a:ext cx="1044801" cy="1015864"/>
          </a:xfrm>
          <a:prstGeom prst="rect">
            <a:avLst/>
          </a:prstGeom>
        </xdr:spPr>
      </xdr:pic>
      <xdr:sp macro="[0]!Group7_Click" textlink="">
        <xdr:nvSpPr>
          <xdr:cNvPr id="5" name="TextBox 4"/>
          <xdr:cNvSpPr txBox="1"/>
        </xdr:nvSpPr>
        <xdr:spPr>
          <a:xfrm>
            <a:off x="14039568" y="3069002"/>
            <a:ext cx="1008353" cy="283233"/>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en-US" sz="1400" b="1">
                <a:solidFill>
                  <a:srgbClr val="FF0000"/>
                </a:solidFill>
                <a:latin typeface="Arial" pitchFamily="34" charset="0"/>
                <a:cs typeface="Arial" pitchFamily="34" charset="0"/>
              </a:rPr>
              <a:t>Pratinjau</a:t>
            </a:r>
          </a:p>
        </xdr:txBody>
      </xdr:sp>
    </xdr:grpSp>
    <xdr:clientData/>
  </xdr:twoCellAnchor>
  <xdr:twoCellAnchor>
    <xdr:from>
      <xdr:col>56</xdr:col>
      <xdr:colOff>258809</xdr:colOff>
      <xdr:row>1</xdr:row>
      <xdr:rowOff>211789</xdr:rowOff>
    </xdr:from>
    <xdr:to>
      <xdr:col>56</xdr:col>
      <xdr:colOff>1270591</xdr:colOff>
      <xdr:row>7</xdr:row>
      <xdr:rowOff>20361</xdr:rowOff>
    </xdr:to>
    <xdr:grpSp>
      <xdr:nvGrpSpPr>
        <xdr:cNvPr id="6" name="Group 5"/>
        <xdr:cNvGrpSpPr/>
      </xdr:nvGrpSpPr>
      <xdr:grpSpPr>
        <a:xfrm>
          <a:off x="13963603" y="435907"/>
          <a:ext cx="1011782" cy="1343778"/>
          <a:chOff x="541899" y="3514725"/>
          <a:chExt cx="751915" cy="1023331"/>
        </a:xfrm>
      </xdr:grpSpPr>
      <xdr:pic macro="[0]!Sheet1.Cetak">
        <xdr:nvPicPr>
          <xdr:cNvPr id="7" name="Picture 6" descr="Print.png"/>
          <xdr:cNvPicPr>
            <a:picLocks noChangeAspect="1"/>
          </xdr:cNvPicPr>
        </xdr:nvPicPr>
        <xdr:blipFill>
          <a:blip xmlns:r="http://schemas.openxmlformats.org/officeDocument/2006/relationships" r:embed="rId5" cstate="print"/>
          <a:srcRect l="12751" t="11763" r="13424" b="12486"/>
          <a:stretch>
            <a:fillRect/>
          </a:stretch>
        </xdr:blipFill>
        <xdr:spPr>
          <a:xfrm>
            <a:off x="541899" y="3514725"/>
            <a:ext cx="751915" cy="753207"/>
          </a:xfrm>
          <a:prstGeom prst="rect">
            <a:avLst/>
          </a:prstGeom>
        </xdr:spPr>
      </xdr:pic>
      <xdr:sp macro="[0]!Sheet1.Cetak" textlink="">
        <xdr:nvSpPr>
          <xdr:cNvPr id="8" name="TextBox 7"/>
          <xdr:cNvSpPr txBox="1"/>
        </xdr:nvSpPr>
        <xdr:spPr>
          <a:xfrm>
            <a:off x="609600" y="4286250"/>
            <a:ext cx="584323" cy="251806"/>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pPr algn="ctr"/>
            <a:r>
              <a:rPr lang="en-US" sz="1400" b="1">
                <a:solidFill>
                  <a:srgbClr val="FF0000"/>
                </a:solidFill>
                <a:latin typeface="Arial" pitchFamily="34" charset="0"/>
                <a:cs typeface="Arial" pitchFamily="34" charset="0"/>
              </a:rPr>
              <a:t>Cetak</a:t>
            </a:r>
          </a:p>
        </xdr:txBody>
      </xdr:sp>
    </xdr:grpSp>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838200</xdr:colOff>
      <xdr:row>4</xdr:row>
      <xdr:rowOff>27370</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0" y="1"/>
          <a:ext cx="838200" cy="836994"/>
        </a:xfrm>
        <a:prstGeom prst="rect">
          <a:avLst/>
        </a:prstGeom>
      </xdr:spPr>
    </xdr:pic>
    <xdr:clientData/>
  </xdr:twoCellAnchor>
  <xdr:twoCellAnchor>
    <xdr:from>
      <xdr:col>0</xdr:col>
      <xdr:colOff>57151</xdr:colOff>
      <xdr:row>4</xdr:row>
      <xdr:rowOff>57150</xdr:rowOff>
    </xdr:from>
    <xdr:to>
      <xdr:col>0</xdr:col>
      <xdr:colOff>838200</xdr:colOff>
      <xdr:row>6</xdr:row>
      <xdr:rowOff>251971</xdr:rowOff>
    </xdr:to>
    <xdr:sp macro="" textlink="">
      <xdr:nvSpPr>
        <xdr:cNvPr id="3" name="Round Diagonal Corner Rectangle 2">
          <a:hlinkClick xmlns:r="http://schemas.openxmlformats.org/officeDocument/2006/relationships" r:id="rId3"/>
        </xdr:cNvPr>
        <xdr:cNvSpPr/>
      </xdr:nvSpPr>
      <xdr:spPr>
        <a:xfrm>
          <a:off x="57151" y="866775"/>
          <a:ext cx="781049" cy="318646"/>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twoCellAnchor>
    <xdr:from>
      <xdr:col>9</xdr:col>
      <xdr:colOff>152960</xdr:colOff>
      <xdr:row>0</xdr:row>
      <xdr:rowOff>161192</xdr:rowOff>
    </xdr:from>
    <xdr:to>
      <xdr:col>9</xdr:col>
      <xdr:colOff>904875</xdr:colOff>
      <xdr:row>5</xdr:row>
      <xdr:rowOff>36634</xdr:rowOff>
    </xdr:to>
    <xdr:pic macro="[0]!Sheet1.Cetak">
      <xdr:nvPicPr>
        <xdr:cNvPr id="4" name="Picture 3" descr="Print.png"/>
        <xdr:cNvPicPr>
          <a:picLocks noChangeAspect="1"/>
        </xdr:cNvPicPr>
      </xdr:nvPicPr>
      <xdr:blipFill>
        <a:blip xmlns:r="http://schemas.openxmlformats.org/officeDocument/2006/relationships" r:embed="rId4" cstate="print"/>
        <a:srcRect l="12751" t="11763" r="13424" b="12486"/>
        <a:stretch>
          <a:fillRect/>
        </a:stretch>
      </xdr:blipFill>
      <xdr:spPr>
        <a:xfrm>
          <a:off x="6763310" y="161192"/>
          <a:ext cx="751915" cy="742217"/>
        </a:xfrm>
        <a:prstGeom prst="rect">
          <a:avLst/>
        </a:prstGeom>
      </xdr:spPr>
    </xdr:pic>
    <xdr:clientData/>
  </xdr:twoCellAnchor>
  <xdr:twoCellAnchor>
    <xdr:from>
      <xdr:col>9</xdr:col>
      <xdr:colOff>187963</xdr:colOff>
      <xdr:row>4</xdr:row>
      <xdr:rowOff>185386</xdr:rowOff>
    </xdr:from>
    <xdr:to>
      <xdr:col>9</xdr:col>
      <xdr:colOff>772286</xdr:colOff>
      <xdr:row>6</xdr:row>
      <xdr:rowOff>189542</xdr:rowOff>
    </xdr:to>
    <xdr:sp macro="" textlink="">
      <xdr:nvSpPr>
        <xdr:cNvPr id="5" name="TextBox 4"/>
        <xdr:cNvSpPr txBox="1"/>
      </xdr:nvSpPr>
      <xdr:spPr>
        <a:xfrm>
          <a:off x="6798313" y="871186"/>
          <a:ext cx="584323" cy="251806"/>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pPr algn="l"/>
          <a:r>
            <a:rPr lang="en-US" sz="1400" b="1">
              <a:solidFill>
                <a:srgbClr val="FF0000"/>
              </a:solidFill>
              <a:latin typeface="Arial" pitchFamily="34" charset="0"/>
              <a:cs typeface="Arial" pitchFamily="34" charset="0"/>
            </a:rPr>
            <a:t>Cetak</a:t>
          </a:r>
        </a:p>
      </xdr:txBody>
    </xdr:sp>
    <xdr:clientData/>
  </xdr:twoCellAnchor>
  <xdr:twoCellAnchor>
    <xdr:from>
      <xdr:col>9</xdr:col>
      <xdr:colOff>87311</xdr:colOff>
      <xdr:row>6</xdr:row>
      <xdr:rowOff>380997</xdr:rowOff>
    </xdr:from>
    <xdr:to>
      <xdr:col>9</xdr:col>
      <xdr:colOff>985974</xdr:colOff>
      <xdr:row>12</xdr:row>
      <xdr:rowOff>69985</xdr:rowOff>
    </xdr:to>
    <xdr:grpSp>
      <xdr:nvGrpSpPr>
        <xdr:cNvPr id="6" name="Group 5"/>
        <xdr:cNvGrpSpPr/>
      </xdr:nvGrpSpPr>
      <xdr:grpSpPr>
        <a:xfrm>
          <a:off x="6697661" y="1314447"/>
          <a:ext cx="898663" cy="1022488"/>
          <a:chOff x="8972550" y="2324100"/>
          <a:chExt cx="895350" cy="1028700"/>
        </a:xfrm>
      </xdr:grpSpPr>
      <xdr:pic macro="[0]!Group7_Click">
        <xdr:nvPicPr>
          <xdr:cNvPr id="7" name="Picture 6" descr="Preview.png"/>
          <xdr:cNvPicPr>
            <a:picLocks noChangeAspect="1"/>
          </xdr:cNvPicPr>
        </xdr:nvPicPr>
        <xdr:blipFill>
          <a:blip xmlns:r="http://schemas.openxmlformats.org/officeDocument/2006/relationships" r:embed="rId5" cstate="print"/>
          <a:stretch>
            <a:fillRect/>
          </a:stretch>
        </xdr:blipFill>
        <xdr:spPr>
          <a:xfrm>
            <a:off x="9048749" y="2324100"/>
            <a:ext cx="819151" cy="824433"/>
          </a:xfrm>
          <a:prstGeom prst="rect">
            <a:avLst/>
          </a:prstGeom>
        </xdr:spPr>
      </xdr:pic>
      <xdr:sp macro="[0]!Group7_Click" textlink="">
        <xdr:nvSpPr>
          <xdr:cNvPr id="8" name="TextBox 7"/>
          <xdr:cNvSpPr txBox="1"/>
        </xdr:nvSpPr>
        <xdr:spPr>
          <a:xfrm>
            <a:off x="8972550" y="3122940"/>
            <a:ext cx="790575" cy="2298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en-US" sz="1400" b="1">
                <a:solidFill>
                  <a:srgbClr val="FF0000"/>
                </a:solidFill>
                <a:latin typeface="Arial" pitchFamily="34" charset="0"/>
                <a:cs typeface="Arial" pitchFamily="34" charset="0"/>
              </a:rPr>
              <a:t>Pratinjau</a:t>
            </a:r>
          </a:p>
        </xdr:txBody>
      </xdr:sp>
    </xdr:grpSp>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0</xdr:colOff>
      <xdr:row>0</xdr:row>
      <xdr:rowOff>1</xdr:rowOff>
    </xdr:from>
    <xdr:to>
      <xdr:col>2</xdr:col>
      <xdr:colOff>209550</xdr:colOff>
      <xdr:row>3</xdr:row>
      <xdr:rowOff>123825</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14300" y="1"/>
          <a:ext cx="838200" cy="800099"/>
        </a:xfrm>
        <a:prstGeom prst="rect">
          <a:avLst/>
        </a:prstGeom>
      </xdr:spPr>
    </xdr:pic>
    <xdr:clientData/>
  </xdr:twoCellAnchor>
  <xdr:twoCellAnchor>
    <xdr:from>
      <xdr:col>1</xdr:col>
      <xdr:colOff>57151</xdr:colOff>
      <xdr:row>3</xdr:row>
      <xdr:rowOff>247649</xdr:rowOff>
    </xdr:from>
    <xdr:to>
      <xdr:col>2</xdr:col>
      <xdr:colOff>171450</xdr:colOff>
      <xdr:row>4</xdr:row>
      <xdr:rowOff>147927</xdr:rowOff>
    </xdr:to>
    <xdr:sp macro="" textlink="">
      <xdr:nvSpPr>
        <xdr:cNvPr id="3" name="Round Diagonal Corner Rectangle 2">
          <a:hlinkClick xmlns:r="http://schemas.openxmlformats.org/officeDocument/2006/relationships" r:id="rId3"/>
        </xdr:cNvPr>
        <xdr:cNvSpPr/>
      </xdr:nvSpPr>
      <xdr:spPr>
        <a:xfrm>
          <a:off x="171451" y="923924"/>
          <a:ext cx="7429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twoCellAnchor>
    <xdr:from>
      <xdr:col>0</xdr:col>
      <xdr:colOff>95250</xdr:colOff>
      <xdr:row>20</xdr:row>
      <xdr:rowOff>162654</xdr:rowOff>
    </xdr:from>
    <xdr:to>
      <xdr:col>2</xdr:col>
      <xdr:colOff>342737</xdr:colOff>
      <xdr:row>25</xdr:row>
      <xdr:rowOff>137392</xdr:rowOff>
    </xdr:to>
    <xdr:grpSp>
      <xdr:nvGrpSpPr>
        <xdr:cNvPr id="4" name="Group 3"/>
        <xdr:cNvGrpSpPr/>
      </xdr:nvGrpSpPr>
      <xdr:grpSpPr>
        <a:xfrm>
          <a:off x="95250" y="4633801"/>
          <a:ext cx="987075" cy="1039297"/>
          <a:chOff x="8972550" y="2324100"/>
          <a:chExt cx="895350" cy="1028700"/>
        </a:xfrm>
      </xdr:grpSpPr>
      <xdr:pic macro="[0]!Group7_Click">
        <xdr:nvPicPr>
          <xdr:cNvPr id="5" name="Picture 4" descr="Preview.png"/>
          <xdr:cNvPicPr>
            <a:picLocks noChangeAspect="1"/>
          </xdr:cNvPicPr>
        </xdr:nvPicPr>
        <xdr:blipFill>
          <a:blip xmlns:r="http://schemas.openxmlformats.org/officeDocument/2006/relationships" r:embed="rId4" cstate="print"/>
          <a:stretch>
            <a:fillRect/>
          </a:stretch>
        </xdr:blipFill>
        <xdr:spPr>
          <a:xfrm>
            <a:off x="9048749" y="2324100"/>
            <a:ext cx="819151" cy="824433"/>
          </a:xfrm>
          <a:prstGeom prst="rect">
            <a:avLst/>
          </a:prstGeom>
        </xdr:spPr>
      </xdr:pic>
      <xdr:sp macro="[0]!Group7_Click" textlink="">
        <xdr:nvSpPr>
          <xdr:cNvPr id="6" name="TextBox 5"/>
          <xdr:cNvSpPr txBox="1"/>
        </xdr:nvSpPr>
        <xdr:spPr>
          <a:xfrm>
            <a:off x="8972550" y="3122940"/>
            <a:ext cx="790575" cy="2298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en-US" sz="1400" b="1">
                <a:solidFill>
                  <a:srgbClr val="FF0000"/>
                </a:solidFill>
                <a:latin typeface="Arial" pitchFamily="34" charset="0"/>
                <a:cs typeface="Arial" pitchFamily="34" charset="0"/>
              </a:rPr>
              <a:t>Pratinjau</a:t>
            </a:r>
          </a:p>
        </xdr:txBody>
      </xdr:sp>
    </xdr:grpSp>
    <xdr:clientData/>
  </xdr:twoCellAnchor>
  <xdr:twoCellAnchor>
    <xdr:from>
      <xdr:col>1</xdr:col>
      <xdr:colOff>94224</xdr:colOff>
      <xdr:row>15</xdr:row>
      <xdr:rowOff>47625</xdr:rowOff>
    </xdr:from>
    <xdr:to>
      <xdr:col>2</xdr:col>
      <xdr:colOff>276225</xdr:colOff>
      <xdr:row>20</xdr:row>
      <xdr:rowOff>23206</xdr:rowOff>
    </xdr:to>
    <xdr:grpSp>
      <xdr:nvGrpSpPr>
        <xdr:cNvPr id="7" name="Group 6"/>
        <xdr:cNvGrpSpPr/>
      </xdr:nvGrpSpPr>
      <xdr:grpSpPr>
        <a:xfrm>
          <a:off x="206283" y="3454213"/>
          <a:ext cx="809530" cy="1040140"/>
          <a:chOff x="541899" y="3514725"/>
          <a:chExt cx="751915" cy="1023331"/>
        </a:xfrm>
      </xdr:grpSpPr>
      <xdr:pic macro="[0]!Sheet1.Cetak">
        <xdr:nvPicPr>
          <xdr:cNvPr id="8" name="Picture 7" descr="Print.png"/>
          <xdr:cNvPicPr>
            <a:picLocks noChangeAspect="1"/>
          </xdr:cNvPicPr>
        </xdr:nvPicPr>
        <xdr:blipFill>
          <a:blip xmlns:r="http://schemas.openxmlformats.org/officeDocument/2006/relationships" r:embed="rId5" cstate="print"/>
          <a:srcRect l="12751" t="11763" r="13424" b="12486"/>
          <a:stretch>
            <a:fillRect/>
          </a:stretch>
        </xdr:blipFill>
        <xdr:spPr>
          <a:xfrm>
            <a:off x="541899" y="3514725"/>
            <a:ext cx="751915" cy="753207"/>
          </a:xfrm>
          <a:prstGeom prst="rect">
            <a:avLst/>
          </a:prstGeom>
        </xdr:spPr>
      </xdr:pic>
      <xdr:sp macro="[0]!Sheet1.Cetak" textlink="">
        <xdr:nvSpPr>
          <xdr:cNvPr id="9" name="TextBox 8"/>
          <xdr:cNvSpPr txBox="1"/>
        </xdr:nvSpPr>
        <xdr:spPr>
          <a:xfrm>
            <a:off x="609600" y="4286250"/>
            <a:ext cx="584323" cy="251806"/>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pPr algn="ctr"/>
            <a:r>
              <a:rPr lang="en-US" sz="1400" b="1">
                <a:solidFill>
                  <a:srgbClr val="FF0000"/>
                </a:solidFill>
                <a:latin typeface="Arial" pitchFamily="34" charset="0"/>
                <a:cs typeface="Arial" pitchFamily="34" charset="0"/>
              </a:rPr>
              <a:t>Cetak</a:t>
            </a: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29695</xdr:colOff>
      <xdr:row>1</xdr:row>
      <xdr:rowOff>47625</xdr:rowOff>
    </xdr:from>
    <xdr:to>
      <xdr:col>0</xdr:col>
      <xdr:colOff>790979</xdr:colOff>
      <xdr:row>3</xdr:row>
      <xdr:rowOff>160147</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rcRect l="5682"/>
        <a:stretch>
          <a:fillRect/>
        </a:stretch>
      </xdr:blipFill>
      <xdr:spPr>
        <a:xfrm>
          <a:off x="29695" y="76200"/>
          <a:ext cx="761284" cy="788797"/>
        </a:xfrm>
        <a:prstGeom prst="rect">
          <a:avLst/>
        </a:prstGeom>
      </xdr:spPr>
    </xdr:pic>
    <xdr:clientData/>
  </xdr:twoCellAnchor>
  <xdr:twoCellAnchor>
    <xdr:from>
      <xdr:col>0</xdr:col>
      <xdr:colOff>57150</xdr:colOff>
      <xdr:row>3</xdr:row>
      <xdr:rowOff>184899</xdr:rowOff>
    </xdr:from>
    <xdr:to>
      <xdr:col>0</xdr:col>
      <xdr:colOff>744068</xdr:colOff>
      <xdr:row>4</xdr:row>
      <xdr:rowOff>132802</xdr:rowOff>
    </xdr:to>
    <xdr:sp macro="" textlink="">
      <xdr:nvSpPr>
        <xdr:cNvPr id="3" name="Round Diagonal Corner Rectangle 2">
          <a:hlinkClick xmlns:r="http://schemas.openxmlformats.org/officeDocument/2006/relationships" r:id="rId3"/>
        </xdr:cNvPr>
        <xdr:cNvSpPr/>
      </xdr:nvSpPr>
      <xdr:spPr>
        <a:xfrm>
          <a:off x="57150" y="889749"/>
          <a:ext cx="686918"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twoCellAnchor>
    <xdr:from>
      <xdr:col>32</xdr:col>
      <xdr:colOff>239244</xdr:colOff>
      <xdr:row>8</xdr:row>
      <xdr:rowOff>166017</xdr:rowOff>
    </xdr:from>
    <xdr:to>
      <xdr:col>33</xdr:col>
      <xdr:colOff>448794</xdr:colOff>
      <xdr:row>13</xdr:row>
      <xdr:rowOff>154906</xdr:rowOff>
    </xdr:to>
    <xdr:grpSp>
      <xdr:nvGrpSpPr>
        <xdr:cNvPr id="4" name="Group 3"/>
        <xdr:cNvGrpSpPr/>
      </xdr:nvGrpSpPr>
      <xdr:grpSpPr>
        <a:xfrm>
          <a:off x="9030819" y="2023392"/>
          <a:ext cx="819150" cy="1074739"/>
          <a:chOff x="336178" y="2804440"/>
          <a:chExt cx="845320" cy="1072915"/>
        </a:xfrm>
      </xdr:grpSpPr>
      <xdr:pic macro="[0]!Group7_Click">
        <xdr:nvPicPr>
          <xdr:cNvPr id="5" name="Picture 4" descr="Preview.png"/>
          <xdr:cNvPicPr>
            <a:picLocks noChangeAspect="1"/>
          </xdr:cNvPicPr>
        </xdr:nvPicPr>
        <xdr:blipFill>
          <a:blip xmlns:r="http://schemas.openxmlformats.org/officeDocument/2006/relationships" r:embed="rId4" cstate="print"/>
          <a:stretch>
            <a:fillRect/>
          </a:stretch>
        </xdr:blipFill>
        <xdr:spPr>
          <a:xfrm>
            <a:off x="364153" y="2804440"/>
            <a:ext cx="817345" cy="832926"/>
          </a:xfrm>
          <a:prstGeom prst="rect">
            <a:avLst/>
          </a:prstGeom>
        </xdr:spPr>
      </xdr:pic>
      <xdr:sp macro="[0]!Group7_Click" textlink="">
        <xdr:nvSpPr>
          <xdr:cNvPr id="6" name="TextBox 5"/>
          <xdr:cNvSpPr txBox="1"/>
        </xdr:nvSpPr>
        <xdr:spPr>
          <a:xfrm>
            <a:off x="336178" y="3645127"/>
            <a:ext cx="842991" cy="232228"/>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en-US" sz="1400" b="1">
                <a:solidFill>
                  <a:srgbClr val="FF0000"/>
                </a:solidFill>
                <a:latin typeface="Arial" pitchFamily="34" charset="0"/>
                <a:cs typeface="Arial" pitchFamily="34" charset="0"/>
              </a:rPr>
              <a:t>Pratinjau</a:t>
            </a:r>
          </a:p>
        </xdr:txBody>
      </xdr:sp>
    </xdr:grpSp>
    <xdr:clientData/>
  </xdr:twoCellAnchor>
  <xdr:twoCellAnchor>
    <xdr:from>
      <xdr:col>32</xdr:col>
      <xdr:colOff>294247</xdr:colOff>
      <xdr:row>3</xdr:row>
      <xdr:rowOff>28576</xdr:rowOff>
    </xdr:from>
    <xdr:to>
      <xdr:col>33</xdr:col>
      <xdr:colOff>450654</xdr:colOff>
      <xdr:row>7</xdr:row>
      <xdr:rowOff>127526</xdr:rowOff>
    </xdr:to>
    <xdr:grpSp>
      <xdr:nvGrpSpPr>
        <xdr:cNvPr id="7" name="Group 6"/>
        <xdr:cNvGrpSpPr/>
      </xdr:nvGrpSpPr>
      <xdr:grpSpPr>
        <a:xfrm>
          <a:off x="9085822" y="733426"/>
          <a:ext cx="766007" cy="1051450"/>
          <a:chOff x="541899" y="3514725"/>
          <a:chExt cx="751915" cy="1023331"/>
        </a:xfrm>
      </xdr:grpSpPr>
      <xdr:pic macro="[0]!Sheet1.Cetak">
        <xdr:nvPicPr>
          <xdr:cNvPr id="8" name="Picture 7" descr="Print.png"/>
          <xdr:cNvPicPr>
            <a:picLocks noChangeAspect="1"/>
          </xdr:cNvPicPr>
        </xdr:nvPicPr>
        <xdr:blipFill>
          <a:blip xmlns:r="http://schemas.openxmlformats.org/officeDocument/2006/relationships" r:embed="rId5" cstate="print"/>
          <a:srcRect l="12751" t="11763" r="13424" b="12486"/>
          <a:stretch>
            <a:fillRect/>
          </a:stretch>
        </xdr:blipFill>
        <xdr:spPr>
          <a:xfrm>
            <a:off x="541899" y="3514725"/>
            <a:ext cx="751915" cy="753207"/>
          </a:xfrm>
          <a:prstGeom prst="rect">
            <a:avLst/>
          </a:prstGeom>
        </xdr:spPr>
      </xdr:pic>
      <xdr:sp macro="[0]!Sheet1.Cetak" textlink="">
        <xdr:nvSpPr>
          <xdr:cNvPr id="9" name="TextBox 8"/>
          <xdr:cNvSpPr txBox="1"/>
        </xdr:nvSpPr>
        <xdr:spPr>
          <a:xfrm>
            <a:off x="609600" y="4286250"/>
            <a:ext cx="584323" cy="251806"/>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pPr algn="ctr"/>
            <a:r>
              <a:rPr lang="en-US" sz="1400" b="1">
                <a:solidFill>
                  <a:srgbClr val="FF0000"/>
                </a:solidFill>
                <a:latin typeface="Arial" pitchFamily="34" charset="0"/>
                <a:cs typeface="Arial" pitchFamily="34" charset="0"/>
              </a:rPr>
              <a:t>Cetak</a:t>
            </a:r>
          </a:p>
        </xdr:txBody>
      </xdr:sp>
    </xdr:grpSp>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19050</xdr:colOff>
      <xdr:row>0</xdr:row>
      <xdr:rowOff>19051</xdr:rowOff>
    </xdr:from>
    <xdr:to>
      <xdr:col>0</xdr:col>
      <xdr:colOff>857250</xdr:colOff>
      <xdr:row>4</xdr:row>
      <xdr:rowOff>9526</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9050" y="19051"/>
          <a:ext cx="838200" cy="838200"/>
        </a:xfrm>
        <a:prstGeom prst="rect">
          <a:avLst/>
        </a:prstGeom>
      </xdr:spPr>
    </xdr:pic>
    <xdr:clientData/>
  </xdr:twoCellAnchor>
  <xdr:twoCellAnchor>
    <xdr:from>
      <xdr:col>0</xdr:col>
      <xdr:colOff>57151</xdr:colOff>
      <xdr:row>4</xdr:row>
      <xdr:rowOff>19049</xdr:rowOff>
    </xdr:from>
    <xdr:to>
      <xdr:col>0</xdr:col>
      <xdr:colOff>838200</xdr:colOff>
      <xdr:row>5</xdr:row>
      <xdr:rowOff>262227</xdr:rowOff>
    </xdr:to>
    <xdr:sp macro="" textlink="">
      <xdr:nvSpPr>
        <xdr:cNvPr id="3" name="Round Diagonal Corner Rectangle 2">
          <a:hlinkClick xmlns:r="http://schemas.openxmlformats.org/officeDocument/2006/relationships" r:id="rId3"/>
        </xdr:cNvPr>
        <xdr:cNvSpPr/>
      </xdr:nvSpPr>
      <xdr:spPr>
        <a:xfrm>
          <a:off x="57151" y="866774"/>
          <a:ext cx="7810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Admin</a:t>
          </a:r>
        </a:p>
      </xdr:txBody>
    </xdr:sp>
    <xdr:clientData/>
  </xdr:twoCellAnchor>
  <xdr:twoCellAnchor>
    <xdr:from>
      <xdr:col>3</xdr:col>
      <xdr:colOff>809626</xdr:colOff>
      <xdr:row>5</xdr:row>
      <xdr:rowOff>85725</xdr:rowOff>
    </xdr:from>
    <xdr:to>
      <xdr:col>7</xdr:col>
      <xdr:colOff>533401</xdr:colOff>
      <xdr:row>9</xdr:row>
      <xdr:rowOff>76201</xdr:rowOff>
    </xdr:to>
    <xdr:sp macro="" textlink="">
      <xdr:nvSpPr>
        <xdr:cNvPr id="44" name="Rounded Rectangle 43"/>
        <xdr:cNvSpPr/>
      </xdr:nvSpPr>
      <xdr:spPr>
        <a:xfrm>
          <a:off x="3543301" y="1209675"/>
          <a:ext cx="3657600" cy="876301"/>
        </a:xfrm>
        <a:prstGeom prst="roundRect">
          <a:avLst/>
        </a:prstGeom>
        <a:noFill/>
        <a:ln w="19050"/>
      </xdr:spPr>
      <xdr:style>
        <a:lnRef idx="2">
          <a:schemeClr val="dk1"/>
        </a:lnRef>
        <a:fillRef idx="1">
          <a:schemeClr val="lt1"/>
        </a:fillRef>
        <a:effectRef idx="0">
          <a:schemeClr val="dk1"/>
        </a:effectRef>
        <a:fontRef idx="minor">
          <a:schemeClr val="dk1"/>
        </a:fontRef>
      </xdr:style>
      <xdr:txBody>
        <a:bodyPr rtlCol="0" anchor="ctr"/>
        <a:lstStyle/>
        <a:p>
          <a:pPr algn="ctr"/>
          <a:endParaRPr lang="en-US" sz="1100"/>
        </a:p>
      </xdr:txBody>
    </xdr:sp>
    <xdr:clientData/>
  </xdr:twoCellAnchor>
  <xdr:twoCellAnchor>
    <xdr:from>
      <xdr:col>6</xdr:col>
      <xdr:colOff>142875</xdr:colOff>
      <xdr:row>10</xdr:row>
      <xdr:rowOff>9525</xdr:rowOff>
    </xdr:from>
    <xdr:to>
      <xdr:col>10</xdr:col>
      <xdr:colOff>1</xdr:colOff>
      <xdr:row>14</xdr:row>
      <xdr:rowOff>46725</xdr:rowOff>
    </xdr:to>
    <xdr:grpSp>
      <xdr:nvGrpSpPr>
        <xdr:cNvPr id="75" name="Group 74">
          <a:hlinkClick xmlns:r="http://schemas.openxmlformats.org/officeDocument/2006/relationships" r:id="rId4"/>
        </xdr:cNvPr>
        <xdr:cNvGrpSpPr/>
      </xdr:nvGrpSpPr>
      <xdr:grpSpPr>
        <a:xfrm>
          <a:off x="5143500" y="2152650"/>
          <a:ext cx="3409951" cy="799200"/>
          <a:chOff x="6134100" y="2286000"/>
          <a:chExt cx="3476625" cy="799200"/>
        </a:xfrm>
      </xdr:grpSpPr>
      <xdr:sp macro="" textlink="">
        <xdr:nvSpPr>
          <xdr:cNvPr id="46" name="Rectangle 45"/>
          <xdr:cNvSpPr/>
        </xdr:nvSpPr>
        <xdr:spPr>
          <a:xfrm>
            <a:off x="6134100" y="2581200"/>
            <a:ext cx="3476625" cy="504000"/>
          </a:xfrm>
          <a:prstGeom prst="rect">
            <a:avLst/>
          </a:prstGeom>
          <a:scene3d>
            <a:camera prst="orthographicFront"/>
            <a:lightRig rig="flat" dir="t"/>
          </a:scene3d>
          <a:sp3d z="190500" extrusionH="12700" prstMaterial="plastic">
            <a:bevelT w="50800" h="50800"/>
          </a:sp3d>
        </xdr:spPr>
        <xdr:style>
          <a:lnRef idx="1">
            <a:schemeClr val="accent1">
              <a:hueOff val="0"/>
              <a:satOff val="0"/>
              <a:lumOff val="0"/>
              <a:alphaOff val="0"/>
            </a:schemeClr>
          </a:lnRef>
          <a:fillRef idx="1">
            <a:schemeClr val="lt1">
              <a:alpha val="90000"/>
              <a:hueOff val="0"/>
              <a:satOff val="0"/>
              <a:lumOff val="0"/>
              <a:alphaOff val="0"/>
            </a:schemeClr>
          </a:fillRef>
          <a:effectRef idx="2">
            <a:schemeClr val="lt1">
              <a:alpha val="90000"/>
              <a:hueOff val="0"/>
              <a:satOff val="0"/>
              <a:lumOff val="0"/>
              <a:alphaOff val="0"/>
            </a:schemeClr>
          </a:effectRef>
          <a:fontRef idx="minor">
            <a:schemeClr val="dk1">
              <a:hueOff val="0"/>
              <a:satOff val="0"/>
              <a:lumOff val="0"/>
              <a:alphaOff val="0"/>
            </a:schemeClr>
          </a:fontRef>
        </xdr:style>
      </xdr:sp>
      <xdr:grpSp>
        <xdr:nvGrpSpPr>
          <xdr:cNvPr id="47" name="Group 46"/>
          <xdr:cNvGrpSpPr/>
        </xdr:nvGrpSpPr>
        <xdr:grpSpPr>
          <a:xfrm>
            <a:off x="6362699" y="2286000"/>
            <a:ext cx="2859911" cy="590400"/>
            <a:chOff x="228600" y="64799"/>
            <a:chExt cx="3200400" cy="590400"/>
          </a:xfrm>
          <a:scene3d>
            <a:camera prst="orthographicFront"/>
            <a:lightRig rig="flat" dir="t"/>
          </a:scene3d>
        </xdr:grpSpPr>
        <xdr:sp macro="" textlink="">
          <xdr:nvSpPr>
            <xdr:cNvPr id="48" name="Rounded Rectangle 47"/>
            <xdr:cNvSpPr/>
          </xdr:nvSpPr>
          <xdr:spPr>
            <a:xfrm>
              <a:off x="228600" y="64799"/>
              <a:ext cx="3200400" cy="590400"/>
            </a:xfrm>
            <a:prstGeom prst="roundRect">
              <a:avLst/>
            </a:prstGeom>
            <a:sp3d prstMaterial="plastic">
              <a:bevelT w="120900" h="88900"/>
              <a:bevelB w="88900" h="31750" prst="angle"/>
            </a:sp3d>
          </xdr:spPr>
          <xdr:style>
            <a:lnRef idx="0">
              <a:schemeClr val="lt1">
                <a:hueOff val="0"/>
                <a:satOff val="0"/>
                <a:lumOff val="0"/>
                <a:alphaOff val="0"/>
              </a:schemeClr>
            </a:lnRef>
            <a:fillRef idx="3">
              <a:schemeClr val="accent1">
                <a:hueOff val="0"/>
                <a:satOff val="0"/>
                <a:lumOff val="0"/>
                <a:alphaOff val="0"/>
              </a:schemeClr>
            </a:fillRef>
            <a:effectRef idx="2">
              <a:schemeClr val="accent1">
                <a:hueOff val="0"/>
                <a:satOff val="0"/>
                <a:lumOff val="0"/>
                <a:alphaOff val="0"/>
              </a:schemeClr>
            </a:effectRef>
            <a:fontRef idx="minor">
              <a:schemeClr val="lt1"/>
            </a:fontRef>
          </xdr:style>
          <xdr:txBody>
            <a:bodyPr anchor="ctr"/>
            <a:lstStyle/>
            <a:p>
              <a:pPr algn="ctr"/>
              <a:r>
                <a:rPr lang="en-US" sz="1600" b="1"/>
                <a:t>CETAK IDENTITAS</a:t>
              </a:r>
              <a:r>
                <a:rPr lang="en-US" sz="1600" b="1" baseline="0"/>
                <a:t> SISWA</a:t>
              </a:r>
              <a:endParaRPr lang="en-US" sz="1600" b="1"/>
            </a:p>
          </xdr:txBody>
        </xdr:sp>
        <xdr:sp macro="" textlink="">
          <xdr:nvSpPr>
            <xdr:cNvPr id="49" name="Rounded Rectangle 5"/>
            <xdr:cNvSpPr/>
          </xdr:nvSpPr>
          <xdr:spPr>
            <a:xfrm>
              <a:off x="257421" y="93620"/>
              <a:ext cx="3142758" cy="532758"/>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120968" tIns="0" rIns="120968" bIns="0" numCol="1" spcCol="1270" anchor="ctr" anchorCtr="0">
              <a:noAutofit/>
            </a:bodyPr>
            <a:lstStyle/>
            <a:p>
              <a:pPr lvl="0" algn="l" defTabSz="889000">
                <a:lnSpc>
                  <a:spcPct val="90000"/>
                </a:lnSpc>
                <a:spcBef>
                  <a:spcPct val="0"/>
                </a:spcBef>
                <a:spcAft>
                  <a:spcPct val="35000"/>
                </a:spcAft>
              </a:pPr>
              <a:endParaRPr lang="en-US" sz="2000" kern="1200"/>
            </a:p>
          </xdr:txBody>
        </xdr:sp>
      </xdr:grpSp>
    </xdr:grpSp>
    <xdr:clientData/>
  </xdr:twoCellAnchor>
  <xdr:twoCellAnchor>
    <xdr:from>
      <xdr:col>6</xdr:col>
      <xdr:colOff>133349</xdr:colOff>
      <xdr:row>15</xdr:row>
      <xdr:rowOff>114300</xdr:rowOff>
    </xdr:from>
    <xdr:to>
      <xdr:col>10</xdr:col>
      <xdr:colOff>0</xdr:colOff>
      <xdr:row>20</xdr:row>
      <xdr:rowOff>133350</xdr:rowOff>
    </xdr:to>
    <xdr:grpSp>
      <xdr:nvGrpSpPr>
        <xdr:cNvPr id="76" name="Group 75"/>
        <xdr:cNvGrpSpPr/>
      </xdr:nvGrpSpPr>
      <xdr:grpSpPr>
        <a:xfrm>
          <a:off x="5133974" y="3209925"/>
          <a:ext cx="3419476" cy="971550"/>
          <a:chOff x="6134099" y="3257550"/>
          <a:chExt cx="3467101" cy="799200"/>
        </a:xfrm>
      </xdr:grpSpPr>
      <xdr:sp macro="" textlink="">
        <xdr:nvSpPr>
          <xdr:cNvPr id="54" name="Rectangle 53"/>
          <xdr:cNvSpPr/>
        </xdr:nvSpPr>
        <xdr:spPr>
          <a:xfrm>
            <a:off x="6134099" y="3552750"/>
            <a:ext cx="3467101" cy="504000"/>
          </a:xfrm>
          <a:prstGeom prst="rect">
            <a:avLst/>
          </a:prstGeom>
          <a:scene3d>
            <a:camera prst="orthographicFront"/>
            <a:lightRig rig="flat" dir="t"/>
          </a:scene3d>
          <a:sp3d z="190500" extrusionH="12700" prstMaterial="plastic">
            <a:bevelT w="50800" h="50800"/>
          </a:sp3d>
        </xdr:spPr>
        <xdr:style>
          <a:lnRef idx="1">
            <a:schemeClr val="accent1">
              <a:hueOff val="0"/>
              <a:satOff val="0"/>
              <a:lumOff val="0"/>
              <a:alphaOff val="0"/>
            </a:schemeClr>
          </a:lnRef>
          <a:fillRef idx="1">
            <a:schemeClr val="lt1">
              <a:alpha val="90000"/>
              <a:hueOff val="0"/>
              <a:satOff val="0"/>
              <a:lumOff val="0"/>
              <a:alphaOff val="0"/>
            </a:schemeClr>
          </a:fillRef>
          <a:effectRef idx="2">
            <a:schemeClr val="lt1">
              <a:alpha val="90000"/>
              <a:hueOff val="0"/>
              <a:satOff val="0"/>
              <a:lumOff val="0"/>
              <a:alphaOff val="0"/>
            </a:schemeClr>
          </a:effectRef>
          <a:fontRef idx="minor">
            <a:schemeClr val="dk1">
              <a:hueOff val="0"/>
              <a:satOff val="0"/>
              <a:lumOff val="0"/>
              <a:alphaOff val="0"/>
            </a:schemeClr>
          </a:fontRef>
        </xdr:style>
      </xdr:sp>
      <xdr:grpSp>
        <xdr:nvGrpSpPr>
          <xdr:cNvPr id="55" name="Group 54"/>
          <xdr:cNvGrpSpPr/>
        </xdr:nvGrpSpPr>
        <xdr:grpSpPr>
          <a:xfrm>
            <a:off x="6362698" y="3257550"/>
            <a:ext cx="2852078" cy="590400"/>
            <a:chOff x="228600" y="64799"/>
            <a:chExt cx="3200400" cy="590400"/>
          </a:xfrm>
          <a:scene3d>
            <a:camera prst="orthographicFront"/>
            <a:lightRig rig="flat" dir="t"/>
          </a:scene3d>
        </xdr:grpSpPr>
        <xdr:sp macro="" textlink="">
          <xdr:nvSpPr>
            <xdr:cNvPr id="56" name="Rounded Rectangle 55">
              <a:hlinkClick xmlns:r="http://schemas.openxmlformats.org/officeDocument/2006/relationships" r:id="rId5"/>
            </xdr:cNvPr>
            <xdr:cNvSpPr/>
          </xdr:nvSpPr>
          <xdr:spPr>
            <a:xfrm>
              <a:off x="228600" y="64799"/>
              <a:ext cx="3200400" cy="590400"/>
            </a:xfrm>
            <a:prstGeom prst="roundRect">
              <a:avLst/>
            </a:prstGeom>
            <a:sp3d prstMaterial="plastic">
              <a:bevelT w="120900" h="88900"/>
              <a:bevelB w="88900" h="31750" prst="angle"/>
            </a:sp3d>
          </xdr:spPr>
          <xdr:style>
            <a:lnRef idx="0">
              <a:schemeClr val="lt1">
                <a:hueOff val="0"/>
                <a:satOff val="0"/>
                <a:lumOff val="0"/>
                <a:alphaOff val="0"/>
              </a:schemeClr>
            </a:lnRef>
            <a:fillRef idx="3">
              <a:schemeClr val="accent1">
                <a:hueOff val="0"/>
                <a:satOff val="0"/>
                <a:lumOff val="0"/>
                <a:alphaOff val="0"/>
              </a:schemeClr>
            </a:fillRef>
            <a:effectRef idx="2">
              <a:schemeClr val="accent1">
                <a:hueOff val="0"/>
                <a:satOff val="0"/>
                <a:lumOff val="0"/>
                <a:alphaOff val="0"/>
              </a:schemeClr>
            </a:effectRef>
            <a:fontRef idx="minor">
              <a:schemeClr val="lt1"/>
            </a:fontRef>
          </xdr:style>
          <xdr:txBody>
            <a:bodyPr anchor="ctr"/>
            <a:lstStyle/>
            <a:p>
              <a:pPr algn="ctr"/>
              <a:r>
                <a:rPr lang="en-US" sz="1400" b="1"/>
                <a:t>CETAK</a:t>
              </a:r>
              <a:r>
                <a:rPr lang="en-US" sz="1400" b="1" baseline="0"/>
                <a:t> LAPORAN PENILAIAN</a:t>
              </a:r>
            </a:p>
            <a:p>
              <a:pPr algn="ctr"/>
              <a:r>
                <a:rPr lang="en-US" sz="1400" b="1" baseline="0"/>
                <a:t>SEMESTER GANJIL &amp; GENAP</a:t>
              </a:r>
              <a:endParaRPr lang="en-US" sz="1400" b="1"/>
            </a:p>
          </xdr:txBody>
        </xdr:sp>
        <xdr:sp macro="" textlink="">
          <xdr:nvSpPr>
            <xdr:cNvPr id="57" name="Rounded Rectangle 5"/>
            <xdr:cNvSpPr/>
          </xdr:nvSpPr>
          <xdr:spPr>
            <a:xfrm>
              <a:off x="257421" y="93620"/>
              <a:ext cx="3142758" cy="532758"/>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120968" tIns="0" rIns="120968" bIns="0" numCol="1" spcCol="1270" anchor="ctr" anchorCtr="0">
              <a:noAutofit/>
            </a:bodyPr>
            <a:lstStyle/>
            <a:p>
              <a:pPr lvl="0" algn="l" defTabSz="889000">
                <a:lnSpc>
                  <a:spcPct val="90000"/>
                </a:lnSpc>
                <a:spcBef>
                  <a:spcPct val="0"/>
                </a:spcBef>
                <a:spcAft>
                  <a:spcPct val="35000"/>
                </a:spcAft>
              </a:pPr>
              <a:endParaRPr lang="en-US" sz="2000" kern="1200"/>
            </a:p>
          </xdr:txBody>
        </xdr:sp>
      </xdr:grpSp>
    </xdr:grpSp>
    <xdr:clientData/>
  </xdr:twoCellAnchor>
  <xdr:twoCellAnchor>
    <xdr:from>
      <xdr:col>2</xdr:col>
      <xdr:colOff>114300</xdr:colOff>
      <xdr:row>10</xdr:row>
      <xdr:rowOff>0</xdr:rowOff>
    </xdr:from>
    <xdr:to>
      <xdr:col>5</xdr:col>
      <xdr:colOff>600075</xdr:colOff>
      <xdr:row>13</xdr:row>
      <xdr:rowOff>37950</xdr:rowOff>
    </xdr:to>
    <xdr:grpSp>
      <xdr:nvGrpSpPr>
        <xdr:cNvPr id="73" name="Group 72">
          <a:hlinkClick xmlns:r="http://schemas.openxmlformats.org/officeDocument/2006/relationships" r:id="rId6"/>
        </xdr:cNvPr>
        <xdr:cNvGrpSpPr/>
      </xdr:nvGrpSpPr>
      <xdr:grpSpPr>
        <a:xfrm>
          <a:off x="1390650" y="2143125"/>
          <a:ext cx="3219450" cy="609450"/>
          <a:chOff x="2076450" y="2266950"/>
          <a:chExt cx="3219450" cy="609450"/>
        </a:xfrm>
      </xdr:grpSpPr>
      <xdr:grpSp>
        <xdr:nvGrpSpPr>
          <xdr:cNvPr id="31" name="Group 30"/>
          <xdr:cNvGrpSpPr/>
        </xdr:nvGrpSpPr>
        <xdr:grpSpPr>
          <a:xfrm>
            <a:off x="2562224" y="2286000"/>
            <a:ext cx="2733676" cy="590400"/>
            <a:chOff x="228600" y="64799"/>
            <a:chExt cx="3200400" cy="590400"/>
          </a:xfrm>
          <a:scene3d>
            <a:camera prst="orthographicFront"/>
            <a:lightRig rig="threePt" dir="t">
              <a:rot lat="0" lon="0" rev="7500000"/>
            </a:lightRig>
          </a:scene3d>
        </xdr:grpSpPr>
        <xdr:sp macro="" textlink="">
          <xdr:nvSpPr>
            <xdr:cNvPr id="32" name="Rounded Rectangle 31"/>
            <xdr:cNvSpPr/>
          </xdr:nvSpPr>
          <xdr:spPr>
            <a:xfrm>
              <a:off x="228600" y="64799"/>
              <a:ext cx="3200400" cy="590400"/>
            </a:xfrm>
            <a:prstGeom prst="roundRect">
              <a:avLst/>
            </a:prstGeom>
            <a:sp3d prstMaterial="plastic">
              <a:bevelT w="127000" h="25400" prst="relaxedInset"/>
            </a:sp3d>
          </xdr:spPr>
          <xdr:style>
            <a:lnRef idx="0">
              <a:schemeClr val="lt1">
                <a:hueOff val="0"/>
                <a:satOff val="0"/>
                <a:lumOff val="0"/>
                <a:alphaOff val="0"/>
              </a:schemeClr>
            </a:lnRef>
            <a:fillRef idx="3">
              <a:schemeClr val="accent2">
                <a:hueOff val="0"/>
                <a:satOff val="0"/>
                <a:lumOff val="0"/>
                <a:alphaOff val="0"/>
              </a:schemeClr>
            </a:fillRef>
            <a:effectRef idx="2">
              <a:schemeClr val="accent2">
                <a:hueOff val="0"/>
                <a:satOff val="0"/>
                <a:lumOff val="0"/>
                <a:alphaOff val="0"/>
              </a:schemeClr>
            </a:effectRef>
            <a:fontRef idx="minor">
              <a:schemeClr val="lt1"/>
            </a:fontRef>
          </xdr:style>
          <xdr:txBody>
            <a:bodyPr anchor="ctr"/>
            <a:lstStyle/>
            <a:p>
              <a:pPr algn="ctr"/>
              <a:r>
                <a:rPr lang="en-US" sz="1800" b="1" baseline="0"/>
                <a:t>BIODATA SISWA</a:t>
              </a:r>
              <a:endParaRPr lang="en-US" sz="1800" b="1"/>
            </a:p>
          </xdr:txBody>
        </xdr:sp>
        <xdr:sp macro="" textlink="">
          <xdr:nvSpPr>
            <xdr:cNvPr id="33" name="Rounded Rectangle 4"/>
            <xdr:cNvSpPr/>
          </xdr:nvSpPr>
          <xdr:spPr>
            <a:xfrm>
              <a:off x="257421" y="93620"/>
              <a:ext cx="3142758" cy="532758"/>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120968" tIns="0" rIns="120968" bIns="0" numCol="1" spcCol="1270" anchor="ctr" anchorCtr="0">
              <a:noAutofit/>
            </a:bodyPr>
            <a:lstStyle/>
            <a:p>
              <a:pPr lvl="0" algn="l" defTabSz="889000">
                <a:lnSpc>
                  <a:spcPct val="90000"/>
                </a:lnSpc>
                <a:spcBef>
                  <a:spcPct val="0"/>
                </a:spcBef>
                <a:spcAft>
                  <a:spcPct val="35000"/>
                </a:spcAft>
              </a:pPr>
              <a:endParaRPr lang="en-US" sz="2000" kern="1200"/>
            </a:p>
          </xdr:txBody>
        </xdr:sp>
      </xdr:grpSp>
      <xdr:sp macro="" textlink="">
        <xdr:nvSpPr>
          <xdr:cNvPr id="59" name="Oval 58"/>
          <xdr:cNvSpPr/>
        </xdr:nvSpPr>
        <xdr:spPr>
          <a:xfrm>
            <a:off x="2076450" y="2266950"/>
            <a:ext cx="619125" cy="600143"/>
          </a:xfrm>
          <a:prstGeom prst="ellipse">
            <a:avLst/>
          </a:prstGeom>
        </xdr:spPr>
        <xdr:style>
          <a:lnRef idx="1">
            <a:schemeClr val="dk1"/>
          </a:lnRef>
          <a:fillRef idx="2">
            <a:schemeClr val="dk1"/>
          </a:fillRef>
          <a:effectRef idx="1">
            <a:schemeClr val="dk1"/>
          </a:effectRef>
          <a:fontRef idx="minor">
            <a:schemeClr val="dk1"/>
          </a:fontRef>
        </xdr:style>
        <xdr:txBody>
          <a:bodyPr anchor="ctr"/>
          <a:lstStyle/>
          <a:p>
            <a:pPr algn="ctr"/>
            <a:r>
              <a:rPr lang="en-US" sz="2400"/>
              <a:t>1</a:t>
            </a:r>
          </a:p>
        </xdr:txBody>
      </xdr:sp>
    </xdr:grpSp>
    <xdr:clientData/>
  </xdr:twoCellAnchor>
  <xdr:twoCellAnchor>
    <xdr:from>
      <xdr:col>2</xdr:col>
      <xdr:colOff>95250</xdr:colOff>
      <xdr:row>13</xdr:row>
      <xdr:rowOff>161925</xdr:rowOff>
    </xdr:from>
    <xdr:to>
      <xdr:col>5</xdr:col>
      <xdr:colOff>600075</xdr:colOff>
      <xdr:row>17</xdr:row>
      <xdr:rowOff>19050</xdr:rowOff>
    </xdr:to>
    <xdr:grpSp>
      <xdr:nvGrpSpPr>
        <xdr:cNvPr id="99" name="Group 98">
          <a:hlinkClick xmlns:r="http://schemas.openxmlformats.org/officeDocument/2006/relationships" r:id="rId7"/>
        </xdr:cNvPr>
        <xdr:cNvGrpSpPr/>
      </xdr:nvGrpSpPr>
      <xdr:grpSpPr>
        <a:xfrm>
          <a:off x="1371600" y="2876550"/>
          <a:ext cx="3238500" cy="619125"/>
          <a:chOff x="2057400" y="2876550"/>
          <a:chExt cx="3238500" cy="619125"/>
        </a:xfrm>
      </xdr:grpSpPr>
      <xdr:grpSp>
        <xdr:nvGrpSpPr>
          <xdr:cNvPr id="34" name="Group 33"/>
          <xdr:cNvGrpSpPr/>
        </xdr:nvGrpSpPr>
        <xdr:grpSpPr>
          <a:xfrm>
            <a:off x="2552700" y="2895600"/>
            <a:ext cx="2743200" cy="590400"/>
            <a:chOff x="228600" y="972000"/>
            <a:chExt cx="3200400" cy="590400"/>
          </a:xfrm>
          <a:scene3d>
            <a:camera prst="orthographicFront"/>
            <a:lightRig rig="threePt" dir="t">
              <a:rot lat="0" lon="0" rev="7500000"/>
            </a:lightRig>
          </a:scene3d>
        </xdr:grpSpPr>
        <xdr:sp macro="" textlink="">
          <xdr:nvSpPr>
            <xdr:cNvPr id="35" name="Rounded Rectangle 34"/>
            <xdr:cNvSpPr/>
          </xdr:nvSpPr>
          <xdr:spPr>
            <a:xfrm>
              <a:off x="228600" y="972000"/>
              <a:ext cx="3200400" cy="590400"/>
            </a:xfrm>
            <a:prstGeom prst="roundRect">
              <a:avLst/>
            </a:prstGeom>
            <a:sp3d prstMaterial="plastic">
              <a:bevelT w="127000" h="25400" prst="relaxedInset"/>
            </a:sp3d>
          </xdr:spPr>
          <xdr:style>
            <a:lnRef idx="0">
              <a:schemeClr val="lt1">
                <a:hueOff val="0"/>
                <a:satOff val="0"/>
                <a:lumOff val="0"/>
                <a:alphaOff val="0"/>
              </a:schemeClr>
            </a:lnRef>
            <a:fillRef idx="3">
              <a:schemeClr val="accent3">
                <a:hueOff val="0"/>
                <a:satOff val="0"/>
                <a:lumOff val="0"/>
                <a:alphaOff val="0"/>
              </a:schemeClr>
            </a:fillRef>
            <a:effectRef idx="2">
              <a:schemeClr val="accent3">
                <a:hueOff val="0"/>
                <a:satOff val="0"/>
                <a:lumOff val="0"/>
                <a:alphaOff val="0"/>
              </a:schemeClr>
            </a:effectRef>
            <a:fontRef idx="minor">
              <a:schemeClr val="lt1"/>
            </a:fontRef>
          </xdr:style>
          <xdr:txBody>
            <a:bodyPr anchor="ctr"/>
            <a:lstStyle/>
            <a:p>
              <a:pPr algn="ctr"/>
              <a:r>
                <a:rPr lang="en-US" sz="2000" b="1"/>
                <a:t>DATA</a:t>
              </a:r>
              <a:r>
                <a:rPr lang="en-US" sz="2000" b="1" baseline="0"/>
                <a:t> LEGER GANJIL</a:t>
              </a:r>
              <a:endParaRPr lang="en-US" sz="2000" b="1"/>
            </a:p>
          </xdr:txBody>
        </xdr:sp>
        <xdr:sp macro="" textlink="">
          <xdr:nvSpPr>
            <xdr:cNvPr id="36" name="Rounded Rectangle 4"/>
            <xdr:cNvSpPr/>
          </xdr:nvSpPr>
          <xdr:spPr>
            <a:xfrm>
              <a:off x="257421" y="1000821"/>
              <a:ext cx="3142758" cy="532758"/>
            </a:xfrm>
            <a:prstGeom prst="rect">
              <a:avLst/>
            </a:prstGeom>
            <a:sp3d/>
          </xdr:spPr>
          <xdr:style>
            <a:lnRef idx="0">
              <a:scrgbClr r="0" g="0" b="0"/>
            </a:lnRef>
            <a:fillRef idx="0">
              <a:scrgbClr r="0" g="0" b="0"/>
            </a:fillRef>
            <a:effectRef idx="0">
              <a:scrgbClr r="0" g="0" b="0"/>
            </a:effectRef>
            <a:fontRef idx="minor">
              <a:schemeClr val="lt1"/>
            </a:fontRef>
          </xdr:style>
          <xdr:txBody>
            <a:bodyPr spcFirstLastPara="0" vert="horz" wrap="square" lIns="120968" tIns="0" rIns="120968" bIns="0" numCol="1" spcCol="1270" anchor="ctr" anchorCtr="0">
              <a:noAutofit/>
            </a:bodyPr>
            <a:lstStyle/>
            <a:p>
              <a:pPr lvl="0" algn="l" defTabSz="889000">
                <a:lnSpc>
                  <a:spcPct val="90000"/>
                </a:lnSpc>
                <a:spcBef>
                  <a:spcPct val="0"/>
                </a:spcBef>
                <a:spcAft>
                  <a:spcPct val="35000"/>
                </a:spcAft>
              </a:pPr>
              <a:endParaRPr lang="en-US" sz="2000" kern="1200"/>
            </a:p>
          </xdr:txBody>
        </xdr:sp>
      </xdr:grpSp>
      <xdr:sp macro="" textlink="">
        <xdr:nvSpPr>
          <xdr:cNvPr id="66" name="Oval 65"/>
          <xdr:cNvSpPr/>
        </xdr:nvSpPr>
        <xdr:spPr>
          <a:xfrm>
            <a:off x="2057400" y="2876550"/>
            <a:ext cx="619125" cy="619125"/>
          </a:xfrm>
          <a:prstGeom prst="ellipse">
            <a:avLst/>
          </a:prstGeom>
        </xdr:spPr>
        <xdr:style>
          <a:lnRef idx="1">
            <a:schemeClr val="dk1"/>
          </a:lnRef>
          <a:fillRef idx="2">
            <a:schemeClr val="dk1"/>
          </a:fillRef>
          <a:effectRef idx="1">
            <a:schemeClr val="dk1"/>
          </a:effectRef>
          <a:fontRef idx="minor">
            <a:schemeClr val="dk1"/>
          </a:fontRef>
        </xdr:style>
        <xdr:txBody>
          <a:bodyPr anchor="ctr"/>
          <a:lstStyle/>
          <a:p>
            <a:pPr algn="ctr"/>
            <a:r>
              <a:rPr lang="en-US" sz="2400"/>
              <a:t>2</a:t>
            </a:r>
          </a:p>
        </xdr:txBody>
      </xdr:sp>
    </xdr:grpSp>
    <xdr:clientData/>
  </xdr:twoCellAnchor>
  <xdr:twoCellAnchor>
    <xdr:from>
      <xdr:col>2</xdr:col>
      <xdr:colOff>95250</xdr:colOff>
      <xdr:row>17</xdr:row>
      <xdr:rowOff>142875</xdr:rowOff>
    </xdr:from>
    <xdr:to>
      <xdr:col>5</xdr:col>
      <xdr:colOff>590550</xdr:colOff>
      <xdr:row>21</xdr:row>
      <xdr:rowOff>0</xdr:rowOff>
    </xdr:to>
    <xdr:grpSp>
      <xdr:nvGrpSpPr>
        <xdr:cNvPr id="82" name="Group 81">
          <a:hlinkClick xmlns:r="http://schemas.openxmlformats.org/officeDocument/2006/relationships" r:id="rId8"/>
        </xdr:cNvPr>
        <xdr:cNvGrpSpPr/>
      </xdr:nvGrpSpPr>
      <xdr:grpSpPr>
        <a:xfrm>
          <a:off x="1371600" y="3619500"/>
          <a:ext cx="3228975" cy="619125"/>
          <a:chOff x="2047875" y="3743325"/>
          <a:chExt cx="3257550" cy="619125"/>
        </a:xfrm>
      </xdr:grpSpPr>
      <xdr:grpSp>
        <xdr:nvGrpSpPr>
          <xdr:cNvPr id="77" name="Group 76"/>
          <xdr:cNvGrpSpPr/>
        </xdr:nvGrpSpPr>
        <xdr:grpSpPr>
          <a:xfrm>
            <a:off x="2562225" y="3771900"/>
            <a:ext cx="2743200" cy="590400"/>
            <a:chOff x="228600" y="972000"/>
            <a:chExt cx="3200400" cy="590400"/>
          </a:xfrm>
          <a:scene3d>
            <a:camera prst="orthographicFront"/>
            <a:lightRig rig="threePt" dir="t">
              <a:rot lat="0" lon="0" rev="7500000"/>
            </a:lightRig>
          </a:scene3d>
        </xdr:grpSpPr>
        <xdr:sp macro="" textlink="">
          <xdr:nvSpPr>
            <xdr:cNvPr id="78" name="Rounded Rectangle 77"/>
            <xdr:cNvSpPr/>
          </xdr:nvSpPr>
          <xdr:spPr>
            <a:xfrm>
              <a:off x="228600" y="972000"/>
              <a:ext cx="3200400" cy="590400"/>
            </a:xfrm>
            <a:prstGeom prst="roundRect">
              <a:avLst/>
            </a:prstGeom>
          </xdr:spPr>
          <xdr:style>
            <a:lnRef idx="0">
              <a:schemeClr val="accent6"/>
            </a:lnRef>
            <a:fillRef idx="3">
              <a:schemeClr val="accent6"/>
            </a:fillRef>
            <a:effectRef idx="3">
              <a:schemeClr val="accent6"/>
            </a:effectRef>
            <a:fontRef idx="minor">
              <a:schemeClr val="lt1"/>
            </a:fontRef>
          </xdr:style>
          <xdr:txBody>
            <a:bodyPr anchor="ctr"/>
            <a:lstStyle/>
            <a:p>
              <a:pPr algn="ctr"/>
              <a:r>
                <a:rPr lang="en-US" sz="2000" b="1"/>
                <a:t>DATA</a:t>
              </a:r>
              <a:r>
                <a:rPr lang="en-US" sz="2000" b="1" baseline="0"/>
                <a:t> LEGER GENAP</a:t>
              </a:r>
              <a:endParaRPr lang="en-US" sz="2000" b="1"/>
            </a:p>
          </xdr:txBody>
        </xdr:sp>
        <xdr:sp macro="" textlink="">
          <xdr:nvSpPr>
            <xdr:cNvPr id="79" name="Rounded Rectangle 4"/>
            <xdr:cNvSpPr/>
          </xdr:nvSpPr>
          <xdr:spPr>
            <a:xfrm>
              <a:off x="257421" y="1000821"/>
              <a:ext cx="3142758" cy="532758"/>
            </a:xfrm>
            <a:prstGeom prst="rect">
              <a:avLst/>
            </a:prstGeom>
          </xdr:spPr>
          <xdr:style>
            <a:lnRef idx="0">
              <a:schemeClr val="accent6"/>
            </a:lnRef>
            <a:fillRef idx="3">
              <a:schemeClr val="accent6"/>
            </a:fillRef>
            <a:effectRef idx="3">
              <a:schemeClr val="accent6"/>
            </a:effectRef>
            <a:fontRef idx="minor">
              <a:schemeClr val="lt1"/>
            </a:fontRef>
          </xdr:style>
          <xdr:txBody>
            <a:bodyPr spcFirstLastPara="0" vert="horz" wrap="square" lIns="120968" tIns="0" rIns="120968" bIns="0" numCol="1" spcCol="1270" anchor="ctr" anchorCtr="0">
              <a:noAutofit/>
            </a:bodyPr>
            <a:lstStyle/>
            <a:p>
              <a:pPr lvl="0" algn="l" defTabSz="889000">
                <a:lnSpc>
                  <a:spcPct val="90000"/>
                </a:lnSpc>
                <a:spcBef>
                  <a:spcPct val="0"/>
                </a:spcBef>
                <a:spcAft>
                  <a:spcPct val="35000"/>
                </a:spcAft>
              </a:pPr>
              <a:endParaRPr lang="en-US" sz="2000" kern="1200"/>
            </a:p>
          </xdr:txBody>
        </xdr:sp>
      </xdr:grpSp>
      <xdr:sp macro="" textlink="">
        <xdr:nvSpPr>
          <xdr:cNvPr id="80" name="Oval 79"/>
          <xdr:cNvSpPr/>
        </xdr:nvSpPr>
        <xdr:spPr>
          <a:xfrm>
            <a:off x="2047875" y="3743325"/>
            <a:ext cx="619125" cy="619125"/>
          </a:xfrm>
          <a:prstGeom prst="ellipse">
            <a:avLst/>
          </a:prstGeom>
        </xdr:spPr>
        <xdr:style>
          <a:lnRef idx="1">
            <a:schemeClr val="dk1"/>
          </a:lnRef>
          <a:fillRef idx="2">
            <a:schemeClr val="dk1"/>
          </a:fillRef>
          <a:effectRef idx="1">
            <a:schemeClr val="dk1"/>
          </a:effectRef>
          <a:fontRef idx="minor">
            <a:schemeClr val="dk1"/>
          </a:fontRef>
        </xdr:style>
        <xdr:txBody>
          <a:bodyPr anchor="ctr"/>
          <a:lstStyle/>
          <a:p>
            <a:pPr algn="ctr"/>
            <a:r>
              <a:rPr lang="en-US" sz="2400"/>
              <a:t>3</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oneCell">
    <xdr:from>
      <xdr:col>1</xdr:col>
      <xdr:colOff>114300</xdr:colOff>
      <xdr:row>0</xdr:row>
      <xdr:rowOff>19051</xdr:rowOff>
    </xdr:from>
    <xdr:to>
      <xdr:col>1</xdr:col>
      <xdr:colOff>952500</xdr:colOff>
      <xdr:row>4</xdr:row>
      <xdr:rowOff>209551</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52400" y="19051"/>
          <a:ext cx="838200" cy="838200"/>
        </a:xfrm>
        <a:prstGeom prst="rect">
          <a:avLst/>
        </a:prstGeom>
      </xdr:spPr>
    </xdr:pic>
    <xdr:clientData/>
  </xdr:twoCellAnchor>
  <xdr:twoCellAnchor>
    <xdr:from>
      <xdr:col>1</xdr:col>
      <xdr:colOff>114300</xdr:colOff>
      <xdr:row>5</xdr:row>
      <xdr:rowOff>14505</xdr:rowOff>
    </xdr:from>
    <xdr:to>
      <xdr:col>1</xdr:col>
      <xdr:colOff>958824</xdr:colOff>
      <xdr:row>5</xdr:row>
      <xdr:rowOff>333883</xdr:rowOff>
    </xdr:to>
    <xdr:sp macro="" textlink="">
      <xdr:nvSpPr>
        <xdr:cNvPr id="3" name="Round Diagonal Corner Rectangle 2">
          <a:hlinkClick xmlns:r="http://schemas.openxmlformats.org/officeDocument/2006/relationships" r:id="rId3"/>
        </xdr:cNvPr>
        <xdr:cNvSpPr/>
      </xdr:nvSpPr>
      <xdr:spPr>
        <a:xfrm>
          <a:off x="142875" y="900330"/>
          <a:ext cx="844524"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p>
      </xdr:txBody>
    </xdr:sp>
    <xdr:clientData/>
  </xdr:twoCellAnchor>
  <xdr:twoCellAnchor>
    <xdr:from>
      <xdr:col>1</xdr:col>
      <xdr:colOff>95250</xdr:colOff>
      <xdr:row>19</xdr:row>
      <xdr:rowOff>123825</xdr:rowOff>
    </xdr:from>
    <xdr:to>
      <xdr:col>1</xdr:col>
      <xdr:colOff>952500</xdr:colOff>
      <xdr:row>22</xdr:row>
      <xdr:rowOff>52348</xdr:rowOff>
    </xdr:to>
    <xdr:sp macro="" textlink="">
      <xdr:nvSpPr>
        <xdr:cNvPr id="31" name="Round Diagonal Corner Rectangle 30">
          <a:hlinkClick xmlns:r="http://schemas.openxmlformats.org/officeDocument/2006/relationships" r:id="rId4"/>
        </xdr:cNvPr>
        <xdr:cNvSpPr/>
      </xdr:nvSpPr>
      <xdr:spPr>
        <a:xfrm>
          <a:off x="133350" y="3733800"/>
          <a:ext cx="857250" cy="41429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1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latin typeface="Aharoni" pitchFamily="2" charset="-79"/>
              <a:ea typeface="Ebrima" pitchFamily="2" charset="0"/>
              <a:cs typeface="Aharoni" pitchFamily="2" charset="-79"/>
            </a:rPr>
            <a:t>Biodata Rapor</a:t>
          </a:r>
        </a:p>
      </xdr:txBody>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865977</xdr:colOff>
      <xdr:row>4</xdr:row>
      <xdr:rowOff>66793</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0" y="95250"/>
          <a:ext cx="865977" cy="809743"/>
        </a:xfrm>
        <a:prstGeom prst="rect">
          <a:avLst/>
        </a:prstGeom>
      </xdr:spPr>
    </xdr:pic>
    <xdr:clientData/>
  </xdr:twoCellAnchor>
  <xdr:twoCellAnchor>
    <xdr:from>
      <xdr:col>0</xdr:col>
      <xdr:colOff>103415</xdr:colOff>
      <xdr:row>4</xdr:row>
      <xdr:rowOff>96605</xdr:rowOff>
    </xdr:from>
    <xdr:to>
      <xdr:col>0</xdr:col>
      <xdr:colOff>781050</xdr:colOff>
      <xdr:row>6</xdr:row>
      <xdr:rowOff>25458</xdr:rowOff>
    </xdr:to>
    <xdr:sp macro="" textlink="">
      <xdr:nvSpPr>
        <xdr:cNvPr id="3" name="Round Diagonal Corner Rectangle 2">
          <a:hlinkClick xmlns:r="http://schemas.openxmlformats.org/officeDocument/2006/relationships" r:id="rId3"/>
        </xdr:cNvPr>
        <xdr:cNvSpPr/>
      </xdr:nvSpPr>
      <xdr:spPr>
        <a:xfrm>
          <a:off x="103415" y="934805"/>
          <a:ext cx="677635"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twoCellAnchor>
    <xdr:from>
      <xdr:col>52</xdr:col>
      <xdr:colOff>819149</xdr:colOff>
      <xdr:row>23</xdr:row>
      <xdr:rowOff>19050</xdr:rowOff>
    </xdr:from>
    <xdr:to>
      <xdr:col>52</xdr:col>
      <xdr:colOff>819149</xdr:colOff>
      <xdr:row>27</xdr:row>
      <xdr:rowOff>100927</xdr:rowOff>
    </xdr:to>
    <xdr:grpSp>
      <xdr:nvGrpSpPr>
        <xdr:cNvPr id="4" name="Group 3"/>
        <xdr:cNvGrpSpPr/>
      </xdr:nvGrpSpPr>
      <xdr:grpSpPr>
        <a:xfrm>
          <a:off x="14030324" y="3886200"/>
          <a:ext cx="0" cy="691477"/>
          <a:chOff x="9048750" y="857250"/>
          <a:chExt cx="866775" cy="1175100"/>
        </a:xfrm>
      </xdr:grpSpPr>
      <xdr:pic>
        <xdr:nvPicPr>
          <xdr:cNvPr id="5" name="Picture 4" descr="Print.png"/>
          <xdr:cNvPicPr>
            <a:picLocks noChangeAspect="1"/>
          </xdr:cNvPicPr>
        </xdr:nvPicPr>
        <xdr:blipFill>
          <a:blip xmlns:r="http://schemas.openxmlformats.org/officeDocument/2006/relationships" r:embed="rId4" cstate="print"/>
          <a:srcRect l="12751" t="11763" r="13424" b="12486"/>
          <a:stretch>
            <a:fillRect/>
          </a:stretch>
        </xdr:blipFill>
        <xdr:spPr>
          <a:xfrm>
            <a:off x="9048750" y="857250"/>
            <a:ext cx="866775" cy="866775"/>
          </a:xfrm>
          <a:prstGeom prst="rect">
            <a:avLst/>
          </a:prstGeom>
        </xdr:spPr>
      </xdr:pic>
      <xdr:sp macro="" textlink="">
        <xdr:nvSpPr>
          <xdr:cNvPr id="6" name="TextBox 5"/>
          <xdr:cNvSpPr txBox="1"/>
        </xdr:nvSpPr>
        <xdr:spPr>
          <a:xfrm>
            <a:off x="9144000" y="1733550"/>
            <a:ext cx="673582" cy="29880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400" b="1">
                <a:solidFill>
                  <a:srgbClr val="FF0000"/>
                </a:solidFill>
                <a:latin typeface="Arial" pitchFamily="34" charset="0"/>
                <a:cs typeface="Arial" pitchFamily="34" charset="0"/>
              </a:rPr>
              <a:t>Cetak</a:t>
            </a:r>
          </a:p>
        </xdr:txBody>
      </xdr:sp>
    </xdr:grpSp>
    <xdr:clientData/>
  </xdr:twoCellAnchor>
  <xdr:twoCellAnchor>
    <xdr:from>
      <xdr:col>52</xdr:col>
      <xdr:colOff>819149</xdr:colOff>
      <xdr:row>34</xdr:row>
      <xdr:rowOff>97971</xdr:rowOff>
    </xdr:from>
    <xdr:to>
      <xdr:col>52</xdr:col>
      <xdr:colOff>819149</xdr:colOff>
      <xdr:row>38</xdr:row>
      <xdr:rowOff>115118</xdr:rowOff>
    </xdr:to>
    <xdr:grpSp>
      <xdr:nvGrpSpPr>
        <xdr:cNvPr id="7" name="Group 6"/>
        <xdr:cNvGrpSpPr/>
      </xdr:nvGrpSpPr>
      <xdr:grpSpPr>
        <a:xfrm>
          <a:off x="14030324" y="5641521"/>
          <a:ext cx="0" cy="626747"/>
          <a:chOff x="8972550" y="2324100"/>
          <a:chExt cx="895350" cy="1028700"/>
        </a:xfrm>
      </xdr:grpSpPr>
      <xdr:pic>
        <xdr:nvPicPr>
          <xdr:cNvPr id="8" name="Picture 7" descr="Preview.png"/>
          <xdr:cNvPicPr>
            <a:picLocks noChangeAspect="1"/>
          </xdr:cNvPicPr>
        </xdr:nvPicPr>
        <xdr:blipFill>
          <a:blip xmlns:r="http://schemas.openxmlformats.org/officeDocument/2006/relationships" r:embed="rId5" cstate="print"/>
          <a:stretch>
            <a:fillRect/>
          </a:stretch>
        </xdr:blipFill>
        <xdr:spPr>
          <a:xfrm>
            <a:off x="9048749" y="2324100"/>
            <a:ext cx="819151" cy="824433"/>
          </a:xfrm>
          <a:prstGeom prst="rect">
            <a:avLst/>
          </a:prstGeom>
        </xdr:spPr>
      </xdr:pic>
      <xdr:sp macro="" textlink="">
        <xdr:nvSpPr>
          <xdr:cNvPr id="9" name="TextBox 8"/>
          <xdr:cNvSpPr txBox="1"/>
        </xdr:nvSpPr>
        <xdr:spPr>
          <a:xfrm>
            <a:off x="8972550" y="3122940"/>
            <a:ext cx="790575" cy="2298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en-US" sz="1400" b="1">
                <a:solidFill>
                  <a:srgbClr val="FF0000"/>
                </a:solidFill>
                <a:latin typeface="Arial" pitchFamily="34" charset="0"/>
                <a:cs typeface="Arial" pitchFamily="34" charset="0"/>
              </a:rPr>
              <a:t>Pratinjau</a:t>
            </a:r>
          </a:p>
        </xdr:txBody>
      </xdr:sp>
    </xdr:grpSp>
    <xdr:clientData/>
  </xdr:twoCellAnchor>
  <xdr:twoCellAnchor>
    <xdr:from>
      <xdr:col>48</xdr:col>
      <xdr:colOff>93139</xdr:colOff>
      <xdr:row>16</xdr:row>
      <xdr:rowOff>104775</xdr:rowOff>
    </xdr:from>
    <xdr:to>
      <xdr:col>49</xdr:col>
      <xdr:colOff>552450</xdr:colOff>
      <xdr:row>23</xdr:row>
      <xdr:rowOff>58510</xdr:rowOff>
    </xdr:to>
    <xdr:grpSp>
      <xdr:nvGrpSpPr>
        <xdr:cNvPr id="10" name="Group 9"/>
        <xdr:cNvGrpSpPr/>
      </xdr:nvGrpSpPr>
      <xdr:grpSpPr>
        <a:xfrm>
          <a:off x="11285014" y="2905125"/>
          <a:ext cx="773636" cy="1020535"/>
          <a:chOff x="9048750" y="857250"/>
          <a:chExt cx="866775" cy="1175100"/>
        </a:xfrm>
      </xdr:grpSpPr>
      <xdr:pic macro="[0]!Sheet1.Cetak">
        <xdr:nvPicPr>
          <xdr:cNvPr id="11" name="Picture 10" descr="Print.png"/>
          <xdr:cNvPicPr>
            <a:picLocks noChangeAspect="1"/>
          </xdr:cNvPicPr>
        </xdr:nvPicPr>
        <xdr:blipFill>
          <a:blip xmlns:r="http://schemas.openxmlformats.org/officeDocument/2006/relationships" r:embed="rId6" cstate="print"/>
          <a:srcRect l="12751" t="11763" r="13424" b="12486"/>
          <a:stretch>
            <a:fillRect/>
          </a:stretch>
        </xdr:blipFill>
        <xdr:spPr>
          <a:xfrm>
            <a:off x="9048750" y="857250"/>
            <a:ext cx="866775" cy="866775"/>
          </a:xfrm>
          <a:prstGeom prst="rect">
            <a:avLst/>
          </a:prstGeom>
        </xdr:spPr>
      </xdr:pic>
      <xdr:sp macro="[0]!Sheet1.Cetak" textlink="">
        <xdr:nvSpPr>
          <xdr:cNvPr id="12" name="TextBox 11"/>
          <xdr:cNvSpPr txBox="1"/>
        </xdr:nvSpPr>
        <xdr:spPr>
          <a:xfrm>
            <a:off x="9122657" y="1733550"/>
            <a:ext cx="673581" cy="29880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400" b="1">
                <a:solidFill>
                  <a:srgbClr val="FF0000"/>
                </a:solidFill>
                <a:latin typeface="Arial" pitchFamily="34" charset="0"/>
                <a:cs typeface="Arial" pitchFamily="34" charset="0"/>
              </a:rPr>
              <a:t>Cetak</a:t>
            </a:r>
          </a:p>
        </xdr:txBody>
      </xdr:sp>
    </xdr:grpSp>
    <xdr:clientData/>
  </xdr:twoCellAnchor>
  <xdr:twoCellAnchor>
    <xdr:from>
      <xdr:col>48</xdr:col>
      <xdr:colOff>59685</xdr:colOff>
      <xdr:row>24</xdr:row>
      <xdr:rowOff>66675</xdr:rowOff>
    </xdr:from>
    <xdr:to>
      <xdr:col>49</xdr:col>
      <xdr:colOff>533400</xdr:colOff>
      <xdr:row>30</xdr:row>
      <xdr:rowOff>74733</xdr:rowOff>
    </xdr:to>
    <xdr:grpSp>
      <xdr:nvGrpSpPr>
        <xdr:cNvPr id="13" name="Group 12"/>
        <xdr:cNvGrpSpPr/>
      </xdr:nvGrpSpPr>
      <xdr:grpSpPr>
        <a:xfrm>
          <a:off x="11251560" y="4086225"/>
          <a:ext cx="788040" cy="922458"/>
          <a:chOff x="8972550" y="2324100"/>
          <a:chExt cx="895350" cy="1028700"/>
        </a:xfrm>
      </xdr:grpSpPr>
      <xdr:pic macro="[0]!Group7_Click">
        <xdr:nvPicPr>
          <xdr:cNvPr id="14" name="Picture 13" descr="Preview.png"/>
          <xdr:cNvPicPr>
            <a:picLocks noChangeAspect="1"/>
          </xdr:cNvPicPr>
        </xdr:nvPicPr>
        <xdr:blipFill>
          <a:blip xmlns:r="http://schemas.openxmlformats.org/officeDocument/2006/relationships" r:embed="rId7" cstate="print"/>
          <a:stretch>
            <a:fillRect/>
          </a:stretch>
        </xdr:blipFill>
        <xdr:spPr>
          <a:xfrm>
            <a:off x="9048749" y="2324100"/>
            <a:ext cx="819151" cy="824433"/>
          </a:xfrm>
          <a:prstGeom prst="rect">
            <a:avLst/>
          </a:prstGeom>
        </xdr:spPr>
      </xdr:pic>
      <xdr:sp macro="[0]!Group7_Click" textlink="">
        <xdr:nvSpPr>
          <xdr:cNvPr id="15" name="TextBox 14"/>
          <xdr:cNvSpPr txBox="1"/>
        </xdr:nvSpPr>
        <xdr:spPr>
          <a:xfrm>
            <a:off x="8972550" y="3122940"/>
            <a:ext cx="790575" cy="2298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en-US" sz="1400" b="1">
                <a:solidFill>
                  <a:srgbClr val="FF0000"/>
                </a:solidFill>
                <a:latin typeface="Arial" pitchFamily="34" charset="0"/>
                <a:cs typeface="Arial" pitchFamily="34" charset="0"/>
              </a:rPr>
              <a:t>Pratinjau</a:t>
            </a:r>
          </a:p>
        </xdr:txBody>
      </xdr:sp>
    </xdr:grpSp>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46263</xdr:colOff>
      <xdr:row>0</xdr:row>
      <xdr:rowOff>19050</xdr:rowOff>
    </xdr:from>
    <xdr:to>
      <xdr:col>0</xdr:col>
      <xdr:colOff>1034142</xdr:colOff>
      <xdr:row>3</xdr:row>
      <xdr:rowOff>71922</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46263" y="19050"/>
          <a:ext cx="987879" cy="923729"/>
        </a:xfrm>
        <a:prstGeom prst="rect">
          <a:avLst/>
        </a:prstGeom>
      </xdr:spPr>
    </xdr:pic>
    <xdr:clientData/>
  </xdr:twoCellAnchor>
  <xdr:twoCellAnchor>
    <xdr:from>
      <xdr:col>0</xdr:col>
      <xdr:colOff>130628</xdr:colOff>
      <xdr:row>3</xdr:row>
      <xdr:rowOff>149673</xdr:rowOff>
    </xdr:from>
    <xdr:to>
      <xdr:col>0</xdr:col>
      <xdr:colOff>979713</xdr:colOff>
      <xdr:row>4</xdr:row>
      <xdr:rowOff>296554</xdr:rowOff>
    </xdr:to>
    <xdr:sp macro="" textlink="">
      <xdr:nvSpPr>
        <xdr:cNvPr id="3" name="Round Diagonal Corner Rectangle 2">
          <a:hlinkClick xmlns:r="http://schemas.openxmlformats.org/officeDocument/2006/relationships" r:id="rId3"/>
        </xdr:cNvPr>
        <xdr:cNvSpPr/>
      </xdr:nvSpPr>
      <xdr:spPr>
        <a:xfrm>
          <a:off x="130628" y="1020530"/>
          <a:ext cx="849085" cy="391810"/>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6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6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twoCellAnchor editAs="oneCell">
    <xdr:from>
      <xdr:col>0</xdr:col>
      <xdr:colOff>0</xdr:colOff>
      <xdr:row>51</xdr:row>
      <xdr:rowOff>0</xdr:rowOff>
    </xdr:from>
    <xdr:to>
      <xdr:col>1</xdr:col>
      <xdr:colOff>142875</xdr:colOff>
      <xdr:row>51</xdr:row>
      <xdr:rowOff>0</xdr:rowOff>
    </xdr:to>
    <xdr:pic>
      <xdr:nvPicPr>
        <xdr:cNvPr id="4" name="Picture 3" descr="printer.png"/>
        <xdr:cNvPicPr>
          <a:picLocks noChangeAspect="1"/>
        </xdr:cNvPicPr>
      </xdr:nvPicPr>
      <xdr:blipFill>
        <a:blip xmlns:r="http://schemas.openxmlformats.org/officeDocument/2006/relationships" r:embed="rId4"/>
        <a:stretch>
          <a:fillRect/>
        </a:stretch>
      </xdr:blipFill>
      <xdr:spPr>
        <a:xfrm>
          <a:off x="0" y="42024299"/>
          <a:ext cx="1219200" cy="0"/>
        </a:xfrm>
        <a:prstGeom prst="rect">
          <a:avLst/>
        </a:prstGeom>
      </xdr:spPr>
    </xdr:pic>
    <xdr:clientData/>
  </xdr:twoCellAnchor>
  <xdr:twoCellAnchor>
    <xdr:from>
      <xdr:col>57</xdr:col>
      <xdr:colOff>141514</xdr:colOff>
      <xdr:row>17</xdr:row>
      <xdr:rowOff>40821</xdr:rowOff>
    </xdr:from>
    <xdr:to>
      <xdr:col>59</xdr:col>
      <xdr:colOff>285750</xdr:colOff>
      <xdr:row>23</xdr:row>
      <xdr:rowOff>176893</xdr:rowOff>
    </xdr:to>
    <xdr:grpSp>
      <xdr:nvGrpSpPr>
        <xdr:cNvPr id="5" name="Group 4"/>
        <xdr:cNvGrpSpPr/>
      </xdr:nvGrpSpPr>
      <xdr:grpSpPr>
        <a:xfrm>
          <a:off x="16633371" y="3810000"/>
          <a:ext cx="1191986" cy="1687286"/>
          <a:chOff x="9048750" y="857250"/>
          <a:chExt cx="866775" cy="1175100"/>
        </a:xfrm>
      </xdr:grpSpPr>
      <xdr:pic macro="[0]!Picture6_Click">
        <xdr:nvPicPr>
          <xdr:cNvPr id="6" name="Picture 5" descr="Print.png"/>
          <xdr:cNvPicPr>
            <a:picLocks noChangeAspect="1"/>
          </xdr:cNvPicPr>
        </xdr:nvPicPr>
        <xdr:blipFill>
          <a:blip xmlns:r="http://schemas.openxmlformats.org/officeDocument/2006/relationships" r:embed="rId5" cstate="print"/>
          <a:srcRect l="12751" t="11763" r="13424" b="12486"/>
          <a:stretch>
            <a:fillRect/>
          </a:stretch>
        </xdr:blipFill>
        <xdr:spPr>
          <a:xfrm>
            <a:off x="9048750" y="857250"/>
            <a:ext cx="866775" cy="866775"/>
          </a:xfrm>
          <a:prstGeom prst="rect">
            <a:avLst/>
          </a:prstGeom>
        </xdr:spPr>
      </xdr:pic>
      <xdr:sp macro="[0]!Picture6_Click" textlink="">
        <xdr:nvSpPr>
          <xdr:cNvPr id="7" name="TextBox 6"/>
          <xdr:cNvSpPr txBox="1"/>
        </xdr:nvSpPr>
        <xdr:spPr>
          <a:xfrm>
            <a:off x="9144000" y="1733550"/>
            <a:ext cx="673582" cy="29880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400" b="1">
                <a:solidFill>
                  <a:srgbClr val="FF0000"/>
                </a:solidFill>
                <a:latin typeface="Arial" pitchFamily="34" charset="0"/>
                <a:cs typeface="Arial" pitchFamily="34" charset="0"/>
              </a:rPr>
              <a:t>Cetak</a:t>
            </a:r>
          </a:p>
        </xdr:txBody>
      </xdr:sp>
    </xdr:grpSp>
    <xdr:clientData/>
  </xdr:twoCellAnchor>
  <xdr:twoCellAnchor>
    <xdr:from>
      <xdr:col>57</xdr:col>
      <xdr:colOff>54428</xdr:colOff>
      <xdr:row>24</xdr:row>
      <xdr:rowOff>40821</xdr:rowOff>
    </xdr:from>
    <xdr:to>
      <xdr:col>59</xdr:col>
      <xdr:colOff>353786</xdr:colOff>
      <xdr:row>31</xdr:row>
      <xdr:rowOff>114195</xdr:rowOff>
    </xdr:to>
    <xdr:grpSp>
      <xdr:nvGrpSpPr>
        <xdr:cNvPr id="8" name="Group 7"/>
        <xdr:cNvGrpSpPr/>
      </xdr:nvGrpSpPr>
      <xdr:grpSpPr>
        <a:xfrm>
          <a:off x="16546285" y="5565321"/>
          <a:ext cx="1347108" cy="1529338"/>
          <a:chOff x="8972550" y="2324100"/>
          <a:chExt cx="895350" cy="1028700"/>
        </a:xfrm>
      </xdr:grpSpPr>
      <xdr:pic macro="[0]!Group7_Click">
        <xdr:nvPicPr>
          <xdr:cNvPr id="9" name="Picture 8" descr="Preview.png"/>
          <xdr:cNvPicPr>
            <a:picLocks noChangeAspect="1"/>
          </xdr:cNvPicPr>
        </xdr:nvPicPr>
        <xdr:blipFill>
          <a:blip xmlns:r="http://schemas.openxmlformats.org/officeDocument/2006/relationships" r:embed="rId6" cstate="print"/>
          <a:stretch>
            <a:fillRect/>
          </a:stretch>
        </xdr:blipFill>
        <xdr:spPr>
          <a:xfrm>
            <a:off x="9048749" y="2324100"/>
            <a:ext cx="819151" cy="824433"/>
          </a:xfrm>
          <a:prstGeom prst="rect">
            <a:avLst/>
          </a:prstGeom>
        </xdr:spPr>
      </xdr:pic>
      <xdr:sp macro="[0]!Group7_Click" textlink="">
        <xdr:nvSpPr>
          <xdr:cNvPr id="10" name="TextBox 9"/>
          <xdr:cNvSpPr txBox="1"/>
        </xdr:nvSpPr>
        <xdr:spPr>
          <a:xfrm>
            <a:off x="8972550" y="3122940"/>
            <a:ext cx="790575" cy="2298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en-US" sz="1400" b="1">
                <a:solidFill>
                  <a:srgbClr val="FF0000"/>
                </a:solidFill>
                <a:latin typeface="Arial" pitchFamily="34" charset="0"/>
                <a:cs typeface="Arial" pitchFamily="34" charset="0"/>
              </a:rPr>
              <a:t>Pratinjau</a:t>
            </a:r>
          </a:p>
        </xdr:txBody>
      </xdr:sp>
    </xdr:grpSp>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838200</xdr:colOff>
      <xdr:row>4</xdr:row>
      <xdr:rowOff>103570</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0" y="1"/>
          <a:ext cx="838200" cy="836994"/>
        </a:xfrm>
        <a:prstGeom prst="rect">
          <a:avLst/>
        </a:prstGeom>
      </xdr:spPr>
    </xdr:pic>
    <xdr:clientData/>
  </xdr:twoCellAnchor>
  <xdr:twoCellAnchor>
    <xdr:from>
      <xdr:col>0</xdr:col>
      <xdr:colOff>57151</xdr:colOff>
      <xdr:row>4</xdr:row>
      <xdr:rowOff>142874</xdr:rowOff>
    </xdr:from>
    <xdr:to>
      <xdr:col>0</xdr:col>
      <xdr:colOff>838200</xdr:colOff>
      <xdr:row>7</xdr:row>
      <xdr:rowOff>157452</xdr:rowOff>
    </xdr:to>
    <xdr:sp macro="" textlink="">
      <xdr:nvSpPr>
        <xdr:cNvPr id="3" name="Round Diagonal Corner Rectangle 2">
          <a:hlinkClick xmlns:r="http://schemas.openxmlformats.org/officeDocument/2006/relationships" r:id="rId3"/>
        </xdr:cNvPr>
        <xdr:cNvSpPr/>
      </xdr:nvSpPr>
      <xdr:spPr>
        <a:xfrm>
          <a:off x="57151" y="876299"/>
          <a:ext cx="7810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twoCellAnchor>
    <xdr:from>
      <xdr:col>9</xdr:col>
      <xdr:colOff>152960</xdr:colOff>
      <xdr:row>0</xdr:row>
      <xdr:rowOff>161193</xdr:rowOff>
    </xdr:from>
    <xdr:to>
      <xdr:col>9</xdr:col>
      <xdr:colOff>904875</xdr:colOff>
      <xdr:row>5</xdr:row>
      <xdr:rowOff>0</xdr:rowOff>
    </xdr:to>
    <xdr:pic macro="[0]!Sheet1.Cetak">
      <xdr:nvPicPr>
        <xdr:cNvPr id="4" name="Picture 3" descr="Print.png"/>
        <xdr:cNvPicPr>
          <a:picLocks noChangeAspect="1"/>
        </xdr:cNvPicPr>
      </xdr:nvPicPr>
      <xdr:blipFill>
        <a:blip xmlns:r="http://schemas.openxmlformats.org/officeDocument/2006/relationships" r:embed="rId4" cstate="print"/>
        <a:srcRect l="12751" t="11763" r="13424" b="12486"/>
        <a:stretch>
          <a:fillRect/>
        </a:stretch>
      </xdr:blipFill>
      <xdr:spPr>
        <a:xfrm>
          <a:off x="6696635" y="161193"/>
          <a:ext cx="751915" cy="753207"/>
        </a:xfrm>
        <a:prstGeom prst="rect">
          <a:avLst/>
        </a:prstGeom>
      </xdr:spPr>
    </xdr:pic>
    <xdr:clientData/>
  </xdr:twoCellAnchor>
  <xdr:twoCellAnchor>
    <xdr:from>
      <xdr:col>9</xdr:col>
      <xdr:colOff>187963</xdr:colOff>
      <xdr:row>4</xdr:row>
      <xdr:rowOff>137761</xdr:rowOff>
    </xdr:from>
    <xdr:to>
      <xdr:col>9</xdr:col>
      <xdr:colOff>772286</xdr:colOff>
      <xdr:row>7</xdr:row>
      <xdr:rowOff>84767</xdr:rowOff>
    </xdr:to>
    <xdr:sp macro="" textlink="">
      <xdr:nvSpPr>
        <xdr:cNvPr id="5" name="TextBox 4"/>
        <xdr:cNvSpPr txBox="1"/>
      </xdr:nvSpPr>
      <xdr:spPr>
        <a:xfrm>
          <a:off x="6731638" y="995011"/>
          <a:ext cx="584323" cy="251806"/>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pPr algn="l"/>
          <a:r>
            <a:rPr lang="en-US" sz="1400" b="1">
              <a:solidFill>
                <a:srgbClr val="FF0000"/>
              </a:solidFill>
              <a:latin typeface="Arial" pitchFamily="34" charset="0"/>
              <a:cs typeface="Arial" pitchFamily="34" charset="0"/>
            </a:rPr>
            <a:t>Cetak</a:t>
          </a:r>
        </a:p>
      </xdr:txBody>
    </xdr:sp>
    <xdr:clientData/>
  </xdr:twoCellAnchor>
  <xdr:twoCellAnchor>
    <xdr:from>
      <xdr:col>9</xdr:col>
      <xdr:colOff>87311</xdr:colOff>
      <xdr:row>7</xdr:row>
      <xdr:rowOff>285747</xdr:rowOff>
    </xdr:from>
    <xdr:to>
      <xdr:col>9</xdr:col>
      <xdr:colOff>985974</xdr:colOff>
      <xdr:row>12</xdr:row>
      <xdr:rowOff>165235</xdr:rowOff>
    </xdr:to>
    <xdr:grpSp>
      <xdr:nvGrpSpPr>
        <xdr:cNvPr id="6" name="Group 5"/>
        <xdr:cNvGrpSpPr/>
      </xdr:nvGrpSpPr>
      <xdr:grpSpPr>
        <a:xfrm>
          <a:off x="6630986" y="1323972"/>
          <a:ext cx="898663" cy="1022488"/>
          <a:chOff x="8972550" y="2324100"/>
          <a:chExt cx="895350" cy="1028700"/>
        </a:xfrm>
      </xdr:grpSpPr>
      <xdr:pic macro="[0]!Group7_Click">
        <xdr:nvPicPr>
          <xdr:cNvPr id="7" name="Picture 6" descr="Preview.png"/>
          <xdr:cNvPicPr>
            <a:picLocks noChangeAspect="1"/>
          </xdr:cNvPicPr>
        </xdr:nvPicPr>
        <xdr:blipFill>
          <a:blip xmlns:r="http://schemas.openxmlformats.org/officeDocument/2006/relationships" r:embed="rId5" cstate="print"/>
          <a:stretch>
            <a:fillRect/>
          </a:stretch>
        </xdr:blipFill>
        <xdr:spPr>
          <a:xfrm>
            <a:off x="9048749" y="2324100"/>
            <a:ext cx="819151" cy="824433"/>
          </a:xfrm>
          <a:prstGeom prst="rect">
            <a:avLst/>
          </a:prstGeom>
        </xdr:spPr>
      </xdr:pic>
      <xdr:sp macro="[0]!Group7_Click" textlink="">
        <xdr:nvSpPr>
          <xdr:cNvPr id="8" name="TextBox 7"/>
          <xdr:cNvSpPr txBox="1"/>
        </xdr:nvSpPr>
        <xdr:spPr>
          <a:xfrm>
            <a:off x="8972550" y="3122940"/>
            <a:ext cx="790575" cy="2298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en-US" sz="1400" b="1">
                <a:solidFill>
                  <a:srgbClr val="FF0000"/>
                </a:solidFill>
                <a:latin typeface="Arial" pitchFamily="34" charset="0"/>
                <a:cs typeface="Arial" pitchFamily="34" charset="0"/>
              </a:rPr>
              <a:t>Pratinjau</a:t>
            </a:r>
          </a:p>
        </xdr:txBody>
      </xdr:sp>
    </xdr:grpSp>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838200</xdr:colOff>
      <xdr:row>4</xdr:row>
      <xdr:rowOff>103570</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0" y="1"/>
          <a:ext cx="838200" cy="836994"/>
        </a:xfrm>
        <a:prstGeom prst="rect">
          <a:avLst/>
        </a:prstGeom>
      </xdr:spPr>
    </xdr:pic>
    <xdr:clientData/>
  </xdr:twoCellAnchor>
  <xdr:twoCellAnchor>
    <xdr:from>
      <xdr:col>0</xdr:col>
      <xdr:colOff>57151</xdr:colOff>
      <xdr:row>4</xdr:row>
      <xdr:rowOff>114299</xdr:rowOff>
    </xdr:from>
    <xdr:to>
      <xdr:col>0</xdr:col>
      <xdr:colOff>838200</xdr:colOff>
      <xdr:row>7</xdr:row>
      <xdr:rowOff>128877</xdr:rowOff>
    </xdr:to>
    <xdr:sp macro="" textlink="">
      <xdr:nvSpPr>
        <xdr:cNvPr id="3" name="Round Diagonal Corner Rectangle 2">
          <a:hlinkClick xmlns:r="http://schemas.openxmlformats.org/officeDocument/2006/relationships" r:id="rId3"/>
        </xdr:cNvPr>
        <xdr:cNvSpPr/>
      </xdr:nvSpPr>
      <xdr:spPr>
        <a:xfrm>
          <a:off x="57151" y="847724"/>
          <a:ext cx="781049" cy="319378"/>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twoCellAnchor>
    <xdr:from>
      <xdr:col>9</xdr:col>
      <xdr:colOff>152960</xdr:colOff>
      <xdr:row>0</xdr:row>
      <xdr:rowOff>161193</xdr:rowOff>
    </xdr:from>
    <xdr:to>
      <xdr:col>9</xdr:col>
      <xdr:colOff>904875</xdr:colOff>
      <xdr:row>5</xdr:row>
      <xdr:rowOff>0</xdr:rowOff>
    </xdr:to>
    <xdr:pic macro="[0]!Sheet1.Cetak">
      <xdr:nvPicPr>
        <xdr:cNvPr id="4" name="Picture 3" descr="Print.png"/>
        <xdr:cNvPicPr>
          <a:picLocks noChangeAspect="1"/>
        </xdr:cNvPicPr>
      </xdr:nvPicPr>
      <xdr:blipFill>
        <a:blip xmlns:r="http://schemas.openxmlformats.org/officeDocument/2006/relationships" r:embed="rId4" cstate="print"/>
        <a:srcRect l="12751" t="11763" r="13424" b="12486"/>
        <a:stretch>
          <a:fillRect/>
        </a:stretch>
      </xdr:blipFill>
      <xdr:spPr>
        <a:xfrm>
          <a:off x="6696635" y="161193"/>
          <a:ext cx="751915" cy="753207"/>
        </a:xfrm>
        <a:prstGeom prst="rect">
          <a:avLst/>
        </a:prstGeom>
      </xdr:spPr>
    </xdr:pic>
    <xdr:clientData/>
  </xdr:twoCellAnchor>
  <xdr:twoCellAnchor>
    <xdr:from>
      <xdr:col>9</xdr:col>
      <xdr:colOff>187963</xdr:colOff>
      <xdr:row>4</xdr:row>
      <xdr:rowOff>137761</xdr:rowOff>
    </xdr:from>
    <xdr:to>
      <xdr:col>9</xdr:col>
      <xdr:colOff>772286</xdr:colOff>
      <xdr:row>7</xdr:row>
      <xdr:rowOff>84767</xdr:rowOff>
    </xdr:to>
    <xdr:sp macro="" textlink="">
      <xdr:nvSpPr>
        <xdr:cNvPr id="5" name="TextBox 4"/>
        <xdr:cNvSpPr txBox="1"/>
      </xdr:nvSpPr>
      <xdr:spPr>
        <a:xfrm>
          <a:off x="6731638" y="871186"/>
          <a:ext cx="584323" cy="251806"/>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pPr algn="l"/>
          <a:r>
            <a:rPr lang="en-US" sz="1400" b="1">
              <a:solidFill>
                <a:srgbClr val="FF0000"/>
              </a:solidFill>
              <a:latin typeface="Arial" pitchFamily="34" charset="0"/>
              <a:cs typeface="Arial" pitchFamily="34" charset="0"/>
            </a:rPr>
            <a:t>Cetak</a:t>
          </a:r>
        </a:p>
      </xdr:txBody>
    </xdr:sp>
    <xdr:clientData/>
  </xdr:twoCellAnchor>
  <xdr:twoCellAnchor>
    <xdr:from>
      <xdr:col>9</xdr:col>
      <xdr:colOff>87311</xdr:colOff>
      <xdr:row>7</xdr:row>
      <xdr:rowOff>285747</xdr:rowOff>
    </xdr:from>
    <xdr:to>
      <xdr:col>9</xdr:col>
      <xdr:colOff>985974</xdr:colOff>
      <xdr:row>12</xdr:row>
      <xdr:rowOff>165235</xdr:rowOff>
    </xdr:to>
    <xdr:grpSp>
      <xdr:nvGrpSpPr>
        <xdr:cNvPr id="6" name="Group 5"/>
        <xdr:cNvGrpSpPr/>
      </xdr:nvGrpSpPr>
      <xdr:grpSpPr>
        <a:xfrm>
          <a:off x="6630986" y="1323972"/>
          <a:ext cx="898663" cy="1022488"/>
          <a:chOff x="8972550" y="2324100"/>
          <a:chExt cx="895350" cy="1028700"/>
        </a:xfrm>
      </xdr:grpSpPr>
      <xdr:pic macro="[0]!Group7_Click">
        <xdr:nvPicPr>
          <xdr:cNvPr id="7" name="Picture 6" descr="Preview.png"/>
          <xdr:cNvPicPr>
            <a:picLocks noChangeAspect="1"/>
          </xdr:cNvPicPr>
        </xdr:nvPicPr>
        <xdr:blipFill>
          <a:blip xmlns:r="http://schemas.openxmlformats.org/officeDocument/2006/relationships" r:embed="rId5" cstate="print"/>
          <a:stretch>
            <a:fillRect/>
          </a:stretch>
        </xdr:blipFill>
        <xdr:spPr>
          <a:xfrm>
            <a:off x="9048749" y="2324100"/>
            <a:ext cx="819151" cy="824433"/>
          </a:xfrm>
          <a:prstGeom prst="rect">
            <a:avLst/>
          </a:prstGeom>
        </xdr:spPr>
      </xdr:pic>
      <xdr:sp macro="[0]!Group7_Click" textlink="">
        <xdr:nvSpPr>
          <xdr:cNvPr id="8" name="TextBox 7"/>
          <xdr:cNvSpPr txBox="1"/>
        </xdr:nvSpPr>
        <xdr:spPr>
          <a:xfrm>
            <a:off x="8972550" y="3122940"/>
            <a:ext cx="790575" cy="2298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en-US" sz="1400" b="1">
                <a:solidFill>
                  <a:srgbClr val="FF0000"/>
                </a:solidFill>
                <a:latin typeface="Arial" pitchFamily="34" charset="0"/>
                <a:cs typeface="Arial" pitchFamily="34" charset="0"/>
              </a:rPr>
              <a:t>Pratinjau</a:t>
            </a:r>
          </a:p>
        </xdr:txBody>
      </xdr:sp>
    </xdr:grpSp>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33619</xdr:colOff>
      <xdr:row>0</xdr:row>
      <xdr:rowOff>67236</xdr:rowOff>
    </xdr:from>
    <xdr:to>
      <xdr:col>3</xdr:col>
      <xdr:colOff>75080</xdr:colOff>
      <xdr:row>4</xdr:row>
      <xdr:rowOff>154659</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33619" y="67236"/>
          <a:ext cx="915520" cy="883041"/>
        </a:xfrm>
        <a:prstGeom prst="rect">
          <a:avLst/>
        </a:prstGeom>
      </xdr:spPr>
    </xdr:pic>
    <xdr:clientData/>
  </xdr:twoCellAnchor>
  <xdr:twoCellAnchor>
    <xdr:from>
      <xdr:col>1</xdr:col>
      <xdr:colOff>45945</xdr:colOff>
      <xdr:row>5</xdr:row>
      <xdr:rowOff>12323</xdr:rowOff>
    </xdr:from>
    <xdr:to>
      <xdr:col>2</xdr:col>
      <xdr:colOff>17369</xdr:colOff>
      <xdr:row>5</xdr:row>
      <xdr:rowOff>327219</xdr:rowOff>
    </xdr:to>
    <xdr:sp macro="" textlink="">
      <xdr:nvSpPr>
        <xdr:cNvPr id="3" name="Round Diagonal Corner Rectangle 2">
          <a:hlinkClick xmlns:r="http://schemas.openxmlformats.org/officeDocument/2006/relationships" r:id="rId3"/>
        </xdr:cNvPr>
        <xdr:cNvSpPr/>
      </xdr:nvSpPr>
      <xdr:spPr>
        <a:xfrm>
          <a:off x="158004" y="1032058"/>
          <a:ext cx="699806" cy="314896"/>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33619</xdr:colOff>
      <xdr:row>0</xdr:row>
      <xdr:rowOff>67236</xdr:rowOff>
    </xdr:from>
    <xdr:to>
      <xdr:col>3</xdr:col>
      <xdr:colOff>75080</xdr:colOff>
      <xdr:row>4</xdr:row>
      <xdr:rowOff>154659</xdr:rowOff>
    </xdr:to>
    <xdr:pic>
      <xdr:nvPicPr>
        <xdr:cNvPr id="2" name="Picture 1" descr="Home.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33619" y="67236"/>
          <a:ext cx="917761" cy="877998"/>
        </a:xfrm>
        <a:prstGeom prst="rect">
          <a:avLst/>
        </a:prstGeom>
      </xdr:spPr>
    </xdr:pic>
    <xdr:clientData/>
  </xdr:twoCellAnchor>
  <xdr:twoCellAnchor>
    <xdr:from>
      <xdr:col>1</xdr:col>
      <xdr:colOff>45945</xdr:colOff>
      <xdr:row>5</xdr:row>
      <xdr:rowOff>12323</xdr:rowOff>
    </xdr:from>
    <xdr:to>
      <xdr:col>2</xdr:col>
      <xdr:colOff>17369</xdr:colOff>
      <xdr:row>5</xdr:row>
      <xdr:rowOff>327219</xdr:rowOff>
    </xdr:to>
    <xdr:sp macro="" textlink="">
      <xdr:nvSpPr>
        <xdr:cNvPr id="3" name="Round Diagonal Corner Rectangle 2">
          <a:hlinkClick xmlns:r="http://schemas.openxmlformats.org/officeDocument/2006/relationships" r:id="rId3"/>
        </xdr:cNvPr>
        <xdr:cNvSpPr/>
      </xdr:nvSpPr>
      <xdr:spPr>
        <a:xfrm>
          <a:off x="160245" y="1021973"/>
          <a:ext cx="704849" cy="314896"/>
        </a:xfrm>
        <a:prstGeom prst="round2Diag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spAutoFit/>
          <a:scene3d>
            <a:camera prst="orthographicFront"/>
            <a:lightRig rig="soft" dir="tl">
              <a:rot lat="0" lon="0" rev="0"/>
            </a:lightRig>
          </a:scene3d>
          <a:sp3d contourW="25400" prstMaterial="matte">
            <a:bevelT w="25400" h="55880" prst="artDeco"/>
            <a:contourClr>
              <a:srgbClr val="C0504D">
                <a:tint val="20000"/>
              </a:srgbClr>
            </a:contourClr>
          </a:sp3d>
        </a:bodyPr>
        <a:lstStyle>
          <a:defPPr>
            <a:defRPr lang="en-US"/>
          </a:defPPr>
          <a:lvl1pPr marL="0" algn="l" defTabSz="914400" rtl="0" eaLnBrk="1" latinLnBrk="0" hangingPunct="1">
            <a:defRPr sz="1800" kern="1200">
              <a:solidFill>
                <a:sysClr val="window" lastClr="FFFFFF"/>
              </a:solidFill>
              <a:latin typeface="Calibri"/>
            </a:defRPr>
          </a:lvl1pPr>
          <a:lvl2pPr marL="457200" algn="l" defTabSz="914400" rtl="0" eaLnBrk="1" latinLnBrk="0" hangingPunct="1">
            <a:defRPr sz="1800" kern="1200">
              <a:solidFill>
                <a:sysClr val="window" lastClr="FFFFFF"/>
              </a:solidFill>
              <a:latin typeface="Calibri"/>
            </a:defRPr>
          </a:lvl2pPr>
          <a:lvl3pPr marL="914400" algn="l" defTabSz="914400" rtl="0" eaLnBrk="1" latinLnBrk="0" hangingPunct="1">
            <a:defRPr sz="1800" kern="1200">
              <a:solidFill>
                <a:sysClr val="window" lastClr="FFFFFF"/>
              </a:solidFill>
              <a:latin typeface="Calibri"/>
            </a:defRPr>
          </a:lvl3pPr>
          <a:lvl4pPr marL="1371600" algn="l" defTabSz="914400" rtl="0" eaLnBrk="1" latinLnBrk="0" hangingPunct="1">
            <a:defRPr sz="1800" kern="1200">
              <a:solidFill>
                <a:sysClr val="window" lastClr="FFFFFF"/>
              </a:solidFill>
              <a:latin typeface="Calibri"/>
            </a:defRPr>
          </a:lvl4pPr>
          <a:lvl5pPr marL="1828800" algn="l" defTabSz="914400" rtl="0" eaLnBrk="1" latinLnBrk="0" hangingPunct="1">
            <a:defRPr sz="1800" kern="1200">
              <a:solidFill>
                <a:sysClr val="window" lastClr="FFFFFF"/>
              </a:solidFill>
              <a:latin typeface="Calibri"/>
            </a:defRPr>
          </a:lvl5pPr>
          <a:lvl6pPr marL="2286000" algn="l" defTabSz="914400" rtl="0" eaLnBrk="1" latinLnBrk="0" hangingPunct="1">
            <a:defRPr sz="1800" kern="1200">
              <a:solidFill>
                <a:sysClr val="window" lastClr="FFFFFF"/>
              </a:solidFill>
              <a:latin typeface="Calibri"/>
            </a:defRPr>
          </a:lvl6pPr>
          <a:lvl7pPr marL="2743200" algn="l" defTabSz="914400" rtl="0" eaLnBrk="1" latinLnBrk="0" hangingPunct="1">
            <a:defRPr sz="1800" kern="1200">
              <a:solidFill>
                <a:sysClr val="window" lastClr="FFFFFF"/>
              </a:solidFill>
              <a:latin typeface="Calibri"/>
            </a:defRPr>
          </a:lvl7pPr>
          <a:lvl8pPr marL="3200400" algn="l" defTabSz="914400" rtl="0" eaLnBrk="1" latinLnBrk="0" hangingPunct="1">
            <a:defRPr sz="1800" kern="1200">
              <a:solidFill>
                <a:sysClr val="window" lastClr="FFFFFF"/>
              </a:solidFill>
              <a:latin typeface="Calibri"/>
            </a:defRPr>
          </a:lvl8pPr>
          <a:lvl9pPr marL="3657600" algn="l" defTabSz="914400" rtl="0" eaLnBrk="1" latinLnBrk="0" hangingPunct="1">
            <a:defRPr sz="1800" kern="1200">
              <a:solidFill>
                <a:sysClr val="window" lastClr="FFFFFF"/>
              </a:solidFill>
              <a:latin typeface="Calibri"/>
            </a:defRPr>
          </a:lvl9pPr>
        </a:lstStyle>
        <a:p>
          <a:pPr algn="ctr"/>
          <a:r>
            <a:rPr lang="en-US" sz="1200" b="1"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rPr>
            <a:t>Menu</a:t>
          </a:r>
          <a:endParaRPr lang="en-US" sz="1200" b="1" cap="none" spc="50">
            <a:ln w="11430"/>
            <a:gradFill>
              <a:gsLst>
                <a:gs pos="25000">
                  <a:srgbClr val="C0504D">
                    <a:satMod val="155000"/>
                  </a:srgbClr>
                </a:gs>
                <a:gs pos="100000">
                  <a:srgbClr val="C0504D">
                    <a:shade val="45000"/>
                    <a:satMod val="165000"/>
                  </a:srgbClr>
                </a:gs>
              </a:gsLst>
              <a:lin ang="5400000"/>
            </a:gradFill>
            <a:effectLst>
              <a:outerShdw blurRad="76200" dist="50800" dir="5400000" algn="tl" rotWithShape="0">
                <a:srgbClr val="000000">
                  <a:alpha val="65000"/>
                </a:srgbClr>
              </a:outerShdw>
            </a:effectLst>
            <a:latin typeface="Ebrima" pitchFamily="2" charset="0"/>
            <a:ea typeface="Ebrima" pitchFamily="2" charset="0"/>
            <a:cs typeface="Ebrima" pitchFamily="2"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DJI\Documents\KELAS%20VII\NEW"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 Master Rapor VII A.xlsm"/>
    </sheetNames>
    <definedNames>
      <definedName name="_nomor" sheetId="0"/>
    </defined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6.v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58.xml.rels><?xml version="1.0" encoding="UTF-8" standalone="yes"?>
<Relationships xmlns="http://schemas.openxmlformats.org/package/2006/relationships"><Relationship Id="rId3" Type="http://schemas.openxmlformats.org/officeDocument/2006/relationships/hyperlink" Target="mailto:gqy7wThReKP?!46qxEM7?%25+$xYrqmZB%5e@mEPzK6@fcUaa$eKnSZ*EME?ymkPm?*CQm2ErxJHN6D@zgB8zwTbA8xyq2K=Q68t?7P*YTm&amp;fcrkfbH+U+%25H$pDz_?rRRxMh" TargetMode="External"/><Relationship Id="rId2" Type="http://schemas.openxmlformats.org/officeDocument/2006/relationships/hyperlink" Target="mailto:sF=jUpq*GfGd%25m$7mhfEJLg!9hTBUkMDrMu+V+$qU?gsCUa=PQ@NTH$aM@wSar%252PWdYXX2%5eHAz%252z#krJu9G9*yUV8@2rZ_AydA2d+TQz%p3tb?7B=#swrLr@DxBHYb" TargetMode="External"/><Relationship Id="rId1" Type="http://schemas.openxmlformats.org/officeDocument/2006/relationships/hyperlink" Target="mailto:U6@LT6Rcz_w#bJAvB+VFGGr$$aPqSsQjmMkGX2aK?MSrqxqT8#%4DUKP@gCubF4S&amp;4sf2qM!JrSu%s?jLBc3^6P^N&amp;+$T-f4h8S3MZ6fPe+V*85qJ$kNst=EZpD!dh$&amp;" TargetMode="External"/><Relationship Id="rId5" Type="http://schemas.openxmlformats.org/officeDocument/2006/relationships/hyperlink" Target="mailto:us7qjKA%5E--en3n?Gm2DkSLUHV=a5Wy%25Pnf4pBd6fhq7@%5eCm%5exK*WJVm4MpFcK3BujbtcF*&amp;gheUhzZ7GNy+hKg#DJZVjPG?^Ajp7A9_STYsYkBY?4Z%RT*M6kjN*%G4G" TargetMode="External"/><Relationship Id="rId4" Type="http://schemas.openxmlformats.org/officeDocument/2006/relationships/hyperlink" Target="mailto:rg=_B7zn%256VD59QeNTwQ_D6bTcHMJz9EPZ_-t992m@z&amp;azks7=sQ#dDJ3fRrPhQY-9MsHP8LLYfrnLfADytgCy8@cugQqGqJ^Z8GEu!zKWdXBT^Qv6zE8mYBHS-du7bc" TargetMode="External"/></Relationships>
</file>

<file path=xl/worksheets/_rels/sheet7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31.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2.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3.bin"/></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2.xml"/><Relationship Id="rId1" Type="http://schemas.openxmlformats.org/officeDocument/2006/relationships/printerSettings" Target="../printerSettings/printerSettings34.bin"/></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3.xml"/><Relationship Id="rId1" Type="http://schemas.openxmlformats.org/officeDocument/2006/relationships/printerSettings" Target="../printerSettings/printerSettings35.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6.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7.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8.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sheetPr codeName="Sheet2">
    <tabColor theme="9"/>
  </sheetPr>
  <dimension ref="A1:V31"/>
  <sheetViews>
    <sheetView showGridLines="0" showRowColHeaders="0" tabSelected="1" topLeftCell="B1" zoomScale="90" zoomScaleNormal="90" workbookViewId="0">
      <selection activeCell="A29" sqref="A29"/>
    </sheetView>
  </sheetViews>
  <sheetFormatPr defaultColWidth="0" defaultRowHeight="15" zeroHeight="1"/>
  <cols>
    <col min="1" max="1" width="7.5703125" customWidth="1"/>
    <col min="2" max="2" width="3.140625" customWidth="1"/>
    <col min="3" max="3" width="7" style="456" customWidth="1"/>
    <col min="4" max="4" width="4.140625" style="453" customWidth="1"/>
    <col min="5" max="5" width="9.140625" style="453" customWidth="1"/>
    <col min="6" max="6" width="11.85546875" style="453" customWidth="1"/>
    <col min="7" max="7" width="2.42578125" style="453" customWidth="1"/>
    <col min="8" max="8" width="16.5703125" style="453" customWidth="1"/>
    <col min="9" max="9" width="9.140625" style="454" customWidth="1"/>
    <col min="10" max="10" width="6.5703125" customWidth="1"/>
    <col min="11" max="11" width="9.140625" customWidth="1"/>
    <col min="12" max="12" width="11" customWidth="1"/>
    <col min="13" max="13" width="5.7109375" customWidth="1"/>
    <col min="14" max="14" width="7.140625" customWidth="1"/>
    <col min="15" max="15" width="9" customWidth="1"/>
    <col min="16" max="16" width="3.85546875" customWidth="1"/>
    <col min="17" max="17" width="10.7109375" customWidth="1"/>
    <col min="18" max="18" width="6.42578125" customWidth="1"/>
    <col min="19" max="19" width="6.140625" customWidth="1"/>
    <col min="20" max="20" width="16.28515625" customWidth="1"/>
    <col min="21" max="21" width="8.5703125" customWidth="1"/>
    <col min="22" max="22" width="9.140625" customWidth="1"/>
    <col min="23" max="16384" width="9.140625" hidden="1"/>
  </cols>
  <sheetData>
    <row r="1" spans="3:21">
      <c r="C1"/>
      <c r="D1"/>
      <c r="E1"/>
      <c r="F1"/>
      <c r="G1"/>
      <c r="H1"/>
      <c r="I1"/>
    </row>
    <row r="2" spans="3:21" ht="6.75" customHeight="1" thickBot="1">
      <c r="C2"/>
      <c r="D2"/>
      <c r="E2"/>
      <c r="F2"/>
      <c r="G2"/>
      <c r="H2"/>
      <c r="I2"/>
    </row>
    <row r="3" spans="3:21" ht="10.5" hidden="1" customHeight="1">
      <c r="C3" s="327"/>
      <c r="D3" s="328"/>
      <c r="E3" s="328"/>
      <c r="F3" s="328"/>
      <c r="G3" s="328"/>
      <c r="H3" s="328"/>
      <c r="I3" s="328"/>
      <c r="J3" s="328"/>
      <c r="K3" s="328"/>
      <c r="L3" s="328"/>
      <c r="M3" s="328"/>
      <c r="N3" s="328"/>
      <c r="O3" s="328"/>
      <c r="P3" s="328"/>
      <c r="Q3" s="328"/>
      <c r="R3" s="328"/>
      <c r="S3" s="328"/>
      <c r="T3" s="328"/>
      <c r="U3" s="329"/>
    </row>
    <row r="4" spans="3:21" ht="4.5" hidden="1" customHeight="1">
      <c r="C4" s="330"/>
      <c r="D4" s="331"/>
      <c r="E4" s="331"/>
      <c r="F4" s="331"/>
      <c r="G4" s="331"/>
      <c r="H4" s="331"/>
      <c r="I4" s="331"/>
      <c r="J4" s="331"/>
      <c r="K4" s="331"/>
      <c r="L4" s="331"/>
      <c r="M4" s="331"/>
      <c r="N4" s="331"/>
      <c r="O4" s="331"/>
      <c r="P4" s="331"/>
      <c r="Q4" s="331"/>
      <c r="R4" s="331"/>
      <c r="S4" s="331"/>
      <c r="T4" s="331"/>
      <c r="U4" s="332"/>
    </row>
    <row r="5" spans="3:21" ht="27" thickBot="1">
      <c r="C5" s="765" t="s">
        <v>301</v>
      </c>
      <c r="D5" s="766"/>
      <c r="E5" s="766"/>
      <c r="F5" s="766"/>
      <c r="G5" s="766"/>
      <c r="H5" s="766"/>
      <c r="I5" s="766"/>
      <c r="J5" s="766"/>
      <c r="K5" s="766"/>
      <c r="L5" s="766"/>
      <c r="M5" s="766"/>
      <c r="N5" s="766"/>
      <c r="O5" s="766"/>
      <c r="P5" s="766"/>
      <c r="Q5" s="766"/>
      <c r="R5" s="766"/>
      <c r="S5" s="766"/>
      <c r="T5" s="766"/>
      <c r="U5" s="767"/>
    </row>
    <row r="6" spans="3:21" ht="34.5" customHeight="1" thickBot="1">
      <c r="C6" s="768" t="str">
        <f>IF(_nama_sekolah=0,"-",_nama_sekolah)</f>
        <v>SMP NEGERI 1 ABUNG SURAKARTA</v>
      </c>
      <c r="D6" s="769"/>
      <c r="E6" s="769"/>
      <c r="F6" s="769"/>
      <c r="G6" s="769"/>
      <c r="H6" s="769"/>
      <c r="I6" s="769"/>
      <c r="J6" s="769"/>
      <c r="K6" s="769"/>
      <c r="L6" s="769"/>
      <c r="M6" s="769"/>
      <c r="N6" s="769"/>
      <c r="O6" s="769"/>
      <c r="P6" s="769"/>
      <c r="Q6" s="769"/>
      <c r="R6" s="769"/>
      <c r="S6" s="769"/>
      <c r="T6" s="769"/>
      <c r="U6" s="770"/>
    </row>
    <row r="7" spans="3:21" ht="16.5" thickBot="1">
      <c r="C7" s="771" t="str">
        <f>_alamat_sekolah&amp;", "&amp;_kelurahan&amp;", "&amp;_kecamatan&amp;", "&amp;_kabupaten&amp;" - Kode Pos "&amp;_kode_pos</f>
        <v>Jl. Pendidikan No. 24, Tatakarya, Abung Surakarta, Lampung Utara - Kode Pos 34584</v>
      </c>
      <c r="D7" s="772"/>
      <c r="E7" s="772"/>
      <c r="F7" s="772"/>
      <c r="G7" s="772"/>
      <c r="H7" s="772"/>
      <c r="I7" s="772"/>
      <c r="J7" s="772"/>
      <c r="K7" s="772"/>
      <c r="L7" s="772"/>
      <c r="M7" s="772"/>
      <c r="N7" s="772"/>
      <c r="O7" s="772"/>
      <c r="P7" s="772"/>
      <c r="Q7" s="772"/>
      <c r="R7" s="772"/>
      <c r="S7" s="772"/>
      <c r="T7" s="772"/>
      <c r="U7" s="773"/>
    </row>
    <row r="8" spans="3:21" ht="24" customHeight="1">
      <c r="C8" s="330"/>
      <c r="D8" s="331"/>
      <c r="E8" s="331"/>
      <c r="F8" s="331"/>
      <c r="G8" s="331"/>
      <c r="H8" s="331"/>
      <c r="I8" s="331"/>
      <c r="J8" s="331"/>
      <c r="K8" s="331"/>
      <c r="L8" s="331"/>
      <c r="M8" s="331"/>
      <c r="N8" s="331"/>
      <c r="O8" s="331"/>
      <c r="P8" s="331"/>
      <c r="Q8" s="331"/>
      <c r="R8" s="331"/>
      <c r="S8" s="777"/>
      <c r="T8" s="777"/>
      <c r="U8" s="332"/>
    </row>
    <row r="9" spans="3:21" ht="9" customHeight="1" thickBot="1">
      <c r="C9" s="330"/>
      <c r="D9" s="331"/>
      <c r="E9" s="339"/>
      <c r="F9" s="339"/>
      <c r="G9" s="339"/>
      <c r="H9" s="339"/>
      <c r="I9" s="339"/>
      <c r="J9" s="339"/>
      <c r="K9" s="339"/>
      <c r="L9" s="339"/>
      <c r="M9" s="339"/>
      <c r="N9" s="339"/>
      <c r="O9" s="339"/>
      <c r="P9" s="339"/>
      <c r="Q9" s="339"/>
      <c r="R9" s="333"/>
      <c r="S9" s="333"/>
      <c r="T9" s="333"/>
      <c r="U9" s="332"/>
    </row>
    <row r="10" spans="3:21" ht="24" thickBot="1">
      <c r="C10" s="330"/>
      <c r="D10" s="356" t="s">
        <v>0</v>
      </c>
      <c r="E10" s="356"/>
      <c r="F10" s="356"/>
      <c r="G10" s="340" t="s">
        <v>2</v>
      </c>
      <c r="H10" s="774" t="str">
        <f>IF(DK!D6=0,"-",DK!D6)</f>
        <v>Siti Kotijah, S.Pd.</v>
      </c>
      <c r="I10" s="775"/>
      <c r="J10" s="775"/>
      <c r="K10" s="776"/>
      <c r="L10" s="341"/>
      <c r="M10" s="781" t="s">
        <v>3</v>
      </c>
      <c r="N10" s="781"/>
      <c r="O10" s="781"/>
      <c r="P10" s="352" t="s">
        <v>2</v>
      </c>
      <c r="Q10" s="785" t="str">
        <f>IF(DK!D8=0,"-",DK!D8)</f>
        <v>2018 / 2019</v>
      </c>
      <c r="R10" s="786"/>
      <c r="S10" s="786"/>
      <c r="T10" s="787"/>
      <c r="U10" s="332"/>
    </row>
    <row r="11" spans="3:21" ht="5.25" customHeight="1" thickBot="1">
      <c r="C11" s="330"/>
      <c r="D11" s="353"/>
      <c r="E11" s="354"/>
      <c r="F11" s="355"/>
      <c r="G11" s="340"/>
      <c r="H11" s="342"/>
      <c r="I11" s="342"/>
      <c r="J11" s="342"/>
      <c r="K11" s="342"/>
      <c r="L11" s="341"/>
      <c r="M11" s="345"/>
      <c r="N11" s="346"/>
      <c r="O11" s="348"/>
      <c r="P11" s="352"/>
      <c r="Q11" s="348"/>
      <c r="R11" s="343"/>
      <c r="S11" s="343"/>
      <c r="T11" s="343"/>
      <c r="U11" s="332"/>
    </row>
    <row r="12" spans="3:21" ht="24" thickBot="1">
      <c r="C12" s="330"/>
      <c r="D12" s="778" t="s">
        <v>1</v>
      </c>
      <c r="E12" s="778"/>
      <c r="F12" s="778"/>
      <c r="G12" s="340" t="s">
        <v>2</v>
      </c>
      <c r="H12" s="774" t="str">
        <f>IF(DK!D7=0,"-",DK!D7)</f>
        <v>19700120199501 2 001</v>
      </c>
      <c r="I12" s="775"/>
      <c r="J12" s="775"/>
      <c r="K12" s="776"/>
      <c r="L12" s="341"/>
      <c r="M12" s="781" t="s">
        <v>4</v>
      </c>
      <c r="N12" s="781"/>
      <c r="O12" s="781"/>
      <c r="P12" s="352" t="s">
        <v>2</v>
      </c>
      <c r="Q12" s="782" t="str">
        <f>IF(Smt_berjalan=0,"-",Smt_berjalan)</f>
        <v>3 (Tiga)</v>
      </c>
      <c r="R12" s="783"/>
      <c r="S12" s="783"/>
      <c r="T12" s="784"/>
      <c r="U12" s="332"/>
    </row>
    <row r="13" spans="3:21" ht="15.75" customHeight="1">
      <c r="C13" s="330"/>
      <c r="D13" s="331"/>
      <c r="E13" s="331"/>
      <c r="F13" s="331"/>
      <c r="G13" s="331"/>
      <c r="H13" s="331"/>
      <c r="I13" s="334"/>
      <c r="J13" s="335"/>
      <c r="K13" s="335"/>
      <c r="L13" s="335"/>
      <c r="M13" s="335"/>
      <c r="N13" s="331"/>
      <c r="O13" s="331"/>
      <c r="P13" s="331"/>
      <c r="Q13" s="331"/>
      <c r="R13" s="331"/>
      <c r="S13" s="331"/>
      <c r="T13" s="331"/>
      <c r="U13" s="332"/>
    </row>
    <row r="14" spans="3:21" ht="3.75" customHeight="1">
      <c r="C14" s="330"/>
      <c r="D14" s="331"/>
      <c r="E14" s="331"/>
      <c r="F14" s="331"/>
      <c r="G14" s="331"/>
      <c r="H14" s="331"/>
      <c r="I14" s="334"/>
      <c r="J14" s="335"/>
      <c r="K14" s="335"/>
      <c r="L14" s="335"/>
      <c r="M14" s="335"/>
      <c r="N14" s="331"/>
      <c r="O14" s="331"/>
      <c r="P14" s="331"/>
      <c r="Q14" s="331"/>
      <c r="R14" s="331"/>
      <c r="S14" s="331"/>
      <c r="T14" s="331"/>
      <c r="U14" s="332"/>
    </row>
    <row r="15" spans="3:21" ht="6.75" customHeight="1">
      <c r="C15" s="330"/>
      <c r="D15" s="331"/>
      <c r="E15" s="331"/>
      <c r="F15" s="331"/>
      <c r="G15" s="331"/>
      <c r="H15" s="331"/>
      <c r="I15" s="331"/>
      <c r="J15" s="331"/>
      <c r="K15" s="331"/>
      <c r="L15" s="331"/>
      <c r="M15" s="331"/>
      <c r="N15" s="331"/>
      <c r="O15" s="331"/>
      <c r="P15" s="331"/>
      <c r="Q15" s="331"/>
      <c r="R15" s="331"/>
      <c r="S15" s="331"/>
      <c r="T15" s="331"/>
      <c r="U15" s="332"/>
    </row>
    <row r="16" spans="3:21">
      <c r="C16" s="330"/>
      <c r="D16" s="331"/>
      <c r="E16" s="331"/>
      <c r="F16" s="331"/>
      <c r="G16" s="331"/>
      <c r="H16" s="331"/>
      <c r="I16" s="331"/>
      <c r="J16" s="331"/>
      <c r="K16" s="331"/>
      <c r="L16" s="331"/>
      <c r="M16" s="780" t="str">
        <f>IF(Q12="1 (Satu)","&gt;&gt;",IF(Q12="3 (Tiga)","&gt;&gt;",IF(Q12="5 (Lima)","&gt;&gt;","")))</f>
        <v>&gt;&gt;</v>
      </c>
      <c r="N16" s="331"/>
      <c r="O16" s="331"/>
      <c r="P16" s="331"/>
      <c r="Q16" s="331"/>
      <c r="R16" s="331"/>
      <c r="S16" s="331"/>
      <c r="T16" s="331"/>
      <c r="U16" s="332"/>
    </row>
    <row r="17" spans="2:21" ht="15" customHeight="1">
      <c r="C17" s="330"/>
      <c r="D17" s="331"/>
      <c r="E17" s="331"/>
      <c r="F17" s="331"/>
      <c r="G17" s="331"/>
      <c r="H17" s="331"/>
      <c r="I17" s="331"/>
      <c r="J17" s="331"/>
      <c r="K17" s="331"/>
      <c r="L17" s="331"/>
      <c r="M17" s="780"/>
      <c r="N17" s="331"/>
      <c r="O17" s="331"/>
      <c r="P17" s="331"/>
      <c r="Q17" s="331"/>
      <c r="R17" s="331"/>
      <c r="S17" s="331"/>
      <c r="T17" s="331"/>
      <c r="U17" s="332"/>
    </row>
    <row r="18" spans="2:21" ht="19.5" customHeight="1">
      <c r="C18" s="330"/>
      <c r="D18" s="331"/>
      <c r="E18" s="331"/>
      <c r="F18" s="331"/>
      <c r="G18" s="331"/>
      <c r="H18" s="331"/>
      <c r="I18" s="331"/>
      <c r="J18" s="331"/>
      <c r="K18" s="331"/>
      <c r="L18" s="331"/>
      <c r="M18" s="780"/>
      <c r="N18" s="331"/>
      <c r="O18" s="331"/>
      <c r="P18" s="331"/>
      <c r="Q18" s="331"/>
      <c r="R18" s="331"/>
      <c r="T18" s="779" t="str">
        <f>IF(_kelas=0,"-",_kelas)</f>
        <v>VIII A</v>
      </c>
      <c r="U18" s="349"/>
    </row>
    <row r="19" spans="2:21" ht="16.5" customHeight="1">
      <c r="C19" s="330"/>
      <c r="D19" s="331"/>
      <c r="E19" s="331"/>
      <c r="F19" s="331"/>
      <c r="G19" s="331"/>
      <c r="H19" s="331"/>
      <c r="I19" s="331"/>
      <c r="J19" s="331"/>
      <c r="K19" s="331"/>
      <c r="L19" s="331"/>
      <c r="M19" s="780" t="str">
        <f>IF(Q12="2 (Dua)","&gt;&gt;",IF(Q12="4 (Empat)","&gt;&gt;",IF(Q12="6 (Enam)","&gt;&gt;","")))</f>
        <v/>
      </c>
      <c r="N19" s="331"/>
      <c r="O19" s="331"/>
      <c r="P19" s="331"/>
      <c r="Q19" s="331"/>
      <c r="R19" s="331"/>
      <c r="S19" s="347"/>
      <c r="T19" s="779"/>
      <c r="U19" s="349"/>
    </row>
    <row r="20" spans="2:21" ht="15" customHeight="1">
      <c r="C20" s="330"/>
      <c r="D20" s="331"/>
      <c r="E20" s="331"/>
      <c r="F20" s="331"/>
      <c r="G20" s="331"/>
      <c r="H20" s="331"/>
      <c r="I20" s="331"/>
      <c r="J20" s="331"/>
      <c r="K20" s="331"/>
      <c r="L20" s="331"/>
      <c r="M20" s="780"/>
      <c r="N20" s="331"/>
      <c r="O20" s="331"/>
      <c r="P20" s="331"/>
      <c r="Q20" s="331"/>
      <c r="R20" s="331"/>
      <c r="S20" s="347"/>
      <c r="T20" s="347"/>
      <c r="U20" s="349"/>
    </row>
    <row r="21" spans="2:21" ht="15" customHeight="1">
      <c r="C21" s="330"/>
      <c r="D21" s="331"/>
      <c r="E21" s="331"/>
      <c r="F21" s="331"/>
      <c r="G21" s="331"/>
      <c r="H21" s="331"/>
      <c r="I21" s="331"/>
      <c r="J21" s="331"/>
      <c r="K21" s="331"/>
      <c r="L21" s="331"/>
      <c r="M21" s="780"/>
      <c r="N21" s="331"/>
      <c r="O21" s="331"/>
      <c r="P21" s="331"/>
      <c r="Q21" s="331"/>
      <c r="R21" s="331"/>
      <c r="S21" s="331"/>
      <c r="T21" s="331"/>
      <c r="U21" s="332"/>
    </row>
    <row r="22" spans="2:21" ht="0.75" customHeight="1">
      <c r="C22" s="330"/>
      <c r="D22" s="331"/>
      <c r="E22" s="331"/>
      <c r="F22" s="331"/>
      <c r="G22" s="331"/>
      <c r="H22" s="331"/>
      <c r="I22" s="331"/>
      <c r="J22" s="331"/>
      <c r="K22" s="331"/>
      <c r="L22" s="331"/>
      <c r="M22" s="331"/>
      <c r="N22" s="331"/>
      <c r="O22" s="331"/>
      <c r="P22" s="331"/>
      <c r="Q22" s="331"/>
      <c r="R22" s="331"/>
      <c r="S22" s="331"/>
      <c r="T22" s="331"/>
      <c r="U22" s="332"/>
    </row>
    <row r="23" spans="2:21" ht="15.75">
      <c r="C23" s="330"/>
      <c r="D23" s="331"/>
      <c r="E23" s="331"/>
      <c r="F23" s="331"/>
      <c r="G23" s="331"/>
      <c r="H23" s="331"/>
      <c r="I23" s="331"/>
      <c r="J23" s="331"/>
      <c r="K23" s="331"/>
      <c r="M23" s="331"/>
      <c r="N23" s="344" t="s">
        <v>370</v>
      </c>
      <c r="O23" s="331"/>
      <c r="P23" s="331"/>
      <c r="Q23" s="331"/>
      <c r="R23" s="331"/>
      <c r="S23" s="331"/>
      <c r="T23" s="331"/>
      <c r="U23" s="332"/>
    </row>
    <row r="24" spans="2:21" ht="5.25" customHeight="1">
      <c r="C24" s="330"/>
      <c r="D24" s="331"/>
      <c r="E24" s="331"/>
      <c r="F24" s="331"/>
      <c r="G24" s="331"/>
      <c r="H24" s="331"/>
      <c r="I24" s="331"/>
      <c r="J24" s="331"/>
      <c r="K24" s="331"/>
      <c r="L24" s="331"/>
      <c r="M24" s="331"/>
      <c r="N24" s="331"/>
      <c r="O24" s="331"/>
      <c r="P24" s="331"/>
      <c r="Q24" s="331"/>
      <c r="R24" s="331"/>
      <c r="S24" s="331"/>
      <c r="T24" s="331"/>
      <c r="U24" s="332"/>
    </row>
    <row r="25" spans="2:21" ht="15.75" thickBot="1">
      <c r="C25" s="336"/>
      <c r="D25" s="337"/>
      <c r="E25" s="337"/>
      <c r="F25" s="337"/>
      <c r="G25" s="337"/>
      <c r="H25" s="337"/>
      <c r="I25" s="337"/>
      <c r="J25" s="337"/>
      <c r="K25" s="337"/>
      <c r="L25" s="337"/>
      <c r="M25" s="337"/>
      <c r="N25" s="337"/>
      <c r="O25" s="337"/>
      <c r="P25" s="337"/>
      <c r="Q25" s="337"/>
      <c r="R25" s="337"/>
      <c r="S25" s="337"/>
      <c r="T25" s="337"/>
      <c r="U25" s="338"/>
    </row>
    <row r="26" spans="2:21">
      <c r="C26" s="759" t="s">
        <v>430</v>
      </c>
      <c r="D26" s="760"/>
      <c r="E26" s="760"/>
      <c r="F26" s="760"/>
      <c r="G26" s="760"/>
      <c r="H26" s="760"/>
      <c r="I26" s="760"/>
      <c r="J26" s="761"/>
      <c r="K26" s="762"/>
      <c r="L26" s="762"/>
      <c r="M26" s="762"/>
      <c r="N26" s="762"/>
      <c r="O26" s="762"/>
      <c r="P26" s="762"/>
      <c r="Q26" s="762"/>
      <c r="R26" s="762"/>
      <c r="S26" s="762"/>
      <c r="T26" s="762"/>
      <c r="U26" s="762"/>
    </row>
    <row r="27" spans="2:21" ht="17.25" customHeight="1" thickBot="1">
      <c r="C27" s="757" t="s">
        <v>427</v>
      </c>
      <c r="D27" s="758"/>
      <c r="E27" s="758"/>
      <c r="F27" s="758" t="s">
        <v>428</v>
      </c>
      <c r="G27" s="758"/>
      <c r="H27" s="758" t="s">
        <v>429</v>
      </c>
      <c r="I27" s="758"/>
      <c r="J27" s="763"/>
      <c r="K27" s="764"/>
      <c r="L27" s="764"/>
      <c r="M27" s="764"/>
      <c r="N27" s="764"/>
      <c r="O27" s="764"/>
      <c r="P27" s="764"/>
      <c r="Q27" s="764"/>
      <c r="R27" s="764"/>
      <c r="S27" s="764"/>
      <c r="T27" s="764"/>
      <c r="U27" s="764"/>
    </row>
    <row r="28" spans="2:21" s="455" customFormat="1">
      <c r="B28" s="453"/>
      <c r="C28" s="453"/>
      <c r="D28" s="453"/>
      <c r="E28" s="453"/>
      <c r="F28" s="453"/>
      <c r="G28" s="453"/>
      <c r="H28" s="453"/>
      <c r="I28" s="453"/>
    </row>
    <row r="29" spans="2:21" s="455" customFormat="1">
      <c r="B29" s="453"/>
      <c r="C29" s="453"/>
      <c r="D29" s="453"/>
      <c r="E29" s="453"/>
      <c r="F29" s="453"/>
      <c r="G29" s="453"/>
      <c r="H29" s="453"/>
      <c r="I29" s="453"/>
    </row>
    <row r="30" spans="2:21" hidden="1"/>
    <row r="31" spans="2:21" hidden="1">
      <c r="O31" t="str">
        <f>DK!D9</f>
        <v>3 (Tiga)</v>
      </c>
      <c r="P31" t="str">
        <f>DK!G9</f>
        <v>4 (Empat)</v>
      </c>
    </row>
  </sheetData>
  <sheetProtection password="E812" sheet="1" objects="1" scenarios="1" selectLockedCells="1"/>
  <mergeCells count="19">
    <mergeCell ref="T18:T19"/>
    <mergeCell ref="M19:M21"/>
    <mergeCell ref="M16:M18"/>
    <mergeCell ref="M12:O12"/>
    <mergeCell ref="M10:O10"/>
    <mergeCell ref="Q12:T12"/>
    <mergeCell ref="Q10:T10"/>
    <mergeCell ref="C5:U5"/>
    <mergeCell ref="C6:U6"/>
    <mergeCell ref="C7:U7"/>
    <mergeCell ref="H10:K10"/>
    <mergeCell ref="H12:K12"/>
    <mergeCell ref="S8:T8"/>
    <mergeCell ref="D12:F12"/>
    <mergeCell ref="C27:E27"/>
    <mergeCell ref="F27:G27"/>
    <mergeCell ref="H27:I27"/>
    <mergeCell ref="C26:I26"/>
    <mergeCell ref="J26:U27"/>
  </mergeCells>
  <pageMargins left="0.7" right="0.7" top="0.75" bottom="0.75" header="0.3" footer="0.3"/>
  <pageSetup scale="67" orientation="landscape" r:id="rId1"/>
  <drawing r:id="rId2"/>
  <picture r:id="rId3"/>
</worksheet>
</file>

<file path=xl/worksheets/sheet2.xml><?xml version="1.0" encoding="utf-8"?>
<worksheet xmlns="http://schemas.openxmlformats.org/spreadsheetml/2006/main" xmlns:r="http://schemas.openxmlformats.org/officeDocument/2006/relationships">
  <sheetPr codeName="Sheet3">
    <tabColor theme="9"/>
  </sheetPr>
  <dimension ref="A1:L22"/>
  <sheetViews>
    <sheetView showRowColHeaders="0" workbookViewId="0">
      <selection activeCell="L1" sqref="L1"/>
    </sheetView>
  </sheetViews>
  <sheetFormatPr defaultColWidth="0" defaultRowHeight="15" zeroHeight="1"/>
  <cols>
    <col min="1" max="1" width="14.42578125" style="2" customWidth="1"/>
    <col min="2" max="4" width="9.140625" style="2" customWidth="1"/>
    <col min="5" max="5" width="4.42578125" style="2" customWidth="1"/>
    <col min="6" max="7" width="9.140625" style="2" customWidth="1"/>
    <col min="8" max="8" width="4.42578125" style="2" customWidth="1"/>
    <col min="9" max="9" width="9.140625" style="2" customWidth="1"/>
    <col min="10" max="10" width="16.140625" style="2" customWidth="1"/>
    <col min="11" max="11" width="7.140625" style="2" customWidth="1"/>
    <col min="12" max="12" width="4" style="2" customWidth="1"/>
    <col min="13" max="16384" width="9.140625" style="2" hidden="1"/>
  </cols>
  <sheetData>
    <row r="1" spans="2:11"/>
    <row r="2" spans="2:11" ht="33" customHeight="1">
      <c r="B2" s="788" t="s">
        <v>204</v>
      </c>
      <c r="C2" s="788"/>
      <c r="D2" s="788"/>
      <c r="E2" s="788"/>
      <c r="F2" s="788"/>
      <c r="G2" s="788"/>
      <c r="H2" s="788"/>
      <c r="I2" s="788"/>
      <c r="J2" s="788"/>
      <c r="K2" s="9"/>
    </row>
    <row r="3" spans="2:11" ht="6.75" customHeight="1"/>
    <row r="4" spans="2:11" ht="4.5" customHeight="1"/>
    <row r="5" spans="2:11" ht="5.25" hidden="1" customHeight="1"/>
    <row r="6" spans="2:11" ht="4.5" customHeight="1"/>
    <row r="7" spans="2:11" hidden="1"/>
    <row r="8" spans="2:11"/>
    <row r="9" spans="2:11"/>
    <row r="10" spans="2:11"/>
    <row r="11" spans="2:11"/>
    <row r="12" spans="2:11"/>
    <row r="13" spans="2:11"/>
    <row r="14" spans="2:11"/>
    <row r="15" spans="2:11"/>
    <row r="16" spans="2:11"/>
    <row r="17"/>
    <row r="18"/>
    <row r="19"/>
    <row r="20"/>
    <row r="21" ht="60" customHeight="1"/>
    <row r="22" ht="60" customHeight="1"/>
  </sheetData>
  <sheetProtection password="CE75" sheet="1" objects="1" scenarios="1" selectLockedCells="1"/>
  <mergeCells count="1">
    <mergeCell ref="B2:J2"/>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sheetPr codeName="Sheet30">
    <tabColor rgb="FF002060"/>
  </sheetPr>
  <dimension ref="A1:AD138"/>
  <sheetViews>
    <sheetView showGridLines="0" showRowColHeaders="0" zoomScaleSheetLayoutView="100" workbookViewId="0"/>
  </sheetViews>
  <sheetFormatPr defaultColWidth="0" defaultRowHeight="0" customHeight="1" zeroHeight="1"/>
  <cols>
    <col min="1" max="1" width="14.7109375" style="16" customWidth="1"/>
    <col min="2" max="2" width="4.28515625" style="99" customWidth="1"/>
    <col min="3" max="9" width="3.28515625" style="99" customWidth="1"/>
    <col min="10" max="10" width="2.28515625" style="99" customWidth="1"/>
    <col min="11" max="11" width="2.140625" style="99" customWidth="1"/>
    <col min="12" max="12" width="1.85546875" style="99" customWidth="1"/>
    <col min="13" max="20" width="3.28515625" style="99" customWidth="1"/>
    <col min="21" max="21" width="6.42578125" style="99" customWidth="1"/>
    <col min="22" max="27" width="3.28515625" style="99" customWidth="1"/>
    <col min="28" max="28" width="5.85546875" style="99" customWidth="1"/>
    <col min="29" max="29" width="5.7109375" style="16" customWidth="1"/>
    <col min="30" max="30" width="5.28515625" style="16" customWidth="1"/>
    <col min="31" max="16384" width="9.140625" style="16" hidden="1"/>
  </cols>
  <sheetData>
    <row r="1" spans="1:30" ht="15" customHeight="1">
      <c r="A1" s="195"/>
      <c r="B1" s="98"/>
      <c r="C1" s="98"/>
      <c r="D1" s="98"/>
      <c r="E1" s="98"/>
      <c r="F1" s="98"/>
      <c r="G1" s="98"/>
      <c r="H1" s="98"/>
      <c r="I1" s="98"/>
      <c r="J1" s="98"/>
      <c r="K1" s="98"/>
      <c r="L1" s="98"/>
      <c r="M1" s="98"/>
      <c r="N1" s="98"/>
      <c r="O1" s="98"/>
      <c r="P1" s="98"/>
      <c r="Q1" s="98"/>
      <c r="R1" s="98"/>
      <c r="S1" s="98"/>
      <c r="T1" s="98"/>
      <c r="U1" s="98"/>
      <c r="V1" s="98"/>
      <c r="W1" s="98"/>
      <c r="X1" s="98"/>
      <c r="Y1" s="98"/>
      <c r="Z1" s="98"/>
      <c r="AA1" s="98"/>
      <c r="AB1" s="98"/>
    </row>
    <row r="2" spans="1:30" ht="23.25" customHeight="1">
      <c r="B2" s="45" t="s">
        <v>302</v>
      </c>
      <c r="C2" s="98"/>
      <c r="D2" s="98"/>
      <c r="E2" s="98"/>
      <c r="F2" s="98"/>
      <c r="G2" s="98"/>
      <c r="H2" s="98"/>
      <c r="I2" s="98"/>
      <c r="J2" s="98"/>
      <c r="K2" s="98"/>
      <c r="L2" s="98"/>
      <c r="M2" s="98"/>
      <c r="N2" s="98"/>
      <c r="O2" s="98"/>
      <c r="P2" s="98"/>
      <c r="Q2" s="98"/>
      <c r="R2" s="98"/>
      <c r="S2" s="98"/>
      <c r="T2" s="98"/>
      <c r="U2" s="98"/>
      <c r="V2" s="98"/>
      <c r="W2" s="98"/>
      <c r="X2" s="98"/>
      <c r="Y2" s="98"/>
      <c r="Z2" s="98"/>
      <c r="AA2" s="98"/>
      <c r="AB2" s="98"/>
    </row>
    <row r="3" spans="1:30" ht="7.5" customHeight="1">
      <c r="B3" s="286"/>
      <c r="C3" s="98"/>
      <c r="D3" s="98"/>
      <c r="E3" s="98"/>
      <c r="F3" s="98"/>
      <c r="G3" s="98"/>
      <c r="H3" s="98"/>
      <c r="I3" s="98"/>
      <c r="J3" s="98"/>
      <c r="K3" s="98"/>
      <c r="L3" s="98"/>
      <c r="M3" s="98"/>
      <c r="N3" s="98"/>
      <c r="O3" s="98"/>
      <c r="P3" s="98"/>
      <c r="Q3" s="98"/>
      <c r="R3" s="98"/>
      <c r="S3" s="98"/>
      <c r="T3" s="98"/>
      <c r="U3" s="98"/>
      <c r="V3" s="98"/>
      <c r="W3" s="98"/>
      <c r="X3" s="98"/>
      <c r="Y3" s="98"/>
      <c r="Z3" s="98"/>
      <c r="AA3" s="98"/>
      <c r="AB3" s="98"/>
    </row>
    <row r="4" spans="1:30" ht="18.75" customHeight="1">
      <c r="B4" s="307" t="s">
        <v>303</v>
      </c>
      <c r="C4" s="308" t="s">
        <v>304</v>
      </c>
      <c r="D4" s="308"/>
      <c r="E4" s="308"/>
      <c r="F4" s="308"/>
      <c r="G4" s="308"/>
      <c r="H4" s="308"/>
      <c r="I4" s="308"/>
      <c r="J4" s="308"/>
      <c r="K4" s="308"/>
      <c r="L4" s="308"/>
      <c r="M4" s="308"/>
      <c r="N4" s="308"/>
      <c r="O4" s="308"/>
      <c r="P4" s="308"/>
      <c r="Q4" s="308"/>
      <c r="R4" s="308"/>
      <c r="S4" s="308"/>
      <c r="T4" s="308"/>
      <c r="U4" s="308"/>
      <c r="V4" s="308"/>
      <c r="W4" s="308"/>
      <c r="X4" s="308"/>
      <c r="Y4" s="308"/>
      <c r="Z4" s="308"/>
      <c r="AA4" s="308"/>
      <c r="AB4" s="308"/>
    </row>
    <row r="5" spans="1:30" s="28" customFormat="1" ht="15" customHeight="1">
      <c r="B5" s="99"/>
      <c r="C5" s="97" t="s">
        <v>313</v>
      </c>
      <c r="D5" s="99" t="s">
        <v>314</v>
      </c>
      <c r="E5" s="99"/>
      <c r="F5" s="99"/>
      <c r="G5" s="99"/>
      <c r="H5" s="99"/>
      <c r="I5" s="99"/>
      <c r="J5" s="99"/>
      <c r="K5" s="99"/>
      <c r="L5" s="99"/>
      <c r="M5" s="99"/>
      <c r="N5" s="99"/>
      <c r="O5" s="99"/>
      <c r="P5" s="99"/>
      <c r="Q5" s="99"/>
      <c r="R5" s="99"/>
      <c r="S5" s="99"/>
      <c r="T5" s="99"/>
      <c r="U5" s="99"/>
      <c r="V5" s="99"/>
      <c r="W5" s="99"/>
      <c r="X5" s="99"/>
      <c r="Y5" s="99"/>
      <c r="Z5" s="99"/>
      <c r="AA5" s="99"/>
      <c r="AB5" s="99"/>
      <c r="AC5" s="16"/>
      <c r="AD5" s="16"/>
    </row>
    <row r="6" spans="1:30" ht="15.75" customHeight="1">
      <c r="T6" s="97"/>
      <c r="X6" s="97"/>
    </row>
    <row r="7" spans="1:30" ht="15" customHeight="1">
      <c r="T7" s="97"/>
      <c r="X7" s="97"/>
    </row>
    <row r="8" spans="1:30" ht="15.75" customHeight="1">
      <c r="B8" s="100"/>
      <c r="C8" s="100"/>
      <c r="D8" s="100"/>
      <c r="E8" s="100"/>
      <c r="F8" s="100"/>
      <c r="G8" s="100"/>
      <c r="H8" s="100"/>
      <c r="I8" s="100"/>
      <c r="J8" s="100"/>
      <c r="K8" s="100"/>
      <c r="L8" s="100"/>
      <c r="M8" s="100"/>
      <c r="N8" s="100"/>
      <c r="O8" s="100"/>
      <c r="P8" s="100"/>
      <c r="Q8" s="100"/>
      <c r="R8" s="100"/>
      <c r="S8" s="100"/>
      <c r="T8" s="100"/>
      <c r="U8" s="100"/>
      <c r="V8" s="100"/>
      <c r="W8" s="100"/>
      <c r="X8" s="100"/>
      <c r="Y8" s="100"/>
      <c r="Z8" s="100"/>
      <c r="AA8" s="100"/>
      <c r="AB8" s="100"/>
    </row>
    <row r="9" spans="1:30" ht="15.75" customHeight="1">
      <c r="B9" s="100"/>
      <c r="C9" s="100"/>
      <c r="D9" s="100"/>
      <c r="E9" s="100"/>
      <c r="F9" s="100"/>
      <c r="G9" s="100"/>
      <c r="H9" s="100"/>
      <c r="I9" s="100"/>
      <c r="J9" s="100"/>
      <c r="K9" s="100"/>
      <c r="L9" s="100"/>
      <c r="M9" s="100"/>
      <c r="N9" s="100"/>
      <c r="O9" s="100"/>
      <c r="P9" s="100"/>
      <c r="Q9" s="100"/>
      <c r="R9" s="100"/>
      <c r="S9" s="100"/>
      <c r="T9" s="100"/>
      <c r="U9" s="100"/>
      <c r="V9" s="100"/>
      <c r="W9" s="100"/>
      <c r="X9" s="100"/>
      <c r="Y9" s="100"/>
      <c r="Z9" s="100"/>
      <c r="AA9" s="100"/>
      <c r="AB9" s="100"/>
    </row>
    <row r="10" spans="1:30" ht="15.75" customHeight="1">
      <c r="B10" s="100"/>
      <c r="C10" s="149" t="s">
        <v>311</v>
      </c>
      <c r="D10" s="99" t="s">
        <v>312</v>
      </c>
      <c r="E10" s="100"/>
      <c r="F10" s="100"/>
      <c r="G10" s="100"/>
      <c r="H10" s="100"/>
      <c r="I10" s="100"/>
      <c r="J10" s="100"/>
      <c r="K10" s="100"/>
      <c r="L10" s="100"/>
      <c r="M10" s="100"/>
      <c r="N10" s="100"/>
      <c r="O10" s="100"/>
      <c r="P10" s="100"/>
      <c r="Q10" s="100"/>
      <c r="R10" s="100"/>
      <c r="S10" s="100"/>
      <c r="T10" s="100"/>
      <c r="U10" s="100"/>
      <c r="V10" s="100"/>
      <c r="W10" s="100"/>
      <c r="X10" s="100"/>
      <c r="Y10" s="100"/>
      <c r="Z10" s="100"/>
      <c r="AA10" s="100"/>
      <c r="AB10" s="100"/>
    </row>
    <row r="11" spans="1:30" ht="15.75" customHeight="1">
      <c r="B11" s="134"/>
      <c r="C11" s="134"/>
      <c r="D11" s="134"/>
      <c r="E11" s="134"/>
      <c r="F11" s="135"/>
      <c r="G11" s="135"/>
      <c r="H11" s="135"/>
      <c r="I11" s="135"/>
      <c r="J11" s="135"/>
      <c r="K11" s="135"/>
      <c r="L11" s="135"/>
      <c r="M11" s="135"/>
      <c r="N11" s="135"/>
      <c r="O11" s="135"/>
      <c r="P11" s="135"/>
      <c r="Q11" s="135"/>
      <c r="R11" s="135"/>
      <c r="S11" s="135"/>
      <c r="T11" s="135"/>
      <c r="U11" s="135"/>
      <c r="V11" s="135"/>
      <c r="W11" s="135"/>
      <c r="X11" s="135"/>
      <c r="Y11" s="135"/>
      <c r="Z11" s="135"/>
      <c r="AA11" s="135"/>
      <c r="AB11" s="135"/>
    </row>
    <row r="12" spans="1:30" ht="15.75" customHeight="1">
      <c r="B12" s="134"/>
      <c r="C12" s="134"/>
      <c r="D12" s="134"/>
      <c r="E12" s="134"/>
      <c r="F12" s="135"/>
      <c r="G12" s="135"/>
      <c r="H12" s="135"/>
      <c r="I12" s="135"/>
      <c r="J12" s="135"/>
      <c r="K12" s="135"/>
      <c r="L12" s="135"/>
      <c r="M12" s="135"/>
      <c r="N12" s="135"/>
      <c r="O12" s="135"/>
      <c r="P12" s="135"/>
      <c r="Q12" s="135"/>
      <c r="R12" s="135"/>
      <c r="S12" s="135"/>
      <c r="T12" s="135"/>
      <c r="U12" s="135"/>
      <c r="V12" s="135"/>
      <c r="W12" s="135"/>
      <c r="X12" s="135"/>
      <c r="Y12" s="135"/>
      <c r="Z12" s="135"/>
      <c r="AA12" s="135"/>
      <c r="AB12" s="135"/>
    </row>
    <row r="13" spans="1:30" ht="15.75" customHeight="1">
      <c r="B13" s="134"/>
      <c r="C13" s="134"/>
      <c r="D13" s="134"/>
      <c r="E13" s="134"/>
      <c r="F13" s="135"/>
      <c r="G13" s="135"/>
      <c r="H13" s="135"/>
      <c r="I13" s="135"/>
      <c r="J13" s="135"/>
      <c r="K13" s="135"/>
      <c r="L13" s="135"/>
      <c r="M13" s="135"/>
      <c r="N13" s="135"/>
      <c r="O13" s="135"/>
      <c r="P13" s="135"/>
      <c r="Q13" s="135"/>
      <c r="R13" s="135"/>
      <c r="S13" s="135"/>
      <c r="T13" s="135"/>
      <c r="U13" s="135"/>
      <c r="V13" s="135"/>
      <c r="W13" s="135"/>
      <c r="X13" s="135"/>
      <c r="Y13" s="135"/>
      <c r="Z13" s="135"/>
      <c r="AA13" s="135"/>
      <c r="AB13" s="135"/>
    </row>
    <row r="14" spans="1:30" ht="46.5" customHeight="1">
      <c r="B14" s="134"/>
      <c r="C14" s="134"/>
      <c r="D14" s="134"/>
      <c r="E14" s="134"/>
      <c r="F14" s="135"/>
      <c r="G14" s="135"/>
      <c r="H14" s="135"/>
      <c r="I14" s="135"/>
      <c r="J14" s="135"/>
      <c r="K14" s="135"/>
      <c r="L14" s="135"/>
      <c r="M14" s="135"/>
      <c r="N14" s="135"/>
      <c r="O14" s="135"/>
      <c r="P14" s="135"/>
      <c r="Q14" s="135"/>
      <c r="R14" s="135"/>
      <c r="S14" s="135"/>
      <c r="T14" s="135"/>
      <c r="U14" s="135"/>
      <c r="V14" s="135"/>
      <c r="W14" s="135"/>
      <c r="X14" s="135"/>
      <c r="Y14" s="135"/>
      <c r="Z14" s="135"/>
      <c r="AA14" s="135"/>
      <c r="AB14" s="135"/>
    </row>
    <row r="15" spans="1:30" ht="15.75" customHeight="1"/>
    <row r="16" spans="1:30" ht="15.75" customHeight="1">
      <c r="B16" s="100"/>
      <c r="C16" s="97" t="s">
        <v>309</v>
      </c>
      <c r="D16" s="99" t="s">
        <v>310</v>
      </c>
    </row>
    <row r="17" spans="2:28" ht="15.75" customHeight="1">
      <c r="B17" s="100"/>
      <c r="C17" s="100"/>
      <c r="D17" s="100"/>
      <c r="E17" s="100"/>
      <c r="F17" s="100"/>
      <c r="G17" s="100"/>
      <c r="H17" s="100"/>
      <c r="I17" s="100"/>
      <c r="J17" s="100"/>
      <c r="K17" s="100"/>
      <c r="L17" s="100"/>
      <c r="M17" s="100"/>
      <c r="N17" s="100"/>
      <c r="O17" s="100"/>
      <c r="P17" s="100"/>
      <c r="Q17" s="100"/>
      <c r="R17" s="100"/>
      <c r="S17" s="100"/>
      <c r="T17" s="100"/>
      <c r="U17" s="100"/>
      <c r="V17" s="100"/>
      <c r="W17" s="100"/>
      <c r="X17" s="100"/>
      <c r="Y17" s="100"/>
      <c r="Z17" s="100"/>
      <c r="AA17" s="100"/>
      <c r="AB17" s="100"/>
    </row>
    <row r="18" spans="2:28" ht="30.75" customHeight="1">
      <c r="B18" s="134"/>
      <c r="C18" s="134"/>
      <c r="D18" s="134"/>
      <c r="E18" s="134"/>
      <c r="F18" s="135"/>
      <c r="G18" s="135"/>
      <c r="H18" s="135"/>
      <c r="I18" s="135"/>
      <c r="J18" s="135"/>
      <c r="K18" s="135"/>
      <c r="L18" s="135"/>
      <c r="M18" s="135"/>
      <c r="N18" s="135"/>
      <c r="O18" s="135"/>
      <c r="P18" s="135"/>
      <c r="Q18" s="135"/>
      <c r="R18" s="135"/>
      <c r="S18" s="135"/>
      <c r="T18" s="135"/>
      <c r="U18" s="135"/>
      <c r="V18" s="135"/>
      <c r="W18" s="135"/>
      <c r="X18" s="135"/>
      <c r="Y18" s="135"/>
      <c r="Z18" s="135"/>
      <c r="AA18" s="135"/>
      <c r="AB18" s="135"/>
    </row>
    <row r="19" spans="2:28" ht="55.5" customHeight="1">
      <c r="B19" s="134"/>
      <c r="C19" s="134"/>
      <c r="D19" s="134"/>
      <c r="E19" s="134"/>
      <c r="F19" s="135"/>
      <c r="G19" s="135"/>
      <c r="H19" s="135"/>
      <c r="I19" s="135"/>
      <c r="J19" s="135"/>
      <c r="K19" s="135"/>
      <c r="L19" s="135"/>
      <c r="M19" s="135"/>
      <c r="N19" s="135"/>
      <c r="O19" s="135"/>
      <c r="P19" s="135"/>
      <c r="Q19" s="135"/>
      <c r="R19" s="135"/>
      <c r="S19" s="135"/>
      <c r="T19" s="135"/>
      <c r="U19" s="135"/>
      <c r="V19" s="135"/>
      <c r="W19" s="135"/>
      <c r="X19" s="135"/>
      <c r="Y19" s="135"/>
      <c r="Z19" s="135"/>
      <c r="AA19" s="135"/>
      <c r="AB19" s="135"/>
    </row>
    <row r="20" spans="2:28" ht="24" customHeight="1">
      <c r="B20" s="100"/>
      <c r="C20" s="100"/>
      <c r="D20" s="100"/>
      <c r="E20" s="100"/>
      <c r="F20" s="100"/>
      <c r="G20" s="100"/>
      <c r="H20" s="100"/>
      <c r="I20" s="100"/>
      <c r="J20" s="100"/>
      <c r="K20" s="100"/>
      <c r="L20" s="100"/>
      <c r="M20" s="100"/>
      <c r="N20" s="100"/>
      <c r="O20" s="100"/>
      <c r="P20" s="100"/>
      <c r="Q20" s="100"/>
      <c r="R20" s="100"/>
      <c r="S20" s="100"/>
      <c r="T20" s="100"/>
      <c r="U20" s="100"/>
      <c r="V20" s="100"/>
      <c r="W20" s="100"/>
      <c r="X20" s="100"/>
      <c r="Y20" s="100"/>
      <c r="Z20" s="100"/>
      <c r="AA20" s="100"/>
      <c r="AB20" s="100"/>
    </row>
    <row r="21" spans="2:28" ht="15.75" customHeight="1">
      <c r="B21" s="136"/>
      <c r="C21" s="136"/>
      <c r="D21" s="136"/>
      <c r="E21" s="136"/>
      <c r="F21" s="136"/>
      <c r="G21" s="136"/>
      <c r="H21" s="136"/>
      <c r="I21" s="136"/>
      <c r="J21" s="136"/>
      <c r="K21" s="136"/>
      <c r="L21" s="136"/>
      <c r="M21" s="136"/>
      <c r="N21" s="136"/>
      <c r="O21" s="100"/>
      <c r="P21" s="100"/>
      <c r="Q21" s="100"/>
      <c r="R21" s="100"/>
      <c r="S21" s="100"/>
      <c r="T21" s="100"/>
      <c r="U21" s="100"/>
      <c r="V21" s="100"/>
      <c r="W21" s="100"/>
      <c r="X21" s="100"/>
      <c r="Y21" s="100"/>
      <c r="Z21" s="100"/>
      <c r="AA21" s="100"/>
      <c r="AB21" s="100"/>
    </row>
    <row r="22" spans="2:28" ht="15.75" customHeight="1">
      <c r="B22" s="136"/>
      <c r="C22" s="136"/>
      <c r="D22" s="136"/>
      <c r="E22" s="136"/>
      <c r="F22" s="136"/>
      <c r="G22" s="136"/>
      <c r="H22" s="136"/>
      <c r="I22" s="136"/>
      <c r="J22" s="136"/>
      <c r="K22" s="136"/>
      <c r="L22" s="136"/>
      <c r="M22" s="136"/>
      <c r="N22" s="136"/>
      <c r="O22" s="100"/>
      <c r="P22" s="100"/>
      <c r="Q22" s="100"/>
      <c r="R22" s="100"/>
      <c r="S22" s="100"/>
      <c r="T22" s="100"/>
      <c r="U22" s="100"/>
      <c r="V22" s="100"/>
      <c r="W22" s="100"/>
      <c r="X22" s="100"/>
      <c r="Y22" s="100"/>
      <c r="Z22" s="100"/>
      <c r="AA22" s="100"/>
      <c r="AB22" s="100"/>
    </row>
    <row r="23" spans="2:28" ht="18" customHeight="1">
      <c r="B23" s="100"/>
      <c r="C23" s="100"/>
      <c r="D23" s="100"/>
      <c r="E23" s="100"/>
      <c r="F23" s="100"/>
      <c r="G23" s="100"/>
      <c r="H23" s="100"/>
      <c r="I23" s="100"/>
      <c r="J23" s="100"/>
      <c r="K23" s="100"/>
      <c r="L23" s="100"/>
      <c r="M23" s="100"/>
      <c r="N23" s="100"/>
      <c r="O23" s="100"/>
      <c r="P23" s="100"/>
      <c r="Q23" s="100"/>
      <c r="R23" s="100"/>
      <c r="S23" s="100"/>
      <c r="T23" s="100"/>
      <c r="U23" s="100"/>
      <c r="V23" s="100"/>
      <c r="W23" s="100"/>
      <c r="X23" s="100"/>
      <c r="Y23" s="100"/>
      <c r="Z23" s="100"/>
      <c r="AA23" s="100"/>
      <c r="AB23" s="100"/>
    </row>
    <row r="24" spans="2:28" ht="15.75" customHeight="1">
      <c r="B24" s="277"/>
    </row>
    <row r="25" spans="2:28" ht="15.75" customHeight="1">
      <c r="B25" s="277"/>
    </row>
    <row r="26" spans="2:28" ht="15.75" customHeight="1">
      <c r="B26" s="277"/>
    </row>
    <row r="27" spans="2:28" ht="15.75" customHeight="1">
      <c r="B27" s="277"/>
    </row>
    <row r="28" spans="2:28" ht="15.75" customHeight="1">
      <c r="B28" s="277"/>
    </row>
    <row r="29" spans="2:28" ht="15.75" customHeight="1">
      <c r="B29" s="277"/>
    </row>
    <row r="30" spans="2:28" ht="15.75" customHeight="1">
      <c r="B30" s="277"/>
    </row>
    <row r="31" spans="2:28" ht="18" customHeight="1">
      <c r="B31" s="100"/>
      <c r="C31" s="100"/>
      <c r="D31" s="100"/>
      <c r="E31" s="100"/>
      <c r="F31" s="100"/>
      <c r="G31" s="100"/>
      <c r="H31" s="100"/>
      <c r="I31" s="100"/>
      <c r="J31" s="100"/>
      <c r="K31" s="100"/>
      <c r="L31" s="100"/>
      <c r="M31" s="100"/>
      <c r="N31" s="100"/>
      <c r="O31" s="100"/>
      <c r="P31" s="100"/>
      <c r="Q31" s="100"/>
      <c r="R31" s="100"/>
      <c r="S31" s="100"/>
      <c r="T31" s="100"/>
      <c r="U31" s="100"/>
      <c r="V31" s="100"/>
      <c r="W31" s="100"/>
      <c r="X31" s="100"/>
      <c r="Y31" s="100"/>
      <c r="Z31" s="100"/>
      <c r="AA31" s="100"/>
      <c r="AB31" s="100"/>
    </row>
    <row r="32" spans="2:28" ht="15.75" customHeight="1">
      <c r="B32" s="277"/>
    </row>
    <row r="33" spans="2:28" ht="15">
      <c r="B33" s="277"/>
      <c r="C33" s="147" t="s">
        <v>305</v>
      </c>
      <c r="D33" s="796" t="s">
        <v>307</v>
      </c>
      <c r="E33" s="797"/>
      <c r="F33" s="797"/>
      <c r="G33" s="797"/>
      <c r="H33" s="797"/>
      <c r="I33" s="797"/>
      <c r="J33" s="797"/>
      <c r="K33" s="797"/>
      <c r="L33" s="797"/>
      <c r="M33" s="797"/>
      <c r="N33" s="797"/>
      <c r="O33" s="797"/>
      <c r="P33" s="797"/>
      <c r="Q33" s="797"/>
      <c r="R33" s="797"/>
      <c r="S33" s="797"/>
      <c r="T33" s="797"/>
      <c r="U33" s="797"/>
      <c r="V33" s="797"/>
      <c r="W33" s="797"/>
      <c r="X33" s="797"/>
      <c r="Y33" s="797"/>
      <c r="Z33" s="797"/>
      <c r="AA33" s="797"/>
      <c r="AB33" s="797"/>
    </row>
    <row r="34" spans="2:28" ht="15.75" customHeight="1">
      <c r="B34" s="277"/>
      <c r="D34" s="99" t="s">
        <v>306</v>
      </c>
    </row>
    <row r="35" spans="2:28" ht="15.75" customHeight="1">
      <c r="B35" s="277"/>
    </row>
    <row r="36" spans="2:28" ht="15" customHeight="1"/>
    <row r="37" spans="2:28" s="22" customFormat="1" ht="20.25" customHeight="1">
      <c r="B37" s="301"/>
      <c r="C37" s="301"/>
      <c r="D37" s="301"/>
      <c r="E37" s="301"/>
      <c r="F37" s="301"/>
      <c r="G37" s="301"/>
      <c r="H37" s="301"/>
      <c r="I37" s="301"/>
      <c r="J37" s="301"/>
      <c r="K37" s="301"/>
      <c r="L37" s="301"/>
      <c r="M37" s="301"/>
      <c r="N37" s="301"/>
      <c r="O37" s="303"/>
      <c r="P37" s="303"/>
      <c r="Q37" s="303"/>
      <c r="R37" s="303"/>
      <c r="S37" s="303"/>
      <c r="T37" s="303"/>
      <c r="U37" s="303"/>
      <c r="V37" s="303"/>
      <c r="W37" s="303"/>
      <c r="X37" s="303"/>
      <c r="Y37" s="303"/>
      <c r="Z37" s="303"/>
      <c r="AA37" s="303"/>
      <c r="AB37" s="303"/>
    </row>
    <row r="38" spans="2:28" s="22" customFormat="1" ht="20.25" customHeight="1">
      <c r="B38" s="301"/>
      <c r="C38" s="301"/>
      <c r="D38" s="301"/>
      <c r="E38" s="301"/>
      <c r="F38" s="301"/>
      <c r="G38" s="301"/>
      <c r="H38" s="301"/>
      <c r="I38" s="301"/>
      <c r="J38" s="301"/>
      <c r="K38" s="301"/>
      <c r="L38" s="301"/>
      <c r="M38" s="301"/>
      <c r="N38" s="301"/>
      <c r="O38" s="303"/>
      <c r="P38" s="303"/>
      <c r="Q38" s="303"/>
      <c r="R38" s="303"/>
      <c r="S38" s="303"/>
      <c r="T38" s="303"/>
      <c r="U38" s="303"/>
      <c r="V38" s="303"/>
      <c r="W38" s="303"/>
      <c r="X38" s="303"/>
      <c r="Y38" s="303"/>
      <c r="Z38" s="303"/>
      <c r="AA38" s="303"/>
      <c r="AB38" s="303"/>
    </row>
    <row r="39" spans="2:28" ht="15" customHeight="1">
      <c r="B39" s="101"/>
    </row>
    <row r="40" spans="2:28" ht="15" customHeight="1"/>
    <row r="41" spans="2:28" ht="15" customHeight="1">
      <c r="T41" s="97"/>
      <c r="X41" s="97"/>
    </row>
    <row r="42" spans="2:28" ht="15" customHeight="1">
      <c r="T42" s="97"/>
      <c r="X42" s="97"/>
    </row>
    <row r="43" spans="2:28" ht="15" customHeight="1">
      <c r="T43" s="97"/>
      <c r="X43" s="97"/>
    </row>
    <row r="44" spans="2:28" ht="20.25" customHeight="1">
      <c r="B44" s="106"/>
      <c r="C44" s="106"/>
      <c r="D44" s="106"/>
      <c r="E44" s="106"/>
      <c r="F44" s="106"/>
      <c r="G44" s="106"/>
      <c r="H44" s="106"/>
      <c r="I44" s="106"/>
      <c r="J44" s="106"/>
      <c r="K44" s="106"/>
      <c r="L44" s="106"/>
      <c r="M44" s="106"/>
      <c r="N44" s="106"/>
      <c r="O44" s="106"/>
      <c r="P44" s="106"/>
      <c r="Q44" s="106"/>
      <c r="R44" s="106"/>
      <c r="S44" s="106"/>
      <c r="T44" s="106"/>
      <c r="U44" s="106"/>
      <c r="V44" s="106"/>
      <c r="W44" s="106"/>
      <c r="X44" s="106"/>
      <c r="Y44" s="106"/>
      <c r="Z44" s="106"/>
      <c r="AA44" s="106"/>
      <c r="AB44" s="106"/>
    </row>
    <row r="45" spans="2:28" ht="19.5" customHeight="1">
      <c r="B45" s="100"/>
    </row>
    <row r="46" spans="2:28" ht="27.75" customHeight="1">
      <c r="B46" s="130"/>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row>
    <row r="47" spans="2:28" ht="15" customHeight="1">
      <c r="B47" s="138"/>
      <c r="C47" s="149" t="s">
        <v>308</v>
      </c>
      <c r="D47" s="149" t="s">
        <v>395</v>
      </c>
      <c r="E47" s="138"/>
      <c r="F47" s="138"/>
      <c r="G47" s="138"/>
      <c r="H47" s="138"/>
      <c r="I47" s="138"/>
      <c r="J47" s="138"/>
      <c r="K47" s="138"/>
      <c r="L47" s="138"/>
      <c r="M47" s="138"/>
      <c r="N47" s="138"/>
      <c r="O47" s="138"/>
      <c r="P47" s="138"/>
      <c r="Q47" s="138"/>
      <c r="R47" s="138"/>
      <c r="S47" s="138"/>
      <c r="T47" s="138"/>
      <c r="U47" s="138"/>
      <c r="V47" s="138"/>
      <c r="W47" s="138"/>
      <c r="X47" s="138"/>
      <c r="Y47" s="138"/>
      <c r="Z47" s="138"/>
      <c r="AA47" s="138"/>
      <c r="AB47" s="138"/>
    </row>
    <row r="48" spans="2:28" ht="15.75" thickBot="1">
      <c r="B48" s="139"/>
      <c r="C48" s="139"/>
      <c r="E48" s="139"/>
      <c r="F48" s="139"/>
      <c r="G48" s="139"/>
      <c r="H48" s="139"/>
      <c r="I48" s="139"/>
      <c r="J48" s="139"/>
      <c r="K48" s="139"/>
      <c r="L48" s="139"/>
      <c r="M48" s="139"/>
      <c r="N48" s="139"/>
      <c r="O48" s="139"/>
      <c r="P48" s="139"/>
      <c r="Q48" s="140"/>
      <c r="R48" s="140"/>
      <c r="S48" s="140"/>
      <c r="T48" s="140"/>
      <c r="U48" s="140"/>
      <c r="V48" s="140"/>
      <c r="W48" s="140"/>
      <c r="X48" s="140"/>
      <c r="Y48" s="140"/>
      <c r="Z48" s="140"/>
      <c r="AA48" s="140"/>
      <c r="AB48" s="140"/>
    </row>
    <row r="49" spans="2:30" ht="39" customHeight="1" thickBot="1">
      <c r="B49" s="798" t="s">
        <v>315</v>
      </c>
      <c r="C49" s="799"/>
      <c r="D49" s="799"/>
      <c r="E49" s="799"/>
      <c r="F49" s="799"/>
      <c r="G49" s="799"/>
      <c r="H49" s="799"/>
      <c r="I49" s="799"/>
      <c r="J49" s="799"/>
      <c r="K49" s="799"/>
      <c r="L49" s="799"/>
      <c r="M49" s="799"/>
      <c r="N49" s="799"/>
      <c r="O49" s="799"/>
      <c r="P49" s="799"/>
      <c r="Q49" s="799"/>
      <c r="R49" s="799"/>
      <c r="S49" s="799"/>
      <c r="T49" s="799"/>
      <c r="U49" s="799"/>
      <c r="V49" s="799"/>
      <c r="W49" s="799"/>
      <c r="X49" s="799"/>
      <c r="Y49" s="799"/>
      <c r="Z49" s="799"/>
      <c r="AA49" s="799"/>
      <c r="AB49" s="800"/>
      <c r="AC49" s="102"/>
    </row>
    <row r="50" spans="2:30" ht="15">
      <c r="B50" s="139"/>
      <c r="C50" s="139"/>
      <c r="D50" s="139"/>
      <c r="E50" s="139"/>
      <c r="F50" s="139"/>
      <c r="G50" s="139"/>
      <c r="H50" s="139"/>
      <c r="I50" s="139"/>
      <c r="J50" s="139"/>
      <c r="K50" s="139"/>
      <c r="L50" s="139"/>
      <c r="M50" s="139"/>
      <c r="N50" s="139"/>
      <c r="O50" s="139"/>
      <c r="P50" s="139"/>
      <c r="Q50" s="140"/>
      <c r="R50" s="140"/>
      <c r="S50" s="140"/>
      <c r="T50" s="140"/>
      <c r="U50" s="140"/>
      <c r="V50" s="140"/>
      <c r="W50" s="140"/>
      <c r="X50" s="140"/>
      <c r="Y50" s="140"/>
      <c r="Z50" s="140"/>
      <c r="AA50" s="140"/>
      <c r="AB50" s="140"/>
    </row>
    <row r="51" spans="2:30" ht="15.75">
      <c r="B51" s="307" t="s">
        <v>316</v>
      </c>
      <c r="C51" s="308" t="s">
        <v>325</v>
      </c>
      <c r="D51" s="139"/>
      <c r="E51" s="139"/>
      <c r="F51" s="139"/>
      <c r="G51" s="139"/>
      <c r="H51" s="139"/>
      <c r="I51" s="139"/>
      <c r="J51" s="139"/>
      <c r="K51" s="139"/>
      <c r="L51" s="139"/>
      <c r="M51" s="139"/>
      <c r="N51" s="139"/>
      <c r="O51" s="139"/>
      <c r="P51" s="139"/>
      <c r="Q51" s="140"/>
      <c r="R51" s="140"/>
      <c r="S51" s="140"/>
      <c r="T51" s="140"/>
      <c r="U51" s="140"/>
      <c r="V51" s="140"/>
      <c r="W51" s="140"/>
      <c r="X51" s="140"/>
      <c r="Y51" s="140"/>
      <c r="Z51" s="140"/>
      <c r="AA51" s="140"/>
      <c r="AB51" s="140"/>
    </row>
    <row r="52" spans="2:30" ht="15.75">
      <c r="B52" s="139"/>
      <c r="C52" s="148" t="s">
        <v>317</v>
      </c>
      <c r="D52" s="148" t="s">
        <v>318</v>
      </c>
      <c r="E52" s="139"/>
      <c r="F52" s="139"/>
      <c r="G52" s="139"/>
      <c r="H52" s="139"/>
      <c r="I52" s="139"/>
      <c r="J52" s="139"/>
      <c r="K52" s="139"/>
      <c r="L52" s="139"/>
      <c r="M52" s="139"/>
      <c r="N52" s="139"/>
      <c r="O52" s="139"/>
      <c r="P52" s="139"/>
      <c r="Q52" s="140"/>
      <c r="R52" s="140"/>
      <c r="S52" s="140"/>
      <c r="T52" s="140"/>
      <c r="U52" s="140"/>
      <c r="V52" s="140"/>
      <c r="W52" s="140"/>
      <c r="X52" s="140"/>
      <c r="Y52" s="140"/>
      <c r="Z52" s="140"/>
      <c r="AA52" s="140"/>
      <c r="AB52" s="140"/>
    </row>
    <row r="53" spans="2:30" ht="15">
      <c r="B53" s="139"/>
      <c r="C53" s="139"/>
      <c r="D53" s="139" t="s">
        <v>319</v>
      </c>
      <c r="E53" s="139"/>
      <c r="F53" s="139"/>
      <c r="G53" s="139"/>
      <c r="H53" s="139"/>
      <c r="I53" s="139"/>
      <c r="J53" s="139"/>
      <c r="K53" s="139"/>
      <c r="L53" s="139"/>
      <c r="M53" s="139"/>
      <c r="N53" s="139"/>
      <c r="O53" s="139"/>
      <c r="P53" s="139"/>
      <c r="Q53" s="140"/>
      <c r="R53" s="140"/>
      <c r="S53" s="140"/>
      <c r="T53" s="140"/>
      <c r="U53" s="140"/>
      <c r="V53" s="140"/>
      <c r="W53" s="140"/>
      <c r="X53" s="140"/>
      <c r="Y53" s="140"/>
      <c r="Z53" s="140"/>
      <c r="AA53" s="140"/>
      <c r="AB53" s="140"/>
    </row>
    <row r="54" spans="2:30" ht="15.75">
      <c r="B54" s="139"/>
      <c r="C54" s="148" t="s">
        <v>320</v>
      </c>
      <c r="D54" s="148" t="s">
        <v>321</v>
      </c>
      <c r="E54" s="139"/>
      <c r="F54" s="139"/>
      <c r="G54" s="139"/>
      <c r="H54" s="139"/>
      <c r="I54" s="139"/>
      <c r="J54" s="139"/>
      <c r="K54" s="139"/>
      <c r="L54" s="139"/>
      <c r="M54" s="139"/>
      <c r="N54" s="139"/>
      <c r="O54" s="139"/>
      <c r="P54" s="139"/>
      <c r="Q54" s="140"/>
      <c r="R54" s="140"/>
      <c r="S54" s="140"/>
      <c r="T54" s="140"/>
      <c r="U54" s="140"/>
      <c r="V54" s="140"/>
      <c r="W54" s="140"/>
      <c r="X54" s="140"/>
      <c r="Y54" s="140"/>
      <c r="Z54" s="140"/>
      <c r="AA54" s="140"/>
      <c r="AB54" s="140"/>
    </row>
    <row r="55" spans="2:30" ht="20.25" customHeight="1">
      <c r="B55" s="139"/>
      <c r="C55" s="139"/>
      <c r="D55" s="790" t="s">
        <v>322</v>
      </c>
      <c r="E55" s="790"/>
      <c r="F55" s="790"/>
      <c r="G55" s="790"/>
      <c r="H55" s="790"/>
      <c r="I55" s="790"/>
      <c r="J55" s="790"/>
      <c r="K55" s="790"/>
      <c r="L55" s="790"/>
      <c r="M55" s="790"/>
      <c r="N55" s="790"/>
      <c r="O55" s="790"/>
      <c r="P55" s="790"/>
      <c r="Q55" s="790"/>
      <c r="R55" s="790"/>
      <c r="S55" s="790"/>
      <c r="T55" s="790"/>
      <c r="U55" s="790"/>
      <c r="V55" s="790"/>
      <c r="W55" s="790"/>
      <c r="X55" s="790"/>
      <c r="Y55" s="790"/>
      <c r="Z55" s="790"/>
      <c r="AA55" s="790"/>
      <c r="AB55" s="790"/>
    </row>
    <row r="56" spans="2:30" ht="20.25" customHeight="1">
      <c r="B56" s="139"/>
      <c r="C56" s="139"/>
      <c r="D56" s="790"/>
      <c r="E56" s="790"/>
      <c r="F56" s="790"/>
      <c r="G56" s="790"/>
      <c r="H56" s="790"/>
      <c r="I56" s="790"/>
      <c r="J56" s="790"/>
      <c r="K56" s="790"/>
      <c r="L56" s="790"/>
      <c r="M56" s="790"/>
      <c r="N56" s="790"/>
      <c r="O56" s="790"/>
      <c r="P56" s="790"/>
      <c r="Q56" s="790"/>
      <c r="R56" s="790"/>
      <c r="S56" s="790"/>
      <c r="T56" s="790"/>
      <c r="U56" s="790"/>
      <c r="V56" s="790"/>
      <c r="W56" s="790"/>
      <c r="X56" s="790"/>
      <c r="Y56" s="790"/>
      <c r="Z56" s="790"/>
      <c r="AA56" s="790"/>
      <c r="AB56" s="790"/>
    </row>
    <row r="57" spans="2:30" ht="15.75">
      <c r="B57" s="139"/>
      <c r="C57" s="148" t="s">
        <v>323</v>
      </c>
      <c r="D57" s="148" t="s">
        <v>321</v>
      </c>
      <c r="E57" s="139"/>
      <c r="F57" s="139"/>
      <c r="G57" s="139"/>
      <c r="H57" s="139"/>
      <c r="I57" s="139"/>
      <c r="J57" s="139"/>
      <c r="K57" s="139"/>
      <c r="L57" s="139"/>
      <c r="M57" s="139"/>
      <c r="N57" s="139"/>
      <c r="O57" s="139"/>
      <c r="P57" s="139"/>
      <c r="Q57" s="140"/>
      <c r="R57" s="140"/>
      <c r="S57" s="140"/>
      <c r="T57" s="140"/>
      <c r="U57" s="140"/>
      <c r="V57" s="140"/>
      <c r="W57" s="140"/>
      <c r="X57" s="140"/>
      <c r="Y57" s="140"/>
      <c r="Z57" s="140"/>
      <c r="AA57" s="140"/>
      <c r="AB57" s="140"/>
      <c r="AC57" s="17"/>
      <c r="AD57" s="17"/>
    </row>
    <row r="58" spans="2:30" s="17" customFormat="1" ht="15">
      <c r="B58" s="139"/>
      <c r="C58" s="139"/>
      <c r="D58" s="139" t="s">
        <v>324</v>
      </c>
      <c r="E58" s="139"/>
      <c r="F58" s="139"/>
      <c r="G58" s="139"/>
      <c r="H58" s="139"/>
      <c r="I58" s="139"/>
      <c r="J58" s="139"/>
      <c r="K58" s="139"/>
      <c r="L58" s="139"/>
      <c r="M58" s="139"/>
      <c r="N58" s="139"/>
      <c r="O58" s="139"/>
      <c r="P58" s="139"/>
      <c r="Q58" s="140"/>
      <c r="R58" s="140"/>
      <c r="S58" s="140"/>
      <c r="T58" s="140"/>
      <c r="U58" s="140"/>
      <c r="V58" s="140"/>
      <c r="W58" s="140"/>
      <c r="X58" s="140"/>
      <c r="Y58" s="140"/>
      <c r="Z58" s="140"/>
      <c r="AA58" s="140"/>
      <c r="AB58" s="140"/>
      <c r="AC58" s="16"/>
      <c r="AD58" s="16"/>
    </row>
    <row r="59" spans="2:30" ht="15">
      <c r="B59" s="139"/>
      <c r="C59" s="139"/>
      <c r="D59" s="801" t="s">
        <v>326</v>
      </c>
      <c r="E59" s="802"/>
      <c r="F59" s="802"/>
      <c r="G59" s="802"/>
      <c r="H59" s="802"/>
      <c r="I59" s="802"/>
      <c r="J59" s="802"/>
      <c r="K59" s="802"/>
      <c r="L59" s="802"/>
      <c r="M59" s="802"/>
      <c r="N59" s="802"/>
      <c r="O59" s="802"/>
      <c r="P59" s="802"/>
      <c r="Q59" s="802"/>
      <c r="R59" s="802"/>
      <c r="S59" s="802"/>
      <c r="T59" s="802"/>
      <c r="U59" s="802"/>
      <c r="V59" s="802"/>
      <c r="W59" s="802"/>
      <c r="X59" s="802"/>
      <c r="Y59" s="802"/>
      <c r="Z59" s="802"/>
      <c r="AA59" s="802"/>
      <c r="AB59" s="803"/>
    </row>
    <row r="60" spans="2:30" ht="15">
      <c r="B60" s="139"/>
      <c r="C60" s="139"/>
      <c r="D60" s="804"/>
      <c r="E60" s="805"/>
      <c r="F60" s="805"/>
      <c r="G60" s="805"/>
      <c r="H60" s="805"/>
      <c r="I60" s="805"/>
      <c r="J60" s="805"/>
      <c r="K60" s="805"/>
      <c r="L60" s="805"/>
      <c r="M60" s="805"/>
      <c r="N60" s="805"/>
      <c r="O60" s="805"/>
      <c r="P60" s="805"/>
      <c r="Q60" s="805"/>
      <c r="R60" s="805"/>
      <c r="S60" s="805"/>
      <c r="T60" s="805"/>
      <c r="U60" s="805"/>
      <c r="V60" s="805"/>
      <c r="W60" s="805"/>
      <c r="X60" s="805"/>
      <c r="Y60" s="805"/>
      <c r="Z60" s="805"/>
      <c r="AA60" s="805"/>
      <c r="AB60" s="806"/>
    </row>
    <row r="61" spans="2:30" ht="15">
      <c r="B61" s="139"/>
      <c r="C61" s="139"/>
      <c r="D61" s="139"/>
      <c r="E61" s="139"/>
      <c r="F61" s="139"/>
      <c r="G61" s="139"/>
      <c r="H61" s="139"/>
      <c r="I61" s="139"/>
      <c r="J61" s="139"/>
      <c r="K61" s="139"/>
      <c r="L61" s="139"/>
      <c r="M61" s="139"/>
      <c r="N61" s="139"/>
      <c r="O61" s="139"/>
      <c r="P61" s="139"/>
      <c r="Q61" s="140"/>
      <c r="R61" s="140"/>
      <c r="S61" s="140"/>
      <c r="T61" s="140"/>
      <c r="U61" s="140"/>
      <c r="V61" s="140"/>
      <c r="W61" s="140"/>
      <c r="X61" s="140"/>
      <c r="Y61" s="140"/>
      <c r="Z61" s="140"/>
      <c r="AA61" s="140"/>
      <c r="AB61" s="140"/>
    </row>
    <row r="62" spans="2:30" ht="15.75">
      <c r="B62" s="307" t="s">
        <v>327</v>
      </c>
      <c r="C62" s="308" t="s">
        <v>329</v>
      </c>
      <c r="D62" s="138"/>
      <c r="E62" s="138"/>
      <c r="F62" s="138"/>
      <c r="G62" s="138"/>
      <c r="H62" s="138"/>
      <c r="I62" s="138"/>
      <c r="J62" s="138"/>
      <c r="K62" s="138"/>
      <c r="L62" s="138"/>
      <c r="M62" s="138"/>
      <c r="N62" s="138"/>
      <c r="O62" s="138"/>
      <c r="P62" s="138"/>
      <c r="Q62" s="138"/>
      <c r="R62" s="138"/>
      <c r="S62" s="138"/>
      <c r="T62" s="138"/>
      <c r="U62" s="138"/>
      <c r="V62" s="138"/>
      <c r="W62" s="138"/>
      <c r="X62" s="138"/>
      <c r="Y62" s="138"/>
      <c r="Z62" s="138"/>
      <c r="AA62" s="138"/>
      <c r="AB62" s="138"/>
    </row>
    <row r="63" spans="2:30" ht="15.75">
      <c r="B63" s="139"/>
      <c r="C63" s="148" t="s">
        <v>317</v>
      </c>
      <c r="D63" s="148" t="s">
        <v>328</v>
      </c>
      <c r="E63" s="139"/>
      <c r="F63" s="139"/>
      <c r="G63" s="139"/>
      <c r="H63" s="139"/>
      <c r="I63" s="139"/>
      <c r="J63" s="139"/>
      <c r="K63" s="139"/>
      <c r="L63" s="139"/>
      <c r="M63" s="139"/>
      <c r="N63" s="139"/>
      <c r="O63" s="139"/>
      <c r="P63" s="139"/>
      <c r="Q63" s="140"/>
      <c r="R63" s="140"/>
      <c r="S63" s="140"/>
      <c r="T63" s="140"/>
      <c r="U63" s="140"/>
      <c r="V63" s="140"/>
      <c r="W63" s="140"/>
      <c r="X63" s="140"/>
      <c r="Y63" s="140"/>
      <c r="Z63" s="140"/>
      <c r="AA63" s="140"/>
      <c r="AB63" s="140"/>
    </row>
    <row r="64" spans="2:30" ht="15">
      <c r="B64" s="139"/>
      <c r="C64" s="139"/>
      <c r="D64" s="139" t="s">
        <v>288</v>
      </c>
      <c r="E64" s="139" t="s">
        <v>330</v>
      </c>
      <c r="F64" s="139"/>
      <c r="G64" s="139"/>
      <c r="H64" s="139"/>
      <c r="I64" s="139"/>
      <c r="J64" s="139"/>
      <c r="K64" s="139"/>
      <c r="L64" s="139"/>
      <c r="M64" s="139"/>
      <c r="N64" s="139"/>
      <c r="O64" s="139"/>
      <c r="P64" s="139"/>
      <c r="Q64" s="140"/>
      <c r="R64" s="140"/>
      <c r="S64" s="140"/>
      <c r="T64" s="140"/>
      <c r="U64" s="140"/>
      <c r="V64" s="140"/>
      <c r="W64" s="140"/>
      <c r="X64" s="140"/>
      <c r="Y64" s="140"/>
      <c r="Z64" s="140"/>
      <c r="AA64" s="140"/>
      <c r="AB64" s="140"/>
    </row>
    <row r="65" spans="2:28" ht="15">
      <c r="D65" s="97"/>
      <c r="T65" s="97"/>
      <c r="X65" s="97"/>
    </row>
    <row r="66" spans="2:28" ht="15">
      <c r="T66" s="97"/>
      <c r="X66" s="97"/>
    </row>
    <row r="67" spans="2:28" ht="15">
      <c r="T67" s="97"/>
      <c r="X67" s="97"/>
    </row>
    <row r="68" spans="2:28" ht="15">
      <c r="B68" s="106"/>
      <c r="C68" s="106"/>
      <c r="D68" s="106"/>
      <c r="E68" s="106"/>
      <c r="F68" s="106"/>
      <c r="G68" s="106"/>
      <c r="H68" s="106"/>
      <c r="I68" s="106"/>
      <c r="J68" s="106"/>
      <c r="K68" s="106"/>
      <c r="L68" s="106"/>
      <c r="M68" s="106"/>
      <c r="N68" s="106"/>
      <c r="O68" s="106"/>
      <c r="P68" s="106"/>
      <c r="Q68" s="106"/>
      <c r="R68" s="106"/>
      <c r="S68" s="106"/>
      <c r="T68" s="106"/>
      <c r="U68" s="106"/>
      <c r="V68" s="106"/>
      <c r="W68" s="106"/>
      <c r="X68" s="106"/>
      <c r="Y68" s="106"/>
      <c r="Z68" s="106"/>
      <c r="AA68" s="106"/>
      <c r="AB68" s="106"/>
    </row>
    <row r="69" spans="2:28" ht="15">
      <c r="B69" s="131"/>
      <c r="C69" s="299"/>
      <c r="D69" s="299"/>
      <c r="E69" s="299"/>
      <c r="F69" s="299"/>
      <c r="G69" s="299"/>
      <c r="H69" s="299"/>
      <c r="I69" s="299"/>
      <c r="J69" s="299"/>
      <c r="K69" s="299"/>
      <c r="L69" s="299"/>
      <c r="M69" s="131"/>
      <c r="N69" s="131"/>
      <c r="O69" s="131"/>
      <c r="P69" s="131"/>
      <c r="Q69" s="300"/>
      <c r="R69" s="300"/>
      <c r="S69" s="300"/>
      <c r="T69" s="300"/>
      <c r="U69" s="300"/>
      <c r="V69" s="300"/>
      <c r="W69" s="300"/>
      <c r="X69" s="300"/>
      <c r="Y69" s="300"/>
      <c r="Z69" s="300"/>
      <c r="AA69" s="300"/>
      <c r="AB69" s="300"/>
    </row>
    <row r="70" spans="2:28" ht="15">
      <c r="B70" s="139"/>
      <c r="C70" s="139"/>
      <c r="D70" s="139"/>
      <c r="E70" s="139"/>
      <c r="F70" s="139"/>
      <c r="G70" s="139"/>
      <c r="H70" s="139"/>
      <c r="I70" s="139"/>
      <c r="J70" s="139"/>
      <c r="K70" s="139"/>
      <c r="L70" s="139"/>
      <c r="M70" s="139"/>
      <c r="N70" s="139"/>
      <c r="O70" s="139"/>
      <c r="P70" s="139"/>
      <c r="Q70" s="140"/>
      <c r="R70" s="140"/>
      <c r="S70" s="140"/>
      <c r="T70" s="140"/>
      <c r="U70" s="140"/>
      <c r="V70" s="140"/>
      <c r="W70" s="140"/>
      <c r="X70" s="140"/>
      <c r="Y70" s="140"/>
      <c r="Z70" s="140"/>
      <c r="AA70" s="140"/>
      <c r="AB70" s="140"/>
    </row>
    <row r="71" spans="2:28" ht="15">
      <c r="B71" s="139"/>
      <c r="C71" s="139"/>
      <c r="D71" s="139"/>
      <c r="E71" s="139"/>
      <c r="F71" s="139"/>
      <c r="G71" s="139"/>
      <c r="H71" s="139"/>
      <c r="I71" s="139"/>
      <c r="J71" s="139"/>
      <c r="K71" s="139"/>
      <c r="L71" s="139"/>
      <c r="M71" s="139"/>
      <c r="N71" s="139"/>
      <c r="O71" s="139"/>
      <c r="P71" s="139"/>
      <c r="Q71" s="140"/>
      <c r="R71" s="140"/>
      <c r="S71" s="140"/>
      <c r="T71" s="140"/>
      <c r="U71" s="140"/>
      <c r="V71" s="140"/>
      <c r="W71" s="140"/>
      <c r="X71" s="140"/>
      <c r="Y71" s="140"/>
      <c r="Z71" s="140"/>
      <c r="AA71" s="140"/>
      <c r="AB71" s="140"/>
    </row>
    <row r="72" spans="2:28" ht="15">
      <c r="B72" s="139"/>
      <c r="C72" s="139"/>
      <c r="D72" s="139" t="s">
        <v>289</v>
      </c>
      <c r="E72" s="139" t="s">
        <v>331</v>
      </c>
      <c r="F72" s="139"/>
      <c r="G72" s="139"/>
      <c r="H72" s="139"/>
      <c r="I72" s="139"/>
      <c r="J72" s="139"/>
      <c r="K72" s="139"/>
      <c r="L72" s="139"/>
      <c r="M72" s="139"/>
      <c r="N72" s="139"/>
      <c r="O72" s="139"/>
      <c r="P72" s="139"/>
      <c r="Q72" s="140"/>
      <c r="R72" s="140"/>
      <c r="S72" s="140"/>
      <c r="T72" s="140"/>
      <c r="U72" s="140"/>
      <c r="V72" s="140"/>
      <c r="W72" s="140"/>
      <c r="X72" s="140"/>
      <c r="Y72" s="140"/>
      <c r="Z72" s="140"/>
      <c r="AA72" s="140"/>
      <c r="AB72" s="140"/>
    </row>
    <row r="73" spans="2:28" ht="15">
      <c r="B73" s="139"/>
      <c r="C73" s="139"/>
      <c r="D73" s="139"/>
      <c r="E73" s="309" t="s">
        <v>78</v>
      </c>
      <c r="F73" s="139" t="s">
        <v>332</v>
      </c>
      <c r="G73" s="139"/>
      <c r="H73" s="139"/>
      <c r="I73" s="139"/>
      <c r="J73" s="139"/>
      <c r="K73" s="139"/>
      <c r="L73" s="139"/>
      <c r="M73" s="139"/>
      <c r="N73" s="139"/>
      <c r="O73" s="139"/>
      <c r="P73" s="139"/>
      <c r="Q73" s="140"/>
      <c r="R73" s="140"/>
      <c r="S73" s="140"/>
      <c r="T73" s="140"/>
      <c r="U73" s="140"/>
      <c r="V73" s="140"/>
      <c r="W73" s="140"/>
      <c r="X73" s="140"/>
      <c r="Y73" s="140"/>
      <c r="Z73" s="140"/>
      <c r="AA73" s="140"/>
      <c r="AB73" s="140"/>
    </row>
    <row r="74" spans="2:28" ht="15">
      <c r="B74" s="139"/>
      <c r="C74" s="139"/>
      <c r="D74" s="139"/>
      <c r="E74" s="309" t="s">
        <v>78</v>
      </c>
      <c r="F74" s="139" t="s">
        <v>333</v>
      </c>
      <c r="G74" s="139"/>
      <c r="H74" s="139"/>
      <c r="I74" s="139"/>
      <c r="J74" s="139"/>
      <c r="K74" s="139"/>
      <c r="L74" s="139"/>
      <c r="M74" s="139"/>
      <c r="N74" s="139"/>
      <c r="O74" s="139"/>
      <c r="P74" s="139"/>
      <c r="Q74" s="140"/>
      <c r="R74" s="140"/>
      <c r="S74" s="140"/>
      <c r="T74" s="140"/>
      <c r="U74" s="140"/>
      <c r="V74" s="140"/>
      <c r="W74" s="140"/>
      <c r="X74" s="140"/>
      <c r="Y74" s="140"/>
      <c r="Z74" s="140"/>
      <c r="AA74" s="140"/>
      <c r="AB74" s="140"/>
    </row>
    <row r="75" spans="2:28" ht="15">
      <c r="B75" s="139"/>
      <c r="C75" s="139"/>
      <c r="D75" s="139"/>
      <c r="E75" s="309" t="s">
        <v>78</v>
      </c>
      <c r="F75" s="790" t="s">
        <v>334</v>
      </c>
      <c r="G75" s="790"/>
      <c r="H75" s="790"/>
      <c r="I75" s="790"/>
      <c r="J75" s="790"/>
      <c r="K75" s="790"/>
      <c r="L75" s="790"/>
      <c r="M75" s="790"/>
      <c r="N75" s="790"/>
      <c r="O75" s="790"/>
      <c r="P75" s="790"/>
      <c r="Q75" s="790"/>
      <c r="R75" s="790"/>
      <c r="S75" s="790"/>
      <c r="T75" s="790"/>
      <c r="U75" s="790"/>
      <c r="V75" s="790"/>
      <c r="W75" s="790"/>
      <c r="X75" s="790"/>
      <c r="Y75" s="790"/>
      <c r="Z75" s="790"/>
      <c r="AA75" s="790"/>
      <c r="AB75" s="790"/>
    </row>
    <row r="76" spans="2:28" ht="15">
      <c r="B76" s="101"/>
      <c r="F76" s="790"/>
      <c r="G76" s="790"/>
      <c r="H76" s="790"/>
      <c r="I76" s="790"/>
      <c r="J76" s="790"/>
      <c r="K76" s="790"/>
      <c r="L76" s="790"/>
      <c r="M76" s="790"/>
      <c r="N76" s="790"/>
      <c r="O76" s="790"/>
      <c r="P76" s="790"/>
      <c r="Q76" s="790"/>
      <c r="R76" s="790"/>
      <c r="S76" s="790"/>
      <c r="T76" s="790"/>
      <c r="U76" s="790"/>
      <c r="V76" s="790"/>
      <c r="W76" s="790"/>
      <c r="X76" s="790"/>
      <c r="Y76" s="790"/>
      <c r="Z76" s="790"/>
      <c r="AA76" s="790"/>
      <c r="AB76" s="790"/>
    </row>
    <row r="77" spans="2:28" ht="15.75">
      <c r="C77" s="148" t="s">
        <v>320</v>
      </c>
      <c r="D77" s="148" t="s">
        <v>337</v>
      </c>
      <c r="E77" s="309"/>
    </row>
    <row r="78" spans="2:28" ht="15">
      <c r="B78" s="100"/>
      <c r="D78" s="97" t="s">
        <v>335</v>
      </c>
    </row>
    <row r="79" spans="2:28" ht="15">
      <c r="B79" s="132"/>
      <c r="C79" s="136"/>
      <c r="D79" s="136" t="s">
        <v>336</v>
      </c>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136"/>
    </row>
    <row r="80" spans="2:28" ht="15">
      <c r="B80" s="131"/>
      <c r="C80" s="139"/>
      <c r="D80" s="139"/>
      <c r="E80" s="139"/>
      <c r="F80" s="139"/>
      <c r="G80" s="139"/>
      <c r="H80" s="139"/>
      <c r="I80" s="139"/>
      <c r="J80" s="139"/>
      <c r="K80" s="139"/>
      <c r="L80" s="139"/>
      <c r="M80" s="139"/>
      <c r="N80" s="139"/>
      <c r="O80" s="139"/>
      <c r="P80" s="139"/>
      <c r="Q80" s="304"/>
      <c r="R80" s="304"/>
      <c r="S80" s="304"/>
      <c r="T80" s="304"/>
      <c r="U80" s="304"/>
      <c r="V80" s="304"/>
      <c r="W80" s="304"/>
      <c r="X80" s="304"/>
      <c r="Y80" s="304"/>
      <c r="Z80" s="304"/>
      <c r="AA80" s="304"/>
      <c r="AB80" s="304"/>
    </row>
    <row r="81" spans="2:28" ht="15">
      <c r="B81" s="131"/>
      <c r="C81" s="139"/>
      <c r="D81" s="139"/>
      <c r="E81" s="139"/>
      <c r="F81" s="139"/>
      <c r="G81" s="139"/>
      <c r="H81" s="139"/>
      <c r="I81" s="139"/>
      <c r="J81" s="139"/>
      <c r="K81" s="139"/>
      <c r="L81" s="139"/>
      <c r="M81" s="139"/>
      <c r="N81" s="139"/>
      <c r="O81" s="139"/>
      <c r="P81" s="139"/>
      <c r="Q81" s="304"/>
      <c r="R81" s="304"/>
      <c r="S81" s="304"/>
      <c r="T81" s="304"/>
      <c r="U81" s="304"/>
      <c r="V81" s="304"/>
      <c r="W81" s="304"/>
      <c r="X81" s="304"/>
      <c r="Y81" s="304"/>
      <c r="Z81" s="304"/>
      <c r="AA81" s="304"/>
      <c r="AB81" s="304"/>
    </row>
    <row r="82" spans="2:28" ht="15">
      <c r="B82" s="131"/>
      <c r="C82" s="139"/>
      <c r="D82" s="139"/>
      <c r="E82" s="139"/>
      <c r="F82" s="139"/>
      <c r="G82" s="139"/>
      <c r="H82" s="139"/>
      <c r="I82" s="139"/>
      <c r="J82" s="139"/>
      <c r="K82" s="139"/>
      <c r="L82" s="139"/>
      <c r="M82" s="139"/>
      <c r="N82" s="139"/>
      <c r="O82" s="139"/>
      <c r="P82" s="139"/>
      <c r="Q82" s="304"/>
      <c r="R82" s="304"/>
      <c r="S82" s="304"/>
      <c r="T82" s="304"/>
      <c r="U82" s="304"/>
      <c r="V82" s="304"/>
      <c r="W82" s="304"/>
      <c r="X82" s="304"/>
      <c r="Y82" s="304"/>
      <c r="Z82" s="304"/>
      <c r="AA82" s="304"/>
      <c r="AB82" s="304"/>
    </row>
    <row r="83" spans="2:28" ht="15"/>
    <row r="84" spans="2:28" ht="15">
      <c r="B84" s="100"/>
      <c r="O84" s="100"/>
    </row>
    <row r="85" spans="2:28" ht="15">
      <c r="B85" s="97"/>
      <c r="H85" s="278"/>
      <c r="I85" s="305"/>
      <c r="J85" s="306"/>
      <c r="K85" s="301"/>
      <c r="L85" s="301"/>
      <c r="M85" s="301"/>
      <c r="O85" s="103"/>
      <c r="P85" s="103"/>
      <c r="Q85" s="103"/>
      <c r="R85" s="103"/>
      <c r="S85" s="103"/>
      <c r="T85" s="103"/>
      <c r="U85" s="103"/>
      <c r="V85" s="103"/>
      <c r="W85" s="103"/>
      <c r="X85" s="103"/>
      <c r="Y85" s="103"/>
      <c r="Z85" s="103"/>
      <c r="AA85" s="103"/>
      <c r="AB85" s="103"/>
    </row>
    <row r="86" spans="2:28" ht="15">
      <c r="B86" s="97"/>
      <c r="H86" s="278"/>
      <c r="I86" s="305"/>
      <c r="J86" s="306"/>
      <c r="K86" s="301"/>
      <c r="L86" s="301"/>
      <c r="M86" s="301"/>
      <c r="O86" s="103"/>
      <c r="P86" s="103"/>
      <c r="Q86" s="103"/>
      <c r="R86" s="103"/>
      <c r="S86" s="103"/>
      <c r="T86" s="103"/>
      <c r="U86" s="103"/>
      <c r="V86" s="103"/>
      <c r="W86" s="103"/>
      <c r="X86" s="103"/>
      <c r="Y86" s="103"/>
      <c r="Z86" s="103"/>
      <c r="AA86" s="103"/>
      <c r="AB86" s="103"/>
    </row>
    <row r="87" spans="2:28" ht="15">
      <c r="B87" s="97"/>
      <c r="H87" s="278"/>
      <c r="I87" s="305"/>
      <c r="J87" s="306"/>
      <c r="K87" s="301"/>
      <c r="L87" s="301"/>
      <c r="M87" s="301"/>
      <c r="O87" s="103"/>
      <c r="P87" s="103"/>
      <c r="Q87" s="103"/>
      <c r="R87" s="103"/>
      <c r="S87" s="103"/>
      <c r="T87" s="103"/>
      <c r="U87" s="103"/>
      <c r="V87" s="103"/>
      <c r="W87" s="103"/>
      <c r="X87" s="103"/>
      <c r="Y87" s="103"/>
      <c r="Z87" s="103"/>
      <c r="AA87" s="103"/>
      <c r="AB87" s="103"/>
    </row>
    <row r="88" spans="2:28" ht="15">
      <c r="W88" s="97"/>
    </row>
    <row r="89" spans="2:28" ht="15">
      <c r="B89" s="97"/>
      <c r="C89" s="97"/>
      <c r="D89" s="97"/>
      <c r="E89" s="97"/>
      <c r="F89" s="97"/>
      <c r="G89" s="97"/>
      <c r="H89" s="97"/>
      <c r="I89" s="97"/>
      <c r="J89" s="97"/>
    </row>
    <row r="90" spans="2:28" ht="15.75">
      <c r="B90" s="97"/>
      <c r="C90" s="148" t="s">
        <v>323</v>
      </c>
      <c r="D90" s="148" t="s">
        <v>338</v>
      </c>
      <c r="T90" s="97"/>
    </row>
    <row r="91" spans="2:28" ht="15" customHeight="1">
      <c r="D91" s="97" t="s">
        <v>339</v>
      </c>
    </row>
    <row r="92" spans="2:28" ht="15" customHeight="1">
      <c r="D92" s="97" t="s">
        <v>340</v>
      </c>
    </row>
    <row r="93" spans="2:28" ht="15" customHeight="1"/>
    <row r="94" spans="2:28" ht="15" customHeight="1">
      <c r="C94" s="148" t="s">
        <v>343</v>
      </c>
      <c r="D94" s="148" t="s">
        <v>341</v>
      </c>
    </row>
    <row r="95" spans="2:28" ht="15" customHeight="1">
      <c r="B95" s="141"/>
      <c r="C95" s="141"/>
      <c r="D95" s="789" t="s">
        <v>342</v>
      </c>
      <c r="E95" s="789"/>
      <c r="F95" s="789"/>
      <c r="G95" s="789"/>
      <c r="H95" s="789"/>
      <c r="I95" s="789"/>
      <c r="J95" s="789"/>
      <c r="K95" s="789"/>
      <c r="L95" s="789"/>
      <c r="M95" s="789"/>
      <c r="N95" s="789"/>
      <c r="O95" s="789"/>
      <c r="P95" s="789"/>
      <c r="Q95" s="789"/>
      <c r="R95" s="789"/>
      <c r="S95" s="789"/>
      <c r="T95" s="789"/>
      <c r="U95" s="789"/>
      <c r="V95" s="789"/>
      <c r="W95" s="789"/>
      <c r="X95" s="789"/>
      <c r="Y95" s="789"/>
      <c r="Z95" s="789"/>
      <c r="AA95" s="789"/>
      <c r="AB95" s="789"/>
    </row>
    <row r="96" spans="2:28" ht="15" customHeight="1">
      <c r="D96" s="789"/>
      <c r="E96" s="789"/>
      <c r="F96" s="789"/>
      <c r="G96" s="789"/>
      <c r="H96" s="789"/>
      <c r="I96" s="789"/>
      <c r="J96" s="789"/>
      <c r="K96" s="789"/>
      <c r="L96" s="789"/>
      <c r="M96" s="789"/>
      <c r="N96" s="789"/>
      <c r="O96" s="789"/>
      <c r="P96" s="789"/>
      <c r="Q96" s="789"/>
      <c r="R96" s="789"/>
      <c r="S96" s="789"/>
      <c r="T96" s="789"/>
      <c r="U96" s="789"/>
      <c r="V96" s="789"/>
      <c r="W96" s="789"/>
      <c r="X96" s="789"/>
      <c r="Y96" s="789"/>
      <c r="Z96" s="789"/>
      <c r="AA96" s="789"/>
      <c r="AB96" s="789"/>
    </row>
    <row r="97" spans="2:28" ht="15" customHeight="1">
      <c r="B97" s="97"/>
    </row>
    <row r="98" spans="2:28" ht="15" customHeight="1">
      <c r="C98" s="148" t="s">
        <v>344</v>
      </c>
      <c r="D98" s="148" t="s">
        <v>345</v>
      </c>
    </row>
    <row r="99" spans="2:28" ht="15" customHeight="1">
      <c r="D99" s="97" t="s">
        <v>346</v>
      </c>
    </row>
    <row r="100" spans="2:28" ht="15" customHeight="1"/>
    <row r="101" spans="2:28" ht="15" customHeight="1">
      <c r="C101" s="148" t="s">
        <v>347</v>
      </c>
      <c r="D101" s="148" t="s">
        <v>348</v>
      </c>
    </row>
    <row r="102" spans="2:28" ht="15" customHeight="1">
      <c r="D102" s="99" t="s">
        <v>349</v>
      </c>
    </row>
    <row r="103" spans="2:28" ht="15" customHeight="1">
      <c r="B103" s="141"/>
      <c r="C103" s="141"/>
      <c r="D103" s="99" t="s">
        <v>350</v>
      </c>
      <c r="E103" s="141"/>
      <c r="F103" s="141"/>
      <c r="G103" s="141"/>
      <c r="H103" s="141"/>
      <c r="I103" s="141"/>
      <c r="J103" s="141"/>
      <c r="K103" s="141"/>
      <c r="L103" s="141"/>
      <c r="M103" s="141"/>
      <c r="N103" s="141"/>
      <c r="O103" s="141"/>
      <c r="P103" s="141"/>
      <c r="Q103" s="141"/>
      <c r="R103" s="141"/>
      <c r="S103" s="141"/>
      <c r="T103" s="141"/>
      <c r="U103" s="141"/>
      <c r="V103" s="141"/>
      <c r="W103" s="141"/>
      <c r="X103" s="141"/>
      <c r="Y103" s="141"/>
      <c r="Z103" s="141"/>
      <c r="AA103" s="141"/>
      <c r="AB103" s="141"/>
    </row>
    <row r="104" spans="2:28" ht="15" customHeight="1">
      <c r="D104" s="97" t="s">
        <v>351</v>
      </c>
    </row>
    <row r="105" spans="2:28" ht="15" customHeight="1">
      <c r="T105" s="97"/>
      <c r="X105" s="97"/>
    </row>
    <row r="106" spans="2:28" ht="15" customHeight="1">
      <c r="D106" s="310" t="s">
        <v>352</v>
      </c>
      <c r="T106" s="97"/>
      <c r="X106" s="97"/>
    </row>
    <row r="107" spans="2:28" ht="15" customHeight="1">
      <c r="T107" s="97"/>
      <c r="X107" s="97"/>
    </row>
    <row r="108" spans="2:28" ht="19.5" customHeight="1">
      <c r="B108" s="106"/>
      <c r="C108" s="106"/>
      <c r="D108" s="106"/>
      <c r="E108" s="106"/>
      <c r="F108" s="106"/>
      <c r="G108" s="106"/>
      <c r="H108" s="106"/>
      <c r="I108" s="106"/>
      <c r="J108" s="106"/>
      <c r="K108" s="106"/>
      <c r="L108" s="106"/>
      <c r="M108" s="106"/>
      <c r="N108" s="106"/>
      <c r="O108" s="106"/>
      <c r="P108" s="106"/>
      <c r="Q108" s="106"/>
      <c r="R108" s="106"/>
      <c r="S108" s="106"/>
      <c r="T108" s="106"/>
      <c r="U108" s="106"/>
      <c r="V108" s="106"/>
      <c r="W108" s="106"/>
      <c r="X108" s="106"/>
      <c r="Y108" s="106"/>
      <c r="Z108" s="106"/>
      <c r="AA108" s="106"/>
      <c r="AB108" s="106"/>
    </row>
    <row r="109" spans="2:28" ht="15" customHeight="1">
      <c r="B109" s="277"/>
      <c r="C109" s="277"/>
      <c r="D109" s="277"/>
      <c r="E109" s="277"/>
      <c r="F109" s="277"/>
      <c r="G109" s="277"/>
      <c r="H109" s="277"/>
      <c r="I109" s="277"/>
      <c r="J109" s="277"/>
      <c r="K109" s="277"/>
      <c r="L109" s="277"/>
      <c r="M109" s="277"/>
      <c r="N109" s="277"/>
      <c r="O109" s="277"/>
      <c r="P109" s="277"/>
      <c r="Q109" s="277"/>
      <c r="R109" s="277"/>
      <c r="S109" s="277"/>
      <c r="T109" s="277"/>
      <c r="U109" s="277"/>
      <c r="V109" s="277"/>
      <c r="W109" s="277"/>
      <c r="X109" s="277"/>
      <c r="Y109" s="277"/>
      <c r="Z109" s="277"/>
      <c r="AA109" s="277"/>
      <c r="AB109" s="277"/>
    </row>
    <row r="110" spans="2:28" ht="15" customHeight="1">
      <c r="B110" s="100"/>
    </row>
    <row r="111" spans="2:28" ht="15" customHeight="1">
      <c r="B111" s="302"/>
      <c r="C111" s="100"/>
      <c r="D111" s="100"/>
      <c r="E111" s="100"/>
      <c r="F111" s="100"/>
      <c r="G111" s="100"/>
      <c r="H111" s="100"/>
      <c r="I111" s="100"/>
      <c r="J111" s="100"/>
      <c r="K111" s="100"/>
      <c r="L111" s="100"/>
      <c r="M111" s="100"/>
      <c r="N111" s="100"/>
      <c r="O111" s="100"/>
      <c r="P111" s="100"/>
      <c r="Q111" s="100"/>
      <c r="R111" s="100"/>
      <c r="S111" s="100"/>
      <c r="T111" s="100"/>
      <c r="U111" s="100"/>
      <c r="V111" s="100"/>
      <c r="W111" s="100"/>
      <c r="X111" s="100"/>
      <c r="Y111" s="100"/>
      <c r="Z111" s="100"/>
      <c r="AA111" s="100"/>
      <c r="AB111" s="100"/>
    </row>
    <row r="112" spans="2:28" ht="15" customHeight="1">
      <c r="B112" s="277"/>
    </row>
    <row r="113" spans="2:28" ht="15" customHeight="1">
      <c r="B113" s="277"/>
    </row>
    <row r="114" spans="2:28" ht="15" customHeight="1">
      <c r="B114" s="277"/>
    </row>
    <row r="115" spans="2:28" ht="15" customHeight="1"/>
    <row r="116" spans="2:28" ht="15" customHeight="1">
      <c r="B116" s="100"/>
    </row>
    <row r="117" spans="2:28" ht="15" customHeight="1">
      <c r="B117" s="103"/>
      <c r="C117" s="103"/>
      <c r="D117" s="103"/>
      <c r="E117" s="103"/>
      <c r="F117" s="103"/>
      <c r="G117" s="103"/>
      <c r="H117" s="103"/>
      <c r="I117" s="103"/>
      <c r="J117" s="103"/>
      <c r="K117" s="103"/>
      <c r="L117" s="103"/>
      <c r="M117" s="103"/>
      <c r="N117" s="103"/>
      <c r="O117" s="103"/>
      <c r="P117" s="103"/>
      <c r="Q117" s="103"/>
      <c r="R117" s="103"/>
      <c r="S117" s="103"/>
      <c r="T117" s="103"/>
      <c r="U117" s="103"/>
      <c r="V117" s="103"/>
      <c r="W117" s="103"/>
      <c r="X117" s="103"/>
      <c r="Y117" s="103"/>
      <c r="Z117" s="103"/>
      <c r="AA117" s="103"/>
      <c r="AB117" s="103"/>
    </row>
    <row r="118" spans="2:28" ht="15" customHeight="1">
      <c r="B118" s="103"/>
      <c r="C118" s="103"/>
      <c r="D118" s="103"/>
      <c r="E118" s="103"/>
      <c r="F118" s="103"/>
      <c r="G118" s="103"/>
      <c r="H118" s="103"/>
      <c r="I118" s="103"/>
      <c r="J118" s="103"/>
      <c r="K118" s="103"/>
      <c r="L118" s="103"/>
      <c r="M118" s="103"/>
      <c r="N118" s="103"/>
      <c r="O118" s="103"/>
      <c r="P118" s="103"/>
      <c r="Q118" s="103"/>
      <c r="R118" s="103"/>
      <c r="S118" s="103"/>
      <c r="T118" s="103"/>
      <c r="U118" s="103"/>
      <c r="V118" s="103"/>
      <c r="W118" s="103"/>
      <c r="X118" s="103"/>
      <c r="Y118" s="103"/>
      <c r="Z118" s="103"/>
      <c r="AA118" s="103"/>
      <c r="AB118" s="103"/>
    </row>
    <row r="119" spans="2:28" ht="15" customHeight="1">
      <c r="B119" s="103"/>
      <c r="C119" s="103"/>
      <c r="D119" s="103"/>
      <c r="E119" s="103"/>
      <c r="F119" s="103"/>
      <c r="G119" s="103"/>
      <c r="H119" s="103"/>
      <c r="I119" s="103"/>
      <c r="J119" s="103"/>
      <c r="K119" s="103"/>
      <c r="L119" s="103"/>
      <c r="M119" s="103"/>
      <c r="N119" s="103"/>
      <c r="O119" s="103"/>
      <c r="P119" s="103"/>
      <c r="Q119" s="103"/>
      <c r="R119" s="103"/>
      <c r="S119" s="103"/>
      <c r="T119" s="103"/>
      <c r="U119" s="103"/>
      <c r="V119" s="103"/>
      <c r="W119" s="103"/>
      <c r="X119" s="103"/>
      <c r="Y119" s="103"/>
      <c r="Z119" s="103"/>
      <c r="AA119" s="103"/>
      <c r="AB119" s="103"/>
    </row>
    <row r="120" spans="2:28" ht="15" customHeight="1"/>
    <row r="121" spans="2:28" ht="15" customHeight="1">
      <c r="B121" s="100"/>
    </row>
    <row r="122" spans="2:28" ht="15" customHeight="1">
      <c r="B122" s="103"/>
      <c r="C122" s="103"/>
      <c r="D122" s="103"/>
      <c r="E122" s="103"/>
      <c r="F122" s="103"/>
      <c r="G122" s="103"/>
      <c r="H122" s="103"/>
      <c r="I122" s="103"/>
      <c r="J122" s="103"/>
      <c r="K122" s="103"/>
      <c r="L122" s="103"/>
      <c r="M122" s="103"/>
      <c r="N122" s="103"/>
      <c r="O122" s="103"/>
      <c r="P122" s="103"/>
      <c r="Q122" s="103"/>
      <c r="R122" s="103"/>
      <c r="S122" s="103"/>
      <c r="T122" s="103"/>
      <c r="U122" s="103"/>
      <c r="V122" s="103"/>
      <c r="W122" s="103"/>
      <c r="X122" s="103"/>
      <c r="Y122" s="103"/>
      <c r="Z122" s="103"/>
      <c r="AA122" s="103"/>
      <c r="AB122" s="103"/>
    </row>
    <row r="123" spans="2:28" ht="15" customHeight="1">
      <c r="B123" s="103"/>
      <c r="C123" s="103"/>
      <c r="D123" s="103"/>
      <c r="E123" s="103"/>
      <c r="F123" s="103"/>
      <c r="G123" s="103"/>
      <c r="H123" s="103"/>
      <c r="I123" s="103"/>
      <c r="J123" s="103"/>
      <c r="K123" s="103"/>
      <c r="L123" s="103"/>
      <c r="M123" s="103"/>
      <c r="N123" s="103"/>
      <c r="O123" s="103"/>
      <c r="P123" s="103"/>
      <c r="Q123" s="103"/>
      <c r="R123" s="103"/>
      <c r="S123" s="103"/>
      <c r="T123" s="103"/>
      <c r="U123" s="103"/>
      <c r="V123" s="103"/>
      <c r="W123" s="103"/>
      <c r="X123" s="103"/>
      <c r="Y123" s="103"/>
      <c r="Z123" s="103"/>
      <c r="AA123" s="103"/>
      <c r="AB123" s="103"/>
    </row>
    <row r="124" spans="2:28" ht="15" customHeight="1">
      <c r="B124" s="103"/>
      <c r="C124" s="148" t="s">
        <v>353</v>
      </c>
      <c r="D124" s="148" t="s">
        <v>354</v>
      </c>
      <c r="E124" s="103"/>
      <c r="F124" s="103"/>
      <c r="G124" s="103"/>
      <c r="H124" s="103"/>
      <c r="I124" s="103"/>
      <c r="J124" s="103"/>
      <c r="K124" s="103"/>
      <c r="L124" s="103"/>
      <c r="M124" s="103"/>
      <c r="N124" s="103"/>
      <c r="O124" s="103"/>
      <c r="P124" s="103"/>
      <c r="Q124" s="103"/>
      <c r="R124" s="103"/>
      <c r="S124" s="103"/>
      <c r="T124" s="103"/>
      <c r="U124" s="103"/>
      <c r="V124" s="103"/>
      <c r="W124" s="103"/>
      <c r="X124" s="103"/>
      <c r="Y124" s="103"/>
      <c r="Z124" s="103"/>
      <c r="AA124" s="103"/>
      <c r="AB124" s="103"/>
    </row>
    <row r="125" spans="2:28" ht="15" customHeight="1">
      <c r="B125" s="103"/>
      <c r="C125" s="103"/>
      <c r="D125" s="793" t="s">
        <v>355</v>
      </c>
      <c r="E125" s="794"/>
      <c r="F125" s="794"/>
      <c r="G125" s="794"/>
      <c r="H125" s="794"/>
      <c r="I125" s="794"/>
      <c r="J125" s="794"/>
      <c r="K125" s="794"/>
      <c r="L125" s="794"/>
      <c r="M125" s="794"/>
      <c r="N125" s="794"/>
      <c r="O125" s="794"/>
      <c r="P125" s="794"/>
      <c r="Q125" s="794"/>
      <c r="R125" s="794"/>
      <c r="S125" s="794"/>
      <c r="T125" s="794"/>
      <c r="U125" s="794"/>
      <c r="V125" s="794"/>
      <c r="W125" s="794"/>
      <c r="X125" s="794"/>
      <c r="Y125" s="794"/>
      <c r="Z125" s="794"/>
      <c r="AA125" s="794"/>
      <c r="AB125" s="794"/>
    </row>
    <row r="126" spans="2:28" ht="15" customHeight="1">
      <c r="B126" s="103"/>
      <c r="C126" s="103"/>
      <c r="D126" s="103"/>
      <c r="E126" s="103"/>
      <c r="F126" s="103"/>
      <c r="G126" s="103"/>
      <c r="H126" s="103"/>
      <c r="I126" s="103"/>
      <c r="J126" s="103"/>
      <c r="K126" s="103"/>
      <c r="L126" s="103"/>
      <c r="M126" s="103"/>
      <c r="N126" s="103"/>
      <c r="O126" s="103"/>
      <c r="P126" s="103"/>
      <c r="Q126" s="103"/>
      <c r="R126" s="103"/>
      <c r="S126" s="103"/>
      <c r="T126" s="103"/>
      <c r="U126" s="103"/>
      <c r="V126" s="103"/>
      <c r="W126" s="103"/>
      <c r="X126" s="103"/>
      <c r="Y126" s="103"/>
      <c r="Z126" s="103"/>
      <c r="AA126" s="103"/>
      <c r="AB126" s="103"/>
    </row>
    <row r="127" spans="2:28" ht="15" customHeight="1">
      <c r="B127" s="103"/>
      <c r="C127" s="148" t="s">
        <v>356</v>
      </c>
      <c r="D127" s="148" t="s">
        <v>357</v>
      </c>
      <c r="E127" s="103"/>
      <c r="F127" s="103"/>
      <c r="G127" s="103"/>
      <c r="H127" s="103"/>
      <c r="I127" s="103"/>
      <c r="J127" s="103"/>
      <c r="K127" s="103"/>
      <c r="L127" s="103"/>
      <c r="M127" s="103"/>
      <c r="N127" s="103"/>
      <c r="O127" s="103"/>
      <c r="P127" s="103"/>
      <c r="Q127" s="103"/>
      <c r="R127" s="103"/>
      <c r="S127" s="103"/>
      <c r="T127" s="103"/>
      <c r="U127" s="103"/>
      <c r="V127" s="103"/>
      <c r="W127" s="103"/>
      <c r="X127" s="103"/>
      <c r="Y127" s="103"/>
      <c r="Z127" s="103"/>
      <c r="AA127" s="103"/>
      <c r="AB127" s="103"/>
    </row>
    <row r="128" spans="2:28" ht="15" customHeight="1">
      <c r="B128" s="103"/>
      <c r="C128" s="103"/>
      <c r="D128" s="789" t="s">
        <v>358</v>
      </c>
      <c r="E128" s="789"/>
      <c r="F128" s="789"/>
      <c r="G128" s="789"/>
      <c r="H128" s="789"/>
      <c r="I128" s="789"/>
      <c r="J128" s="789"/>
      <c r="K128" s="789"/>
      <c r="L128" s="789"/>
      <c r="M128" s="789"/>
      <c r="N128" s="789"/>
      <c r="O128" s="789"/>
      <c r="P128" s="789"/>
      <c r="Q128" s="789"/>
      <c r="R128" s="789"/>
      <c r="S128" s="789"/>
      <c r="T128" s="789"/>
      <c r="U128" s="789"/>
      <c r="V128" s="789"/>
      <c r="W128" s="789"/>
      <c r="X128" s="789"/>
      <c r="Y128" s="789"/>
      <c r="Z128" s="789"/>
      <c r="AA128" s="789"/>
      <c r="AB128" s="789"/>
    </row>
    <row r="129" spans="2:28" ht="15" customHeight="1">
      <c r="D129" s="789"/>
      <c r="E129" s="789"/>
      <c r="F129" s="789"/>
      <c r="G129" s="789"/>
      <c r="H129" s="789"/>
      <c r="I129" s="789"/>
      <c r="J129" s="789"/>
      <c r="K129" s="789"/>
      <c r="L129" s="789"/>
      <c r="M129" s="789"/>
      <c r="N129" s="789"/>
      <c r="O129" s="789"/>
      <c r="P129" s="789"/>
      <c r="Q129" s="789"/>
      <c r="R129" s="789"/>
      <c r="S129" s="789"/>
      <c r="T129" s="789"/>
      <c r="U129" s="789"/>
      <c r="V129" s="789"/>
      <c r="W129" s="789"/>
      <c r="X129" s="789"/>
      <c r="Y129" s="789"/>
      <c r="Z129" s="789"/>
      <c r="AA129" s="789"/>
      <c r="AB129" s="789"/>
    </row>
    <row r="130" spans="2:28" ht="15" customHeight="1">
      <c r="B130" s="100"/>
    </row>
    <row r="131" spans="2:28" ht="15" customHeight="1">
      <c r="B131" s="136"/>
      <c r="C131" s="136"/>
      <c r="D131" s="136"/>
      <c r="E131" s="136"/>
      <c r="F131" s="136"/>
      <c r="G131" s="136"/>
      <c r="H131" s="100"/>
      <c r="I131" s="100"/>
      <c r="J131" s="100"/>
      <c r="K131" s="100"/>
      <c r="L131" s="100"/>
      <c r="M131" s="100"/>
      <c r="N131" s="100"/>
      <c r="O131" s="100"/>
      <c r="P131" s="100"/>
      <c r="Q131" s="100"/>
      <c r="R131" s="100"/>
      <c r="S131" s="100"/>
      <c r="T131" s="100"/>
      <c r="U131" s="100"/>
      <c r="V131" s="100"/>
      <c r="W131" s="100"/>
      <c r="X131" s="100"/>
      <c r="Y131" s="100"/>
      <c r="Z131" s="100"/>
      <c r="AA131" s="100"/>
      <c r="AB131" s="100"/>
    </row>
    <row r="132" spans="2:28" ht="15" customHeight="1">
      <c r="B132" s="136"/>
      <c r="C132" s="136"/>
      <c r="D132" s="136"/>
      <c r="E132" s="136"/>
      <c r="F132" s="136"/>
      <c r="G132" s="136"/>
      <c r="H132" s="100"/>
      <c r="I132" s="100"/>
      <c r="J132" s="100"/>
      <c r="K132" s="100"/>
      <c r="L132" s="100"/>
      <c r="M132" s="100"/>
      <c r="N132" s="100"/>
      <c r="O132" s="100"/>
      <c r="P132" s="100"/>
      <c r="Q132" s="100"/>
      <c r="R132" s="100"/>
      <c r="S132" s="100"/>
      <c r="T132" s="100"/>
      <c r="U132" s="100"/>
      <c r="V132" s="100"/>
      <c r="W132" s="100"/>
      <c r="X132" s="100"/>
      <c r="Y132" s="100"/>
      <c r="Z132" s="100"/>
      <c r="AA132" s="100"/>
      <c r="AB132" s="100"/>
    </row>
    <row r="133" spans="2:28" ht="15" customHeight="1">
      <c r="B133" s="97"/>
      <c r="C133" s="97"/>
      <c r="D133" s="97"/>
      <c r="E133" s="97"/>
      <c r="F133" s="97"/>
      <c r="G133" s="97"/>
      <c r="H133" s="97"/>
    </row>
    <row r="134" spans="2:28" ht="15" customHeight="1">
      <c r="B134" s="791"/>
      <c r="C134" s="791"/>
      <c r="D134" s="791"/>
      <c r="E134" s="791"/>
      <c r="F134" s="791"/>
      <c r="G134" s="791"/>
      <c r="H134" s="791"/>
      <c r="I134" s="792"/>
      <c r="J134" s="792"/>
      <c r="K134" s="792"/>
      <c r="L134" s="792"/>
      <c r="M134" s="792"/>
      <c r="N134" s="792"/>
      <c r="O134" s="792"/>
      <c r="P134" s="792"/>
      <c r="Q134" s="792"/>
      <c r="R134" s="792"/>
      <c r="S134" s="792"/>
      <c r="T134" s="792"/>
      <c r="U134" s="792"/>
      <c r="V134" s="792"/>
      <c r="W134" s="792"/>
      <c r="X134" s="792"/>
      <c r="Y134" s="792"/>
      <c r="Z134" s="792"/>
      <c r="AA134" s="792"/>
      <c r="AB134" s="792"/>
    </row>
    <row r="135" spans="2:28" ht="15" customHeight="1">
      <c r="B135" s="791"/>
      <c r="C135" s="791"/>
      <c r="D135" s="791"/>
      <c r="E135" s="791"/>
      <c r="F135" s="791"/>
      <c r="G135" s="791"/>
      <c r="H135" s="791"/>
      <c r="I135" s="792"/>
      <c r="J135" s="792"/>
      <c r="K135" s="792"/>
      <c r="L135" s="792"/>
      <c r="M135" s="792"/>
      <c r="N135" s="792"/>
      <c r="O135" s="792"/>
      <c r="P135" s="792"/>
      <c r="Q135" s="792"/>
      <c r="R135" s="792"/>
      <c r="S135" s="792"/>
      <c r="T135" s="792"/>
      <c r="U135" s="792"/>
      <c r="V135" s="792"/>
      <c r="W135" s="792"/>
      <c r="X135" s="792"/>
      <c r="Y135" s="792"/>
      <c r="Z135" s="792"/>
      <c r="AA135" s="792"/>
      <c r="AB135" s="792"/>
    </row>
    <row r="136" spans="2:28" ht="15" customHeight="1">
      <c r="B136" s="791"/>
      <c r="C136" s="791"/>
      <c r="D136" s="791"/>
      <c r="E136" s="791"/>
      <c r="F136" s="791"/>
      <c r="G136" s="791"/>
      <c r="H136" s="791"/>
      <c r="I136" s="792"/>
      <c r="J136" s="792"/>
      <c r="K136" s="792"/>
      <c r="L136" s="792"/>
      <c r="M136" s="792"/>
      <c r="N136" s="792"/>
      <c r="O136" s="792"/>
      <c r="P136" s="792"/>
      <c r="Q136" s="792"/>
      <c r="R136" s="792"/>
      <c r="S136" s="792"/>
      <c r="T136" s="792"/>
      <c r="U136" s="792"/>
      <c r="V136" s="792"/>
      <c r="W136" s="792"/>
      <c r="X136" s="792"/>
      <c r="Y136" s="792"/>
      <c r="Z136" s="792"/>
      <c r="AA136" s="792"/>
      <c r="AB136" s="792"/>
    </row>
    <row r="137" spans="2:28" ht="15" customHeight="1">
      <c r="B137" s="795" t="s">
        <v>359</v>
      </c>
      <c r="C137" s="795"/>
      <c r="D137" s="795"/>
      <c r="E137" s="795"/>
      <c r="F137" s="795"/>
      <c r="G137" s="795"/>
      <c r="H137" s="795"/>
      <c r="I137" s="795"/>
      <c r="J137" s="795"/>
      <c r="K137" s="795"/>
      <c r="L137" s="795"/>
      <c r="M137" s="795"/>
      <c r="N137" s="795"/>
      <c r="O137" s="795"/>
      <c r="P137" s="795"/>
      <c r="Q137" s="795"/>
      <c r="R137" s="795"/>
      <c r="S137" s="795"/>
      <c r="T137" s="795"/>
      <c r="U137" s="795"/>
      <c r="V137" s="795"/>
      <c r="W137" s="795"/>
      <c r="X137" s="795"/>
      <c r="Y137" s="795"/>
      <c r="Z137" s="795"/>
      <c r="AA137" s="795"/>
      <c r="AB137" s="795"/>
    </row>
    <row r="138" spans="2:28" ht="15" customHeight="1"/>
  </sheetData>
  <sheetProtection password="E0FB" sheet="1" objects="1" scenarios="1" selectLockedCells="1"/>
  <mergeCells count="24">
    <mergeCell ref="B137:AB137"/>
    <mergeCell ref="D33:AB33"/>
    <mergeCell ref="B49:AB49"/>
    <mergeCell ref="D55:AB56"/>
    <mergeCell ref="D59:AB60"/>
    <mergeCell ref="B135:G135"/>
    <mergeCell ref="H135:N135"/>
    <mergeCell ref="O135:T135"/>
    <mergeCell ref="U135:X135"/>
    <mergeCell ref="Y135:AB135"/>
    <mergeCell ref="B136:G136"/>
    <mergeCell ref="H136:N136"/>
    <mergeCell ref="O136:T136"/>
    <mergeCell ref="U136:X136"/>
    <mergeCell ref="Y136:AB136"/>
    <mergeCell ref="B134:G134"/>
    <mergeCell ref="D95:AB96"/>
    <mergeCell ref="F75:AB76"/>
    <mergeCell ref="H134:N134"/>
    <mergeCell ref="O134:T134"/>
    <mergeCell ref="U134:X134"/>
    <mergeCell ref="Y134:AB134"/>
    <mergeCell ref="D125:AB125"/>
    <mergeCell ref="D128:AB129"/>
  </mergeCells>
  <pageMargins left="0.7" right="0.7" top="0.66" bottom="0.63" header="0.3" footer="0.3"/>
  <pageSetup paperSize="9" scale="95" orientation="portrait" r:id="rId1"/>
  <rowBreaks count="3" manualBreakCount="3">
    <brk id="40" min="2" max="27" man="1"/>
    <brk id="64" min="1" max="27" man="1"/>
    <brk id="104" min="1" max="27" man="1"/>
  </rowBreaks>
  <ignoredErrors>
    <ignoredError sqref="B4" numberStoredAsText="1"/>
  </ignoredErrors>
  <drawing r:id="rId2"/>
  <legacyDrawing r:id="rId3"/>
</worksheet>
</file>

<file path=xl/worksheets/sheet4.xml><?xml version="1.0" encoding="utf-8"?>
<worksheet xmlns="http://schemas.openxmlformats.org/spreadsheetml/2006/main" xmlns:r="http://schemas.openxmlformats.org/officeDocument/2006/relationships">
  <sheetPr codeName="Sheet5">
    <tabColor theme="9"/>
  </sheetPr>
  <dimension ref="A1:V67"/>
  <sheetViews>
    <sheetView showRowColHeaders="0" showZeros="0" workbookViewId="0">
      <selection activeCell="G21" sqref="G21"/>
    </sheetView>
  </sheetViews>
  <sheetFormatPr defaultColWidth="0" defaultRowHeight="15" zeroHeight="1"/>
  <cols>
    <col min="1" max="1" width="13.28515625" style="2" customWidth="1"/>
    <col min="2" max="2" width="0.7109375" style="2" customWidth="1"/>
    <col min="3" max="3" width="8" style="6" customWidth="1"/>
    <col min="4" max="4" width="1.42578125" style="2" customWidth="1"/>
    <col min="5" max="5" width="12.85546875" style="6" hidden="1" customWidth="1"/>
    <col min="6" max="6" width="1.7109375" style="2" hidden="1" customWidth="1"/>
    <col min="7" max="7" width="14.140625" style="6" customWidth="1"/>
    <col min="8" max="8" width="1.42578125" style="2" customWidth="1"/>
    <col min="9" max="9" width="24.140625" style="6" customWidth="1"/>
    <col min="10" max="10" width="1.42578125" style="2" customWidth="1"/>
    <col min="11" max="11" width="9.140625" style="6" customWidth="1"/>
    <col min="12" max="12" width="6.28515625" style="2" customWidth="1"/>
    <col min="13" max="13" width="7.7109375" style="12" customWidth="1"/>
    <col min="14" max="14" width="32" style="6" customWidth="1"/>
    <col min="15" max="15" width="22.5703125" style="6" customWidth="1"/>
    <col min="16" max="16" width="1.42578125" style="10" customWidth="1"/>
    <col min="17" max="17" width="36.140625" style="6" customWidth="1"/>
    <col min="18" max="18" width="5.7109375" style="10" customWidth="1"/>
    <col min="19" max="19" width="22.5703125" style="10" hidden="1" customWidth="1"/>
    <col min="20" max="21" width="9.140625" style="2" hidden="1" customWidth="1"/>
    <col min="22" max="22" width="0" style="2" hidden="1" customWidth="1"/>
    <col min="23" max="16384" width="9.140625" style="2" hidden="1"/>
  </cols>
  <sheetData>
    <row r="1" spans="3:19">
      <c r="C1" s="2"/>
      <c r="E1" s="2"/>
      <c r="G1" s="2"/>
      <c r="I1" s="2"/>
      <c r="K1" s="2"/>
      <c r="L1" s="10"/>
      <c r="M1" s="10"/>
      <c r="N1" s="2"/>
      <c r="O1" s="2"/>
      <c r="P1" s="2"/>
      <c r="Q1" s="2"/>
      <c r="R1" s="2"/>
      <c r="S1" s="2"/>
    </row>
    <row r="2" spans="3:19" ht="15" customHeight="1">
      <c r="C2" s="807" t="s">
        <v>30</v>
      </c>
      <c r="D2" s="807"/>
      <c r="E2" s="807"/>
      <c r="F2" s="807"/>
      <c r="G2" s="807"/>
      <c r="H2" s="807"/>
      <c r="I2" s="807"/>
      <c r="J2" s="807"/>
      <c r="K2" s="807"/>
      <c r="L2" s="679"/>
      <c r="M2" s="807" t="s">
        <v>33</v>
      </c>
      <c r="N2" s="807"/>
      <c r="O2" s="807"/>
      <c r="P2" s="675"/>
      <c r="Q2" s="678" t="s">
        <v>605</v>
      </c>
      <c r="R2" s="675"/>
      <c r="S2" s="675"/>
    </row>
    <row r="3" spans="3:19" ht="6" customHeight="1">
      <c r="C3" s="2"/>
      <c r="E3" s="2"/>
      <c r="G3" s="2"/>
      <c r="I3" s="2"/>
      <c r="K3" s="2"/>
      <c r="L3" s="10"/>
      <c r="M3" s="10"/>
      <c r="N3" s="2"/>
      <c r="O3" s="2"/>
      <c r="P3" s="2"/>
      <c r="Q3" s="2"/>
      <c r="R3" s="2"/>
      <c r="S3" s="2"/>
    </row>
    <row r="4" spans="3:19" ht="30.75" customHeight="1">
      <c r="C4" s="3" t="s">
        <v>8</v>
      </c>
      <c r="E4" s="3" t="s">
        <v>9</v>
      </c>
      <c r="G4" s="4" t="s">
        <v>11</v>
      </c>
      <c r="I4" s="4" t="s">
        <v>603</v>
      </c>
      <c r="K4" s="4" t="s">
        <v>12</v>
      </c>
      <c r="M4" s="11" t="s">
        <v>5</v>
      </c>
      <c r="N4" s="4" t="s">
        <v>34</v>
      </c>
      <c r="O4" s="4" t="s">
        <v>32</v>
      </c>
      <c r="P4" s="676"/>
      <c r="Q4" s="4" t="s">
        <v>6</v>
      </c>
      <c r="R4" s="676"/>
      <c r="S4" s="676"/>
    </row>
    <row r="5" spans="3:19" ht="2.25" hidden="1" customHeight="1">
      <c r="C5" s="680" t="s">
        <v>78</v>
      </c>
      <c r="E5" s="680"/>
      <c r="G5" s="681" t="s">
        <v>78</v>
      </c>
      <c r="I5" s="18" t="s">
        <v>78</v>
      </c>
      <c r="K5" s="681"/>
      <c r="M5" s="682"/>
      <c r="N5" s="681"/>
      <c r="O5" s="681"/>
      <c r="P5" s="676"/>
      <c r="Q5" s="681"/>
      <c r="R5" s="676"/>
      <c r="S5" s="676"/>
    </row>
    <row r="6" spans="3:19" ht="16.5">
      <c r="C6" s="459" t="s">
        <v>602</v>
      </c>
      <c r="E6" s="7" t="s">
        <v>13</v>
      </c>
      <c r="G6" s="7" t="s">
        <v>36</v>
      </c>
      <c r="I6" s="18" t="s">
        <v>596</v>
      </c>
      <c r="K6" s="7">
        <v>40</v>
      </c>
      <c r="M6" s="13" t="str">
        <f>C6</f>
        <v>VIII A</v>
      </c>
      <c r="N6" s="7" t="s">
        <v>630</v>
      </c>
      <c r="O6" s="7" t="s">
        <v>632</v>
      </c>
      <c r="P6" s="677"/>
      <c r="Q6" s="18" t="s">
        <v>69</v>
      </c>
      <c r="R6" s="677"/>
      <c r="S6" s="677"/>
    </row>
    <row r="7" spans="3:19" ht="16.5">
      <c r="C7" s="5" t="s">
        <v>633</v>
      </c>
      <c r="E7" s="5" t="s">
        <v>10</v>
      </c>
      <c r="G7" s="7" t="s">
        <v>37</v>
      </c>
      <c r="I7" s="18" t="s">
        <v>604</v>
      </c>
      <c r="K7" s="5">
        <v>41</v>
      </c>
      <c r="M7" s="13" t="str">
        <f t="shared" ref="M7:M58" si="0">C7</f>
        <v>VIII B</v>
      </c>
      <c r="N7" s="5" t="s">
        <v>768</v>
      </c>
      <c r="O7" s="5" t="s">
        <v>769</v>
      </c>
      <c r="P7" s="677"/>
      <c r="Q7" s="18" t="s">
        <v>68</v>
      </c>
      <c r="R7" s="677"/>
      <c r="S7" s="677"/>
    </row>
    <row r="8" spans="3:19" ht="16.5">
      <c r="C8" s="5" t="s">
        <v>634</v>
      </c>
      <c r="E8" s="5" t="s">
        <v>15</v>
      </c>
      <c r="G8" s="7" t="s">
        <v>38</v>
      </c>
      <c r="I8" s="18" t="s">
        <v>606</v>
      </c>
      <c r="K8" s="5">
        <v>42</v>
      </c>
      <c r="M8" s="13" t="str">
        <f t="shared" si="0"/>
        <v>VIII C</v>
      </c>
      <c r="N8" s="5" t="s">
        <v>629</v>
      </c>
      <c r="O8" s="5" t="s">
        <v>631</v>
      </c>
      <c r="P8" s="677"/>
      <c r="Q8" s="18" t="s">
        <v>70</v>
      </c>
      <c r="R8" s="677"/>
      <c r="S8" s="677"/>
    </row>
    <row r="9" spans="3:19" ht="16.5">
      <c r="C9" s="5"/>
      <c r="E9" s="5" t="s">
        <v>17</v>
      </c>
      <c r="G9" s="7" t="s">
        <v>39</v>
      </c>
      <c r="I9" s="18" t="s">
        <v>607</v>
      </c>
      <c r="K9" s="5">
        <v>43</v>
      </c>
      <c r="M9" s="13">
        <f t="shared" si="0"/>
        <v>0</v>
      </c>
      <c r="N9" s="5"/>
      <c r="O9" s="5"/>
      <c r="P9" s="677"/>
      <c r="Q9" s="18" t="s">
        <v>71</v>
      </c>
      <c r="R9" s="677"/>
      <c r="S9" s="677"/>
    </row>
    <row r="10" spans="3:19" ht="16.5">
      <c r="C10" s="5"/>
      <c r="E10" s="5" t="s">
        <v>19</v>
      </c>
      <c r="G10" s="7" t="s">
        <v>40</v>
      </c>
      <c r="I10" s="18" t="s">
        <v>635</v>
      </c>
      <c r="K10" s="5">
        <v>44</v>
      </c>
      <c r="M10" s="13">
        <f t="shared" si="0"/>
        <v>0</v>
      </c>
      <c r="N10" s="5"/>
      <c r="O10" s="5"/>
      <c r="P10" s="677"/>
      <c r="Q10" s="18" t="s">
        <v>72</v>
      </c>
      <c r="R10" s="677"/>
      <c r="S10" s="677"/>
    </row>
    <row r="11" spans="3:19" ht="16.5">
      <c r="C11" s="5"/>
      <c r="E11" s="5" t="s">
        <v>20</v>
      </c>
      <c r="G11" s="7" t="s">
        <v>41</v>
      </c>
      <c r="I11" s="18" t="s">
        <v>636</v>
      </c>
      <c r="K11" s="5">
        <v>45</v>
      </c>
      <c r="M11" s="13">
        <f t="shared" si="0"/>
        <v>0</v>
      </c>
      <c r="N11" s="5"/>
      <c r="O11" s="5"/>
      <c r="P11" s="677"/>
      <c r="Q11" s="18" t="s">
        <v>14</v>
      </c>
      <c r="R11" s="677"/>
      <c r="S11" s="677"/>
    </row>
    <row r="12" spans="3:19" ht="16.5">
      <c r="C12" s="5"/>
      <c r="E12" s="5"/>
      <c r="G12" s="7" t="s">
        <v>42</v>
      </c>
      <c r="I12" s="18" t="s">
        <v>637</v>
      </c>
      <c r="K12" s="5">
        <v>46</v>
      </c>
      <c r="M12" s="13">
        <f t="shared" si="0"/>
        <v>0</v>
      </c>
      <c r="N12" s="5"/>
      <c r="O12" s="5"/>
      <c r="P12" s="677"/>
      <c r="Q12" s="18" t="s">
        <v>16</v>
      </c>
      <c r="R12" s="677"/>
      <c r="S12" s="677"/>
    </row>
    <row r="13" spans="3:19" ht="16.5">
      <c r="C13" s="5"/>
      <c r="G13" s="7" t="s">
        <v>43</v>
      </c>
      <c r="I13" s="18" t="s">
        <v>638</v>
      </c>
      <c r="K13" s="5">
        <v>47</v>
      </c>
      <c r="M13" s="13">
        <f t="shared" si="0"/>
        <v>0</v>
      </c>
      <c r="N13" s="5"/>
      <c r="O13" s="5"/>
      <c r="P13" s="677"/>
      <c r="Q13" s="18" t="s">
        <v>18</v>
      </c>
      <c r="R13" s="677"/>
      <c r="S13" s="677"/>
    </row>
    <row r="14" spans="3:19" ht="16.5">
      <c r="C14" s="5"/>
      <c r="E14" s="5"/>
      <c r="G14" s="7" t="s">
        <v>44</v>
      </c>
      <c r="I14" s="18" t="s">
        <v>78</v>
      </c>
      <c r="K14" s="5">
        <v>48</v>
      </c>
      <c r="M14" s="13">
        <f t="shared" si="0"/>
        <v>0</v>
      </c>
      <c r="N14" s="5"/>
      <c r="O14" s="5"/>
      <c r="P14" s="677"/>
      <c r="Q14" s="18" t="s">
        <v>7</v>
      </c>
      <c r="R14" s="677"/>
      <c r="S14" s="677"/>
    </row>
    <row r="15" spans="3:19" ht="16.5">
      <c r="C15" s="5"/>
      <c r="G15" s="7" t="s">
        <v>45</v>
      </c>
      <c r="I15" s="18" t="s">
        <v>78</v>
      </c>
      <c r="K15" s="5">
        <v>49</v>
      </c>
      <c r="M15" s="13">
        <f t="shared" si="0"/>
        <v>0</v>
      </c>
      <c r="N15" s="5"/>
      <c r="O15" s="5"/>
      <c r="P15" s="677"/>
      <c r="Q15" s="18" t="s">
        <v>21</v>
      </c>
      <c r="R15" s="677"/>
      <c r="S15" s="677"/>
    </row>
    <row r="16" spans="3:19" ht="16.5">
      <c r="C16" s="5"/>
      <c r="E16" s="5"/>
      <c r="G16" s="7" t="s">
        <v>46</v>
      </c>
      <c r="I16" s="18" t="s">
        <v>78</v>
      </c>
      <c r="K16" s="5">
        <v>50</v>
      </c>
      <c r="M16" s="13">
        <f t="shared" si="0"/>
        <v>0</v>
      </c>
      <c r="N16" s="5"/>
      <c r="O16" s="5"/>
      <c r="P16" s="677"/>
      <c r="Q16" s="18" t="s">
        <v>22</v>
      </c>
      <c r="R16" s="677"/>
      <c r="S16" s="677"/>
    </row>
    <row r="17" spans="3:19" ht="16.5">
      <c r="C17" s="5"/>
      <c r="G17" s="7" t="s">
        <v>47</v>
      </c>
      <c r="I17" s="18" t="s">
        <v>78</v>
      </c>
      <c r="K17" s="5">
        <v>51</v>
      </c>
      <c r="M17" s="13">
        <f t="shared" si="0"/>
        <v>0</v>
      </c>
      <c r="N17" s="5"/>
      <c r="O17" s="5"/>
      <c r="P17" s="677"/>
      <c r="Q17" s="18" t="s">
        <v>23</v>
      </c>
      <c r="R17" s="677"/>
      <c r="S17" s="677"/>
    </row>
    <row r="18" spans="3:19" ht="16.5">
      <c r="C18" s="5"/>
      <c r="E18" s="5"/>
      <c r="G18" s="7" t="s">
        <v>48</v>
      </c>
      <c r="I18" s="18" t="s">
        <v>78</v>
      </c>
      <c r="K18" s="5">
        <v>52</v>
      </c>
      <c r="M18" s="13">
        <f t="shared" si="0"/>
        <v>0</v>
      </c>
      <c r="N18" s="5"/>
      <c r="O18" s="5"/>
      <c r="P18" s="677"/>
      <c r="Q18" s="18" t="s">
        <v>24</v>
      </c>
      <c r="R18" s="677"/>
      <c r="S18" s="677"/>
    </row>
    <row r="19" spans="3:19" ht="16.5">
      <c r="C19" s="5"/>
      <c r="G19" s="7" t="s">
        <v>49</v>
      </c>
      <c r="I19" s="18" t="s">
        <v>78</v>
      </c>
      <c r="K19" s="5">
        <v>53</v>
      </c>
      <c r="M19" s="13">
        <f t="shared" si="0"/>
        <v>0</v>
      </c>
      <c r="N19" s="5"/>
      <c r="O19" s="5"/>
      <c r="P19" s="677"/>
      <c r="Q19" s="18" t="s">
        <v>25</v>
      </c>
      <c r="R19" s="677"/>
      <c r="S19" s="677"/>
    </row>
    <row r="20" spans="3:19" ht="16.5">
      <c r="C20" s="5"/>
      <c r="E20" s="5"/>
      <c r="G20" s="7"/>
      <c r="I20" s="18" t="s">
        <v>78</v>
      </c>
      <c r="K20" s="5">
        <v>54</v>
      </c>
      <c r="M20" s="13">
        <f t="shared" si="0"/>
        <v>0</v>
      </c>
      <c r="N20" s="5"/>
      <c r="O20" s="5"/>
      <c r="P20" s="677"/>
      <c r="Q20" s="18" t="s">
        <v>182</v>
      </c>
      <c r="R20" s="677"/>
      <c r="S20" s="677"/>
    </row>
    <row r="21" spans="3:19" ht="16.5">
      <c r="C21" s="5"/>
      <c r="G21" s="127"/>
      <c r="I21" s="127"/>
      <c r="K21" s="5">
        <v>55</v>
      </c>
      <c r="M21" s="13">
        <f t="shared" si="0"/>
        <v>0</v>
      </c>
      <c r="N21" s="5"/>
      <c r="O21" s="5"/>
      <c r="P21" s="677"/>
      <c r="Q21" s="127"/>
      <c r="R21" s="677"/>
      <c r="S21" s="677"/>
    </row>
    <row r="22" spans="3:19" ht="16.5">
      <c r="C22" s="5"/>
      <c r="E22" s="5"/>
      <c r="G22" s="5"/>
      <c r="I22" s="127"/>
      <c r="K22" s="5">
        <v>56</v>
      </c>
      <c r="M22" s="13">
        <f t="shared" si="0"/>
        <v>0</v>
      </c>
      <c r="N22" s="5"/>
      <c r="O22" s="5"/>
      <c r="P22" s="677"/>
      <c r="Q22" s="127"/>
      <c r="R22" s="677"/>
      <c r="S22" s="677"/>
    </row>
    <row r="23" spans="3:19" ht="16.5">
      <c r="C23" s="5"/>
      <c r="G23" s="127"/>
      <c r="I23" s="127"/>
      <c r="K23" s="5">
        <v>57</v>
      </c>
      <c r="M23" s="13">
        <f t="shared" si="0"/>
        <v>0</v>
      </c>
      <c r="N23" s="5"/>
      <c r="O23" s="5"/>
      <c r="P23" s="677"/>
      <c r="Q23" s="127"/>
      <c r="R23" s="677"/>
      <c r="S23" s="677"/>
    </row>
    <row r="24" spans="3:19" ht="16.5">
      <c r="C24" s="5"/>
      <c r="E24" s="5"/>
      <c r="G24" s="5"/>
      <c r="I24" s="127"/>
      <c r="K24" s="5">
        <v>58</v>
      </c>
      <c r="M24" s="13">
        <f t="shared" si="0"/>
        <v>0</v>
      </c>
      <c r="N24" s="5"/>
      <c r="O24" s="5"/>
      <c r="P24" s="677"/>
      <c r="Q24" s="127"/>
      <c r="R24" s="677"/>
      <c r="S24" s="677"/>
    </row>
    <row r="25" spans="3:19" ht="16.5">
      <c r="C25" s="5"/>
      <c r="G25" s="127"/>
      <c r="I25" s="127"/>
      <c r="K25" s="5">
        <v>59</v>
      </c>
      <c r="M25" s="13">
        <f t="shared" si="0"/>
        <v>0</v>
      </c>
      <c r="N25" s="5"/>
      <c r="O25" s="5"/>
      <c r="P25" s="677"/>
      <c r="Q25" s="127"/>
      <c r="R25" s="677"/>
      <c r="S25" s="677"/>
    </row>
    <row r="26" spans="3:19" ht="16.5">
      <c r="C26" s="5"/>
      <c r="E26" s="5"/>
      <c r="G26" s="5"/>
      <c r="I26" s="127"/>
      <c r="K26" s="5">
        <v>60</v>
      </c>
      <c r="M26" s="13">
        <f t="shared" si="0"/>
        <v>0</v>
      </c>
      <c r="N26" s="5"/>
      <c r="O26" s="5"/>
      <c r="P26" s="677"/>
      <c r="Q26" s="127"/>
      <c r="R26" s="677"/>
      <c r="S26" s="677"/>
    </row>
    <row r="27" spans="3:19" ht="16.5">
      <c r="C27" s="5"/>
      <c r="G27" s="127"/>
      <c r="I27" s="127"/>
      <c r="K27" s="5">
        <v>61</v>
      </c>
      <c r="M27" s="13">
        <f t="shared" si="0"/>
        <v>0</v>
      </c>
      <c r="N27" s="5"/>
      <c r="O27" s="5"/>
      <c r="P27" s="677"/>
      <c r="Q27" s="127"/>
      <c r="R27" s="677"/>
      <c r="S27" s="677"/>
    </row>
    <row r="28" spans="3:19" ht="16.5">
      <c r="C28" s="5"/>
      <c r="E28" s="5"/>
      <c r="G28" s="5"/>
      <c r="I28" s="127"/>
      <c r="K28" s="5">
        <v>62</v>
      </c>
      <c r="M28" s="13">
        <f t="shared" si="0"/>
        <v>0</v>
      </c>
      <c r="N28" s="5"/>
      <c r="O28" s="5"/>
      <c r="P28" s="677"/>
      <c r="Q28" s="127"/>
      <c r="R28" s="677"/>
      <c r="S28" s="677"/>
    </row>
    <row r="29" spans="3:19" ht="16.5">
      <c r="C29" s="5"/>
      <c r="G29" s="127"/>
      <c r="I29" s="127"/>
      <c r="K29" s="5">
        <v>63</v>
      </c>
      <c r="M29" s="13">
        <f t="shared" si="0"/>
        <v>0</v>
      </c>
      <c r="N29" s="5"/>
      <c r="O29" s="5"/>
      <c r="P29" s="677"/>
      <c r="Q29" s="127"/>
      <c r="R29" s="677"/>
      <c r="S29" s="677"/>
    </row>
    <row r="30" spans="3:19" ht="16.5">
      <c r="C30" s="5"/>
      <c r="E30" s="5"/>
      <c r="G30" s="5"/>
      <c r="I30" s="127"/>
      <c r="K30" s="5">
        <v>64</v>
      </c>
      <c r="M30" s="13">
        <f t="shared" si="0"/>
        <v>0</v>
      </c>
      <c r="N30" s="5"/>
      <c r="O30" s="5"/>
      <c r="P30" s="677"/>
      <c r="Q30" s="127"/>
      <c r="R30" s="677"/>
      <c r="S30" s="677"/>
    </row>
    <row r="31" spans="3:19" ht="16.5">
      <c r="C31" s="5"/>
      <c r="G31" s="127"/>
      <c r="I31" s="127"/>
      <c r="K31" s="5">
        <v>65</v>
      </c>
      <c r="M31" s="13">
        <f t="shared" si="0"/>
        <v>0</v>
      </c>
      <c r="N31" s="5"/>
      <c r="O31" s="5"/>
      <c r="P31" s="677"/>
      <c r="Q31" s="127"/>
      <c r="R31" s="677"/>
      <c r="S31" s="677"/>
    </row>
    <row r="32" spans="3:19" ht="16.5">
      <c r="E32" s="5"/>
      <c r="G32" s="5"/>
      <c r="I32" s="127"/>
      <c r="K32" s="5">
        <v>66</v>
      </c>
      <c r="M32" s="13">
        <f t="shared" si="0"/>
        <v>0</v>
      </c>
      <c r="N32" s="5"/>
      <c r="O32" s="5"/>
      <c r="P32" s="677"/>
      <c r="Q32" s="127"/>
      <c r="R32" s="677"/>
      <c r="S32" s="677"/>
    </row>
    <row r="33" spans="5:19" ht="16.5">
      <c r="I33" s="127"/>
      <c r="K33" s="5">
        <v>67</v>
      </c>
      <c r="M33" s="13">
        <f t="shared" si="0"/>
        <v>0</v>
      </c>
      <c r="N33" s="5"/>
      <c r="O33" s="5"/>
      <c r="P33" s="677"/>
      <c r="Q33" s="127"/>
      <c r="R33" s="677"/>
      <c r="S33" s="677"/>
    </row>
    <row r="34" spans="5:19" ht="16.5">
      <c r="E34" s="5"/>
      <c r="G34" s="5"/>
      <c r="I34" s="127"/>
      <c r="K34" s="5">
        <v>68</v>
      </c>
      <c r="M34" s="13">
        <f t="shared" si="0"/>
        <v>0</v>
      </c>
      <c r="N34" s="5"/>
      <c r="O34" s="5"/>
      <c r="P34" s="677"/>
      <c r="Q34" s="127"/>
      <c r="R34" s="677"/>
      <c r="S34" s="677"/>
    </row>
    <row r="35" spans="5:19" ht="16.5">
      <c r="I35" s="127"/>
      <c r="K35" s="5">
        <v>69</v>
      </c>
      <c r="M35" s="13">
        <f t="shared" si="0"/>
        <v>0</v>
      </c>
      <c r="N35" s="5"/>
      <c r="O35" s="5"/>
      <c r="P35" s="677"/>
      <c r="Q35" s="127"/>
      <c r="R35" s="677"/>
      <c r="S35" s="677"/>
    </row>
    <row r="36" spans="5:19" ht="16.5">
      <c r="E36" s="5"/>
      <c r="G36" s="5"/>
      <c r="I36" s="127"/>
      <c r="K36" s="5">
        <v>70</v>
      </c>
      <c r="M36" s="13">
        <f t="shared" si="0"/>
        <v>0</v>
      </c>
      <c r="N36" s="5"/>
      <c r="O36" s="5"/>
      <c r="P36" s="677"/>
      <c r="Q36" s="127"/>
      <c r="R36" s="677"/>
      <c r="S36" s="677"/>
    </row>
    <row r="37" spans="5:19" ht="16.5">
      <c r="I37" s="127"/>
      <c r="K37" s="5">
        <v>71</v>
      </c>
      <c r="M37" s="13">
        <f t="shared" si="0"/>
        <v>0</v>
      </c>
      <c r="N37" s="5"/>
      <c r="O37" s="5"/>
      <c r="P37" s="677"/>
      <c r="Q37" s="127"/>
      <c r="R37" s="677"/>
      <c r="S37" s="677"/>
    </row>
    <row r="38" spans="5:19" ht="16.5">
      <c r="E38" s="5"/>
      <c r="G38" s="5"/>
      <c r="I38" s="127"/>
      <c r="K38" s="5">
        <v>72</v>
      </c>
      <c r="M38" s="13">
        <f t="shared" si="0"/>
        <v>0</v>
      </c>
      <c r="N38" s="5"/>
      <c r="O38" s="5"/>
      <c r="P38" s="677"/>
      <c r="Q38" s="127"/>
      <c r="R38" s="677"/>
      <c r="S38" s="677"/>
    </row>
    <row r="39" spans="5:19" ht="16.5">
      <c r="I39" s="127"/>
      <c r="K39" s="5">
        <v>73</v>
      </c>
      <c r="M39" s="13">
        <f t="shared" si="0"/>
        <v>0</v>
      </c>
      <c r="N39" s="5"/>
      <c r="O39" s="5"/>
      <c r="P39" s="677"/>
      <c r="Q39" s="127"/>
      <c r="R39" s="677"/>
      <c r="S39" s="677"/>
    </row>
    <row r="40" spans="5:19" ht="16.5">
      <c r="E40" s="5"/>
      <c r="G40" s="5"/>
      <c r="I40" s="127"/>
      <c r="K40" s="5">
        <v>74</v>
      </c>
      <c r="M40" s="13">
        <f t="shared" si="0"/>
        <v>0</v>
      </c>
      <c r="N40" s="5"/>
      <c r="O40" s="5"/>
      <c r="P40" s="677"/>
      <c r="Q40" s="127"/>
      <c r="R40" s="677"/>
      <c r="S40" s="677"/>
    </row>
    <row r="41" spans="5:19" ht="16.5">
      <c r="I41" s="127"/>
      <c r="K41" s="5">
        <v>75</v>
      </c>
      <c r="M41" s="13">
        <f t="shared" si="0"/>
        <v>0</v>
      </c>
      <c r="N41" s="5"/>
      <c r="O41" s="5"/>
      <c r="P41" s="677"/>
      <c r="Q41" s="127"/>
      <c r="R41" s="677"/>
      <c r="S41" s="677"/>
    </row>
    <row r="42" spans="5:19" ht="16.5">
      <c r="E42" s="5"/>
      <c r="G42" s="5"/>
      <c r="I42" s="127"/>
      <c r="K42" s="5">
        <v>76</v>
      </c>
      <c r="M42" s="13">
        <f t="shared" si="0"/>
        <v>0</v>
      </c>
      <c r="N42" s="5"/>
      <c r="O42" s="5"/>
      <c r="P42" s="677"/>
      <c r="Q42" s="127"/>
      <c r="R42" s="677"/>
      <c r="S42" s="677"/>
    </row>
    <row r="43" spans="5:19" ht="16.5">
      <c r="I43" s="127"/>
      <c r="K43" s="5">
        <v>77</v>
      </c>
      <c r="M43" s="13">
        <f t="shared" si="0"/>
        <v>0</v>
      </c>
      <c r="N43" s="5"/>
      <c r="O43" s="5"/>
      <c r="P43" s="677"/>
      <c r="Q43" s="127"/>
      <c r="R43" s="677"/>
      <c r="S43" s="677"/>
    </row>
    <row r="44" spans="5:19" ht="16.5">
      <c r="E44" s="5"/>
      <c r="G44" s="5"/>
      <c r="I44" s="127"/>
      <c r="K44" s="5">
        <v>78</v>
      </c>
      <c r="M44" s="13">
        <f t="shared" si="0"/>
        <v>0</v>
      </c>
      <c r="N44" s="5"/>
      <c r="O44" s="5"/>
      <c r="P44" s="677"/>
      <c r="Q44" s="127"/>
      <c r="R44" s="677"/>
      <c r="S44" s="677"/>
    </row>
    <row r="45" spans="5:19" ht="16.5">
      <c r="I45" s="127"/>
      <c r="K45" s="5">
        <v>79</v>
      </c>
      <c r="M45" s="13">
        <f t="shared" si="0"/>
        <v>0</v>
      </c>
      <c r="N45" s="5"/>
      <c r="O45" s="5"/>
      <c r="P45" s="677"/>
      <c r="Q45" s="127"/>
      <c r="R45" s="677"/>
      <c r="S45" s="677"/>
    </row>
    <row r="46" spans="5:19" ht="16.5">
      <c r="E46" s="5"/>
      <c r="G46" s="5"/>
      <c r="I46" s="127"/>
      <c r="K46" s="5">
        <v>80</v>
      </c>
      <c r="M46" s="13">
        <f t="shared" si="0"/>
        <v>0</v>
      </c>
      <c r="N46" s="5"/>
      <c r="O46" s="5"/>
      <c r="P46" s="677"/>
      <c r="Q46" s="127"/>
      <c r="R46" s="677"/>
      <c r="S46" s="677"/>
    </row>
    <row r="47" spans="5:19" ht="16.5">
      <c r="I47" s="127"/>
      <c r="K47" s="5">
        <v>81</v>
      </c>
      <c r="M47" s="13">
        <f t="shared" si="0"/>
        <v>0</v>
      </c>
      <c r="N47" s="5"/>
      <c r="O47" s="5"/>
      <c r="P47" s="677"/>
      <c r="Q47" s="127"/>
      <c r="R47" s="677"/>
      <c r="S47" s="677"/>
    </row>
    <row r="48" spans="5:19" ht="16.5">
      <c r="E48" s="5"/>
      <c r="G48" s="5"/>
      <c r="I48" s="127"/>
      <c r="K48" s="5">
        <v>82</v>
      </c>
      <c r="M48" s="13">
        <f t="shared" si="0"/>
        <v>0</v>
      </c>
      <c r="N48" s="5"/>
      <c r="O48" s="5"/>
      <c r="P48" s="677"/>
      <c r="Q48" s="127"/>
      <c r="R48" s="677"/>
      <c r="S48" s="677"/>
    </row>
    <row r="49" spans="5:19" ht="16.5">
      <c r="I49" s="127"/>
      <c r="K49" s="5">
        <v>83</v>
      </c>
      <c r="M49" s="13">
        <f t="shared" si="0"/>
        <v>0</v>
      </c>
      <c r="N49" s="5"/>
      <c r="O49" s="5"/>
      <c r="P49" s="677"/>
      <c r="Q49" s="127"/>
      <c r="R49" s="677"/>
      <c r="S49" s="677"/>
    </row>
    <row r="50" spans="5:19" ht="16.5">
      <c r="E50" s="5"/>
      <c r="G50" s="5"/>
      <c r="I50" s="127"/>
      <c r="K50" s="5">
        <v>84</v>
      </c>
      <c r="M50" s="13">
        <f t="shared" si="0"/>
        <v>0</v>
      </c>
      <c r="N50" s="5"/>
      <c r="O50" s="5"/>
      <c r="P50" s="677"/>
      <c r="Q50" s="127"/>
      <c r="R50" s="677"/>
      <c r="S50" s="677"/>
    </row>
    <row r="51" spans="5:19" ht="16.5">
      <c r="I51" s="127"/>
      <c r="K51" s="5">
        <v>85</v>
      </c>
      <c r="M51" s="13">
        <f t="shared" si="0"/>
        <v>0</v>
      </c>
      <c r="N51" s="5"/>
      <c r="O51" s="5"/>
      <c r="P51" s="677"/>
      <c r="Q51" s="127"/>
      <c r="R51" s="677"/>
      <c r="S51" s="677"/>
    </row>
    <row r="52" spans="5:19" ht="16.5">
      <c r="E52" s="5"/>
      <c r="G52" s="5"/>
      <c r="I52" s="127"/>
      <c r="K52" s="5">
        <v>86</v>
      </c>
      <c r="M52" s="13">
        <f t="shared" si="0"/>
        <v>0</v>
      </c>
      <c r="N52" s="5"/>
      <c r="O52" s="5"/>
      <c r="P52" s="677"/>
      <c r="Q52" s="127"/>
      <c r="R52" s="677"/>
      <c r="S52" s="677"/>
    </row>
    <row r="53" spans="5:19" ht="16.5">
      <c r="I53" s="127"/>
      <c r="K53" s="5">
        <v>87</v>
      </c>
      <c r="M53" s="13">
        <f t="shared" si="0"/>
        <v>0</v>
      </c>
      <c r="N53" s="5"/>
      <c r="O53" s="5"/>
      <c r="P53" s="677"/>
      <c r="Q53" s="127"/>
      <c r="R53" s="677"/>
      <c r="S53" s="677"/>
    </row>
    <row r="54" spans="5:19" ht="16.5">
      <c r="E54" s="5"/>
      <c r="G54" s="5"/>
      <c r="I54" s="127"/>
      <c r="K54" s="5">
        <v>88</v>
      </c>
      <c r="M54" s="13">
        <f t="shared" si="0"/>
        <v>0</v>
      </c>
      <c r="N54" s="5"/>
      <c r="O54" s="5"/>
      <c r="P54" s="677"/>
      <c r="Q54" s="127"/>
      <c r="R54" s="677"/>
      <c r="S54" s="677"/>
    </row>
    <row r="55" spans="5:19" ht="16.5">
      <c r="I55" s="127"/>
      <c r="K55" s="5">
        <v>89</v>
      </c>
      <c r="M55" s="13">
        <f t="shared" si="0"/>
        <v>0</v>
      </c>
      <c r="N55" s="5"/>
      <c r="O55" s="5"/>
      <c r="P55" s="677"/>
      <c r="Q55" s="127"/>
      <c r="R55" s="677"/>
      <c r="S55" s="677"/>
    </row>
    <row r="56" spans="5:19" ht="16.5">
      <c r="E56" s="5"/>
      <c r="G56" s="5"/>
      <c r="I56" s="127"/>
      <c r="K56" s="5">
        <v>90</v>
      </c>
      <c r="M56" s="13">
        <f t="shared" si="0"/>
        <v>0</v>
      </c>
      <c r="N56" s="5"/>
      <c r="O56" s="5"/>
      <c r="P56" s="677"/>
      <c r="Q56" s="127"/>
      <c r="R56" s="677"/>
      <c r="S56" s="677"/>
    </row>
    <row r="57" spans="5:19" ht="16.5">
      <c r="I57" s="127"/>
      <c r="K57" s="5">
        <v>91</v>
      </c>
      <c r="M57" s="13">
        <f t="shared" si="0"/>
        <v>0</v>
      </c>
      <c r="N57" s="5"/>
      <c r="O57" s="5"/>
      <c r="P57" s="677"/>
      <c r="Q57" s="127"/>
      <c r="R57" s="677"/>
      <c r="S57" s="677"/>
    </row>
    <row r="58" spans="5:19" ht="16.5">
      <c r="E58" s="5"/>
      <c r="G58" s="5"/>
      <c r="I58" s="127"/>
      <c r="K58" s="5">
        <v>92</v>
      </c>
      <c r="M58" s="13">
        <f t="shared" si="0"/>
        <v>0</v>
      </c>
      <c r="N58" s="5"/>
      <c r="O58" s="5"/>
      <c r="P58" s="677"/>
      <c r="Q58" s="127"/>
      <c r="R58" s="677"/>
      <c r="S58" s="677"/>
    </row>
    <row r="59" spans="5:19" ht="16.5">
      <c r="I59" s="127"/>
      <c r="K59" s="5">
        <v>93</v>
      </c>
      <c r="N59" s="5"/>
      <c r="O59" s="5"/>
      <c r="P59" s="677"/>
      <c r="Q59" s="127"/>
      <c r="R59" s="677"/>
      <c r="S59" s="677"/>
    </row>
    <row r="60" spans="5:19" ht="16.5">
      <c r="E60" s="5"/>
      <c r="G60" s="5"/>
      <c r="K60" s="5">
        <v>94</v>
      </c>
      <c r="N60" s="5"/>
      <c r="O60" s="5"/>
      <c r="P60" s="677"/>
      <c r="R60" s="677"/>
      <c r="S60" s="677"/>
    </row>
    <row r="61" spans="5:19" ht="16.5">
      <c r="K61" s="5">
        <v>95</v>
      </c>
      <c r="N61" s="5"/>
      <c r="O61" s="5"/>
      <c r="P61" s="677"/>
      <c r="R61" s="677"/>
      <c r="S61" s="677"/>
    </row>
    <row r="62" spans="5:19" ht="16.5">
      <c r="E62" s="5"/>
      <c r="G62" s="5"/>
      <c r="K62" s="5">
        <v>96</v>
      </c>
      <c r="N62" s="5"/>
      <c r="O62" s="5"/>
      <c r="P62" s="677"/>
      <c r="R62" s="677"/>
      <c r="S62" s="677"/>
    </row>
    <row r="63" spans="5:19" ht="16.5">
      <c r="K63" s="5">
        <v>97</v>
      </c>
      <c r="N63" s="5"/>
      <c r="O63" s="5"/>
      <c r="P63" s="677"/>
      <c r="R63" s="677"/>
      <c r="S63" s="677"/>
    </row>
    <row r="64" spans="5:19" ht="16.5">
      <c r="E64" s="5"/>
      <c r="G64" s="5"/>
      <c r="K64" s="5">
        <v>98</v>
      </c>
      <c r="N64" s="5"/>
      <c r="O64" s="5"/>
      <c r="P64" s="677"/>
      <c r="R64" s="677"/>
      <c r="S64" s="677"/>
    </row>
    <row r="65" spans="5:19" ht="16.5">
      <c r="K65" s="5">
        <v>99</v>
      </c>
      <c r="N65" s="5"/>
      <c r="O65" s="5"/>
      <c r="P65" s="677"/>
      <c r="R65" s="677"/>
      <c r="S65" s="677"/>
    </row>
    <row r="66" spans="5:19" ht="16.5">
      <c r="E66" s="5"/>
      <c r="G66" s="5"/>
      <c r="K66" s="5">
        <v>100</v>
      </c>
      <c r="N66" s="5"/>
      <c r="O66" s="5"/>
      <c r="P66" s="677"/>
      <c r="R66" s="677"/>
      <c r="S66" s="677"/>
    </row>
    <row r="67" spans="5:19"/>
  </sheetData>
  <sheetProtection password="CE75" sheet="1" objects="1" scenarios="1" selectLockedCells="1"/>
  <mergeCells count="2">
    <mergeCell ref="C2:K2"/>
    <mergeCell ref="M2:O2"/>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sheetPr codeName="Sheet7">
    <tabColor theme="9"/>
  </sheetPr>
  <dimension ref="A1:AD68"/>
  <sheetViews>
    <sheetView showRowColHeaders="0" workbookViewId="0">
      <pane xSplit="5" ySplit="5" topLeftCell="Q17" activePane="bottomRight" state="frozenSplit"/>
      <selection pane="topRight" activeCell="F1" sqref="F1"/>
      <selection pane="bottomLeft" activeCell="A10" sqref="A10"/>
      <selection pane="bottomRight" activeCell="U20" sqref="U20"/>
    </sheetView>
  </sheetViews>
  <sheetFormatPr defaultColWidth="9.140625" defaultRowHeight="15"/>
  <cols>
    <col min="1" max="1" width="14" style="16" customWidth="1"/>
    <col min="2" max="2" width="5.7109375" style="17" customWidth="1"/>
    <col min="3" max="3" width="5.5703125" style="17" bestFit="1" customWidth="1"/>
    <col min="4" max="4" width="12" style="17" bestFit="1" customWidth="1"/>
    <col min="5" max="5" width="35.42578125" style="16" customWidth="1"/>
    <col min="6" max="6" width="15.85546875" style="16" customWidth="1"/>
    <col min="7" max="7" width="17.140625" style="16" bestFit="1" customWidth="1"/>
    <col min="8" max="8" width="10" style="16" customWidth="1"/>
    <col min="9" max="9" width="7.7109375" style="16" bestFit="1" customWidth="1"/>
    <col min="10" max="11" width="13.85546875" style="16" customWidth="1"/>
    <col min="12" max="12" width="28.85546875" style="16" customWidth="1"/>
    <col min="13" max="13" width="13.140625" style="17" bestFit="1" customWidth="1"/>
    <col min="14" max="14" width="24.28515625" style="16" customWidth="1"/>
    <col min="15" max="15" width="7.5703125" style="102" customWidth="1"/>
    <col min="16" max="16" width="21.7109375" style="587" customWidth="1"/>
    <col min="17" max="17" width="28.7109375" style="16" customWidth="1"/>
    <col min="18" max="18" width="16.28515625" style="16" bestFit="1" customWidth="1"/>
    <col min="19" max="19" width="34.28515625" style="16" customWidth="1"/>
    <col min="20" max="20" width="14.42578125" style="16" bestFit="1" customWidth="1"/>
    <col min="21" max="21" width="16.85546875" style="17" customWidth="1"/>
    <col min="22" max="22" width="24" style="16" customWidth="1"/>
    <col min="23" max="23" width="18.7109375" style="16" customWidth="1"/>
    <col min="24" max="24" width="33.42578125" style="16" bestFit="1" customWidth="1"/>
    <col min="25" max="25" width="12.85546875" style="16" bestFit="1" customWidth="1"/>
    <col min="26" max="29" width="16.5703125" style="17" customWidth="1"/>
    <col min="30" max="30" width="21.5703125" style="16" customWidth="1"/>
    <col min="31" max="31" width="9.140625" style="16" customWidth="1"/>
    <col min="32" max="16384" width="9.140625" style="16"/>
  </cols>
  <sheetData>
    <row r="1" spans="1:30" ht="15.75" thickBot="1"/>
    <row r="2" spans="1:30" ht="18.75" customHeight="1">
      <c r="B2" s="825" t="str">
        <f>"DATA SISWA KELAS "&amp;DK!D5</f>
        <v>DATA SISWA KELAS VIII A</v>
      </c>
      <c r="C2" s="826"/>
      <c r="D2" s="826"/>
      <c r="E2" s="827"/>
      <c r="F2" s="837" t="s">
        <v>145</v>
      </c>
      <c r="G2" s="837"/>
      <c r="H2" s="837"/>
      <c r="I2" s="837"/>
      <c r="J2" s="837"/>
      <c r="K2" s="837"/>
      <c r="L2" s="837"/>
      <c r="M2" s="837"/>
      <c r="N2" s="837"/>
      <c r="O2" s="837"/>
      <c r="P2" s="837"/>
      <c r="Q2" s="814" t="s">
        <v>88</v>
      </c>
      <c r="R2" s="815"/>
      <c r="S2" s="815"/>
      <c r="T2" s="815"/>
      <c r="U2" s="816"/>
      <c r="V2" s="820" t="s">
        <v>89</v>
      </c>
      <c r="W2" s="815"/>
      <c r="X2" s="815"/>
      <c r="Y2" s="815"/>
      <c r="Z2" s="821"/>
      <c r="AA2" s="808" t="s">
        <v>94</v>
      </c>
      <c r="AB2" s="809"/>
      <c r="AC2" s="809"/>
      <c r="AD2" s="810"/>
    </row>
    <row r="3" spans="1:30" s="22" customFormat="1" ht="17.25" customHeight="1" thickBot="1">
      <c r="B3" s="828"/>
      <c r="C3" s="829"/>
      <c r="D3" s="829"/>
      <c r="E3" s="830"/>
      <c r="F3" s="835" t="s">
        <v>132</v>
      </c>
      <c r="G3" s="833" t="s">
        <v>133</v>
      </c>
      <c r="H3" s="833" t="s">
        <v>134</v>
      </c>
      <c r="I3" s="833" t="s">
        <v>135</v>
      </c>
      <c r="J3" s="833" t="s">
        <v>136</v>
      </c>
      <c r="K3" s="833" t="s">
        <v>256</v>
      </c>
      <c r="L3" s="833" t="s">
        <v>137</v>
      </c>
      <c r="M3" s="833" t="s">
        <v>138</v>
      </c>
      <c r="N3" s="833" t="s">
        <v>139</v>
      </c>
      <c r="O3" s="831" t="s">
        <v>141</v>
      </c>
      <c r="P3" s="832"/>
      <c r="Q3" s="817"/>
      <c r="R3" s="818"/>
      <c r="S3" s="818"/>
      <c r="T3" s="818"/>
      <c r="U3" s="819"/>
      <c r="V3" s="822"/>
      <c r="W3" s="823"/>
      <c r="X3" s="823"/>
      <c r="Y3" s="823"/>
      <c r="Z3" s="824"/>
      <c r="AA3" s="811"/>
      <c r="AB3" s="812"/>
      <c r="AC3" s="812"/>
      <c r="AD3" s="813"/>
    </row>
    <row r="4" spans="1:30" s="28" customFormat="1" ht="33" customHeight="1">
      <c r="B4" s="79" t="s">
        <v>50</v>
      </c>
      <c r="C4" s="80" t="s">
        <v>51</v>
      </c>
      <c r="D4" s="81" t="s">
        <v>87</v>
      </c>
      <c r="E4" s="89" t="s">
        <v>52</v>
      </c>
      <c r="F4" s="836"/>
      <c r="G4" s="834"/>
      <c r="H4" s="834"/>
      <c r="I4" s="834"/>
      <c r="J4" s="834"/>
      <c r="K4" s="834"/>
      <c r="L4" s="834"/>
      <c r="M4" s="834"/>
      <c r="N4" s="834"/>
      <c r="O4" s="85" t="s">
        <v>5</v>
      </c>
      <c r="P4" s="90" t="s">
        <v>140</v>
      </c>
      <c r="Q4" s="33" t="s">
        <v>91</v>
      </c>
      <c r="R4" s="59" t="s">
        <v>142</v>
      </c>
      <c r="S4" s="59" t="s">
        <v>143</v>
      </c>
      <c r="T4" s="59" t="s">
        <v>144</v>
      </c>
      <c r="U4" s="83" t="s">
        <v>92</v>
      </c>
      <c r="V4" s="91" t="s">
        <v>93</v>
      </c>
      <c r="W4" s="82" t="s">
        <v>142</v>
      </c>
      <c r="X4" s="82" t="s">
        <v>143</v>
      </c>
      <c r="Y4" s="82" t="s">
        <v>144</v>
      </c>
      <c r="Z4" s="84" t="s">
        <v>92</v>
      </c>
      <c r="AA4" s="92" t="s">
        <v>90</v>
      </c>
      <c r="AB4" s="82" t="s">
        <v>142</v>
      </c>
      <c r="AC4" s="82" t="s">
        <v>143</v>
      </c>
      <c r="AD4" s="86" t="s">
        <v>146</v>
      </c>
    </row>
    <row r="5" spans="1:30" s="28" customFormat="1" ht="16.5" thickBot="1">
      <c r="B5" s="152" t="s">
        <v>148</v>
      </c>
      <c r="C5" s="154">
        <v>2</v>
      </c>
      <c r="D5" s="153">
        <v>3</v>
      </c>
      <c r="E5" s="87">
        <v>4</v>
      </c>
      <c r="F5" s="153">
        <v>5</v>
      </c>
      <c r="G5" s="78">
        <v>6</v>
      </c>
      <c r="H5" s="154">
        <v>7</v>
      </c>
      <c r="I5" s="78">
        <v>8</v>
      </c>
      <c r="J5" s="154">
        <v>9</v>
      </c>
      <c r="K5" s="78">
        <v>10</v>
      </c>
      <c r="L5" s="154">
        <v>11</v>
      </c>
      <c r="M5" s="78">
        <v>12</v>
      </c>
      <c r="N5" s="154">
        <v>13</v>
      </c>
      <c r="O5" s="78">
        <v>14</v>
      </c>
      <c r="P5" s="155">
        <v>15</v>
      </c>
      <c r="Q5" s="88">
        <v>16</v>
      </c>
      <c r="R5" s="154">
        <v>17</v>
      </c>
      <c r="S5" s="78">
        <v>18</v>
      </c>
      <c r="T5" s="154">
        <v>19</v>
      </c>
      <c r="U5" s="87">
        <v>20</v>
      </c>
      <c r="V5" s="153">
        <v>21</v>
      </c>
      <c r="W5" s="78">
        <v>22</v>
      </c>
      <c r="X5" s="154">
        <v>23</v>
      </c>
      <c r="Y5" s="78">
        <v>24</v>
      </c>
      <c r="Z5" s="155">
        <v>25</v>
      </c>
      <c r="AA5" s="88">
        <v>26</v>
      </c>
      <c r="AB5" s="154">
        <v>27</v>
      </c>
      <c r="AC5" s="78">
        <v>28</v>
      </c>
      <c r="AD5" s="155">
        <v>29</v>
      </c>
    </row>
    <row r="6" spans="1:30" ht="15.75" customHeight="1" thickBot="1">
      <c r="A6" s="94" t="s">
        <v>73</v>
      </c>
      <c r="B6" s="104">
        <f>IF(AND(C6="",D6="",E6=""),"",ROW()-5)</f>
        <v>1</v>
      </c>
      <c r="C6" s="650">
        <v>7057</v>
      </c>
      <c r="D6" s="650" t="s">
        <v>659</v>
      </c>
      <c r="E6" s="655" t="s">
        <v>639</v>
      </c>
      <c r="F6" s="592" t="s">
        <v>678</v>
      </c>
      <c r="G6" s="754" t="s">
        <v>683</v>
      </c>
      <c r="H6" s="107" t="s">
        <v>684</v>
      </c>
      <c r="I6" s="109" t="s">
        <v>472</v>
      </c>
      <c r="J6" s="109" t="s">
        <v>691</v>
      </c>
      <c r="K6" s="115" t="s">
        <v>170</v>
      </c>
      <c r="L6" s="109" t="s">
        <v>678</v>
      </c>
      <c r="M6" s="650"/>
      <c r="N6" s="696" t="s">
        <v>679</v>
      </c>
      <c r="O6" s="698" t="s">
        <v>602</v>
      </c>
      <c r="P6" s="699" t="s">
        <v>772</v>
      </c>
      <c r="Q6" s="110" t="s">
        <v>680</v>
      </c>
      <c r="R6" s="111" t="s">
        <v>681</v>
      </c>
      <c r="S6" s="111" t="s">
        <v>678</v>
      </c>
      <c r="T6" s="703"/>
      <c r="U6" s="112" t="s">
        <v>693</v>
      </c>
      <c r="V6" s="113" t="s">
        <v>682</v>
      </c>
      <c r="W6" s="111" t="s">
        <v>698</v>
      </c>
      <c r="X6" s="111" t="s">
        <v>678</v>
      </c>
      <c r="Y6" s="703"/>
      <c r="Z6" s="112" t="s">
        <v>693</v>
      </c>
      <c r="AA6" s="110"/>
      <c r="AB6" s="115"/>
      <c r="AC6" s="115"/>
      <c r="AD6" s="705"/>
    </row>
    <row r="7" spans="1:30" ht="15" customHeight="1">
      <c r="A7" s="159" t="s">
        <v>147</v>
      </c>
      <c r="B7" s="104">
        <f t="shared" ref="B7:B45" si="0">IF(AND(C7="",D7="",E7=""),"",ROW()-5)</f>
        <v>2</v>
      </c>
      <c r="C7" s="489">
        <v>7058</v>
      </c>
      <c r="D7" s="489" t="s">
        <v>775</v>
      </c>
      <c r="E7" s="655" t="s">
        <v>770</v>
      </c>
      <c r="F7" s="590" t="s">
        <v>723</v>
      </c>
      <c r="G7" s="695" t="s">
        <v>771</v>
      </c>
      <c r="H7" s="107" t="s">
        <v>690</v>
      </c>
      <c r="I7" s="109" t="s">
        <v>472</v>
      </c>
      <c r="J7" s="109" t="s">
        <v>691</v>
      </c>
      <c r="K7" s="115" t="s">
        <v>170</v>
      </c>
      <c r="L7" s="109" t="s">
        <v>678</v>
      </c>
      <c r="M7" s="650"/>
      <c r="N7" s="696" t="s">
        <v>679</v>
      </c>
      <c r="O7" s="698" t="s">
        <v>602</v>
      </c>
      <c r="P7" s="699" t="s">
        <v>772</v>
      </c>
      <c r="Q7" s="110" t="s">
        <v>773</v>
      </c>
      <c r="R7" s="111" t="s">
        <v>688</v>
      </c>
      <c r="S7" s="111" t="s">
        <v>678</v>
      </c>
      <c r="T7" s="703"/>
      <c r="U7" s="112" t="s">
        <v>693</v>
      </c>
      <c r="V7" s="113" t="s">
        <v>774</v>
      </c>
      <c r="W7" s="111" t="s">
        <v>698</v>
      </c>
      <c r="X7" s="111" t="s">
        <v>678</v>
      </c>
      <c r="Y7" s="703"/>
      <c r="Z7" s="112" t="s">
        <v>693</v>
      </c>
      <c r="AA7" s="110"/>
      <c r="AB7" s="115"/>
      <c r="AC7" s="115"/>
      <c r="AD7" s="705"/>
    </row>
    <row r="8" spans="1:30">
      <c r="A8" s="159" t="str">
        <f>Q2</f>
        <v>Ayah Kandung</v>
      </c>
      <c r="B8" s="104">
        <f t="shared" si="0"/>
        <v>3</v>
      </c>
      <c r="C8" s="489">
        <v>7059</v>
      </c>
      <c r="D8" s="489" t="s">
        <v>660</v>
      </c>
      <c r="E8" s="655" t="s">
        <v>640</v>
      </c>
      <c r="F8" s="590" t="s">
        <v>685</v>
      </c>
      <c r="G8" s="695" t="s">
        <v>692</v>
      </c>
      <c r="H8" s="107" t="s">
        <v>690</v>
      </c>
      <c r="I8" s="109" t="s">
        <v>472</v>
      </c>
      <c r="J8" s="109" t="s">
        <v>691</v>
      </c>
      <c r="K8" s="115" t="s">
        <v>170</v>
      </c>
      <c r="L8" s="109" t="s">
        <v>685</v>
      </c>
      <c r="M8" s="650"/>
      <c r="N8" s="696" t="s">
        <v>686</v>
      </c>
      <c r="O8" s="698" t="s">
        <v>602</v>
      </c>
      <c r="P8" s="699" t="s">
        <v>772</v>
      </c>
      <c r="Q8" s="110" t="s">
        <v>687</v>
      </c>
      <c r="R8" s="111" t="s">
        <v>688</v>
      </c>
      <c r="S8" s="111" t="s">
        <v>685</v>
      </c>
      <c r="T8" s="703"/>
      <c r="U8" s="112" t="s">
        <v>693</v>
      </c>
      <c r="V8" s="113" t="s">
        <v>689</v>
      </c>
      <c r="W8" s="111" t="s">
        <v>698</v>
      </c>
      <c r="X8" s="111" t="s">
        <v>685</v>
      </c>
      <c r="Y8" s="703"/>
      <c r="Z8" s="112" t="s">
        <v>693</v>
      </c>
      <c r="AA8" s="110"/>
      <c r="AB8" s="115"/>
      <c r="AC8" s="115"/>
      <c r="AD8" s="705"/>
    </row>
    <row r="9" spans="1:30">
      <c r="A9" s="159" t="str">
        <f>V2</f>
        <v>Ibu Kandung</v>
      </c>
      <c r="B9" s="104">
        <f t="shared" si="0"/>
        <v>4</v>
      </c>
      <c r="C9" s="489">
        <v>7060</v>
      </c>
      <c r="D9" s="489" t="s">
        <v>661</v>
      </c>
      <c r="E9" s="655" t="s">
        <v>641</v>
      </c>
      <c r="F9" s="590" t="s">
        <v>685</v>
      </c>
      <c r="G9" s="695" t="s">
        <v>740</v>
      </c>
      <c r="H9" s="107" t="s">
        <v>690</v>
      </c>
      <c r="I9" s="109" t="s">
        <v>472</v>
      </c>
      <c r="J9" s="109" t="s">
        <v>691</v>
      </c>
      <c r="K9" s="115" t="s">
        <v>171</v>
      </c>
      <c r="L9" s="109" t="s">
        <v>685</v>
      </c>
      <c r="M9" s="650"/>
      <c r="N9" s="696" t="s">
        <v>694</v>
      </c>
      <c r="O9" s="698" t="s">
        <v>602</v>
      </c>
      <c r="P9" s="699" t="s">
        <v>772</v>
      </c>
      <c r="Q9" s="110" t="s">
        <v>695</v>
      </c>
      <c r="R9" s="111" t="s">
        <v>697</v>
      </c>
      <c r="S9" s="111" t="s">
        <v>685</v>
      </c>
      <c r="T9" s="703"/>
      <c r="U9" s="112" t="s">
        <v>693</v>
      </c>
      <c r="V9" s="113" t="s">
        <v>696</v>
      </c>
      <c r="W9" s="111" t="s">
        <v>698</v>
      </c>
      <c r="X9" s="111" t="s">
        <v>685</v>
      </c>
      <c r="Y9" s="703"/>
      <c r="Z9" s="112" t="s">
        <v>693</v>
      </c>
      <c r="AA9" s="110"/>
      <c r="AB9" s="115"/>
      <c r="AC9" s="115"/>
      <c r="AD9" s="705"/>
    </row>
    <row r="10" spans="1:30">
      <c r="A10" s="159" t="str">
        <f>AA2</f>
        <v>Wali</v>
      </c>
      <c r="B10" s="104">
        <f t="shared" si="0"/>
        <v>5</v>
      </c>
      <c r="C10" s="489">
        <v>7061</v>
      </c>
      <c r="D10" s="489" t="s">
        <v>662</v>
      </c>
      <c r="E10" s="655" t="s">
        <v>642</v>
      </c>
      <c r="F10" s="590" t="s">
        <v>685</v>
      </c>
      <c r="G10" s="695" t="s">
        <v>741</v>
      </c>
      <c r="H10" s="107" t="s">
        <v>690</v>
      </c>
      <c r="I10" s="109" t="s">
        <v>472</v>
      </c>
      <c r="J10" s="109" t="s">
        <v>691</v>
      </c>
      <c r="K10" s="115" t="s">
        <v>167</v>
      </c>
      <c r="L10" s="109" t="s">
        <v>685</v>
      </c>
      <c r="M10" s="650"/>
      <c r="N10" s="696" t="s">
        <v>694</v>
      </c>
      <c r="O10" s="698" t="s">
        <v>602</v>
      </c>
      <c r="P10" s="699" t="s">
        <v>772</v>
      </c>
      <c r="Q10" s="110" t="s">
        <v>699</v>
      </c>
      <c r="R10" s="111" t="s">
        <v>710</v>
      </c>
      <c r="S10" s="111" t="s">
        <v>685</v>
      </c>
      <c r="T10" s="703"/>
      <c r="U10" s="112" t="s">
        <v>693</v>
      </c>
      <c r="V10" s="113" t="s">
        <v>700</v>
      </c>
      <c r="W10" s="111" t="s">
        <v>698</v>
      </c>
      <c r="X10" s="111" t="s">
        <v>685</v>
      </c>
      <c r="Y10" s="703"/>
      <c r="Z10" s="112" t="s">
        <v>693</v>
      </c>
      <c r="AA10" s="110"/>
      <c r="AB10" s="115"/>
      <c r="AC10" s="115"/>
      <c r="AD10" s="705"/>
    </row>
    <row r="11" spans="1:30">
      <c r="B11" s="104">
        <f t="shared" si="0"/>
        <v>6</v>
      </c>
      <c r="C11" s="489">
        <v>7065</v>
      </c>
      <c r="D11" s="489" t="s">
        <v>663</v>
      </c>
      <c r="E11" s="655" t="s">
        <v>643</v>
      </c>
      <c r="F11" s="590" t="s">
        <v>685</v>
      </c>
      <c r="G11" s="695" t="s">
        <v>742</v>
      </c>
      <c r="H11" s="107" t="s">
        <v>690</v>
      </c>
      <c r="I11" s="109" t="s">
        <v>472</v>
      </c>
      <c r="J11" s="109" t="s">
        <v>691</v>
      </c>
      <c r="K11" s="115" t="s">
        <v>170</v>
      </c>
      <c r="L11" s="109" t="s">
        <v>685</v>
      </c>
      <c r="M11" s="650"/>
      <c r="N11" s="696" t="s">
        <v>686</v>
      </c>
      <c r="O11" s="698" t="s">
        <v>602</v>
      </c>
      <c r="P11" s="699" t="s">
        <v>772</v>
      </c>
      <c r="Q11" s="110" t="s">
        <v>701</v>
      </c>
      <c r="R11" s="111" t="s">
        <v>681</v>
      </c>
      <c r="S11" s="111" t="s">
        <v>685</v>
      </c>
      <c r="T11" s="703"/>
      <c r="U11" s="112" t="s">
        <v>693</v>
      </c>
      <c r="V11" s="113" t="s">
        <v>702</v>
      </c>
      <c r="W11" s="111" t="s">
        <v>698</v>
      </c>
      <c r="X11" s="111" t="s">
        <v>685</v>
      </c>
      <c r="Y11" s="703"/>
      <c r="Z11" s="112" t="s">
        <v>693</v>
      </c>
      <c r="AA11" s="110"/>
      <c r="AB11" s="115"/>
      <c r="AC11" s="115"/>
      <c r="AD11" s="705"/>
    </row>
    <row r="12" spans="1:30">
      <c r="B12" s="104">
        <f t="shared" si="0"/>
        <v>7</v>
      </c>
      <c r="C12" s="489">
        <v>7066</v>
      </c>
      <c r="D12" s="489" t="s">
        <v>776</v>
      </c>
      <c r="E12" s="655" t="s">
        <v>777</v>
      </c>
      <c r="F12" s="590" t="s">
        <v>778</v>
      </c>
      <c r="G12" s="695" t="s">
        <v>779</v>
      </c>
      <c r="H12" s="107" t="s">
        <v>690</v>
      </c>
      <c r="I12" s="109" t="s">
        <v>472</v>
      </c>
      <c r="J12" s="109" t="s">
        <v>691</v>
      </c>
      <c r="K12" s="115" t="s">
        <v>167</v>
      </c>
      <c r="L12" s="590" t="s">
        <v>778</v>
      </c>
      <c r="M12" s="650"/>
      <c r="N12" s="696" t="s">
        <v>705</v>
      </c>
      <c r="O12" s="698" t="s">
        <v>602</v>
      </c>
      <c r="P12" s="699" t="s">
        <v>772</v>
      </c>
      <c r="Q12" s="110" t="s">
        <v>780</v>
      </c>
      <c r="R12" s="111" t="s">
        <v>697</v>
      </c>
      <c r="S12" s="111" t="s">
        <v>778</v>
      </c>
      <c r="T12" s="703"/>
      <c r="U12" s="112" t="s">
        <v>693</v>
      </c>
      <c r="V12" s="113" t="s">
        <v>781</v>
      </c>
      <c r="W12" s="111" t="s">
        <v>698</v>
      </c>
      <c r="X12" s="111" t="s">
        <v>778</v>
      </c>
      <c r="Y12" s="703"/>
      <c r="Z12" s="112" t="s">
        <v>693</v>
      </c>
      <c r="AA12" s="110"/>
      <c r="AB12" s="115"/>
      <c r="AC12" s="115"/>
      <c r="AD12" s="705"/>
    </row>
    <row r="13" spans="1:30">
      <c r="B13" s="104">
        <f t="shared" si="0"/>
        <v>8</v>
      </c>
      <c r="C13" s="489">
        <v>7067</v>
      </c>
      <c r="D13" s="489" t="s">
        <v>664</v>
      </c>
      <c r="E13" s="655" t="s">
        <v>644</v>
      </c>
      <c r="F13" s="590" t="s">
        <v>703</v>
      </c>
      <c r="G13" s="695" t="s">
        <v>743</v>
      </c>
      <c r="H13" s="107" t="s">
        <v>690</v>
      </c>
      <c r="I13" s="109" t="s">
        <v>472</v>
      </c>
      <c r="J13" s="109" t="s">
        <v>691</v>
      </c>
      <c r="K13" s="115" t="s">
        <v>167</v>
      </c>
      <c r="L13" s="109" t="s">
        <v>765</v>
      </c>
      <c r="M13" s="650"/>
      <c r="N13" s="696" t="s">
        <v>705</v>
      </c>
      <c r="O13" s="698" t="s">
        <v>602</v>
      </c>
      <c r="P13" s="699" t="s">
        <v>772</v>
      </c>
      <c r="Q13" s="110" t="s">
        <v>706</v>
      </c>
      <c r="R13" s="111" t="s">
        <v>688</v>
      </c>
      <c r="S13" s="111" t="s">
        <v>704</v>
      </c>
      <c r="T13" s="703"/>
      <c r="U13" s="112" t="s">
        <v>693</v>
      </c>
      <c r="V13" s="113" t="s">
        <v>707</v>
      </c>
      <c r="W13" s="111" t="s">
        <v>688</v>
      </c>
      <c r="X13" s="111" t="s">
        <v>704</v>
      </c>
      <c r="Y13" s="703"/>
      <c r="Z13" s="112" t="s">
        <v>693</v>
      </c>
      <c r="AA13" s="110"/>
      <c r="AB13" s="115"/>
      <c r="AC13" s="115"/>
      <c r="AD13" s="705"/>
    </row>
    <row r="14" spans="1:30">
      <c r="B14" s="104">
        <f t="shared" si="0"/>
        <v>9</v>
      </c>
      <c r="C14" s="489">
        <v>7068</v>
      </c>
      <c r="D14" s="489" t="s">
        <v>665</v>
      </c>
      <c r="E14" s="655" t="s">
        <v>645</v>
      </c>
      <c r="F14" s="590" t="s">
        <v>678</v>
      </c>
      <c r="G14" s="695" t="s">
        <v>744</v>
      </c>
      <c r="H14" s="107" t="s">
        <v>708</v>
      </c>
      <c r="I14" s="109" t="s">
        <v>472</v>
      </c>
      <c r="J14" s="109" t="s">
        <v>691</v>
      </c>
      <c r="K14" s="115" t="s">
        <v>169</v>
      </c>
      <c r="L14" s="109" t="s">
        <v>765</v>
      </c>
      <c r="M14" s="650"/>
      <c r="N14" s="696" t="s">
        <v>679</v>
      </c>
      <c r="O14" s="698" t="s">
        <v>602</v>
      </c>
      <c r="P14" s="699" t="s">
        <v>772</v>
      </c>
      <c r="Q14" s="110" t="s">
        <v>709</v>
      </c>
      <c r="R14" s="111" t="s">
        <v>710</v>
      </c>
      <c r="S14" s="111" t="s">
        <v>678</v>
      </c>
      <c r="T14" s="703"/>
      <c r="U14" s="112" t="s">
        <v>693</v>
      </c>
      <c r="V14" s="113" t="s">
        <v>711</v>
      </c>
      <c r="W14" s="111" t="s">
        <v>698</v>
      </c>
      <c r="X14" s="111" t="s">
        <v>678</v>
      </c>
      <c r="Y14" s="703"/>
      <c r="Z14" s="112" t="s">
        <v>693</v>
      </c>
      <c r="AA14" s="110"/>
      <c r="AB14" s="115"/>
      <c r="AC14" s="115"/>
      <c r="AD14" s="705"/>
    </row>
    <row r="15" spans="1:30">
      <c r="B15" s="104">
        <f t="shared" si="0"/>
        <v>10</v>
      </c>
      <c r="C15" s="489">
        <v>7069</v>
      </c>
      <c r="D15" s="489" t="s">
        <v>666</v>
      </c>
      <c r="E15" s="655" t="s">
        <v>646</v>
      </c>
      <c r="F15" s="590" t="s">
        <v>685</v>
      </c>
      <c r="G15" s="695" t="s">
        <v>745</v>
      </c>
      <c r="H15" s="107" t="s">
        <v>690</v>
      </c>
      <c r="I15" s="109" t="s">
        <v>472</v>
      </c>
      <c r="J15" s="109" t="s">
        <v>691</v>
      </c>
      <c r="K15" s="115" t="s">
        <v>170</v>
      </c>
      <c r="L15" s="109" t="s">
        <v>685</v>
      </c>
      <c r="M15" s="650"/>
      <c r="N15" s="696" t="s">
        <v>686</v>
      </c>
      <c r="O15" s="698" t="s">
        <v>602</v>
      </c>
      <c r="P15" s="699" t="s">
        <v>772</v>
      </c>
      <c r="Q15" s="110" t="s">
        <v>712</v>
      </c>
      <c r="R15" s="111" t="s">
        <v>681</v>
      </c>
      <c r="S15" s="111" t="s">
        <v>685</v>
      </c>
      <c r="T15" s="703"/>
      <c r="U15" s="112" t="s">
        <v>693</v>
      </c>
      <c r="V15" s="113" t="s">
        <v>713</v>
      </c>
      <c r="W15" s="111" t="s">
        <v>698</v>
      </c>
      <c r="X15" s="111" t="s">
        <v>685</v>
      </c>
      <c r="Y15" s="703"/>
      <c r="Z15" s="112" t="s">
        <v>693</v>
      </c>
      <c r="AA15" s="110"/>
      <c r="AB15" s="115"/>
      <c r="AC15" s="115"/>
      <c r="AD15" s="705"/>
    </row>
    <row r="16" spans="1:30">
      <c r="B16" s="104">
        <f t="shared" si="0"/>
        <v>11</v>
      </c>
      <c r="C16" s="489">
        <v>7074</v>
      </c>
      <c r="D16" s="489" t="s">
        <v>667</v>
      </c>
      <c r="E16" s="655" t="s">
        <v>647</v>
      </c>
      <c r="F16" s="590" t="s">
        <v>685</v>
      </c>
      <c r="G16" s="695" t="s">
        <v>746</v>
      </c>
      <c r="H16" s="107" t="s">
        <v>690</v>
      </c>
      <c r="I16" s="109" t="s">
        <v>472</v>
      </c>
      <c r="J16" s="109" t="s">
        <v>691</v>
      </c>
      <c r="K16" s="115" t="s">
        <v>169</v>
      </c>
      <c r="L16" s="109" t="s">
        <v>685</v>
      </c>
      <c r="M16" s="650"/>
      <c r="N16" s="696" t="s">
        <v>686</v>
      </c>
      <c r="O16" s="698" t="s">
        <v>602</v>
      </c>
      <c r="P16" s="699" t="s">
        <v>772</v>
      </c>
      <c r="Q16" s="110" t="s">
        <v>714</v>
      </c>
      <c r="R16" s="111" t="s">
        <v>697</v>
      </c>
      <c r="S16" s="111" t="s">
        <v>685</v>
      </c>
      <c r="T16" s="703"/>
      <c r="U16" s="112" t="s">
        <v>693</v>
      </c>
      <c r="V16" s="113" t="s">
        <v>715</v>
      </c>
      <c r="W16" s="111" t="s">
        <v>698</v>
      </c>
      <c r="X16" s="111" t="s">
        <v>685</v>
      </c>
      <c r="Y16" s="703"/>
      <c r="Z16" s="112" t="s">
        <v>693</v>
      </c>
      <c r="AA16" s="110"/>
      <c r="AB16" s="115"/>
      <c r="AC16" s="115"/>
      <c r="AD16" s="705"/>
    </row>
    <row r="17" spans="2:30">
      <c r="B17" s="104">
        <f t="shared" si="0"/>
        <v>12</v>
      </c>
      <c r="C17" s="489">
        <v>7080</v>
      </c>
      <c r="D17" s="489" t="s">
        <v>668</v>
      </c>
      <c r="E17" s="655" t="s">
        <v>648</v>
      </c>
      <c r="F17" s="590" t="s">
        <v>685</v>
      </c>
      <c r="G17" s="695" t="s">
        <v>747</v>
      </c>
      <c r="H17" s="107" t="s">
        <v>690</v>
      </c>
      <c r="I17" s="109" t="s">
        <v>472</v>
      </c>
      <c r="J17" s="109" t="s">
        <v>691</v>
      </c>
      <c r="K17" s="115" t="s">
        <v>767</v>
      </c>
      <c r="L17" s="109" t="s">
        <v>685</v>
      </c>
      <c r="M17" s="650"/>
      <c r="N17" s="696" t="s">
        <v>686</v>
      </c>
      <c r="O17" s="698" t="s">
        <v>602</v>
      </c>
      <c r="P17" s="699" t="s">
        <v>772</v>
      </c>
      <c r="Q17" s="110" t="s">
        <v>716</v>
      </c>
      <c r="R17" s="111" t="s">
        <v>78</v>
      </c>
      <c r="S17" s="111" t="s">
        <v>685</v>
      </c>
      <c r="T17" s="703"/>
      <c r="U17" s="112" t="s">
        <v>693</v>
      </c>
      <c r="V17" s="113" t="s">
        <v>717</v>
      </c>
      <c r="W17" s="111" t="s">
        <v>688</v>
      </c>
      <c r="X17" s="111" t="s">
        <v>685</v>
      </c>
      <c r="Y17" s="703"/>
      <c r="Z17" s="112" t="s">
        <v>693</v>
      </c>
      <c r="AA17" s="110"/>
      <c r="AB17" s="115"/>
      <c r="AC17" s="115"/>
      <c r="AD17" s="705"/>
    </row>
    <row r="18" spans="2:30">
      <c r="B18" s="104">
        <f t="shared" si="0"/>
        <v>13</v>
      </c>
      <c r="C18" s="489">
        <v>7084</v>
      </c>
      <c r="D18" s="489" t="s">
        <v>782</v>
      </c>
      <c r="E18" s="655" t="s">
        <v>783</v>
      </c>
      <c r="F18" s="590" t="s">
        <v>678</v>
      </c>
      <c r="G18" s="695" t="s">
        <v>794</v>
      </c>
      <c r="H18" s="107" t="s">
        <v>684</v>
      </c>
      <c r="I18" s="109" t="s">
        <v>472</v>
      </c>
      <c r="J18" s="109" t="s">
        <v>691</v>
      </c>
      <c r="K18" s="115" t="s">
        <v>167</v>
      </c>
      <c r="L18" s="109" t="s">
        <v>678</v>
      </c>
      <c r="M18" s="650"/>
      <c r="N18" s="696" t="s">
        <v>679</v>
      </c>
      <c r="O18" s="698" t="s">
        <v>602</v>
      </c>
      <c r="P18" s="699" t="s">
        <v>772</v>
      </c>
      <c r="Q18" s="110" t="s">
        <v>795</v>
      </c>
      <c r="R18" s="111" t="s">
        <v>688</v>
      </c>
      <c r="S18" s="111" t="s">
        <v>678</v>
      </c>
      <c r="T18" s="703"/>
      <c r="U18" s="112" t="s">
        <v>693</v>
      </c>
      <c r="V18" s="113" t="s">
        <v>796</v>
      </c>
      <c r="W18" s="111" t="s">
        <v>688</v>
      </c>
      <c r="X18" s="111" t="s">
        <v>678</v>
      </c>
      <c r="Y18" s="703"/>
      <c r="Z18" s="112" t="s">
        <v>693</v>
      </c>
      <c r="AA18" s="110"/>
      <c r="AB18" s="115"/>
      <c r="AC18" s="115"/>
      <c r="AD18" s="705"/>
    </row>
    <row r="19" spans="2:30">
      <c r="B19" s="104">
        <f t="shared" si="0"/>
        <v>14</v>
      </c>
      <c r="C19" s="489">
        <v>7089</v>
      </c>
      <c r="D19" s="489" t="s">
        <v>784</v>
      </c>
      <c r="E19" s="655" t="s">
        <v>785</v>
      </c>
      <c r="F19" s="590" t="s">
        <v>685</v>
      </c>
      <c r="G19" s="695" t="s">
        <v>748</v>
      </c>
      <c r="H19" s="107" t="s">
        <v>684</v>
      </c>
      <c r="I19" s="109" t="s">
        <v>472</v>
      </c>
      <c r="J19" s="109" t="s">
        <v>691</v>
      </c>
      <c r="K19" s="115" t="s">
        <v>167</v>
      </c>
      <c r="L19" s="109" t="s">
        <v>685</v>
      </c>
      <c r="M19" s="650"/>
      <c r="N19" s="696" t="s">
        <v>720</v>
      </c>
      <c r="O19" s="698" t="s">
        <v>602</v>
      </c>
      <c r="P19" s="699" t="s">
        <v>772</v>
      </c>
      <c r="Q19" s="110" t="s">
        <v>721</v>
      </c>
      <c r="R19" s="111" t="s">
        <v>688</v>
      </c>
      <c r="S19" s="111" t="s">
        <v>685</v>
      </c>
      <c r="T19" s="703"/>
      <c r="U19" s="112" t="s">
        <v>693</v>
      </c>
      <c r="V19" s="113" t="s">
        <v>722</v>
      </c>
      <c r="W19" s="111" t="s">
        <v>688</v>
      </c>
      <c r="X19" s="111" t="s">
        <v>685</v>
      </c>
      <c r="Y19" s="703"/>
      <c r="Z19" s="112" t="s">
        <v>693</v>
      </c>
      <c r="AA19" s="110"/>
      <c r="AB19" s="115"/>
      <c r="AC19" s="115"/>
      <c r="AD19" s="705"/>
    </row>
    <row r="20" spans="2:30">
      <c r="B20" s="104">
        <f t="shared" si="0"/>
        <v>15</v>
      </c>
      <c r="C20" s="489">
        <v>7095</v>
      </c>
      <c r="D20" s="489" t="s">
        <v>669</v>
      </c>
      <c r="E20" s="655" t="s">
        <v>649</v>
      </c>
      <c r="F20" s="590" t="s">
        <v>685</v>
      </c>
      <c r="G20" s="695" t="s">
        <v>747</v>
      </c>
      <c r="H20" s="107" t="s">
        <v>708</v>
      </c>
      <c r="I20" s="109" t="s">
        <v>472</v>
      </c>
      <c r="J20" s="109" t="s">
        <v>691</v>
      </c>
      <c r="K20" s="115" t="s">
        <v>171</v>
      </c>
      <c r="L20" s="109" t="s">
        <v>685</v>
      </c>
      <c r="M20" s="650"/>
      <c r="N20" s="696" t="s">
        <v>718</v>
      </c>
      <c r="O20" s="698" t="s">
        <v>602</v>
      </c>
      <c r="P20" s="699" t="s">
        <v>772</v>
      </c>
      <c r="Q20" s="110" t="s">
        <v>719</v>
      </c>
      <c r="R20" s="111" t="s">
        <v>78</v>
      </c>
      <c r="S20" s="111" t="s">
        <v>685</v>
      </c>
      <c r="T20" s="703"/>
      <c r="U20" s="112" t="s">
        <v>952</v>
      </c>
      <c r="V20" s="113" t="s">
        <v>719</v>
      </c>
      <c r="W20" s="111" t="s">
        <v>697</v>
      </c>
      <c r="X20" s="111" t="s">
        <v>685</v>
      </c>
      <c r="Y20" s="703"/>
      <c r="Z20" s="112" t="s">
        <v>693</v>
      </c>
      <c r="AA20" s="110"/>
      <c r="AB20" s="115"/>
      <c r="AC20" s="115"/>
      <c r="AD20" s="705"/>
    </row>
    <row r="21" spans="2:30">
      <c r="B21" s="104">
        <f t="shared" si="0"/>
        <v>16</v>
      </c>
      <c r="C21" s="489">
        <v>7096</v>
      </c>
      <c r="D21" s="489" t="s">
        <v>670</v>
      </c>
      <c r="E21" s="655" t="s">
        <v>650</v>
      </c>
      <c r="F21" s="590" t="s">
        <v>685</v>
      </c>
      <c r="G21" s="695" t="s">
        <v>748</v>
      </c>
      <c r="H21" s="107" t="s">
        <v>690</v>
      </c>
      <c r="I21" s="109" t="s">
        <v>472</v>
      </c>
      <c r="J21" s="109" t="s">
        <v>691</v>
      </c>
      <c r="K21" s="115" t="s">
        <v>167</v>
      </c>
      <c r="L21" s="109" t="s">
        <v>685</v>
      </c>
      <c r="M21" s="650"/>
      <c r="N21" s="696" t="s">
        <v>720</v>
      </c>
      <c r="O21" s="698" t="s">
        <v>602</v>
      </c>
      <c r="P21" s="699" t="s">
        <v>772</v>
      </c>
      <c r="Q21" s="110" t="s">
        <v>721</v>
      </c>
      <c r="R21" s="111" t="s">
        <v>688</v>
      </c>
      <c r="S21" s="111" t="s">
        <v>685</v>
      </c>
      <c r="T21" s="703"/>
      <c r="U21" s="112" t="s">
        <v>693</v>
      </c>
      <c r="V21" s="113" t="s">
        <v>722</v>
      </c>
      <c r="W21" s="111" t="s">
        <v>688</v>
      </c>
      <c r="X21" s="111" t="s">
        <v>685</v>
      </c>
      <c r="Y21" s="703"/>
      <c r="Z21" s="112" t="s">
        <v>693</v>
      </c>
      <c r="AA21" s="110"/>
      <c r="AB21" s="115"/>
      <c r="AC21" s="115"/>
      <c r="AD21" s="705"/>
    </row>
    <row r="22" spans="2:30">
      <c r="B22" s="104">
        <f t="shared" si="0"/>
        <v>17</v>
      </c>
      <c r="C22" s="489">
        <v>7098</v>
      </c>
      <c r="D22" s="489" t="s">
        <v>671</v>
      </c>
      <c r="E22" s="655" t="s">
        <v>651</v>
      </c>
      <c r="F22" s="590" t="s">
        <v>723</v>
      </c>
      <c r="G22" s="695" t="s">
        <v>749</v>
      </c>
      <c r="H22" s="107" t="s">
        <v>690</v>
      </c>
      <c r="I22" s="109" t="s">
        <v>472</v>
      </c>
      <c r="J22" s="109" t="s">
        <v>691</v>
      </c>
      <c r="K22" s="115" t="s">
        <v>167</v>
      </c>
      <c r="L22" s="109" t="s">
        <v>685</v>
      </c>
      <c r="M22" s="650"/>
      <c r="N22" s="696" t="s">
        <v>686</v>
      </c>
      <c r="O22" s="698" t="s">
        <v>602</v>
      </c>
      <c r="P22" s="699" t="s">
        <v>772</v>
      </c>
      <c r="Q22" s="110" t="s">
        <v>724</v>
      </c>
      <c r="R22" s="111" t="s">
        <v>688</v>
      </c>
      <c r="S22" s="111" t="s">
        <v>685</v>
      </c>
      <c r="T22" s="703"/>
      <c r="U22" s="112" t="s">
        <v>693</v>
      </c>
      <c r="V22" s="113" t="s">
        <v>725</v>
      </c>
      <c r="W22" s="111" t="s">
        <v>688</v>
      </c>
      <c r="X22" s="111" t="s">
        <v>685</v>
      </c>
      <c r="Y22" s="703"/>
      <c r="Z22" s="112" t="s">
        <v>693</v>
      </c>
      <c r="AA22" s="110"/>
      <c r="AB22" s="115"/>
      <c r="AC22" s="115"/>
      <c r="AD22" s="705"/>
    </row>
    <row r="23" spans="2:30">
      <c r="B23" s="104">
        <f t="shared" si="0"/>
        <v>18</v>
      </c>
      <c r="C23" s="489">
        <v>7101</v>
      </c>
      <c r="D23" s="489" t="s">
        <v>786</v>
      </c>
      <c r="E23" s="655" t="s">
        <v>787</v>
      </c>
      <c r="F23" s="590" t="s">
        <v>685</v>
      </c>
      <c r="G23" s="695" t="s">
        <v>802</v>
      </c>
      <c r="H23" s="107" t="s">
        <v>690</v>
      </c>
      <c r="I23" s="109" t="s">
        <v>472</v>
      </c>
      <c r="J23" s="109" t="s">
        <v>691</v>
      </c>
      <c r="K23" s="115" t="s">
        <v>167</v>
      </c>
      <c r="L23" s="109" t="s">
        <v>685</v>
      </c>
      <c r="M23" s="650"/>
      <c r="N23" s="696" t="s">
        <v>718</v>
      </c>
      <c r="O23" s="698" t="s">
        <v>602</v>
      </c>
      <c r="P23" s="699" t="s">
        <v>772</v>
      </c>
      <c r="Q23" s="110" t="s">
        <v>803</v>
      </c>
      <c r="R23" s="111" t="s">
        <v>688</v>
      </c>
      <c r="S23" s="111" t="s">
        <v>685</v>
      </c>
      <c r="T23" s="703"/>
      <c r="U23" s="112" t="s">
        <v>693</v>
      </c>
      <c r="V23" s="113" t="s">
        <v>804</v>
      </c>
      <c r="W23" s="111" t="s">
        <v>698</v>
      </c>
      <c r="X23" s="111" t="s">
        <v>685</v>
      </c>
      <c r="Y23" s="703"/>
      <c r="Z23" s="112" t="s">
        <v>693</v>
      </c>
      <c r="AA23" s="110"/>
      <c r="AB23" s="115"/>
      <c r="AC23" s="115"/>
      <c r="AD23" s="705"/>
    </row>
    <row r="24" spans="2:30">
      <c r="B24" s="104">
        <f t="shared" si="0"/>
        <v>19</v>
      </c>
      <c r="C24" s="489">
        <v>7104</v>
      </c>
      <c r="D24" s="489" t="s">
        <v>672</v>
      </c>
      <c r="E24" s="655" t="s">
        <v>652</v>
      </c>
      <c r="F24" s="590" t="s">
        <v>685</v>
      </c>
      <c r="G24" s="695" t="s">
        <v>750</v>
      </c>
      <c r="H24" s="107" t="s">
        <v>690</v>
      </c>
      <c r="I24" s="109" t="s">
        <v>472</v>
      </c>
      <c r="J24" s="109" t="s">
        <v>691</v>
      </c>
      <c r="K24" s="115" t="s">
        <v>168</v>
      </c>
      <c r="L24" s="109" t="s">
        <v>685</v>
      </c>
      <c r="M24" s="650"/>
      <c r="N24" s="696" t="s">
        <v>686</v>
      </c>
      <c r="O24" s="698" t="s">
        <v>602</v>
      </c>
      <c r="P24" s="699" t="s">
        <v>772</v>
      </c>
      <c r="Q24" s="110" t="s">
        <v>726</v>
      </c>
      <c r="R24" s="111" t="s">
        <v>757</v>
      </c>
      <c r="S24" s="111" t="s">
        <v>685</v>
      </c>
      <c r="T24" s="703"/>
      <c r="U24" s="112" t="s">
        <v>693</v>
      </c>
      <c r="V24" s="113" t="s">
        <v>727</v>
      </c>
      <c r="W24" s="111" t="s">
        <v>698</v>
      </c>
      <c r="X24" s="111" t="s">
        <v>685</v>
      </c>
      <c r="Y24" s="703"/>
      <c r="Z24" s="112" t="s">
        <v>693</v>
      </c>
      <c r="AA24" s="110"/>
      <c r="AB24" s="115"/>
      <c r="AC24" s="115"/>
      <c r="AD24" s="705"/>
    </row>
    <row r="25" spans="2:30">
      <c r="B25" s="104">
        <f t="shared" si="0"/>
        <v>20</v>
      </c>
      <c r="C25" s="489">
        <v>7105</v>
      </c>
      <c r="D25" s="489" t="s">
        <v>673</v>
      </c>
      <c r="E25" s="655" t="s">
        <v>653</v>
      </c>
      <c r="F25" s="590" t="s">
        <v>685</v>
      </c>
      <c r="G25" s="695" t="s">
        <v>751</v>
      </c>
      <c r="H25" s="107" t="s">
        <v>690</v>
      </c>
      <c r="I25" s="109" t="s">
        <v>472</v>
      </c>
      <c r="J25" s="109" t="s">
        <v>691</v>
      </c>
      <c r="K25" s="115" t="s">
        <v>167</v>
      </c>
      <c r="L25" s="109" t="s">
        <v>685</v>
      </c>
      <c r="M25" s="650"/>
      <c r="N25" s="696" t="s">
        <v>720</v>
      </c>
      <c r="O25" s="698" t="s">
        <v>602</v>
      </c>
      <c r="P25" s="699" t="s">
        <v>772</v>
      </c>
      <c r="Q25" s="110" t="s">
        <v>728</v>
      </c>
      <c r="R25" s="111" t="s">
        <v>688</v>
      </c>
      <c r="S25" s="111" t="s">
        <v>685</v>
      </c>
      <c r="T25" s="703"/>
      <c r="U25" s="112" t="s">
        <v>693</v>
      </c>
      <c r="V25" s="113" t="s">
        <v>729</v>
      </c>
      <c r="W25" s="111" t="s">
        <v>688</v>
      </c>
      <c r="X25" s="111" t="s">
        <v>685</v>
      </c>
      <c r="Y25" s="703"/>
      <c r="Z25" s="112" t="s">
        <v>693</v>
      </c>
      <c r="AA25" s="110"/>
      <c r="AB25" s="115"/>
      <c r="AC25" s="115"/>
      <c r="AD25" s="705"/>
    </row>
    <row r="26" spans="2:30">
      <c r="B26" s="104">
        <f t="shared" si="0"/>
        <v>21</v>
      </c>
      <c r="C26" s="489">
        <v>7107</v>
      </c>
      <c r="D26" s="489" t="s">
        <v>674</v>
      </c>
      <c r="E26" s="655" t="s">
        <v>654</v>
      </c>
      <c r="F26" s="590" t="s">
        <v>723</v>
      </c>
      <c r="G26" s="695" t="s">
        <v>752</v>
      </c>
      <c r="H26" s="107" t="s">
        <v>708</v>
      </c>
      <c r="I26" s="109" t="s">
        <v>472</v>
      </c>
      <c r="J26" s="109" t="s">
        <v>691</v>
      </c>
      <c r="K26" s="115" t="s">
        <v>167</v>
      </c>
      <c r="L26" s="109" t="s">
        <v>685</v>
      </c>
      <c r="M26" s="650"/>
      <c r="N26" s="696" t="s">
        <v>686</v>
      </c>
      <c r="O26" s="698" t="s">
        <v>602</v>
      </c>
      <c r="P26" s="700" t="s">
        <v>772</v>
      </c>
      <c r="Q26" s="110" t="s">
        <v>758</v>
      </c>
      <c r="R26" s="111" t="s">
        <v>688</v>
      </c>
      <c r="S26" s="111" t="s">
        <v>685</v>
      </c>
      <c r="T26" s="703"/>
      <c r="U26" s="112" t="s">
        <v>693</v>
      </c>
      <c r="V26" s="113" t="s">
        <v>759</v>
      </c>
      <c r="W26" s="111" t="s">
        <v>688</v>
      </c>
      <c r="X26" s="111" t="s">
        <v>685</v>
      </c>
      <c r="Y26" s="703"/>
      <c r="Z26" s="112" t="s">
        <v>693</v>
      </c>
      <c r="AA26" s="110"/>
      <c r="AB26" s="115"/>
      <c r="AC26" s="115"/>
      <c r="AD26" s="705"/>
    </row>
    <row r="27" spans="2:30">
      <c r="B27" s="104">
        <f t="shared" si="0"/>
        <v>22</v>
      </c>
      <c r="C27" s="489">
        <v>7108</v>
      </c>
      <c r="D27" s="489" t="s">
        <v>788</v>
      </c>
      <c r="E27" s="655" t="s">
        <v>789</v>
      </c>
      <c r="F27" s="590" t="s">
        <v>765</v>
      </c>
      <c r="G27" s="695" t="s">
        <v>805</v>
      </c>
      <c r="H27" s="107" t="s">
        <v>684</v>
      </c>
      <c r="I27" s="109" t="s">
        <v>472</v>
      </c>
      <c r="J27" s="109" t="s">
        <v>691</v>
      </c>
      <c r="K27" s="115" t="s">
        <v>764</v>
      </c>
      <c r="L27" s="109" t="s">
        <v>765</v>
      </c>
      <c r="M27" s="650"/>
      <c r="N27" s="696" t="s">
        <v>808</v>
      </c>
      <c r="O27" s="698" t="s">
        <v>602</v>
      </c>
      <c r="P27" s="700" t="s">
        <v>772</v>
      </c>
      <c r="Q27" s="110" t="s">
        <v>806</v>
      </c>
      <c r="R27" s="111" t="s">
        <v>688</v>
      </c>
      <c r="S27" s="111" t="s">
        <v>765</v>
      </c>
      <c r="T27" s="703"/>
      <c r="U27" s="112" t="s">
        <v>693</v>
      </c>
      <c r="V27" s="113" t="s">
        <v>807</v>
      </c>
      <c r="W27" s="111" t="s">
        <v>688</v>
      </c>
      <c r="X27" s="111" t="s">
        <v>765</v>
      </c>
      <c r="Y27" s="703"/>
      <c r="Z27" s="112" t="s">
        <v>693</v>
      </c>
      <c r="AA27" s="110"/>
      <c r="AB27" s="115"/>
      <c r="AC27" s="115"/>
      <c r="AD27" s="705"/>
    </row>
    <row r="28" spans="2:30">
      <c r="B28" s="104">
        <f t="shared" si="0"/>
        <v>23</v>
      </c>
      <c r="C28" s="489">
        <v>7111</v>
      </c>
      <c r="D28" s="489" t="s">
        <v>675</v>
      </c>
      <c r="E28" s="655" t="s">
        <v>655</v>
      </c>
      <c r="F28" s="590" t="s">
        <v>685</v>
      </c>
      <c r="G28" s="695" t="s">
        <v>753</v>
      </c>
      <c r="H28" s="107" t="s">
        <v>690</v>
      </c>
      <c r="I28" s="109" t="s">
        <v>472</v>
      </c>
      <c r="J28" s="109" t="s">
        <v>691</v>
      </c>
      <c r="K28" s="115" t="s">
        <v>168</v>
      </c>
      <c r="L28" s="109" t="s">
        <v>685</v>
      </c>
      <c r="M28" s="650"/>
      <c r="N28" s="696" t="s">
        <v>686</v>
      </c>
      <c r="O28" s="698" t="s">
        <v>602</v>
      </c>
      <c r="P28" s="700" t="s">
        <v>772</v>
      </c>
      <c r="Q28" s="110" t="s">
        <v>730</v>
      </c>
      <c r="R28" s="111" t="s">
        <v>688</v>
      </c>
      <c r="S28" s="111" t="s">
        <v>685</v>
      </c>
      <c r="T28" s="703"/>
      <c r="U28" s="112" t="s">
        <v>693</v>
      </c>
      <c r="V28" s="113" t="s">
        <v>731</v>
      </c>
      <c r="W28" s="111" t="s">
        <v>688</v>
      </c>
      <c r="X28" s="111" t="s">
        <v>685</v>
      </c>
      <c r="Y28" s="703"/>
      <c r="Z28" s="112" t="s">
        <v>693</v>
      </c>
      <c r="AA28" s="110" t="s">
        <v>760</v>
      </c>
      <c r="AB28" s="115" t="s">
        <v>761</v>
      </c>
      <c r="AC28" s="115" t="s">
        <v>685</v>
      </c>
      <c r="AD28" s="705" t="s">
        <v>762</v>
      </c>
    </row>
    <row r="29" spans="2:30">
      <c r="B29" s="104">
        <f t="shared" si="0"/>
        <v>24</v>
      </c>
      <c r="C29" s="489">
        <v>7126</v>
      </c>
      <c r="D29" s="489" t="s">
        <v>763</v>
      </c>
      <c r="E29" s="655" t="s">
        <v>656</v>
      </c>
      <c r="F29" s="590" t="s">
        <v>685</v>
      </c>
      <c r="G29" s="695" t="s">
        <v>754</v>
      </c>
      <c r="H29" s="107" t="s">
        <v>708</v>
      </c>
      <c r="I29" s="109" t="s">
        <v>472</v>
      </c>
      <c r="J29" s="109" t="s">
        <v>691</v>
      </c>
      <c r="K29" s="115" t="s">
        <v>168</v>
      </c>
      <c r="L29" s="109" t="s">
        <v>685</v>
      </c>
      <c r="M29" s="650"/>
      <c r="N29" s="696" t="s">
        <v>718</v>
      </c>
      <c r="O29" s="698" t="s">
        <v>602</v>
      </c>
      <c r="P29" s="700" t="s">
        <v>772</v>
      </c>
      <c r="Q29" s="110" t="s">
        <v>732</v>
      </c>
      <c r="R29" s="111" t="s">
        <v>688</v>
      </c>
      <c r="S29" s="111" t="s">
        <v>685</v>
      </c>
      <c r="T29" s="703"/>
      <c r="U29" s="112" t="s">
        <v>693</v>
      </c>
      <c r="V29" s="113" t="s">
        <v>733</v>
      </c>
      <c r="W29" s="111" t="s">
        <v>698</v>
      </c>
      <c r="X29" s="111" t="s">
        <v>685</v>
      </c>
      <c r="Y29" s="703"/>
      <c r="Z29" s="112" t="s">
        <v>693</v>
      </c>
      <c r="AA29" s="110"/>
      <c r="AB29" s="115"/>
      <c r="AC29" s="115"/>
      <c r="AD29" s="705"/>
    </row>
    <row r="30" spans="2:30">
      <c r="B30" s="104">
        <f t="shared" si="0"/>
        <v>25</v>
      </c>
      <c r="C30" s="489">
        <v>7130</v>
      </c>
      <c r="D30" s="489" t="s">
        <v>790</v>
      </c>
      <c r="E30" s="655" t="s">
        <v>791</v>
      </c>
      <c r="F30" s="590" t="s">
        <v>685</v>
      </c>
      <c r="G30" s="695" t="s">
        <v>809</v>
      </c>
      <c r="H30" s="107" t="s">
        <v>684</v>
      </c>
      <c r="I30" s="109" t="s">
        <v>472</v>
      </c>
      <c r="J30" s="109" t="s">
        <v>691</v>
      </c>
      <c r="K30" s="115" t="s">
        <v>170</v>
      </c>
      <c r="L30" s="109" t="s">
        <v>685</v>
      </c>
      <c r="M30" s="650"/>
      <c r="N30" s="696" t="s">
        <v>718</v>
      </c>
      <c r="O30" s="698" t="s">
        <v>602</v>
      </c>
      <c r="P30" s="700" t="s">
        <v>772</v>
      </c>
      <c r="Q30" s="110" t="s">
        <v>732</v>
      </c>
      <c r="R30" s="111" t="s">
        <v>688</v>
      </c>
      <c r="S30" s="111" t="s">
        <v>685</v>
      </c>
      <c r="T30" s="703"/>
      <c r="U30" s="112" t="s">
        <v>693</v>
      </c>
      <c r="V30" s="113" t="s">
        <v>733</v>
      </c>
      <c r="W30" s="111" t="s">
        <v>698</v>
      </c>
      <c r="X30" s="111" t="s">
        <v>685</v>
      </c>
      <c r="Y30" s="703"/>
      <c r="Z30" s="112" t="s">
        <v>693</v>
      </c>
      <c r="AA30" s="110"/>
      <c r="AB30" s="115"/>
      <c r="AC30" s="115"/>
      <c r="AD30" s="705"/>
    </row>
    <row r="31" spans="2:30">
      <c r="B31" s="104">
        <f t="shared" si="0"/>
        <v>26</v>
      </c>
      <c r="C31" s="489">
        <v>7132</v>
      </c>
      <c r="D31" s="489" t="s">
        <v>676</v>
      </c>
      <c r="E31" s="655" t="s">
        <v>657</v>
      </c>
      <c r="F31" s="590" t="s">
        <v>734</v>
      </c>
      <c r="G31" s="695" t="s">
        <v>755</v>
      </c>
      <c r="H31" s="107" t="s">
        <v>708</v>
      </c>
      <c r="I31" s="109" t="s">
        <v>472</v>
      </c>
      <c r="J31" s="109" t="s">
        <v>691</v>
      </c>
      <c r="K31" s="115" t="s">
        <v>167</v>
      </c>
      <c r="L31" s="109" t="s">
        <v>685</v>
      </c>
      <c r="M31" s="650"/>
      <c r="N31" s="696" t="s">
        <v>735</v>
      </c>
      <c r="O31" s="698" t="s">
        <v>602</v>
      </c>
      <c r="P31" s="700" t="s">
        <v>772</v>
      </c>
      <c r="Q31" s="110" t="s">
        <v>736</v>
      </c>
      <c r="R31" s="111" t="s">
        <v>737</v>
      </c>
      <c r="S31" s="111" t="s">
        <v>734</v>
      </c>
      <c r="T31" s="703"/>
      <c r="U31" s="112" t="s">
        <v>693</v>
      </c>
      <c r="V31" s="113" t="s">
        <v>766</v>
      </c>
      <c r="W31" s="111" t="s">
        <v>698</v>
      </c>
      <c r="X31" s="111" t="s">
        <v>685</v>
      </c>
      <c r="Y31" s="703"/>
      <c r="Z31" s="112" t="s">
        <v>693</v>
      </c>
      <c r="AA31" s="110"/>
      <c r="AB31" s="115"/>
      <c r="AC31" s="115"/>
      <c r="AD31" s="705"/>
    </row>
    <row r="32" spans="2:30">
      <c r="B32" s="104">
        <f t="shared" si="0"/>
        <v>27</v>
      </c>
      <c r="C32" s="489">
        <v>7133</v>
      </c>
      <c r="D32" s="489" t="s">
        <v>677</v>
      </c>
      <c r="E32" s="655" t="s">
        <v>658</v>
      </c>
      <c r="F32" s="590" t="s">
        <v>685</v>
      </c>
      <c r="G32" s="695" t="s">
        <v>756</v>
      </c>
      <c r="H32" s="107" t="s">
        <v>690</v>
      </c>
      <c r="I32" s="109" t="s">
        <v>472</v>
      </c>
      <c r="J32" s="109" t="s">
        <v>691</v>
      </c>
      <c r="K32" s="115" t="s">
        <v>168</v>
      </c>
      <c r="L32" s="109" t="s">
        <v>685</v>
      </c>
      <c r="M32" s="650"/>
      <c r="N32" s="696" t="s">
        <v>686</v>
      </c>
      <c r="O32" s="698" t="s">
        <v>602</v>
      </c>
      <c r="P32" s="700" t="s">
        <v>772</v>
      </c>
      <c r="Q32" s="110" t="s">
        <v>738</v>
      </c>
      <c r="R32" s="111" t="s">
        <v>688</v>
      </c>
      <c r="S32" s="111" t="s">
        <v>685</v>
      </c>
      <c r="T32" s="703"/>
      <c r="U32" s="112" t="s">
        <v>693</v>
      </c>
      <c r="V32" s="113" t="s">
        <v>739</v>
      </c>
      <c r="W32" s="111" t="s">
        <v>698</v>
      </c>
      <c r="X32" s="111" t="s">
        <v>685</v>
      </c>
      <c r="Y32" s="703"/>
      <c r="Z32" s="112" t="s">
        <v>693</v>
      </c>
      <c r="AA32" s="110"/>
      <c r="AB32" s="115"/>
      <c r="AC32" s="115"/>
      <c r="AD32" s="705"/>
    </row>
    <row r="33" spans="2:30">
      <c r="B33" s="104">
        <f t="shared" si="0"/>
        <v>28</v>
      </c>
      <c r="C33" s="489">
        <v>7142</v>
      </c>
      <c r="D33" s="489" t="s">
        <v>792</v>
      </c>
      <c r="E33" s="655" t="s">
        <v>793</v>
      </c>
      <c r="F33" s="590" t="s">
        <v>685</v>
      </c>
      <c r="G33" s="695" t="s">
        <v>797</v>
      </c>
      <c r="H33" s="107" t="s">
        <v>684</v>
      </c>
      <c r="I33" s="109" t="s">
        <v>798</v>
      </c>
      <c r="J33" s="109" t="s">
        <v>691</v>
      </c>
      <c r="K33" s="115" t="s">
        <v>167</v>
      </c>
      <c r="L33" s="109" t="s">
        <v>685</v>
      </c>
      <c r="M33" s="650"/>
      <c r="N33" s="696" t="s">
        <v>799</v>
      </c>
      <c r="O33" s="698" t="s">
        <v>602</v>
      </c>
      <c r="P33" s="700" t="s">
        <v>772</v>
      </c>
      <c r="Q33" s="110" t="s">
        <v>800</v>
      </c>
      <c r="R33" s="111" t="s">
        <v>681</v>
      </c>
      <c r="S33" s="111" t="s">
        <v>685</v>
      </c>
      <c r="T33" s="703"/>
      <c r="U33" s="112" t="s">
        <v>693</v>
      </c>
      <c r="V33" s="113" t="s">
        <v>801</v>
      </c>
      <c r="W33" s="111" t="s">
        <v>681</v>
      </c>
      <c r="X33" s="111" t="s">
        <v>685</v>
      </c>
      <c r="Y33" s="703"/>
      <c r="Z33" s="112" t="s">
        <v>693</v>
      </c>
      <c r="AA33" s="110"/>
      <c r="AB33" s="115"/>
      <c r="AC33" s="115"/>
      <c r="AD33" s="705"/>
    </row>
    <row r="34" spans="2:30">
      <c r="B34" s="104">
        <f t="shared" si="0"/>
        <v>29</v>
      </c>
      <c r="C34" s="489"/>
      <c r="D34" s="650" t="s">
        <v>944</v>
      </c>
      <c r="E34" s="655" t="s">
        <v>945</v>
      </c>
      <c r="F34" s="590" t="s">
        <v>946</v>
      </c>
      <c r="G34" s="695" t="s">
        <v>947</v>
      </c>
      <c r="H34" s="107" t="s">
        <v>690</v>
      </c>
      <c r="I34" s="109" t="s">
        <v>472</v>
      </c>
      <c r="J34" s="109" t="s">
        <v>691</v>
      </c>
      <c r="K34" s="115" t="s">
        <v>167</v>
      </c>
      <c r="L34" s="109" t="s">
        <v>685</v>
      </c>
      <c r="M34" s="650"/>
      <c r="N34" s="696" t="s">
        <v>948</v>
      </c>
      <c r="O34" s="698" t="s">
        <v>602</v>
      </c>
      <c r="P34" s="700" t="s">
        <v>772</v>
      </c>
      <c r="Q34" s="110" t="s">
        <v>949</v>
      </c>
      <c r="R34" s="111" t="s">
        <v>737</v>
      </c>
      <c r="S34" s="111" t="s">
        <v>950</v>
      </c>
      <c r="T34" s="703"/>
      <c r="U34" s="112" t="s">
        <v>693</v>
      </c>
      <c r="V34" s="113" t="s">
        <v>951</v>
      </c>
      <c r="W34" s="111" t="s">
        <v>698</v>
      </c>
      <c r="X34" s="111" t="s">
        <v>950</v>
      </c>
      <c r="Y34" s="703"/>
      <c r="Z34" s="112" t="s">
        <v>693</v>
      </c>
      <c r="AA34" s="110"/>
      <c r="AB34" s="115"/>
      <c r="AC34" s="115"/>
      <c r="AD34" s="705"/>
    </row>
    <row r="35" spans="2:30">
      <c r="B35" s="104" t="str">
        <f t="shared" si="0"/>
        <v/>
      </c>
      <c r="C35" s="489"/>
      <c r="D35" s="489"/>
      <c r="E35" s="655"/>
      <c r="F35" s="590"/>
      <c r="G35" s="695"/>
      <c r="H35" s="107"/>
      <c r="I35" s="109"/>
      <c r="J35" s="109"/>
      <c r="K35" s="115"/>
      <c r="L35" s="109"/>
      <c r="M35" s="650"/>
      <c r="N35" s="696"/>
      <c r="O35" s="698"/>
      <c r="P35" s="700"/>
      <c r="Q35" s="110"/>
      <c r="R35" s="111"/>
      <c r="S35" s="111"/>
      <c r="T35" s="703"/>
      <c r="U35" s="112"/>
      <c r="V35" s="113"/>
      <c r="W35" s="111"/>
      <c r="X35" s="111"/>
      <c r="Y35" s="703"/>
      <c r="Z35" s="112"/>
      <c r="AA35" s="110"/>
      <c r="AB35" s="115"/>
      <c r="AC35" s="115"/>
      <c r="AD35" s="705"/>
    </row>
    <row r="36" spans="2:30">
      <c r="B36" s="104" t="str">
        <f t="shared" si="0"/>
        <v/>
      </c>
      <c r="C36" s="489"/>
      <c r="D36" s="489"/>
      <c r="E36" s="655"/>
      <c r="F36" s="590"/>
      <c r="G36" s="695"/>
      <c r="H36" s="107"/>
      <c r="I36" s="109"/>
      <c r="J36" s="109"/>
      <c r="K36" s="115"/>
      <c r="L36" s="109"/>
      <c r="M36" s="650"/>
      <c r="N36" s="696"/>
      <c r="O36" s="698"/>
      <c r="P36" s="700"/>
      <c r="Q36" s="110"/>
      <c r="R36" s="111"/>
      <c r="S36" s="111"/>
      <c r="T36" s="703"/>
      <c r="U36" s="112"/>
      <c r="V36" s="113"/>
      <c r="W36" s="111"/>
      <c r="X36" s="111"/>
      <c r="Y36" s="703"/>
      <c r="Z36" s="112"/>
      <c r="AA36" s="110"/>
      <c r="AB36" s="115"/>
      <c r="AC36" s="115"/>
      <c r="AD36" s="705"/>
    </row>
    <row r="37" spans="2:30">
      <c r="B37" s="104" t="str">
        <f t="shared" si="0"/>
        <v/>
      </c>
      <c r="C37" s="489"/>
      <c r="D37" s="489"/>
      <c r="E37" s="655"/>
      <c r="F37" s="590"/>
      <c r="G37" s="695"/>
      <c r="H37" s="107"/>
      <c r="I37" s="109"/>
      <c r="J37" s="109"/>
      <c r="K37" s="115"/>
      <c r="L37" s="109"/>
      <c r="M37" s="650"/>
      <c r="N37" s="696"/>
      <c r="O37" s="698"/>
      <c r="P37" s="700"/>
      <c r="Q37" s="110"/>
      <c r="R37" s="111"/>
      <c r="S37" s="111"/>
      <c r="T37" s="703"/>
      <c r="U37" s="112"/>
      <c r="V37" s="113"/>
      <c r="W37" s="111"/>
      <c r="X37" s="111"/>
      <c r="Y37" s="703"/>
      <c r="Z37" s="112"/>
      <c r="AA37" s="110"/>
      <c r="AB37" s="115"/>
      <c r="AC37" s="115"/>
      <c r="AD37" s="705"/>
    </row>
    <row r="38" spans="2:30">
      <c r="B38" s="104" t="str">
        <f t="shared" si="0"/>
        <v/>
      </c>
      <c r="C38" s="650"/>
      <c r="D38" s="489"/>
      <c r="E38" s="655"/>
      <c r="F38" s="590"/>
      <c r="G38" s="695"/>
      <c r="H38" s="107"/>
      <c r="I38" s="109"/>
      <c r="J38" s="109"/>
      <c r="K38" s="115"/>
      <c r="L38" s="109"/>
      <c r="M38" s="650"/>
      <c r="N38" s="696"/>
      <c r="O38" s="698"/>
      <c r="P38" s="700"/>
      <c r="Q38" s="110"/>
      <c r="R38" s="111"/>
      <c r="S38" s="111"/>
      <c r="T38" s="703"/>
      <c r="U38" s="112"/>
      <c r="V38" s="113"/>
      <c r="W38" s="111"/>
      <c r="X38" s="111"/>
      <c r="Y38" s="703"/>
      <c r="Z38" s="112"/>
      <c r="AA38" s="110"/>
      <c r="AB38" s="115"/>
      <c r="AC38" s="115"/>
      <c r="AD38" s="705"/>
    </row>
    <row r="39" spans="2:30">
      <c r="B39" s="104" t="str">
        <f t="shared" si="0"/>
        <v/>
      </c>
      <c r="C39" s="489"/>
      <c r="D39" s="489"/>
      <c r="E39" s="655"/>
      <c r="F39" s="590"/>
      <c r="G39" s="695"/>
      <c r="H39" s="107"/>
      <c r="I39" s="109"/>
      <c r="J39" s="109"/>
      <c r="K39" s="115"/>
      <c r="L39" s="109"/>
      <c r="M39" s="650"/>
      <c r="N39" s="696"/>
      <c r="O39" s="698"/>
      <c r="P39" s="700"/>
      <c r="Q39" s="110"/>
      <c r="R39" s="111"/>
      <c r="S39" s="111"/>
      <c r="T39" s="703"/>
      <c r="U39" s="112"/>
      <c r="V39" s="113"/>
      <c r="W39" s="111"/>
      <c r="X39" s="111"/>
      <c r="Y39" s="703"/>
      <c r="Z39" s="112"/>
      <c r="AA39" s="110"/>
      <c r="AB39" s="115"/>
      <c r="AC39" s="115"/>
      <c r="AD39" s="705"/>
    </row>
    <row r="40" spans="2:30">
      <c r="B40" s="104" t="str">
        <f t="shared" si="0"/>
        <v/>
      </c>
      <c r="C40" s="489"/>
      <c r="D40" s="489"/>
      <c r="E40" s="655"/>
      <c r="F40" s="590"/>
      <c r="G40" s="695"/>
      <c r="H40" s="107"/>
      <c r="I40" s="109"/>
      <c r="J40" s="109"/>
      <c r="K40" s="115"/>
      <c r="L40" s="109"/>
      <c r="M40" s="650"/>
      <c r="N40" s="696"/>
      <c r="O40" s="698"/>
      <c r="P40" s="700"/>
      <c r="Q40" s="110"/>
      <c r="R40" s="111"/>
      <c r="S40" s="111"/>
      <c r="T40" s="703"/>
      <c r="U40" s="112"/>
      <c r="V40" s="113"/>
      <c r="W40" s="111"/>
      <c r="X40" s="111"/>
      <c r="Y40" s="703"/>
      <c r="Z40" s="112"/>
      <c r="AA40" s="110"/>
      <c r="AB40" s="115"/>
      <c r="AC40" s="115"/>
      <c r="AD40" s="705"/>
    </row>
    <row r="41" spans="2:30">
      <c r="B41" s="104" t="str">
        <f t="shared" si="0"/>
        <v/>
      </c>
      <c r="C41" s="489"/>
      <c r="D41" s="489"/>
      <c r="E41" s="655"/>
      <c r="F41" s="590"/>
      <c r="G41" s="695"/>
      <c r="H41" s="107"/>
      <c r="I41" s="109"/>
      <c r="J41" s="109"/>
      <c r="K41" s="115"/>
      <c r="L41" s="109"/>
      <c r="M41" s="650"/>
      <c r="N41" s="696"/>
      <c r="O41" s="698"/>
      <c r="P41" s="700"/>
      <c r="Q41" s="110"/>
      <c r="R41" s="111"/>
      <c r="S41" s="111"/>
      <c r="T41" s="703"/>
      <c r="U41" s="112"/>
      <c r="V41" s="113"/>
      <c r="W41" s="111"/>
      <c r="X41" s="111"/>
      <c r="Y41" s="703"/>
      <c r="Z41" s="112"/>
      <c r="AA41" s="110"/>
      <c r="AB41" s="115"/>
      <c r="AC41" s="115"/>
      <c r="AD41" s="705"/>
    </row>
    <row r="42" spans="2:30">
      <c r="B42" s="104" t="str">
        <f t="shared" si="0"/>
        <v/>
      </c>
      <c r="C42" s="489"/>
      <c r="D42" s="489"/>
      <c r="E42" s="655"/>
      <c r="F42" s="590"/>
      <c r="G42" s="695"/>
      <c r="H42" s="107"/>
      <c r="I42" s="109"/>
      <c r="J42" s="109"/>
      <c r="K42" s="115"/>
      <c r="L42" s="109"/>
      <c r="M42" s="650"/>
      <c r="N42" s="696"/>
      <c r="O42" s="698"/>
      <c r="P42" s="700"/>
      <c r="Q42" s="110"/>
      <c r="R42" s="111"/>
      <c r="S42" s="111"/>
      <c r="T42" s="703"/>
      <c r="U42" s="112"/>
      <c r="V42" s="113"/>
      <c r="W42" s="111"/>
      <c r="X42" s="111"/>
      <c r="Y42" s="703"/>
      <c r="Z42" s="112"/>
      <c r="AA42" s="110"/>
      <c r="AB42" s="115"/>
      <c r="AC42" s="115"/>
      <c r="AD42" s="705"/>
    </row>
    <row r="43" spans="2:30">
      <c r="B43" s="104" t="str">
        <f t="shared" si="0"/>
        <v/>
      </c>
      <c r="C43" s="489"/>
      <c r="D43" s="489"/>
      <c r="E43" s="656"/>
      <c r="F43" s="590"/>
      <c r="G43" s="695"/>
      <c r="H43" s="107"/>
      <c r="I43" s="109"/>
      <c r="J43" s="109"/>
      <c r="K43" s="115"/>
      <c r="L43" s="109"/>
      <c r="M43" s="650"/>
      <c r="N43" s="696"/>
      <c r="O43" s="698"/>
      <c r="P43" s="700"/>
      <c r="Q43" s="110"/>
      <c r="R43" s="111"/>
      <c r="S43" s="111"/>
      <c r="T43" s="703"/>
      <c r="U43" s="112"/>
      <c r="V43" s="113"/>
      <c r="W43" s="111"/>
      <c r="X43" s="111"/>
      <c r="Y43" s="703"/>
      <c r="Z43" s="112"/>
      <c r="AA43" s="110"/>
      <c r="AB43" s="115"/>
      <c r="AC43" s="115"/>
      <c r="AD43" s="705"/>
    </row>
    <row r="44" spans="2:30">
      <c r="B44" s="104" t="str">
        <f t="shared" si="0"/>
        <v/>
      </c>
      <c r="C44" s="489"/>
      <c r="D44" s="489"/>
      <c r="E44" s="656"/>
      <c r="F44" s="590"/>
      <c r="G44" s="108"/>
      <c r="H44" s="107"/>
      <c r="I44" s="109"/>
      <c r="J44" s="109"/>
      <c r="K44" s="115"/>
      <c r="L44" s="109"/>
      <c r="M44" s="650"/>
      <c r="N44" s="696"/>
      <c r="O44" s="698"/>
      <c r="P44" s="701"/>
      <c r="Q44" s="110"/>
      <c r="R44" s="111"/>
      <c r="S44" s="111"/>
      <c r="T44" s="703"/>
      <c r="U44" s="112"/>
      <c r="V44" s="113"/>
      <c r="W44" s="111"/>
      <c r="X44" s="111"/>
      <c r="Y44" s="703"/>
      <c r="Z44" s="114"/>
      <c r="AA44" s="110"/>
      <c r="AB44" s="115"/>
      <c r="AC44" s="115"/>
      <c r="AD44" s="705"/>
    </row>
    <row r="45" spans="2:30" ht="15.75" thickBot="1">
      <c r="B45" s="105" t="str">
        <f t="shared" si="0"/>
        <v/>
      </c>
      <c r="C45" s="490"/>
      <c r="D45" s="490"/>
      <c r="E45" s="657"/>
      <c r="F45" s="591"/>
      <c r="G45" s="116"/>
      <c r="H45" s="588"/>
      <c r="I45" s="117"/>
      <c r="J45" s="117"/>
      <c r="K45" s="117"/>
      <c r="L45" s="117"/>
      <c r="M45" s="490"/>
      <c r="N45" s="697"/>
      <c r="O45" s="702"/>
      <c r="P45" s="589"/>
      <c r="Q45" s="118"/>
      <c r="R45" s="119"/>
      <c r="S45" s="119"/>
      <c r="T45" s="704"/>
      <c r="U45" s="120"/>
      <c r="V45" s="118"/>
      <c r="W45" s="119"/>
      <c r="X45" s="119"/>
      <c r="Y45" s="704"/>
      <c r="Z45" s="120"/>
      <c r="AA45" s="118"/>
      <c r="AB45" s="121"/>
      <c r="AC45" s="121"/>
      <c r="AD45" s="706"/>
    </row>
    <row r="68" spans="2:16" s="17" customFormat="1">
      <c r="B68" s="17">
        <f>DL!M32</f>
        <v>0</v>
      </c>
      <c r="O68" s="102"/>
      <c r="P68" s="587"/>
    </row>
  </sheetData>
  <sheetProtection password="CE75" sheet="1" objects="1" scenarios="1"/>
  <mergeCells count="15">
    <mergeCell ref="AA2:AD3"/>
    <mergeCell ref="Q2:U3"/>
    <mergeCell ref="V2:Z3"/>
    <mergeCell ref="B2:E3"/>
    <mergeCell ref="O3:P3"/>
    <mergeCell ref="N3:N4"/>
    <mergeCell ref="M3:M4"/>
    <mergeCell ref="L3:L4"/>
    <mergeCell ref="J3:J4"/>
    <mergeCell ref="I3:I4"/>
    <mergeCell ref="H3:H4"/>
    <mergeCell ref="G3:G4"/>
    <mergeCell ref="F3:F4"/>
    <mergeCell ref="F2:P2"/>
    <mergeCell ref="K3:K4"/>
  </mergeCells>
  <conditionalFormatting sqref="U6:U45">
    <cfRule type="containsText" dxfId="276" priority="3" operator="containsText" text="Meninggal Dunia">
      <formula>NOT(ISERROR(SEARCH("Meninggal Dunia",U6)))</formula>
    </cfRule>
  </conditionalFormatting>
  <conditionalFormatting sqref="Z6:Z45">
    <cfRule type="containsText" dxfId="275" priority="2" operator="containsText" text="Meninggal Dunia">
      <formula>NOT(ISERROR(SEARCH("Meninggal Dunia",Z6)))</formula>
    </cfRule>
  </conditionalFormatting>
  <conditionalFormatting sqref="Z6:Z43">
    <cfRule type="containsText" dxfId="274" priority="1" operator="containsText" text="Meninggal Dunia">
      <formula>NOT(ISERROR(SEARCH("Meninggal Dunia",Z6)))</formula>
    </cfRule>
  </conditionalFormatting>
  <dataValidations count="4">
    <dataValidation type="list" allowBlank="1" showInputMessage="1" showErrorMessage="1" sqref="U6:U45 Z6:Z45">
      <formula1>"Masih Hidup,Meninggal Dunia"</formula1>
    </dataValidation>
    <dataValidation type="list" allowBlank="1" showInputMessage="1" showErrorMessage="1" sqref="H6:H45">
      <formula1>"Laki-Laki,Perempuan"</formula1>
    </dataValidation>
    <dataValidation type="list" allowBlank="1" showInputMessage="1" showErrorMessage="1" sqref="I6:I45">
      <formula1>"Islam,Kristen,Katolik,Hindu,Budha"</formula1>
    </dataValidation>
    <dataValidation type="list" errorStyle="warning" allowBlank="1" showInputMessage="1" showErrorMessage="1" errorTitle="Isi data dengan cara  manual?" error="Klik yes untuk melanjutkan" sqref="K6:K45">
      <formula1>_anak_ke</formula1>
    </dataValidation>
  </dataValidations>
  <hyperlinks>
    <hyperlink ref="A8" location="Biodata!Q2" display="Biodata!Q2"/>
    <hyperlink ref="A9" location="Biodata!V2" display="Biodata!V2"/>
    <hyperlink ref="A10" location="Biodata!AA2" display="Biodata!AA2"/>
    <hyperlink ref="A7" location="Biodata!F4" display="Data Pribadi"/>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sheetPr codeName="Sheet6">
    <tabColor theme="9"/>
  </sheetPr>
  <dimension ref="A1:AL100"/>
  <sheetViews>
    <sheetView showRowColHeaders="0" showZeros="0" topLeftCell="A2" workbookViewId="0">
      <selection activeCell="D13" sqref="D13:I13"/>
    </sheetView>
  </sheetViews>
  <sheetFormatPr defaultColWidth="0" defaultRowHeight="15" zeroHeight="1"/>
  <cols>
    <col min="1" max="1" width="15.85546875" style="2" customWidth="1"/>
    <col min="2" max="2" width="2.28515625" style="2" customWidth="1"/>
    <col min="3" max="3" width="28.7109375" style="8" customWidth="1"/>
    <col min="4" max="4" width="5.140625" style="8" customWidth="1"/>
    <col min="5" max="5" width="12.28515625" style="8" customWidth="1"/>
    <col min="6" max="6" width="7.85546875" style="2" customWidth="1"/>
    <col min="7" max="7" width="5" style="2" customWidth="1"/>
    <col min="8" max="8" width="10.85546875" style="2" customWidth="1"/>
    <col min="9" max="9" width="9.140625" style="2" customWidth="1"/>
    <col min="10" max="10" width="2.42578125" style="2" customWidth="1"/>
    <col min="11" max="11" width="4.140625" style="2" customWidth="1"/>
    <col min="12" max="12" width="28.85546875" style="2" hidden="1" customWidth="1"/>
    <col min="13" max="16384" width="9.140625" style="2" hidden="1"/>
  </cols>
  <sheetData>
    <row r="1" spans="1:38" ht="6.75" customHeight="1"/>
    <row r="2" spans="1:38" ht="24.75" customHeight="1">
      <c r="B2" s="852" t="s">
        <v>31</v>
      </c>
      <c r="C2" s="852"/>
      <c r="D2" s="852"/>
      <c r="E2" s="852"/>
      <c r="F2" s="852"/>
      <c r="G2" s="852"/>
      <c r="H2" s="852"/>
      <c r="I2" s="852"/>
      <c r="J2" s="9"/>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row>
    <row r="3" spans="1:38" ht="13.5" customHeight="1" thickBot="1">
      <c r="F3" s="14"/>
      <c r="G3" s="14"/>
      <c r="H3" s="14"/>
    </row>
    <row r="4" spans="1:38" ht="30.75" customHeight="1" thickBot="1">
      <c r="B4" s="859" t="s">
        <v>26</v>
      </c>
      <c r="C4" s="860"/>
      <c r="D4" s="860"/>
      <c r="E4" s="860"/>
      <c r="F4" s="860"/>
      <c r="G4" s="860"/>
      <c r="H4" s="860"/>
      <c r="I4" s="861"/>
    </row>
    <row r="5" spans="1:38" ht="26.25" customHeight="1">
      <c r="B5" s="842" t="s">
        <v>5</v>
      </c>
      <c r="C5" s="843"/>
      <c r="D5" s="862" t="s">
        <v>602</v>
      </c>
      <c r="E5" s="863"/>
      <c r="F5" s="863"/>
      <c r="G5" s="863"/>
      <c r="H5" s="863"/>
      <c r="I5" s="864"/>
    </row>
    <row r="6" spans="1:38" ht="26.25" customHeight="1">
      <c r="A6" s="457" t="s">
        <v>425</v>
      </c>
      <c r="B6" s="838" t="s">
        <v>28</v>
      </c>
      <c r="C6" s="839"/>
      <c r="D6" s="865" t="str">
        <f>VLOOKUP(D5,C48:E100,2,FALSE)</f>
        <v>Siti Kotijah, S.Pd.</v>
      </c>
      <c r="E6" s="866"/>
      <c r="F6" s="866"/>
      <c r="G6" s="866"/>
      <c r="H6" s="866"/>
      <c r="I6" s="867"/>
    </row>
    <row r="7" spans="1:38" ht="26.25" customHeight="1">
      <c r="A7" s="457" t="s">
        <v>424</v>
      </c>
      <c r="B7" s="838" t="s">
        <v>1</v>
      </c>
      <c r="C7" s="839"/>
      <c r="D7" s="865" t="str">
        <f>VLOOKUP(D6,$D$48:$E$100,2,FALSE)</f>
        <v>19700120199501 2 001</v>
      </c>
      <c r="E7" s="866"/>
      <c r="F7" s="866"/>
      <c r="G7" s="866"/>
      <c r="H7" s="866"/>
      <c r="I7" s="867"/>
    </row>
    <row r="8" spans="1:38" ht="26.25" customHeight="1">
      <c r="A8" s="457" t="s">
        <v>426</v>
      </c>
      <c r="B8" s="838" t="s">
        <v>3</v>
      </c>
      <c r="C8" s="839"/>
      <c r="D8" s="868" t="s">
        <v>38</v>
      </c>
      <c r="E8" s="869"/>
      <c r="F8" s="869"/>
      <c r="G8" s="869"/>
      <c r="H8" s="869"/>
      <c r="I8" s="870"/>
      <c r="L8" s="2" t="s">
        <v>253</v>
      </c>
      <c r="N8" s="2" t="s">
        <v>4</v>
      </c>
    </row>
    <row r="9" spans="1:38" ht="26.25" customHeight="1">
      <c r="B9" s="838" t="s">
        <v>4</v>
      </c>
      <c r="C9" s="839"/>
      <c r="D9" s="873" t="str">
        <f>IF(LEFT(_kelas,4)=A6,"1 (Satu)",IF(LEFT(_kelas,4)=A7,"3 (Tiga)",IF(LEFT(_kelas,3)=A8,"5 (Lima)","Kelas harus romawi !")))</f>
        <v>3 (Tiga)</v>
      </c>
      <c r="E9" s="874"/>
      <c r="F9" s="874"/>
      <c r="G9" s="871" t="str">
        <f>IF(D9=E19,E23,IF(D9=E20,E24,IF(D9=E21,E25,"-")))</f>
        <v>4 (Empat)</v>
      </c>
      <c r="H9" s="871"/>
      <c r="I9" s="872"/>
      <c r="L9" s="151" t="s">
        <v>254</v>
      </c>
      <c r="N9" s="151" t="str">
        <f>_smt_ganjil</f>
        <v>3 (Tiga)</v>
      </c>
      <c r="O9" s="151" t="str">
        <f>_smt_genap</f>
        <v>4 (Empat)</v>
      </c>
    </row>
    <row r="10" spans="1:38" ht="26.25" customHeight="1">
      <c r="B10" s="838" t="s">
        <v>219</v>
      </c>
      <c r="C10" s="839"/>
      <c r="D10" s="452">
        <v>21</v>
      </c>
      <c r="E10" s="451" t="s">
        <v>252</v>
      </c>
      <c r="F10" s="451">
        <v>2018</v>
      </c>
      <c r="G10" s="451">
        <v>22</v>
      </c>
      <c r="H10" s="451" t="s">
        <v>246</v>
      </c>
      <c r="I10" s="458">
        <v>2020</v>
      </c>
      <c r="L10" s="151" t="str">
        <f>TEXT(D10&amp;" "&amp;E10&amp;" "&amp;F10,"d MMMM yyyy")</f>
        <v>21 Desember 2018</v>
      </c>
    </row>
    <row r="11" spans="1:38" ht="26.25" customHeight="1">
      <c r="B11" s="838" t="s">
        <v>218</v>
      </c>
      <c r="C11" s="839"/>
      <c r="D11" s="875" t="str">
        <f>_kecamatan</f>
        <v>Abung Surakarta</v>
      </c>
      <c r="E11" s="876"/>
      <c r="F11" s="876"/>
      <c r="G11" s="876"/>
      <c r="H11" s="876"/>
      <c r="I11" s="877"/>
      <c r="L11" s="151" t="s">
        <v>255</v>
      </c>
    </row>
    <row r="12" spans="1:38" ht="26.25" customHeight="1">
      <c r="B12" s="838" t="s">
        <v>29</v>
      </c>
      <c r="C12" s="839"/>
      <c r="D12" s="855">
        <f>_JUMLAH_SISWA</f>
        <v>29</v>
      </c>
      <c r="E12" s="853"/>
      <c r="F12" s="853"/>
      <c r="G12" s="853">
        <f>D12</f>
        <v>29</v>
      </c>
      <c r="H12" s="853"/>
      <c r="I12" s="854"/>
      <c r="L12" s="151" t="str">
        <f>TEXT(G10&amp;" "&amp;H10&amp;" "&amp;I10,"d MMMM yyyy")</f>
        <v>22 Juni 2020</v>
      </c>
    </row>
    <row r="13" spans="1:38" ht="26.25" customHeight="1" thickBot="1">
      <c r="B13" s="840" t="s">
        <v>95</v>
      </c>
      <c r="C13" s="841"/>
      <c r="D13" s="856" t="s">
        <v>169</v>
      </c>
      <c r="E13" s="857"/>
      <c r="F13" s="857"/>
      <c r="G13" s="857"/>
      <c r="H13" s="857"/>
      <c r="I13" s="858"/>
    </row>
    <row r="14" spans="1:38" ht="6" customHeight="1" thickBot="1">
      <c r="C14" s="2"/>
      <c r="D14" s="2"/>
      <c r="E14" s="2"/>
    </row>
    <row r="15" spans="1:38" ht="26.25" customHeight="1">
      <c r="B15" s="848" t="s">
        <v>163</v>
      </c>
      <c r="C15" s="849"/>
      <c r="D15" s="844" t="s">
        <v>627</v>
      </c>
      <c r="E15" s="844"/>
      <c r="F15" s="844"/>
      <c r="G15" s="844"/>
      <c r="H15" s="844"/>
      <c r="I15" s="845"/>
    </row>
    <row r="16" spans="1:38" ht="26.25" customHeight="1" thickBot="1">
      <c r="B16" s="850" t="s">
        <v>1</v>
      </c>
      <c r="C16" s="851"/>
      <c r="D16" s="846" t="s">
        <v>628</v>
      </c>
      <c r="E16" s="846"/>
      <c r="F16" s="846"/>
      <c r="G16" s="846"/>
      <c r="H16" s="846"/>
      <c r="I16" s="847"/>
    </row>
    <row r="17" spans="3:5" ht="69.75" customHeight="1"/>
    <row r="18" spans="3:5" ht="15" hidden="1" customHeight="1">
      <c r="C18" s="8" t="s">
        <v>3</v>
      </c>
      <c r="D18" s="8" t="s">
        <v>5</v>
      </c>
      <c r="E18" s="8" t="s">
        <v>35</v>
      </c>
    </row>
    <row r="19" spans="3:5" ht="15" hidden="1" customHeight="1">
      <c r="C19" s="8" t="str">
        <f>DL!G6</f>
        <v>2015 / 2016</v>
      </c>
      <c r="D19" s="8" t="str">
        <f>DL!C6</f>
        <v>VIII A</v>
      </c>
      <c r="E19" s="71" t="s">
        <v>167</v>
      </c>
    </row>
    <row r="20" spans="3:5" ht="15" hidden="1" customHeight="1">
      <c r="C20" s="8" t="str">
        <f>DL!G7</f>
        <v>2017 / 2018</v>
      </c>
      <c r="D20" s="8" t="str">
        <f>DL!C7</f>
        <v>VIII B</v>
      </c>
      <c r="E20" s="71" t="s">
        <v>169</v>
      </c>
    </row>
    <row r="21" spans="3:5" ht="15" hidden="1" customHeight="1">
      <c r="C21" s="8" t="str">
        <f>DL!G8</f>
        <v>2018 / 2019</v>
      </c>
      <c r="D21" s="8" t="str">
        <f>DL!C8</f>
        <v>VIII C</v>
      </c>
      <c r="E21" s="71" t="s">
        <v>168</v>
      </c>
    </row>
    <row r="22" spans="3:5" ht="15" hidden="1" customHeight="1">
      <c r="C22" s="8" t="str">
        <f>DL!G9</f>
        <v>2019 / 2020</v>
      </c>
      <c r="D22" s="8">
        <f>DL!C9</f>
        <v>0</v>
      </c>
    </row>
    <row r="23" spans="3:5" ht="15" hidden="1" customHeight="1">
      <c r="C23" s="8" t="str">
        <f>DL!G10</f>
        <v>2020 / 2021</v>
      </c>
      <c r="D23" s="8">
        <f>DL!C10</f>
        <v>0</v>
      </c>
      <c r="E23" s="71" t="s">
        <v>170</v>
      </c>
    </row>
    <row r="24" spans="3:5" ht="15" hidden="1" customHeight="1">
      <c r="C24" s="8" t="str">
        <f>DL!G11</f>
        <v>2021 / 2022</v>
      </c>
      <c r="D24" s="8">
        <f>DL!C11</f>
        <v>0</v>
      </c>
      <c r="E24" s="71" t="s">
        <v>171</v>
      </c>
    </row>
    <row r="25" spans="3:5" ht="15" hidden="1" customHeight="1">
      <c r="C25" s="8" t="str">
        <f>DL!G12</f>
        <v>2022 / 2023</v>
      </c>
      <c r="D25" s="8">
        <f>DL!C12</f>
        <v>0</v>
      </c>
      <c r="E25" s="71" t="s">
        <v>172</v>
      </c>
    </row>
    <row r="26" spans="3:5" ht="15" hidden="1" customHeight="1">
      <c r="C26" s="8" t="str">
        <f>DL!G13</f>
        <v>2023 / 2024</v>
      </c>
      <c r="D26" s="8">
        <f>DL!C13</f>
        <v>0</v>
      </c>
      <c r="E26" s="2"/>
    </row>
    <row r="27" spans="3:5" ht="15" hidden="1" customHeight="1">
      <c r="C27" s="8" t="str">
        <f>DL!G14</f>
        <v>2024 / 2025</v>
      </c>
      <c r="D27" s="8">
        <f>DL!C14</f>
        <v>0</v>
      </c>
      <c r="E27" s="2"/>
    </row>
    <row r="28" spans="3:5" ht="15" hidden="1" customHeight="1">
      <c r="C28" s="8" t="str">
        <f>DL!G15</f>
        <v>2025 / 2026</v>
      </c>
      <c r="D28" s="8">
        <f>DL!C15</f>
        <v>0</v>
      </c>
      <c r="E28" s="2"/>
    </row>
    <row r="29" spans="3:5" ht="15" hidden="1" customHeight="1">
      <c r="C29" s="8" t="str">
        <f>DL!G16</f>
        <v>2026 / 2027</v>
      </c>
      <c r="D29" s="8">
        <f>DL!C16</f>
        <v>0</v>
      </c>
    </row>
    <row r="30" spans="3:5" ht="15" hidden="1" customHeight="1">
      <c r="C30" s="8" t="str">
        <f>DL!G17</f>
        <v>2027 / 2028</v>
      </c>
      <c r="D30" s="8">
        <f>DL!C17</f>
        <v>0</v>
      </c>
    </row>
    <row r="31" spans="3:5" ht="15" hidden="1" customHeight="1">
      <c r="C31" s="8" t="str">
        <f>DL!G18</f>
        <v>2028 / 2029</v>
      </c>
      <c r="D31" s="8">
        <f>DL!C18</f>
        <v>0</v>
      </c>
    </row>
    <row r="32" spans="3:5" ht="15" hidden="1" customHeight="1">
      <c r="C32" s="8" t="str">
        <f>DL!G19</f>
        <v>2029 / 2030</v>
      </c>
      <c r="D32" s="8">
        <f>DL!C19</f>
        <v>0</v>
      </c>
    </row>
    <row r="33" spans="3:5" ht="15" hidden="1" customHeight="1">
      <c r="C33" s="8">
        <f>DL!G20</f>
        <v>0</v>
      </c>
      <c r="D33" s="8">
        <f>DL!C20</f>
        <v>0</v>
      </c>
    </row>
    <row r="34" spans="3:5" ht="15" hidden="1" customHeight="1">
      <c r="D34" s="8">
        <f>DL!C21</f>
        <v>0</v>
      </c>
    </row>
    <row r="35" spans="3:5" ht="15" hidden="1" customHeight="1">
      <c r="D35" s="8">
        <f>DL!C22</f>
        <v>0</v>
      </c>
    </row>
    <row r="36" spans="3:5" ht="15" hidden="1" customHeight="1">
      <c r="D36" s="8">
        <f>DL!C23</f>
        <v>0</v>
      </c>
    </row>
    <row r="37" spans="3:5" ht="15" hidden="1" customHeight="1">
      <c r="D37" s="8">
        <f>DL!C24</f>
        <v>0</v>
      </c>
    </row>
    <row r="38" spans="3:5" ht="15" hidden="1" customHeight="1">
      <c r="D38" s="8">
        <f>DL!C25</f>
        <v>0</v>
      </c>
    </row>
    <row r="39" spans="3:5" ht="15" hidden="1" customHeight="1">
      <c r="D39" s="8">
        <f>DL!C26</f>
        <v>0</v>
      </c>
    </row>
    <row r="40" spans="3:5" ht="15" hidden="1" customHeight="1">
      <c r="D40" s="8">
        <f>DL!C27</f>
        <v>0</v>
      </c>
    </row>
    <row r="41" spans="3:5" ht="15" hidden="1" customHeight="1">
      <c r="D41" s="8">
        <f>DL!C28</f>
        <v>0</v>
      </c>
    </row>
    <row r="42" spans="3:5" ht="15" hidden="1" customHeight="1">
      <c r="D42" s="8">
        <f>DL!C29</f>
        <v>0</v>
      </c>
    </row>
    <row r="43" spans="3:5" ht="15" hidden="1" customHeight="1">
      <c r="D43" s="8">
        <f>DL!C30</f>
        <v>0</v>
      </c>
    </row>
    <row r="44" spans="3:5" ht="15" hidden="1" customHeight="1">
      <c r="D44" s="8">
        <f>DL!C31</f>
        <v>0</v>
      </c>
    </row>
    <row r="45" spans="3:5" ht="15" hidden="1" customHeight="1"/>
    <row r="46" spans="3:5" ht="15" hidden="1" customHeight="1">
      <c r="D46" s="8">
        <f>DL!C30</f>
        <v>0</v>
      </c>
    </row>
    <row r="47" spans="3:5" ht="15" hidden="1" customHeight="1">
      <c r="C47" s="8" t="s">
        <v>5</v>
      </c>
      <c r="D47" s="8" t="s">
        <v>27</v>
      </c>
      <c r="E47" s="8" t="s">
        <v>32</v>
      </c>
    </row>
    <row r="48" spans="3:5" ht="15" hidden="1" customHeight="1">
      <c r="C48" s="8" t="str">
        <f>DL!M6</f>
        <v>VIII A</v>
      </c>
      <c r="D48" s="8" t="str">
        <f>DL!N6</f>
        <v>Siti Kotijah, S.Pd.</v>
      </c>
      <c r="E48" s="8" t="str">
        <f>DL!O6</f>
        <v>19700120199501 2 001</v>
      </c>
    </row>
    <row r="49" spans="3:5" ht="15" hidden="1" customHeight="1">
      <c r="C49" s="8" t="str">
        <f>DL!M7</f>
        <v>VIII B</v>
      </c>
      <c r="D49" s="8" t="str">
        <f>DL!N7</f>
        <v>Bambang Setiahadi</v>
      </c>
      <c r="E49" s="8" t="str">
        <f>DL!O7</f>
        <v>19650609198903 1 006</v>
      </c>
    </row>
    <row r="50" spans="3:5" ht="15" hidden="1" customHeight="1">
      <c r="C50" s="8" t="str">
        <f>DL!M8</f>
        <v>VIII C</v>
      </c>
      <c r="D50" s="8" t="str">
        <f>DL!N8</f>
        <v>Yulliani, S.Pd.</v>
      </c>
      <c r="E50" s="8" t="str">
        <f>DL!O8</f>
        <v>19620808198601 2 001</v>
      </c>
    </row>
    <row r="51" spans="3:5" ht="15" hidden="1" customHeight="1">
      <c r="C51" s="8">
        <f>DL!M9</f>
        <v>0</v>
      </c>
      <c r="D51" s="8">
        <f>DL!N9</f>
        <v>0</v>
      </c>
      <c r="E51" s="8">
        <f>DL!O9</f>
        <v>0</v>
      </c>
    </row>
    <row r="52" spans="3:5" ht="15" hidden="1" customHeight="1">
      <c r="C52" s="8">
        <f>DL!M10</f>
        <v>0</v>
      </c>
      <c r="D52" s="8">
        <f>DL!N10</f>
        <v>0</v>
      </c>
      <c r="E52" s="8">
        <f>DL!O10</f>
        <v>0</v>
      </c>
    </row>
    <row r="53" spans="3:5" ht="15" hidden="1" customHeight="1">
      <c r="C53" s="8">
        <f>DL!M11</f>
        <v>0</v>
      </c>
      <c r="D53" s="71">
        <f>DL!N11</f>
        <v>0</v>
      </c>
      <c r="E53" s="71">
        <f>DL!O11</f>
        <v>0</v>
      </c>
    </row>
    <row r="54" spans="3:5" ht="15" hidden="1" customHeight="1">
      <c r="C54" s="8">
        <f>DL!M12</f>
        <v>0</v>
      </c>
      <c r="D54" s="71">
        <f>DL!N12</f>
        <v>0</v>
      </c>
      <c r="E54" s="71">
        <f>DL!O12</f>
        <v>0</v>
      </c>
    </row>
    <row r="55" spans="3:5" ht="15" hidden="1" customHeight="1">
      <c r="C55" s="8">
        <f>DL!M13</f>
        <v>0</v>
      </c>
      <c r="D55" s="71">
        <f>DL!N13</f>
        <v>0</v>
      </c>
      <c r="E55" s="71">
        <f>DL!O13</f>
        <v>0</v>
      </c>
    </row>
    <row r="56" spans="3:5" ht="15" hidden="1" customHeight="1">
      <c r="C56" s="8">
        <f>DL!M14</f>
        <v>0</v>
      </c>
      <c r="D56" s="71">
        <f>DL!N14</f>
        <v>0</v>
      </c>
      <c r="E56" s="71">
        <f>DL!O14</f>
        <v>0</v>
      </c>
    </row>
    <row r="57" spans="3:5" ht="15" hidden="1" customHeight="1">
      <c r="C57" s="8">
        <f>DL!M15</f>
        <v>0</v>
      </c>
      <c r="D57" s="71">
        <f>DL!N15</f>
        <v>0</v>
      </c>
      <c r="E57" s="71">
        <f>DL!O15</f>
        <v>0</v>
      </c>
    </row>
    <row r="58" spans="3:5" ht="15" hidden="1" customHeight="1">
      <c r="C58" s="8">
        <f>DL!M16</f>
        <v>0</v>
      </c>
      <c r="D58" s="71">
        <f>DL!N16</f>
        <v>0</v>
      </c>
      <c r="E58" s="71">
        <f>DL!O16</f>
        <v>0</v>
      </c>
    </row>
    <row r="59" spans="3:5" ht="15" hidden="1" customHeight="1">
      <c r="C59" s="8">
        <f>DL!M17</f>
        <v>0</v>
      </c>
      <c r="D59" s="71">
        <f>DL!N17</f>
        <v>0</v>
      </c>
      <c r="E59" s="71">
        <f>DL!O17</f>
        <v>0</v>
      </c>
    </row>
    <row r="60" spans="3:5" ht="15" hidden="1" customHeight="1">
      <c r="C60" s="8">
        <f>DL!M18</f>
        <v>0</v>
      </c>
      <c r="D60" s="71">
        <f>DL!N18</f>
        <v>0</v>
      </c>
      <c r="E60" s="71">
        <f>DL!O18</f>
        <v>0</v>
      </c>
    </row>
    <row r="61" spans="3:5" ht="15" hidden="1" customHeight="1">
      <c r="C61" s="8">
        <f>DL!M19</f>
        <v>0</v>
      </c>
      <c r="D61" s="71">
        <f>DL!N19</f>
        <v>0</v>
      </c>
      <c r="E61" s="71">
        <f>DL!O19</f>
        <v>0</v>
      </c>
    </row>
    <row r="62" spans="3:5" ht="15" hidden="1" customHeight="1">
      <c r="C62" s="8">
        <f>DL!M20</f>
        <v>0</v>
      </c>
      <c r="D62" s="71">
        <f>DL!N20</f>
        <v>0</v>
      </c>
      <c r="E62" s="71">
        <f>DL!O20</f>
        <v>0</v>
      </c>
    </row>
    <row r="63" spans="3:5" ht="15" hidden="1" customHeight="1">
      <c r="C63" s="8">
        <f>DL!M21</f>
        <v>0</v>
      </c>
      <c r="D63" s="71">
        <f>DL!N21</f>
        <v>0</v>
      </c>
      <c r="E63" s="71">
        <f>DL!O21</f>
        <v>0</v>
      </c>
    </row>
    <row r="64" spans="3:5" ht="15" hidden="1" customHeight="1">
      <c r="C64" s="8">
        <f>DL!M22</f>
        <v>0</v>
      </c>
      <c r="D64" s="71">
        <f>DL!N22</f>
        <v>0</v>
      </c>
      <c r="E64" s="71">
        <f>DL!O22</f>
        <v>0</v>
      </c>
    </row>
    <row r="65" spans="3:5" ht="15" hidden="1" customHeight="1">
      <c r="C65" s="8">
        <f>DL!M23</f>
        <v>0</v>
      </c>
      <c r="D65" s="71">
        <f>DL!N23</f>
        <v>0</v>
      </c>
      <c r="E65" s="71">
        <f>DL!O23</f>
        <v>0</v>
      </c>
    </row>
    <row r="66" spans="3:5" ht="15" hidden="1" customHeight="1">
      <c r="C66" s="8">
        <f>DL!M24</f>
        <v>0</v>
      </c>
      <c r="D66" s="71">
        <f>DL!N24</f>
        <v>0</v>
      </c>
      <c r="E66" s="71">
        <f>DL!O24</f>
        <v>0</v>
      </c>
    </row>
    <row r="67" spans="3:5" ht="15" hidden="1" customHeight="1">
      <c r="C67" s="8">
        <f>DL!M25</f>
        <v>0</v>
      </c>
      <c r="D67" s="71">
        <f>DL!N25</f>
        <v>0</v>
      </c>
      <c r="E67" s="71">
        <f>DL!O25</f>
        <v>0</v>
      </c>
    </row>
    <row r="68" spans="3:5" ht="15" hidden="1" customHeight="1">
      <c r="C68" s="8">
        <f>DL!M26</f>
        <v>0</v>
      </c>
      <c r="D68" s="71">
        <f>DL!N26</f>
        <v>0</v>
      </c>
      <c r="E68" s="71">
        <f>DL!O26</f>
        <v>0</v>
      </c>
    </row>
    <row r="69" spans="3:5" ht="15" hidden="1" customHeight="1">
      <c r="C69" s="8">
        <f>DL!M27</f>
        <v>0</v>
      </c>
      <c r="D69" s="71">
        <f>DL!N27</f>
        <v>0</v>
      </c>
      <c r="E69" s="71">
        <f>DL!O27</f>
        <v>0</v>
      </c>
    </row>
    <row r="70" spans="3:5" ht="15" hidden="1" customHeight="1">
      <c r="C70" s="8">
        <f>DL!M28</f>
        <v>0</v>
      </c>
      <c r="D70" s="71">
        <f>DL!N28</f>
        <v>0</v>
      </c>
      <c r="E70" s="71">
        <f>DL!O28</f>
        <v>0</v>
      </c>
    </row>
    <row r="71" spans="3:5" ht="15" hidden="1" customHeight="1">
      <c r="C71" s="8">
        <f>DL!M29</f>
        <v>0</v>
      </c>
      <c r="D71" s="71">
        <f>DL!N29</f>
        <v>0</v>
      </c>
      <c r="E71" s="71">
        <f>DL!O29</f>
        <v>0</v>
      </c>
    </row>
    <row r="72" spans="3:5" ht="15" hidden="1" customHeight="1">
      <c r="C72" s="71">
        <f>DL!M30</f>
        <v>0</v>
      </c>
      <c r="D72" s="71">
        <f>DL!N30</f>
        <v>0</v>
      </c>
      <c r="E72" s="71">
        <f>DL!O30</f>
        <v>0</v>
      </c>
    </row>
    <row r="73" spans="3:5" ht="15" hidden="1" customHeight="1">
      <c r="C73" s="71">
        <f>DL!M31</f>
        <v>0</v>
      </c>
      <c r="D73" s="71">
        <f>DL!N31</f>
        <v>0</v>
      </c>
      <c r="E73" s="71">
        <f>DL!O31</f>
        <v>0</v>
      </c>
    </row>
    <row r="74" spans="3:5" ht="15" hidden="1" customHeight="1">
      <c r="C74" s="71">
        <f>DL!M32</f>
        <v>0</v>
      </c>
      <c r="D74" s="71">
        <f>DL!N32</f>
        <v>0</v>
      </c>
      <c r="E74" s="71">
        <f>DL!O32</f>
        <v>0</v>
      </c>
    </row>
    <row r="75" spans="3:5" hidden="1">
      <c r="C75" s="71">
        <f>DL!M33</f>
        <v>0</v>
      </c>
      <c r="D75" s="71">
        <f>DL!N33</f>
        <v>0</v>
      </c>
      <c r="E75" s="71">
        <f>DL!O33</f>
        <v>0</v>
      </c>
    </row>
    <row r="76" spans="3:5" hidden="1">
      <c r="C76" s="71">
        <f>DL!M34</f>
        <v>0</v>
      </c>
      <c r="D76" s="71">
        <f>DL!N34</f>
        <v>0</v>
      </c>
      <c r="E76" s="71">
        <f>DL!O34</f>
        <v>0</v>
      </c>
    </row>
    <row r="77" spans="3:5" hidden="1">
      <c r="C77" s="71">
        <f>DL!M35</f>
        <v>0</v>
      </c>
      <c r="D77" s="71">
        <f>DL!N35</f>
        <v>0</v>
      </c>
      <c r="E77" s="71">
        <f>DL!O35</f>
        <v>0</v>
      </c>
    </row>
    <row r="78" spans="3:5" hidden="1">
      <c r="C78" s="71">
        <f>DL!M36</f>
        <v>0</v>
      </c>
      <c r="D78" s="71">
        <f>DL!N36</f>
        <v>0</v>
      </c>
      <c r="E78" s="71">
        <f>DL!O36</f>
        <v>0</v>
      </c>
    </row>
    <row r="79" spans="3:5" hidden="1">
      <c r="C79" s="71">
        <f>DL!M37</f>
        <v>0</v>
      </c>
      <c r="D79" s="71">
        <f>DL!N37</f>
        <v>0</v>
      </c>
      <c r="E79" s="71">
        <f>DL!O37</f>
        <v>0</v>
      </c>
    </row>
    <row r="80" spans="3:5" hidden="1">
      <c r="C80" s="71">
        <f>DL!M38</f>
        <v>0</v>
      </c>
      <c r="D80" s="71">
        <f>DL!N38</f>
        <v>0</v>
      </c>
      <c r="E80" s="71">
        <f>DL!O38</f>
        <v>0</v>
      </c>
    </row>
    <row r="81" spans="3:5" hidden="1">
      <c r="C81" s="71">
        <f>DL!M39</f>
        <v>0</v>
      </c>
      <c r="D81" s="71">
        <f>DL!N39</f>
        <v>0</v>
      </c>
      <c r="E81" s="71">
        <f>DL!O39</f>
        <v>0</v>
      </c>
    </row>
    <row r="82" spans="3:5" hidden="1">
      <c r="C82" s="71">
        <f>DL!M40</f>
        <v>0</v>
      </c>
      <c r="D82" s="71">
        <f>DL!N40</f>
        <v>0</v>
      </c>
      <c r="E82" s="71">
        <f>DL!O40</f>
        <v>0</v>
      </c>
    </row>
    <row r="83" spans="3:5" hidden="1">
      <c r="C83" s="71">
        <f>DL!M41</f>
        <v>0</v>
      </c>
      <c r="D83" s="71">
        <f>DL!N41</f>
        <v>0</v>
      </c>
      <c r="E83" s="71">
        <f>DL!O41</f>
        <v>0</v>
      </c>
    </row>
    <row r="84" spans="3:5" hidden="1">
      <c r="C84" s="71">
        <f>DL!M42</f>
        <v>0</v>
      </c>
      <c r="D84" s="71">
        <f>DL!N42</f>
        <v>0</v>
      </c>
      <c r="E84" s="71">
        <f>DL!O42</f>
        <v>0</v>
      </c>
    </row>
    <row r="85" spans="3:5" hidden="1">
      <c r="C85" s="71">
        <f>DL!M43</f>
        <v>0</v>
      </c>
      <c r="D85" s="71">
        <f>DL!N43</f>
        <v>0</v>
      </c>
      <c r="E85" s="71">
        <f>DL!O43</f>
        <v>0</v>
      </c>
    </row>
    <row r="86" spans="3:5" hidden="1">
      <c r="C86" s="71">
        <f>DL!M44</f>
        <v>0</v>
      </c>
      <c r="D86" s="71">
        <f>DL!N44</f>
        <v>0</v>
      </c>
      <c r="E86" s="71">
        <f>DL!O44</f>
        <v>0</v>
      </c>
    </row>
    <row r="87" spans="3:5" hidden="1">
      <c r="C87" s="71">
        <f>DL!M45</f>
        <v>0</v>
      </c>
      <c r="D87" s="71">
        <f>DL!N45</f>
        <v>0</v>
      </c>
      <c r="E87" s="71">
        <f>DL!O45</f>
        <v>0</v>
      </c>
    </row>
    <row r="88" spans="3:5" hidden="1">
      <c r="C88" s="71">
        <f>DL!M46</f>
        <v>0</v>
      </c>
      <c r="D88" s="71">
        <f>DL!N46</f>
        <v>0</v>
      </c>
      <c r="E88" s="71">
        <f>DL!O46</f>
        <v>0</v>
      </c>
    </row>
    <row r="89" spans="3:5" hidden="1">
      <c r="C89" s="71">
        <f>DL!M47</f>
        <v>0</v>
      </c>
      <c r="D89" s="71">
        <f>DL!N47</f>
        <v>0</v>
      </c>
      <c r="E89" s="71">
        <f>DL!O47</f>
        <v>0</v>
      </c>
    </row>
    <row r="90" spans="3:5" hidden="1">
      <c r="C90" s="71">
        <f>DL!M48</f>
        <v>0</v>
      </c>
      <c r="D90" s="71">
        <f>DL!N48</f>
        <v>0</v>
      </c>
      <c r="E90" s="71">
        <f>DL!O48</f>
        <v>0</v>
      </c>
    </row>
    <row r="91" spans="3:5" hidden="1">
      <c r="C91" s="71">
        <f>DL!M49</f>
        <v>0</v>
      </c>
      <c r="D91" s="71">
        <f>DL!N49</f>
        <v>0</v>
      </c>
      <c r="E91" s="71">
        <f>DL!O49</f>
        <v>0</v>
      </c>
    </row>
    <row r="92" spans="3:5" hidden="1">
      <c r="C92" s="71">
        <f>DL!M50</f>
        <v>0</v>
      </c>
      <c r="D92" s="71">
        <f>DL!N50</f>
        <v>0</v>
      </c>
      <c r="E92" s="71">
        <f>DL!O50</f>
        <v>0</v>
      </c>
    </row>
    <row r="93" spans="3:5" hidden="1">
      <c r="C93" s="71">
        <f>DL!M51</f>
        <v>0</v>
      </c>
      <c r="D93" s="71">
        <f>DL!N51</f>
        <v>0</v>
      </c>
      <c r="E93" s="71">
        <f>DL!O51</f>
        <v>0</v>
      </c>
    </row>
    <row r="94" spans="3:5" hidden="1">
      <c r="C94" s="71">
        <f>DL!M52</f>
        <v>0</v>
      </c>
      <c r="D94" s="71">
        <f>DL!N52</f>
        <v>0</v>
      </c>
      <c r="E94" s="71">
        <f>DL!O52</f>
        <v>0</v>
      </c>
    </row>
    <row r="95" spans="3:5" hidden="1">
      <c r="C95" s="71">
        <f>DL!M53</f>
        <v>0</v>
      </c>
      <c r="D95" s="71">
        <f>DL!N53</f>
        <v>0</v>
      </c>
      <c r="E95" s="71">
        <f>DL!O53</f>
        <v>0</v>
      </c>
    </row>
    <row r="96" spans="3:5" hidden="1">
      <c r="C96" s="71">
        <f>DL!M54</f>
        <v>0</v>
      </c>
      <c r="D96" s="71">
        <f>DL!N54</f>
        <v>0</v>
      </c>
      <c r="E96" s="71">
        <f>DL!O54</f>
        <v>0</v>
      </c>
    </row>
    <row r="97" spans="3:5" hidden="1">
      <c r="C97" s="71">
        <f>DL!M55</f>
        <v>0</v>
      </c>
      <c r="D97" s="71">
        <f>DL!N55</f>
        <v>0</v>
      </c>
      <c r="E97" s="71">
        <f>DL!O55</f>
        <v>0</v>
      </c>
    </row>
    <row r="98" spans="3:5" hidden="1">
      <c r="C98" s="71">
        <f>DL!M56</f>
        <v>0</v>
      </c>
      <c r="D98" s="71">
        <f>DL!N56</f>
        <v>0</v>
      </c>
      <c r="E98" s="71">
        <f>DL!O56</f>
        <v>0</v>
      </c>
    </row>
    <row r="99" spans="3:5" hidden="1">
      <c r="C99" s="71">
        <f>DL!M57</f>
        <v>0</v>
      </c>
      <c r="D99" s="71">
        <f>DL!N57</f>
        <v>0</v>
      </c>
      <c r="E99" s="71">
        <f>DL!O57</f>
        <v>0</v>
      </c>
    </row>
    <row r="100" spans="3:5" hidden="1">
      <c r="C100" s="71">
        <f>DL!M58</f>
        <v>0</v>
      </c>
      <c r="D100" s="71">
        <f>DL!N58</f>
        <v>0</v>
      </c>
      <c r="E100" s="71">
        <f>DL!O58</f>
        <v>0</v>
      </c>
    </row>
  </sheetData>
  <sheetProtection password="CE75" sheet="1" objects="1" scenarios="1" selectLockedCells="1"/>
  <mergeCells count="25">
    <mergeCell ref="D15:I15"/>
    <mergeCell ref="D16:I16"/>
    <mergeCell ref="B15:C15"/>
    <mergeCell ref="B16:C16"/>
    <mergeCell ref="B2:I2"/>
    <mergeCell ref="G12:I12"/>
    <mergeCell ref="D12:F12"/>
    <mergeCell ref="D13:I13"/>
    <mergeCell ref="B4:I4"/>
    <mergeCell ref="D5:I5"/>
    <mergeCell ref="D6:I6"/>
    <mergeCell ref="D7:I7"/>
    <mergeCell ref="D8:I8"/>
    <mergeCell ref="G9:I9"/>
    <mergeCell ref="D9:F9"/>
    <mergeCell ref="D11:I11"/>
    <mergeCell ref="B10:C10"/>
    <mergeCell ref="B11:C11"/>
    <mergeCell ref="B12:C12"/>
    <mergeCell ref="B13:C13"/>
    <mergeCell ref="B5:C5"/>
    <mergeCell ref="B6:C6"/>
    <mergeCell ref="B7:C7"/>
    <mergeCell ref="B8:C8"/>
    <mergeCell ref="B9:C9"/>
  </mergeCells>
  <dataValidations count="7">
    <dataValidation type="list" allowBlank="1" showInputMessage="1" showErrorMessage="1" sqref="D5">
      <formula1>$D$19:$D$44</formula1>
    </dataValidation>
    <dataValidation type="list" allowBlank="1" showInputMessage="1" showErrorMessage="1" sqref="D8">
      <formula1>$C$19:$C$33</formula1>
    </dataValidation>
    <dataValidation type="list" allowBlank="1" showInputMessage="1" showErrorMessage="1" sqref="D13:I13">
      <formula1>$N$9:$O$9</formula1>
    </dataValidation>
    <dataValidation type="list" allowBlank="1" showInputMessage="1" showErrorMessage="1" sqref="D10 G10">
      <formula1>Tanggal</formula1>
    </dataValidation>
    <dataValidation type="list" allowBlank="1" showInputMessage="1" showErrorMessage="1" sqref="E10 H10">
      <formula1>Bulan</formula1>
    </dataValidation>
    <dataValidation type="list" errorStyle="warning" allowBlank="1" showInputMessage="1" showErrorMessage="1" errorTitle="Isi data tahun secara manual?" error="Klik Yes untuk melanjutkan" sqref="I10">
      <formula1>Tahun</formula1>
    </dataValidation>
    <dataValidation type="list" errorStyle="warning" allowBlank="1" showInputMessage="1" showErrorMessage="1" errorTitle="Isi data tahun secara manual?" error="Klik yes untuk melanjutkan" sqref="F10">
      <formula1>Tahun</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sheetPr codeName="Sheet17">
    <tabColor theme="9"/>
  </sheetPr>
  <dimension ref="B1:XFC24"/>
  <sheetViews>
    <sheetView showRowColHeaders="0" zoomScale="60" zoomScaleNormal="60" workbookViewId="0"/>
  </sheetViews>
  <sheetFormatPr defaultColWidth="0" defaultRowHeight="15" customHeight="1" zeroHeight="1"/>
  <cols>
    <col min="1" max="1" width="20.140625" style="2" customWidth="1"/>
    <col min="2" max="2" width="2.85546875" style="2" customWidth="1"/>
    <col min="3" max="4" width="9.140625" style="2" customWidth="1"/>
    <col min="5" max="5" width="12.28515625" style="2" customWidth="1"/>
    <col min="6" max="7" width="9.140625" style="2" customWidth="1"/>
    <col min="8" max="8" width="4.42578125" style="2" customWidth="1"/>
    <col min="9" max="9" width="17.140625" style="2" customWidth="1"/>
    <col min="10" max="10" width="9.140625" style="2" customWidth="1"/>
    <col min="11" max="11" width="8.85546875" style="2" customWidth="1"/>
    <col min="12" max="12" width="5.28515625" style="2" customWidth="1"/>
    <col min="13" max="19" width="9.140625" style="2" customWidth="1"/>
    <col min="20" max="16383" width="9.140625" style="2" hidden="1"/>
    <col min="16384" max="16384" width="4.42578125" style="2" customWidth="1"/>
  </cols>
  <sheetData>
    <row r="1" spans="2:21" ht="3" customHeight="1"/>
    <row r="2" spans="2:21" ht="33" customHeight="1">
      <c r="C2" s="122"/>
      <c r="D2" s="122"/>
      <c r="E2" s="122"/>
      <c r="F2" s="122"/>
      <c r="G2" s="878" t="str">
        <f>"MENU SEMESTER "&amp;UPPER(_smt_ganjil)</f>
        <v>MENU SEMESTER 3 (TIGA)</v>
      </c>
      <c r="H2" s="878"/>
      <c r="I2" s="878"/>
      <c r="J2" s="878"/>
      <c r="K2" s="878"/>
      <c r="L2" s="878"/>
      <c r="M2" s="878"/>
      <c r="N2" s="122"/>
      <c r="O2" s="122"/>
      <c r="P2" s="122"/>
      <c r="R2" s="122"/>
      <c r="S2" s="122"/>
      <c r="T2" s="123"/>
      <c r="U2" s="123"/>
    </row>
    <row r="3" spans="2:21" ht="18.75">
      <c r="C3" s="124"/>
      <c r="D3" s="124"/>
      <c r="E3" s="124"/>
      <c r="F3" s="124"/>
      <c r="G3" s="879" t="str">
        <f>"Tahun Pelajaran "&amp;DK!D8</f>
        <v>Tahun Pelajaran 2018 / 2019</v>
      </c>
      <c r="H3" s="879"/>
      <c r="I3" s="879"/>
      <c r="J3" s="879"/>
      <c r="K3" s="879"/>
      <c r="L3" s="879"/>
      <c r="M3" s="879"/>
      <c r="N3" s="124"/>
      <c r="O3" s="124"/>
      <c r="P3" s="124"/>
      <c r="Q3" s="124"/>
      <c r="R3" s="124"/>
      <c r="S3" s="124"/>
      <c r="T3" s="125"/>
      <c r="U3" s="125"/>
    </row>
    <row r="4" spans="2:21" ht="22.5">
      <c r="B4" s="71"/>
      <c r="C4" s="71"/>
      <c r="D4" s="71"/>
      <c r="E4" s="71"/>
      <c r="F4" s="71"/>
      <c r="G4" s="880" t="str">
        <f>"Kelas "&amp;DK!D5</f>
        <v>Kelas VIII A</v>
      </c>
      <c r="H4" s="880"/>
      <c r="I4" s="880"/>
      <c r="J4" s="880"/>
      <c r="K4" s="880"/>
      <c r="L4" s="880"/>
      <c r="M4" s="880"/>
    </row>
    <row r="5" spans="2:21" ht="15" customHeight="1"/>
    <row r="6" spans="2:21" ht="15" customHeight="1"/>
    <row r="7" spans="2:21" ht="15" customHeight="1"/>
    <row r="8" spans="2:21" ht="15" customHeight="1"/>
    <row r="9" spans="2:21" ht="15" customHeight="1"/>
    <row r="10" spans="2:21" ht="15" customHeight="1"/>
    <row r="11" spans="2:21" ht="15" customHeight="1"/>
    <row r="12" spans="2:21" ht="15" customHeight="1"/>
    <row r="13" spans="2:21" ht="15" customHeight="1"/>
    <row r="14" spans="2:21" ht="15" customHeight="1"/>
    <row r="15" spans="2:21" ht="15" customHeight="1"/>
    <row r="16" spans="2:21" ht="15" customHeight="1"/>
    <row r="17" ht="15" customHeight="1"/>
    <row r="18" ht="38.25" customHeight="1"/>
    <row r="19" ht="24" customHeight="1"/>
    <row r="20" ht="15" customHeight="1"/>
    <row r="21" ht="15" customHeight="1"/>
    <row r="22" ht="15" customHeight="1"/>
    <row r="23" ht="15" customHeight="1"/>
    <row r="24" ht="15" customHeight="1"/>
  </sheetData>
  <sheetProtection password="CE75" sheet="1" objects="1" scenarios="1" selectLockedCells="1"/>
  <mergeCells count="3">
    <mergeCell ref="G2:M2"/>
    <mergeCell ref="G3:M3"/>
    <mergeCell ref="G4:M4"/>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sheetPr codeName="Sheet8">
    <tabColor theme="9"/>
  </sheetPr>
  <dimension ref="B1:BM72"/>
  <sheetViews>
    <sheetView showRowColHeaders="0" zoomScale="90" zoomScaleNormal="90" workbookViewId="0">
      <pane xSplit="8" ySplit="6" topLeftCell="AE22" activePane="bottomRight" state="frozenSplit"/>
      <selection sqref="A1:XFD1048576"/>
      <selection pane="topRight" activeCell="J1" sqref="J1"/>
      <selection pane="bottomLeft" activeCell="A11" sqref="A11"/>
      <selection pane="bottomRight"/>
    </sheetView>
  </sheetViews>
  <sheetFormatPr defaultColWidth="8.85546875" defaultRowHeight="16.5" zeroHeight="1"/>
  <cols>
    <col min="1" max="1" width="1.7109375" style="198" customWidth="1"/>
    <col min="2" max="2" width="14.42578125" style="197" customWidth="1"/>
    <col min="3" max="3" width="8.140625" style="198" customWidth="1"/>
    <col min="4" max="4" width="2.5703125" style="198" customWidth="1"/>
    <col min="5" max="5" width="5.7109375" style="199" customWidth="1"/>
    <col min="6" max="6" width="10.28515625" style="199" customWidth="1"/>
    <col min="7" max="7" width="13.42578125" style="199" customWidth="1"/>
    <col min="8" max="8" width="17.140625" style="199" customWidth="1"/>
    <col min="9" max="10" width="5.7109375" style="198" customWidth="1"/>
    <col min="11" max="11" width="5.7109375" style="198" hidden="1" customWidth="1"/>
    <col min="12" max="13" width="5.7109375" style="198" customWidth="1"/>
    <col min="14" max="14" width="5.7109375" style="198" hidden="1" customWidth="1"/>
    <col min="15" max="16" width="5.7109375" style="198" customWidth="1"/>
    <col min="17" max="17" width="5.7109375" style="198" hidden="1" customWidth="1"/>
    <col min="18" max="19" width="5.7109375" style="198" customWidth="1"/>
    <col min="20" max="20" width="5.7109375" style="198" hidden="1" customWidth="1"/>
    <col min="21" max="22" width="5.7109375" style="198" customWidth="1"/>
    <col min="23" max="23" width="5.7109375" style="198" hidden="1" customWidth="1"/>
    <col min="24" max="25" width="5.7109375" style="198" customWidth="1"/>
    <col min="26" max="26" width="5.7109375" style="198" hidden="1" customWidth="1"/>
    <col min="27" max="28" width="5.7109375" style="198" customWidth="1"/>
    <col min="29" max="29" width="5.7109375" style="198" hidden="1" customWidth="1"/>
    <col min="30" max="31" width="5.7109375" style="198" customWidth="1"/>
    <col min="32" max="32" width="5.7109375" style="198" hidden="1" customWidth="1"/>
    <col min="33" max="33" width="6" style="198" customWidth="1"/>
    <col min="34" max="34" width="6.5703125" style="198" customWidth="1"/>
    <col min="35" max="35" width="5.7109375" style="198" hidden="1" customWidth="1"/>
    <col min="36" max="36" width="6.140625" style="198" customWidth="1"/>
    <col min="37" max="37" width="6.28515625" style="198" customWidth="1"/>
    <col min="38" max="38" width="5.7109375" style="198" hidden="1" customWidth="1"/>
    <col min="39" max="40" width="5.7109375" style="198" customWidth="1"/>
    <col min="41" max="41" width="5.7109375" style="198" hidden="1" customWidth="1"/>
    <col min="42" max="43" width="5.7109375" style="198" customWidth="1"/>
    <col min="44" max="44" width="5.7109375" style="198" hidden="1" customWidth="1"/>
    <col min="45" max="46" width="5.7109375" style="198" customWidth="1"/>
    <col min="47" max="47" width="5.7109375" style="198" hidden="1" customWidth="1"/>
    <col min="48" max="49" width="5.7109375" style="198" customWidth="1"/>
    <col min="50" max="50" width="5.7109375" style="198" hidden="1" customWidth="1"/>
    <col min="51" max="52" width="5.7109375" style="198" customWidth="1"/>
    <col min="53" max="53" width="5.7109375" style="198" hidden="1" customWidth="1"/>
    <col min="54" max="54" width="7.42578125" style="199" customWidth="1"/>
    <col min="55" max="55" width="8.140625" style="199" bestFit="1" customWidth="1"/>
    <col min="56" max="56" width="5" style="199" customWidth="1"/>
    <col min="57" max="59" width="4.7109375" style="199" customWidth="1"/>
    <col min="60" max="60" width="3.7109375" style="199" customWidth="1"/>
    <col min="61" max="61" width="43.7109375" style="198" customWidth="1"/>
    <col min="62" max="62" width="0.7109375" style="198" customWidth="1"/>
    <col min="63" max="63" width="61.85546875" style="198" customWidth="1"/>
    <col min="64" max="64" width="9.140625" style="198" customWidth="1"/>
    <col min="65" max="65" width="28.7109375" style="198" hidden="1" customWidth="1"/>
    <col min="66" max="16384" width="8.85546875" style="198"/>
  </cols>
  <sheetData>
    <row r="1" spans="2:63" ht="17.25" thickBot="1"/>
    <row r="2" spans="2:63" ht="18.75">
      <c r="C2" s="921" t="s">
        <v>80</v>
      </c>
      <c r="E2" s="931" t="s">
        <v>57</v>
      </c>
      <c r="F2" s="932"/>
      <c r="G2" s="932"/>
      <c r="H2" s="935" t="str">
        <f>UPPER(_smt_ganjil)</f>
        <v>3 (TIGA)</v>
      </c>
      <c r="I2" s="911" t="s">
        <v>53</v>
      </c>
      <c r="J2" s="912"/>
      <c r="K2" s="912"/>
      <c r="L2" s="912"/>
      <c r="M2" s="912"/>
      <c r="N2" s="912"/>
      <c r="O2" s="912"/>
      <c r="P2" s="912"/>
      <c r="Q2" s="912"/>
      <c r="R2" s="912"/>
      <c r="S2" s="912"/>
      <c r="T2" s="912"/>
      <c r="U2" s="912"/>
      <c r="V2" s="912"/>
      <c r="W2" s="912"/>
      <c r="X2" s="912"/>
      <c r="Y2" s="912"/>
      <c r="Z2" s="912"/>
      <c r="AA2" s="912"/>
      <c r="AB2" s="912"/>
      <c r="AC2" s="912"/>
      <c r="AD2" s="912"/>
      <c r="AE2" s="912"/>
      <c r="AF2" s="912"/>
      <c r="AG2" s="912"/>
      <c r="AH2" s="912"/>
      <c r="AI2" s="912"/>
      <c r="AJ2" s="912"/>
      <c r="AK2" s="912"/>
      <c r="AL2" s="912"/>
      <c r="AM2" s="912"/>
      <c r="AN2" s="912"/>
      <c r="AO2" s="913"/>
      <c r="AP2" s="882" t="s">
        <v>58</v>
      </c>
      <c r="AQ2" s="883"/>
      <c r="AR2" s="883"/>
      <c r="AS2" s="883"/>
      <c r="AT2" s="883"/>
      <c r="AU2" s="883"/>
      <c r="AV2" s="883"/>
      <c r="AW2" s="883"/>
      <c r="AX2" s="883"/>
      <c r="AY2" s="883"/>
      <c r="AZ2" s="883"/>
      <c r="BA2" s="884"/>
      <c r="BB2" s="893" t="s">
        <v>60</v>
      </c>
      <c r="BC2" s="894"/>
      <c r="BD2" s="895"/>
      <c r="BE2" s="914" t="s">
        <v>62</v>
      </c>
      <c r="BF2" s="915"/>
      <c r="BG2" s="915"/>
      <c r="BH2" s="916"/>
      <c r="BI2" s="904" t="s">
        <v>76</v>
      </c>
      <c r="BK2" s="901" t="s">
        <v>77</v>
      </c>
    </row>
    <row r="3" spans="2:63" s="201" customFormat="1" ht="17.25" customHeight="1" thickBot="1">
      <c r="B3" s="200"/>
      <c r="C3" s="922"/>
      <c r="E3" s="933"/>
      <c r="F3" s="934"/>
      <c r="G3" s="934"/>
      <c r="H3" s="936"/>
      <c r="I3" s="906">
        <v>1</v>
      </c>
      <c r="J3" s="907"/>
      <c r="K3" s="907"/>
      <c r="L3" s="906">
        <v>2</v>
      </c>
      <c r="M3" s="907"/>
      <c r="N3" s="907"/>
      <c r="O3" s="906">
        <v>3</v>
      </c>
      <c r="P3" s="907"/>
      <c r="Q3" s="907"/>
      <c r="R3" s="906">
        <v>4</v>
      </c>
      <c r="S3" s="907"/>
      <c r="T3" s="907"/>
      <c r="U3" s="906">
        <v>5</v>
      </c>
      <c r="V3" s="907"/>
      <c r="W3" s="907"/>
      <c r="X3" s="906">
        <v>6</v>
      </c>
      <c r="Y3" s="907"/>
      <c r="Z3" s="907"/>
      <c r="AA3" s="906">
        <v>7</v>
      </c>
      <c r="AB3" s="907"/>
      <c r="AC3" s="907"/>
      <c r="AD3" s="906">
        <v>8</v>
      </c>
      <c r="AE3" s="907"/>
      <c r="AF3" s="907"/>
      <c r="AG3" s="906">
        <v>9</v>
      </c>
      <c r="AH3" s="907"/>
      <c r="AI3" s="907"/>
      <c r="AJ3" s="906">
        <v>10</v>
      </c>
      <c r="AK3" s="907"/>
      <c r="AL3" s="907"/>
      <c r="AM3" s="906">
        <v>11</v>
      </c>
      <c r="AN3" s="907"/>
      <c r="AO3" s="907"/>
      <c r="AP3" s="906">
        <v>12</v>
      </c>
      <c r="AQ3" s="907"/>
      <c r="AR3" s="907"/>
      <c r="AS3" s="906">
        <v>13</v>
      </c>
      <c r="AT3" s="907"/>
      <c r="AU3" s="907"/>
      <c r="AV3" s="906">
        <v>14</v>
      </c>
      <c r="AW3" s="907"/>
      <c r="AX3" s="907"/>
      <c r="AY3" s="906">
        <v>15</v>
      </c>
      <c r="AZ3" s="907"/>
      <c r="BA3" s="907"/>
      <c r="BB3" s="896"/>
      <c r="BC3" s="897"/>
      <c r="BD3" s="898"/>
      <c r="BE3" s="917"/>
      <c r="BF3" s="918"/>
      <c r="BG3" s="918"/>
      <c r="BH3" s="919"/>
      <c r="BI3" s="905"/>
      <c r="BK3" s="902"/>
    </row>
    <row r="4" spans="2:63" ht="33" customHeight="1" thickBot="1">
      <c r="C4" s="202">
        <v>75</v>
      </c>
      <c r="E4" s="937" t="str">
        <f>"Kelas "&amp;_kelas&amp;" - TP. "&amp;DK!D8</f>
        <v>Kelas VIII A - TP. 2018 / 2019</v>
      </c>
      <c r="F4" s="938"/>
      <c r="G4" s="938"/>
      <c r="H4" s="939"/>
      <c r="I4" s="951" t="str">
        <f>_MP1</f>
        <v>Pendidikan Agama Islam</v>
      </c>
      <c r="J4" s="952"/>
      <c r="K4" s="953"/>
      <c r="L4" s="951" t="str">
        <f>_MP2</f>
        <v>Pendidikan Agama Kristen</v>
      </c>
      <c r="M4" s="957"/>
      <c r="N4" s="958"/>
      <c r="O4" s="951" t="str">
        <f>_MP3</f>
        <v>Pendidikan Agama Katolik</v>
      </c>
      <c r="P4" s="957"/>
      <c r="Q4" s="958"/>
      <c r="R4" s="951" t="str">
        <f>_MP4</f>
        <v>Pendidikan Agama Hindu</v>
      </c>
      <c r="S4" s="957"/>
      <c r="T4" s="958"/>
      <c r="U4" s="951" t="str">
        <f>_MP5</f>
        <v>Pendidikan Agama Budha</v>
      </c>
      <c r="V4" s="957"/>
      <c r="W4" s="958"/>
      <c r="X4" s="885" t="str">
        <f>_MP6</f>
        <v>PKn</v>
      </c>
      <c r="Y4" s="886"/>
      <c r="Z4" s="887"/>
      <c r="AA4" s="885" t="str">
        <f>_MP7</f>
        <v xml:space="preserve">Bahasa Indonesia </v>
      </c>
      <c r="AB4" s="886"/>
      <c r="AC4" s="887"/>
      <c r="AD4" s="885" t="str">
        <f>_MP8</f>
        <v xml:space="preserve">Matematika </v>
      </c>
      <c r="AE4" s="886"/>
      <c r="AF4" s="887"/>
      <c r="AG4" s="885" t="str">
        <f>_MP9</f>
        <v xml:space="preserve">Ilmu Pengetahuan Alam </v>
      </c>
      <c r="AH4" s="886"/>
      <c r="AI4" s="887"/>
      <c r="AJ4" s="885" t="str">
        <f>_MP10</f>
        <v xml:space="preserve">Ilmu Pengetahuan Sosial </v>
      </c>
      <c r="AK4" s="886"/>
      <c r="AL4" s="887"/>
      <c r="AM4" s="885" t="str">
        <f>_MP11</f>
        <v xml:space="preserve">Bahasa Inggris </v>
      </c>
      <c r="AN4" s="886"/>
      <c r="AO4" s="887"/>
      <c r="AP4" s="885" t="str">
        <f>_MP12</f>
        <v>Seni Budaya</v>
      </c>
      <c r="AQ4" s="886"/>
      <c r="AR4" s="887"/>
      <c r="AS4" s="885" t="str">
        <f>_MP13</f>
        <v>Penjaskes</v>
      </c>
      <c r="AT4" s="886"/>
      <c r="AU4" s="887"/>
      <c r="AV4" s="885" t="str">
        <f>_MP14</f>
        <v>Prakarya</v>
      </c>
      <c r="AW4" s="886"/>
      <c r="AX4" s="887"/>
      <c r="AY4" s="885" t="str">
        <f>_MP15</f>
        <v>Bahasa dan Aksara Lampung</v>
      </c>
      <c r="AZ4" s="886"/>
      <c r="BA4" s="887"/>
      <c r="BB4" s="946" t="s">
        <v>59</v>
      </c>
      <c r="BC4" s="920" t="s">
        <v>66</v>
      </c>
      <c r="BD4" s="881" t="s">
        <v>61</v>
      </c>
      <c r="BE4" s="908" t="s">
        <v>63</v>
      </c>
      <c r="BF4" s="909" t="s">
        <v>64</v>
      </c>
      <c r="BG4" s="909" t="s">
        <v>65</v>
      </c>
      <c r="BH4" s="910" t="s">
        <v>60</v>
      </c>
      <c r="BI4" s="203" t="s">
        <v>75</v>
      </c>
      <c r="BK4" s="902"/>
    </row>
    <row r="5" spans="2:63" ht="17.25" thickBot="1">
      <c r="C5" s="944"/>
      <c r="E5" s="930" t="s">
        <v>50</v>
      </c>
      <c r="F5" s="929" t="s">
        <v>51</v>
      </c>
      <c r="G5" s="940" t="s">
        <v>52</v>
      </c>
      <c r="H5" s="941"/>
      <c r="I5" s="954"/>
      <c r="J5" s="955"/>
      <c r="K5" s="956"/>
      <c r="L5" s="959"/>
      <c r="M5" s="960"/>
      <c r="N5" s="961"/>
      <c r="O5" s="959"/>
      <c r="P5" s="960"/>
      <c r="Q5" s="961"/>
      <c r="R5" s="959"/>
      <c r="S5" s="960"/>
      <c r="T5" s="961"/>
      <c r="U5" s="959"/>
      <c r="V5" s="960"/>
      <c r="W5" s="961"/>
      <c r="X5" s="888"/>
      <c r="Y5" s="889"/>
      <c r="Z5" s="890"/>
      <c r="AA5" s="888"/>
      <c r="AB5" s="889"/>
      <c r="AC5" s="890"/>
      <c r="AD5" s="888"/>
      <c r="AE5" s="889"/>
      <c r="AF5" s="890"/>
      <c r="AG5" s="888"/>
      <c r="AH5" s="889"/>
      <c r="AI5" s="890"/>
      <c r="AJ5" s="888"/>
      <c r="AK5" s="889"/>
      <c r="AL5" s="890"/>
      <c r="AM5" s="888"/>
      <c r="AN5" s="889"/>
      <c r="AO5" s="890"/>
      <c r="AP5" s="888"/>
      <c r="AQ5" s="889"/>
      <c r="AR5" s="890"/>
      <c r="AS5" s="888"/>
      <c r="AT5" s="889"/>
      <c r="AU5" s="890"/>
      <c r="AV5" s="888"/>
      <c r="AW5" s="889"/>
      <c r="AX5" s="890"/>
      <c r="AY5" s="888"/>
      <c r="AZ5" s="889"/>
      <c r="BA5" s="890"/>
      <c r="BB5" s="946"/>
      <c r="BC5" s="920"/>
      <c r="BD5" s="881"/>
      <c r="BE5" s="908"/>
      <c r="BF5" s="909"/>
      <c r="BG5" s="909"/>
      <c r="BH5" s="910"/>
      <c r="BI5" s="203" t="s">
        <v>74</v>
      </c>
      <c r="BK5" s="902"/>
    </row>
    <row r="6" spans="2:63" ht="17.25" thickBot="1">
      <c r="C6" s="945"/>
      <c r="E6" s="930"/>
      <c r="F6" s="929"/>
      <c r="G6" s="942"/>
      <c r="H6" s="943"/>
      <c r="I6" s="204" t="s">
        <v>54</v>
      </c>
      <c r="J6" s="205" t="s">
        <v>55</v>
      </c>
      <c r="K6" s="206" t="s">
        <v>56</v>
      </c>
      <c r="L6" s="207" t="s">
        <v>54</v>
      </c>
      <c r="M6" s="208" t="s">
        <v>55</v>
      </c>
      <c r="N6" s="205" t="s">
        <v>56</v>
      </c>
      <c r="O6" s="204" t="s">
        <v>54</v>
      </c>
      <c r="P6" s="208" t="s">
        <v>55</v>
      </c>
      <c r="Q6" s="205" t="s">
        <v>56</v>
      </c>
      <c r="R6" s="204" t="s">
        <v>54</v>
      </c>
      <c r="S6" s="208" t="s">
        <v>55</v>
      </c>
      <c r="T6" s="205" t="s">
        <v>56</v>
      </c>
      <c r="U6" s="204" t="s">
        <v>54</v>
      </c>
      <c r="V6" s="208" t="s">
        <v>55</v>
      </c>
      <c r="W6" s="205" t="s">
        <v>56</v>
      </c>
      <c r="X6" s="204" t="s">
        <v>54</v>
      </c>
      <c r="Y6" s="208" t="s">
        <v>55</v>
      </c>
      <c r="Z6" s="205" t="s">
        <v>56</v>
      </c>
      <c r="AA6" s="204" t="s">
        <v>54</v>
      </c>
      <c r="AB6" s="208" t="s">
        <v>55</v>
      </c>
      <c r="AC6" s="205" t="s">
        <v>56</v>
      </c>
      <c r="AD6" s="204" t="s">
        <v>54</v>
      </c>
      <c r="AE6" s="208" t="s">
        <v>55</v>
      </c>
      <c r="AF6" s="205" t="s">
        <v>56</v>
      </c>
      <c r="AG6" s="204" t="s">
        <v>54</v>
      </c>
      <c r="AH6" s="208" t="s">
        <v>55</v>
      </c>
      <c r="AI6" s="205" t="s">
        <v>56</v>
      </c>
      <c r="AJ6" s="204" t="s">
        <v>54</v>
      </c>
      <c r="AK6" s="208" t="s">
        <v>55</v>
      </c>
      <c r="AL6" s="205" t="s">
        <v>56</v>
      </c>
      <c r="AM6" s="204" t="s">
        <v>54</v>
      </c>
      <c r="AN6" s="208" t="s">
        <v>55</v>
      </c>
      <c r="AO6" s="205" t="s">
        <v>56</v>
      </c>
      <c r="AP6" s="204" t="s">
        <v>54</v>
      </c>
      <c r="AQ6" s="208" t="s">
        <v>55</v>
      </c>
      <c r="AR6" s="205" t="s">
        <v>56</v>
      </c>
      <c r="AS6" s="204" t="s">
        <v>54</v>
      </c>
      <c r="AT6" s="208" t="s">
        <v>55</v>
      </c>
      <c r="AU6" s="205" t="s">
        <v>56</v>
      </c>
      <c r="AV6" s="204" t="s">
        <v>54</v>
      </c>
      <c r="AW6" s="205" t="s">
        <v>55</v>
      </c>
      <c r="AX6" s="209" t="s">
        <v>56</v>
      </c>
      <c r="AY6" s="204" t="s">
        <v>54</v>
      </c>
      <c r="AZ6" s="205" t="s">
        <v>55</v>
      </c>
      <c r="BA6" s="210" t="s">
        <v>56</v>
      </c>
      <c r="BB6" s="946"/>
      <c r="BC6" s="920"/>
      <c r="BD6" s="881"/>
      <c r="BE6" s="908"/>
      <c r="BF6" s="909"/>
      <c r="BG6" s="909"/>
      <c r="BH6" s="910"/>
      <c r="BI6" s="285"/>
      <c r="BK6" s="903"/>
    </row>
    <row r="7" spans="2:63" ht="17.25" thickBot="1">
      <c r="B7" s="923" t="s">
        <v>73</v>
      </c>
      <c r="C7" s="924"/>
      <c r="E7" s="211">
        <f>Biodata!B6</f>
        <v>1</v>
      </c>
      <c r="F7" s="212">
        <f>IF(Biodata!C6="","",VLOOKUP(E7,Biodata_Siswa,2,FALSE))</f>
        <v>7057</v>
      </c>
      <c r="G7" s="891" t="str">
        <f>IF(Biodata!E6="","",PROPER(VLOOKUP(E7,Biodata_Siswa,4,FALSE)))</f>
        <v>Ahmad Zaki Aufa</v>
      </c>
      <c r="H7" s="892"/>
      <c r="I7" s="573">
        <v>81.349999999999994</v>
      </c>
      <c r="J7" s="574">
        <v>85</v>
      </c>
      <c r="K7" s="382"/>
      <c r="L7" s="380"/>
      <c r="M7" s="381"/>
      <c r="N7" s="382"/>
      <c r="O7" s="380"/>
      <c r="P7" s="381"/>
      <c r="Q7" s="382"/>
      <c r="R7" s="380"/>
      <c r="S7" s="381"/>
      <c r="T7" s="380"/>
      <c r="U7" s="397"/>
      <c r="V7" s="398"/>
      <c r="W7" s="382"/>
      <c r="X7" s="380">
        <v>82</v>
      </c>
      <c r="Y7" s="381">
        <v>82</v>
      </c>
      <c r="Z7" s="382"/>
      <c r="AA7" s="380">
        <v>80.260000000000005</v>
      </c>
      <c r="AB7" s="381">
        <v>78.099999999999994</v>
      </c>
      <c r="AC7" s="382"/>
      <c r="AD7" s="755">
        <v>79.040000000000006</v>
      </c>
      <c r="AE7" s="755">
        <v>80.400000000000006</v>
      </c>
      <c r="AF7" s="382"/>
      <c r="AG7" s="380">
        <v>83.6</v>
      </c>
      <c r="AH7" s="381">
        <v>86.833333333333329</v>
      </c>
      <c r="AI7" s="382"/>
      <c r="AJ7" s="380">
        <v>81.599999999999994</v>
      </c>
      <c r="AK7" s="381">
        <v>90</v>
      </c>
      <c r="AL7" s="382"/>
      <c r="AM7" s="380">
        <v>80.114285714285714</v>
      </c>
      <c r="AN7" s="381">
        <v>80.285714285714292</v>
      </c>
      <c r="AO7" s="382"/>
      <c r="AP7" s="756">
        <v>79.28</v>
      </c>
      <c r="AQ7" s="756">
        <v>82.2</v>
      </c>
      <c r="AR7" s="382"/>
      <c r="AS7" s="380">
        <v>79.2</v>
      </c>
      <c r="AT7" s="380">
        <v>80</v>
      </c>
      <c r="AU7" s="382"/>
      <c r="AV7" s="380">
        <v>81.199999999999989</v>
      </c>
      <c r="AW7" s="380">
        <v>83.2</v>
      </c>
      <c r="AX7" s="382"/>
      <c r="AY7" s="380">
        <v>80.3</v>
      </c>
      <c r="AZ7" s="381">
        <v>80.5</v>
      </c>
      <c r="BA7" s="213" t="str">
        <f>IF(AY7="","",IF(AY7&gt;=($C$4+2/3*(100-$C$4)),"A",IF(AY7&gt;=($C$4+1/3*(100-$C$4)),"B",IF(AY7&gt;=$C$4,"C","D"))))</f>
        <v>C</v>
      </c>
      <c r="BB7" s="389">
        <f t="shared" ref="BB7:BB46" si="0">IF(G7="","",IF(I7+L7+O7+R7+U7+X7+AA7+AD7+AG7+AJ7+AM7+AP7+AS7+AV7+AY7=0,"",I7+L7+O7+R7+U7+X7+AA7+AD7+AG7+AJ7+AM7+AP7+AS7+AV7+AY7))</f>
        <v>887.9442857142858</v>
      </c>
      <c r="BC7" s="390">
        <f t="shared" ref="BC7:BC46" si="1">IF(BB7="","",(AVERAGE(I7,L7,O7,R7,U7,X7,AA7,AD7,AG7,AJ7,AM7,AP7,AS7,AV7,AY7)))</f>
        <v>80.722207792207797</v>
      </c>
      <c r="BD7" s="214">
        <f>IF(BB7="","",RANK(BB7,$BB$7:$BB$46,0))</f>
        <v>15</v>
      </c>
      <c r="BE7" s="23">
        <v>0</v>
      </c>
      <c r="BF7" s="23">
        <v>0</v>
      </c>
      <c r="BG7" s="24">
        <v>0</v>
      </c>
      <c r="BH7" s="215">
        <f>SUM(BE7:BG7)</f>
        <v>0</v>
      </c>
      <c r="BI7" s="284"/>
      <c r="BK7" s="283" t="str">
        <f>IF(BI7="",(IF(AND(BD7=1,BH7&gt;5),"Pertahankan prestasimu dan kurangi meninggalkan sekolah!",IF(AND(BD7&gt;1,BH7&gt;5),"Tingkatkan prestasimu dan kurangi meninggalkan sekolah!",IF(AND(BD7=1,BH7&lt;=5),"Pertahankan prestasimu!","Tingkatkan prestasi belajarmu!")))),BI7)</f>
        <v>Tingkatkan prestasi belajarmu!</v>
      </c>
    </row>
    <row r="8" spans="2:63" ht="15.75">
      <c r="B8" s="925" t="str">
        <f>I4</f>
        <v>Pendidikan Agama Islam</v>
      </c>
      <c r="C8" s="926"/>
      <c r="E8" s="211">
        <f>Biodata!B7</f>
        <v>2</v>
      </c>
      <c r="F8" s="212">
        <f>IF(Biodata!C7="","",VLOOKUP(E8,Biodata_Siswa,2,FALSE))</f>
        <v>7058</v>
      </c>
      <c r="G8" s="891" t="str">
        <f>IF(Biodata!E7="","",PROPER(VLOOKUP(E8,Biodata_Siswa,4,FALSE)))</f>
        <v>Anandhita Nafra Wilova</v>
      </c>
      <c r="H8" s="892"/>
      <c r="I8" s="386">
        <v>82.1</v>
      </c>
      <c r="J8" s="387">
        <v>83.75</v>
      </c>
      <c r="K8" s="382"/>
      <c r="L8" s="380"/>
      <c r="M8" s="381"/>
      <c r="N8" s="382"/>
      <c r="O8" s="380"/>
      <c r="P8" s="381"/>
      <c r="Q8" s="382"/>
      <c r="R8" s="380"/>
      <c r="S8" s="381"/>
      <c r="T8" s="382"/>
      <c r="U8" s="397"/>
      <c r="V8" s="398"/>
      <c r="W8" s="382"/>
      <c r="X8" s="380">
        <v>83.6</v>
      </c>
      <c r="Y8" s="381">
        <v>82.666666666666671</v>
      </c>
      <c r="Z8" s="382"/>
      <c r="AA8" s="380">
        <v>80.44</v>
      </c>
      <c r="AB8" s="381">
        <v>78.400000000000006</v>
      </c>
      <c r="AC8" s="382"/>
      <c r="AD8" s="755">
        <v>79.039999999999992</v>
      </c>
      <c r="AE8" s="755">
        <v>80.400000000000006</v>
      </c>
      <c r="AF8" s="382"/>
      <c r="AG8" s="380">
        <v>82.1</v>
      </c>
      <c r="AH8" s="381">
        <v>85</v>
      </c>
      <c r="AI8" s="382"/>
      <c r="AJ8" s="380">
        <v>83.699999999999989</v>
      </c>
      <c r="AK8" s="381">
        <v>87.5</v>
      </c>
      <c r="AL8" s="382"/>
      <c r="AM8" s="380">
        <v>81.371428571428567</v>
      </c>
      <c r="AN8" s="381">
        <v>81.285714285714292</v>
      </c>
      <c r="AO8" s="382"/>
      <c r="AP8" s="756">
        <v>78.040000000000006</v>
      </c>
      <c r="AQ8" s="756">
        <v>81.2</v>
      </c>
      <c r="AR8" s="382"/>
      <c r="AS8" s="380">
        <v>79.899999999999991</v>
      </c>
      <c r="AT8" s="380">
        <v>77</v>
      </c>
      <c r="AU8" s="382"/>
      <c r="AV8" s="380">
        <v>83.2</v>
      </c>
      <c r="AW8" s="380">
        <v>84</v>
      </c>
      <c r="AX8" s="382"/>
      <c r="AY8" s="380">
        <v>80.800000000000011</v>
      </c>
      <c r="AZ8" s="381">
        <v>80</v>
      </c>
      <c r="BA8" s="213" t="str">
        <f t="shared" ref="BA8:BA46" si="2">IF(AY8="","",IF(AY8&gt;=($C$4+2/3*(100-$C$4)),"A",IF(AY8&gt;=($C$4+1/3*(100-$C$4)),"B",IF(AY8&gt;=$C$4,"C","D"))))</f>
        <v>C</v>
      </c>
      <c r="BB8" s="389">
        <f t="shared" si="0"/>
        <v>894.29142857142847</v>
      </c>
      <c r="BC8" s="390">
        <f t="shared" si="1"/>
        <v>81.299220779220775</v>
      </c>
      <c r="BD8" s="214">
        <f t="shared" ref="BD8:BD46" si="3">IF(BB8="","",RANK(BB8,$BB$7:$BB$46,0))</f>
        <v>13</v>
      </c>
      <c r="BE8" s="570">
        <v>0</v>
      </c>
      <c r="BF8" s="23">
        <v>0</v>
      </c>
      <c r="BG8" s="24">
        <v>0</v>
      </c>
      <c r="BH8" s="215">
        <f t="shared" ref="BH8:BH34" si="4">SUM(BE8:BG8)</f>
        <v>0</v>
      </c>
      <c r="BI8" s="25"/>
      <c r="BK8" s="281" t="str">
        <f t="shared" ref="BK8:BK34" si="5">IF(BI8="",(IF(AND(BD8=1,BH8&gt;5),"Pertahankan prestasimu dan kurangi meninggalkan sekolah!",IF(AND(BD8&gt;1,BH8&gt;5),"Tingkatkan prestasimu dan kurangi meninggalkan sekolah!",IF(AND(BD8=1,BH8&lt;=5),"Pertahankan prestasimu!","Tingkatkan prestasi belajarmu!")))),BI8)</f>
        <v>Tingkatkan prestasi belajarmu!</v>
      </c>
    </row>
    <row r="9" spans="2:63" ht="15.75">
      <c r="B9" s="927" t="str">
        <f>L4</f>
        <v>Pendidikan Agama Kristen</v>
      </c>
      <c r="C9" s="928"/>
      <c r="E9" s="211">
        <f>Biodata!B8</f>
        <v>3</v>
      </c>
      <c r="F9" s="212">
        <f>IF(Biodata!C8="","",VLOOKUP(E9,Biodata_Siswa,2,FALSE))</f>
        <v>7059</v>
      </c>
      <c r="G9" s="891" t="str">
        <f>IF(Biodata!E8="","",PROPER(VLOOKUP(E9,Biodata_Siswa,4,FALSE)))</f>
        <v>Andini Dwi Aryanti</v>
      </c>
      <c r="H9" s="892"/>
      <c r="I9" s="386">
        <v>81.599999999999994</v>
      </c>
      <c r="J9" s="387">
        <v>83.5</v>
      </c>
      <c r="K9" s="382"/>
      <c r="L9" s="380"/>
      <c r="M9" s="381"/>
      <c r="N9" s="382"/>
      <c r="O9" s="380"/>
      <c r="P9" s="381"/>
      <c r="Q9" s="382"/>
      <c r="R9" s="380"/>
      <c r="S9" s="381"/>
      <c r="T9" s="382"/>
      <c r="U9" s="397"/>
      <c r="V9" s="398"/>
      <c r="W9" s="382"/>
      <c r="X9" s="380">
        <v>80</v>
      </c>
      <c r="Y9" s="381">
        <v>82</v>
      </c>
      <c r="Z9" s="382"/>
      <c r="AA9" s="380">
        <v>78.399999999999991</v>
      </c>
      <c r="AB9" s="381">
        <v>77.099999999999994</v>
      </c>
      <c r="AC9" s="382"/>
      <c r="AD9" s="755">
        <v>78.559999999999988</v>
      </c>
      <c r="AE9" s="755">
        <v>79.599999999999994</v>
      </c>
      <c r="AF9" s="382"/>
      <c r="AG9" s="380">
        <v>83.8</v>
      </c>
      <c r="AH9" s="381">
        <v>85.666666666666671</v>
      </c>
      <c r="AI9" s="382"/>
      <c r="AJ9" s="380">
        <v>82</v>
      </c>
      <c r="AK9" s="381">
        <v>85</v>
      </c>
      <c r="AL9" s="382"/>
      <c r="AM9" s="380">
        <v>80.228571428571428</v>
      </c>
      <c r="AN9" s="381">
        <v>79.857142857142861</v>
      </c>
      <c r="AO9" s="382"/>
      <c r="AP9" s="756">
        <v>77.48</v>
      </c>
      <c r="AQ9" s="756">
        <v>81.2</v>
      </c>
      <c r="AR9" s="382"/>
      <c r="AS9" s="380">
        <v>76.95</v>
      </c>
      <c r="AT9" s="380">
        <v>78.75</v>
      </c>
      <c r="AU9" s="382"/>
      <c r="AV9" s="380">
        <v>82.679999999999993</v>
      </c>
      <c r="AW9" s="380">
        <v>85</v>
      </c>
      <c r="AX9" s="382"/>
      <c r="AY9" s="380">
        <v>80.75</v>
      </c>
      <c r="AZ9" s="381">
        <v>81.25</v>
      </c>
      <c r="BA9" s="213" t="str">
        <f>IF(AY9="","",IF(AY9&gt;=($C$4+2/3*(100-$C$4)),"A",IF(AY9&gt;=($C$4+1/3*(100-$C$4)),"B",IF(AY9&gt;=$C$4,"C","D"))))</f>
        <v>C</v>
      </c>
      <c r="BB9" s="389">
        <f>IF(G9="","",IF(I9+L9+O9+R9+U9+X9+AA9+AD9+AG9+AJ9+AM9+AP9+AS9+AV9+AY9=0,"",I9+L9+O9+R9+U9+X9+AA9+AD9+AG9+AJ9+AM9+AP9+AS9+AV9+AY9))</f>
        <v>882.44857142857143</v>
      </c>
      <c r="BC9" s="390">
        <f>IF(BB9="","",(AVERAGE(I9,L9,O9,R9,U9,X9,AA9,AD9,AG9,AJ9,AM9,AP9,AS9,AV9,AY9)))</f>
        <v>80.222597402597401</v>
      </c>
      <c r="BD9" s="214">
        <f>IF(BB9="","",RANK(BB9,$BB$7:$BB$46,0))</f>
        <v>19</v>
      </c>
      <c r="BE9" s="570">
        <v>0</v>
      </c>
      <c r="BF9" s="23">
        <v>3</v>
      </c>
      <c r="BG9" s="24">
        <v>1</v>
      </c>
      <c r="BH9" s="215">
        <f t="shared" si="4"/>
        <v>4</v>
      </c>
      <c r="BI9" s="25"/>
      <c r="BK9" s="281" t="str">
        <f t="shared" si="5"/>
        <v>Tingkatkan prestasi belajarmu!</v>
      </c>
    </row>
    <row r="10" spans="2:63" ht="15.75">
      <c r="B10" s="927" t="str">
        <f>O4</f>
        <v>Pendidikan Agama Katolik</v>
      </c>
      <c r="C10" s="928"/>
      <c r="E10" s="211">
        <f>Biodata!B9</f>
        <v>4</v>
      </c>
      <c r="F10" s="212">
        <f>IF(Biodata!C9="","",VLOOKUP(E10,Biodata_Siswa,2,FALSE))</f>
        <v>7060</v>
      </c>
      <c r="G10" s="891" t="str">
        <f>IF(Biodata!E9="","",PROPER(VLOOKUP(E10,Biodata_Siswa,4,FALSE)))</f>
        <v>Anggun Suci Rahmadani</v>
      </c>
      <c r="H10" s="892"/>
      <c r="I10" s="386">
        <v>82.1</v>
      </c>
      <c r="J10" s="387">
        <v>83</v>
      </c>
      <c r="K10" s="382"/>
      <c r="L10" s="380"/>
      <c r="M10" s="381"/>
      <c r="N10" s="382"/>
      <c r="O10" s="380"/>
      <c r="P10" s="381"/>
      <c r="Q10" s="382"/>
      <c r="R10" s="380"/>
      <c r="S10" s="381"/>
      <c r="T10" s="382"/>
      <c r="U10" s="380"/>
      <c r="V10" s="381"/>
      <c r="W10" s="382"/>
      <c r="X10" s="380">
        <v>79.599999999999994</v>
      </c>
      <c r="Y10" s="381">
        <v>82</v>
      </c>
      <c r="Z10" s="382"/>
      <c r="AA10" s="380">
        <v>78.7</v>
      </c>
      <c r="AB10" s="381">
        <v>77.099999999999994</v>
      </c>
      <c r="AC10" s="382"/>
      <c r="AD10" s="755">
        <v>77.760000000000005</v>
      </c>
      <c r="AE10" s="755">
        <v>77.599999999999994</v>
      </c>
      <c r="AF10" s="382"/>
      <c r="AG10" s="380">
        <v>80.399999999999991</v>
      </c>
      <c r="AH10" s="381">
        <v>81.333333333333329</v>
      </c>
      <c r="AI10" s="382"/>
      <c r="AJ10" s="380">
        <v>79</v>
      </c>
      <c r="AK10" s="381">
        <v>80</v>
      </c>
      <c r="AL10" s="382"/>
      <c r="AM10" s="380">
        <v>79.94285714285715</v>
      </c>
      <c r="AN10" s="381">
        <v>80.142857142857139</v>
      </c>
      <c r="AO10" s="382"/>
      <c r="AP10" s="756">
        <v>79.16</v>
      </c>
      <c r="AQ10" s="756">
        <v>81.2</v>
      </c>
      <c r="AR10" s="382"/>
      <c r="AS10" s="380">
        <v>78.900000000000006</v>
      </c>
      <c r="AT10" s="380">
        <v>80.25</v>
      </c>
      <c r="AU10" s="382"/>
      <c r="AV10" s="380">
        <v>82.199999999999989</v>
      </c>
      <c r="AW10" s="380">
        <v>83.8</v>
      </c>
      <c r="AX10" s="382"/>
      <c r="AY10" s="380">
        <v>78.2</v>
      </c>
      <c r="AZ10" s="381">
        <v>77</v>
      </c>
      <c r="BA10" s="213" t="str">
        <f t="shared" si="2"/>
        <v>C</v>
      </c>
      <c r="BB10" s="389">
        <f t="shared" si="0"/>
        <v>875.96285714285705</v>
      </c>
      <c r="BC10" s="390">
        <f t="shared" si="1"/>
        <v>79.632987012987002</v>
      </c>
      <c r="BD10" s="214">
        <f>IF(BB10="","",RANK(BB10,$BB$7:$BB$46,0))</f>
        <v>21</v>
      </c>
      <c r="BE10" s="570">
        <v>0</v>
      </c>
      <c r="BF10" s="23">
        <v>0</v>
      </c>
      <c r="BG10" s="24">
        <v>0</v>
      </c>
      <c r="BH10" s="215">
        <f t="shared" si="4"/>
        <v>0</v>
      </c>
      <c r="BI10" s="25"/>
      <c r="BK10" s="281" t="str">
        <f t="shared" si="5"/>
        <v>Tingkatkan prestasi belajarmu!</v>
      </c>
    </row>
    <row r="11" spans="2:63" ht="15.75">
      <c r="B11" s="927" t="str">
        <f>R4</f>
        <v>Pendidikan Agama Hindu</v>
      </c>
      <c r="C11" s="928"/>
      <c r="E11" s="211">
        <f>Biodata!B10</f>
        <v>5</v>
      </c>
      <c r="F11" s="212">
        <f>IF(Biodata!C10="","",VLOOKUP(E11,Biodata_Siswa,2,FALSE))</f>
        <v>7061</v>
      </c>
      <c r="G11" s="891" t="str">
        <f>IF(Biodata!E10="","",PROPER(VLOOKUP(E11,Biodata_Siswa,4,FALSE)))</f>
        <v>Anisa Julia Tasya</v>
      </c>
      <c r="H11" s="892"/>
      <c r="I11" s="386">
        <v>82.35</v>
      </c>
      <c r="J11" s="387">
        <v>84</v>
      </c>
      <c r="K11" s="382"/>
      <c r="L11" s="380"/>
      <c r="M11" s="381"/>
      <c r="N11" s="382"/>
      <c r="O11" s="380"/>
      <c r="P11" s="381"/>
      <c r="Q11" s="382"/>
      <c r="R11" s="380"/>
      <c r="S11" s="381"/>
      <c r="T11" s="382"/>
      <c r="U11" s="380"/>
      <c r="V11" s="381"/>
      <c r="W11" s="382"/>
      <c r="X11" s="380">
        <v>82</v>
      </c>
      <c r="Y11" s="381">
        <v>82.666666666666671</v>
      </c>
      <c r="Z11" s="382"/>
      <c r="AA11" s="380">
        <v>79.36</v>
      </c>
      <c r="AB11" s="381">
        <v>77.7</v>
      </c>
      <c r="AC11" s="382"/>
      <c r="AD11" s="755">
        <v>79.44</v>
      </c>
      <c r="AE11" s="755">
        <v>80.400000000000006</v>
      </c>
      <c r="AF11" s="382"/>
      <c r="AG11" s="380">
        <v>85.9</v>
      </c>
      <c r="AH11" s="381">
        <v>87.333333333333329</v>
      </c>
      <c r="AI11" s="382"/>
      <c r="AJ11" s="380">
        <v>83</v>
      </c>
      <c r="AK11" s="381">
        <v>90</v>
      </c>
      <c r="AL11" s="382"/>
      <c r="AM11" s="380">
        <v>80.48571428571428</v>
      </c>
      <c r="AN11" s="381">
        <v>80.714285714285708</v>
      </c>
      <c r="AO11" s="382"/>
      <c r="AP11" s="756">
        <v>79.040000000000006</v>
      </c>
      <c r="AQ11" s="756">
        <v>81.2</v>
      </c>
      <c r="AR11" s="382"/>
      <c r="AS11" s="380">
        <v>79.25</v>
      </c>
      <c r="AT11" s="380">
        <v>81</v>
      </c>
      <c r="AU11" s="382"/>
      <c r="AV11" s="380">
        <v>83.88</v>
      </c>
      <c r="AW11" s="380">
        <v>84</v>
      </c>
      <c r="AX11" s="382"/>
      <c r="AY11" s="380">
        <v>80</v>
      </c>
      <c r="AZ11" s="381">
        <v>80</v>
      </c>
      <c r="BA11" s="213" t="str">
        <f>IF(AY11="","",IF(AY11&gt;=($C$4+2/3*(100-$C$4)),"A",IF(AY11&gt;=($C$4+1/3*(100-$C$4)),"B",IF(AY11&gt;=$C$4,"C","D"))))</f>
        <v>C</v>
      </c>
      <c r="BB11" s="389">
        <f>IF(G11="","",IF(I11+L11+O11+R11+U11+X11+AA11+AD11+AG11+AJ11+AM11+AP11+AS11+AV11+AY11=0,"",I11+L11+O11+R11+U11+X11+AA11+AD11+AG11+AJ11+AM11+AP11+AS11+AV11+AY11))</f>
        <v>894.70571428571418</v>
      </c>
      <c r="BC11" s="390">
        <f>IF(BB11="","",(AVERAGE(I11,L11,O11,R11,U11,X11,AA11,AD11,AG11,AJ11,AM11,AP11,AS11,AV11,AY11)))</f>
        <v>81.336883116883101</v>
      </c>
      <c r="BD11" s="214">
        <f t="shared" si="3"/>
        <v>12</v>
      </c>
      <c r="BE11" s="570">
        <v>0</v>
      </c>
      <c r="BF11" s="23">
        <v>0</v>
      </c>
      <c r="BG11" s="24">
        <v>0</v>
      </c>
      <c r="BH11" s="215">
        <f t="shared" si="4"/>
        <v>0</v>
      </c>
      <c r="BI11" s="25"/>
      <c r="BK11" s="281" t="str">
        <f t="shared" si="5"/>
        <v>Tingkatkan prestasi belajarmu!</v>
      </c>
    </row>
    <row r="12" spans="2:63" ht="15.75">
      <c r="B12" s="927" t="str">
        <f>U4</f>
        <v>Pendidikan Agama Budha</v>
      </c>
      <c r="C12" s="928"/>
      <c r="E12" s="211">
        <f>Biodata!B11</f>
        <v>6</v>
      </c>
      <c r="F12" s="212">
        <f>IF(Biodata!C11="","",VLOOKUP(E12,Biodata_Siswa,2,FALSE))</f>
        <v>7065</v>
      </c>
      <c r="G12" s="891" t="str">
        <f>IF(Biodata!E11="","",PROPER(VLOOKUP(E12,Biodata_Siswa,4,FALSE)))</f>
        <v>Aulia Rahmawati</v>
      </c>
      <c r="H12" s="892"/>
      <c r="I12" s="386">
        <v>81.75</v>
      </c>
      <c r="J12" s="387">
        <v>83.75</v>
      </c>
      <c r="K12" s="382"/>
      <c r="L12" s="380"/>
      <c r="M12" s="381"/>
      <c r="N12" s="382"/>
      <c r="O12" s="380"/>
      <c r="P12" s="381"/>
      <c r="Q12" s="382"/>
      <c r="R12" s="380"/>
      <c r="S12" s="381"/>
      <c r="T12" s="382"/>
      <c r="U12" s="380"/>
      <c r="V12" s="381"/>
      <c r="W12" s="382"/>
      <c r="X12" s="380">
        <v>82.800000000000011</v>
      </c>
      <c r="Y12" s="381">
        <v>82.666666666666671</v>
      </c>
      <c r="Z12" s="382"/>
      <c r="AA12" s="380">
        <v>78.94</v>
      </c>
      <c r="AB12" s="381">
        <v>77.3</v>
      </c>
      <c r="AC12" s="382"/>
      <c r="AD12" s="755">
        <v>78.56</v>
      </c>
      <c r="AE12" s="755">
        <v>79.400000000000006</v>
      </c>
      <c r="AF12" s="382"/>
      <c r="AG12" s="380">
        <v>80.7</v>
      </c>
      <c r="AH12" s="381">
        <v>81.666666666666671</v>
      </c>
      <c r="AI12" s="382"/>
      <c r="AJ12" s="380">
        <v>82.6</v>
      </c>
      <c r="AK12" s="381">
        <v>90</v>
      </c>
      <c r="AL12" s="382"/>
      <c r="AM12" s="380">
        <v>80.228571428571428</v>
      </c>
      <c r="AN12" s="381">
        <v>80</v>
      </c>
      <c r="AO12" s="382"/>
      <c r="AP12" s="756">
        <v>79.44</v>
      </c>
      <c r="AQ12" s="756">
        <v>81.599999999999994</v>
      </c>
      <c r="AR12" s="382"/>
      <c r="AS12" s="380">
        <v>79.3</v>
      </c>
      <c r="AT12" s="380">
        <v>78.25</v>
      </c>
      <c r="AU12" s="382"/>
      <c r="AV12" s="380">
        <v>82.72</v>
      </c>
      <c r="AW12" s="380">
        <v>83</v>
      </c>
      <c r="AX12" s="382"/>
      <c r="AY12" s="380">
        <v>79.7</v>
      </c>
      <c r="AZ12" s="381">
        <v>79.5</v>
      </c>
      <c r="BA12" s="213" t="str">
        <f t="shared" si="2"/>
        <v>C</v>
      </c>
      <c r="BB12" s="389">
        <f t="shared" si="0"/>
        <v>886.7385714285715</v>
      </c>
      <c r="BC12" s="390">
        <f t="shared" si="1"/>
        <v>80.612597402597416</v>
      </c>
      <c r="BD12" s="214">
        <f t="shared" si="3"/>
        <v>16</v>
      </c>
      <c r="BE12" s="570">
        <v>0</v>
      </c>
      <c r="BF12" s="23">
        <v>3</v>
      </c>
      <c r="BG12" s="24">
        <v>0</v>
      </c>
      <c r="BH12" s="215">
        <f t="shared" si="4"/>
        <v>3</v>
      </c>
      <c r="BI12" s="25"/>
      <c r="BK12" s="281" t="str">
        <f t="shared" si="5"/>
        <v>Tingkatkan prestasi belajarmu!</v>
      </c>
    </row>
    <row r="13" spans="2:63" ht="15.75">
      <c r="B13" s="927" t="str">
        <f>X4</f>
        <v>PKn</v>
      </c>
      <c r="C13" s="928"/>
      <c r="E13" s="211">
        <f>Biodata!B12</f>
        <v>7</v>
      </c>
      <c r="F13" s="212">
        <f>IF(Biodata!C12="","",VLOOKUP(E13,Biodata_Siswa,2,FALSE))</f>
        <v>7066</v>
      </c>
      <c r="G13" s="891" t="str">
        <f>IF(Biodata!E12="","",PROPER(VLOOKUP(E13,Biodata_Siswa,4,FALSE)))</f>
        <v>Ayu Chumaira</v>
      </c>
      <c r="H13" s="892"/>
      <c r="I13" s="386">
        <v>82.45</v>
      </c>
      <c r="J13" s="387">
        <v>84.25</v>
      </c>
      <c r="K13" s="382"/>
      <c r="L13" s="380"/>
      <c r="M13" s="381"/>
      <c r="N13" s="382"/>
      <c r="O13" s="380"/>
      <c r="P13" s="381"/>
      <c r="Q13" s="382"/>
      <c r="R13" s="380"/>
      <c r="S13" s="381"/>
      <c r="T13" s="382"/>
      <c r="U13" s="380"/>
      <c r="V13" s="381"/>
      <c r="W13" s="382"/>
      <c r="X13" s="380">
        <v>84.4</v>
      </c>
      <c r="Y13" s="381">
        <v>82.666666666666671</v>
      </c>
      <c r="Z13" s="382"/>
      <c r="AA13" s="380">
        <v>81.360000000000014</v>
      </c>
      <c r="AB13" s="381">
        <v>78.7</v>
      </c>
      <c r="AC13" s="382"/>
      <c r="AD13" s="755">
        <v>78.959999999999994</v>
      </c>
      <c r="AE13" s="755">
        <v>80.8</v>
      </c>
      <c r="AF13" s="382"/>
      <c r="AG13" s="380">
        <v>84.6</v>
      </c>
      <c r="AH13" s="381">
        <v>85.833333333333329</v>
      </c>
      <c r="AI13" s="382"/>
      <c r="AJ13" s="380">
        <v>83</v>
      </c>
      <c r="AK13" s="381">
        <v>82.5</v>
      </c>
      <c r="AL13" s="382"/>
      <c r="AM13" s="380">
        <v>82.6</v>
      </c>
      <c r="AN13" s="381">
        <v>81.571428571428569</v>
      </c>
      <c r="AO13" s="382"/>
      <c r="AP13" s="756">
        <v>80.680000000000007</v>
      </c>
      <c r="AQ13" s="756">
        <v>82</v>
      </c>
      <c r="AR13" s="382"/>
      <c r="AS13" s="380">
        <v>79.400000000000006</v>
      </c>
      <c r="AT13" s="380">
        <v>77.5</v>
      </c>
      <c r="AU13" s="382"/>
      <c r="AV13" s="380">
        <v>83.4</v>
      </c>
      <c r="AW13" s="380">
        <v>84</v>
      </c>
      <c r="AX13" s="382"/>
      <c r="AY13" s="380">
        <v>80.199999999999989</v>
      </c>
      <c r="AZ13" s="381">
        <v>79</v>
      </c>
      <c r="BA13" s="213" t="str">
        <f t="shared" si="2"/>
        <v>C</v>
      </c>
      <c r="BB13" s="389">
        <f t="shared" si="0"/>
        <v>901.05</v>
      </c>
      <c r="BC13" s="390">
        <f t="shared" si="1"/>
        <v>81.913636363636357</v>
      </c>
      <c r="BD13" s="214">
        <f t="shared" si="3"/>
        <v>10</v>
      </c>
      <c r="BE13" s="570">
        <v>0</v>
      </c>
      <c r="BF13" s="23">
        <v>0</v>
      </c>
      <c r="BG13" s="24">
        <v>1</v>
      </c>
      <c r="BH13" s="215">
        <f t="shared" si="4"/>
        <v>1</v>
      </c>
      <c r="BI13" s="25"/>
      <c r="BK13" s="281" t="str">
        <f t="shared" si="5"/>
        <v>Tingkatkan prestasi belajarmu!</v>
      </c>
    </row>
    <row r="14" spans="2:63" ht="15.75">
      <c r="B14" s="927" t="str">
        <f>AA4</f>
        <v xml:space="preserve">Bahasa Indonesia </v>
      </c>
      <c r="C14" s="928"/>
      <c r="E14" s="211">
        <f>Biodata!B13</f>
        <v>8</v>
      </c>
      <c r="F14" s="212">
        <f>IF(Biodata!C13="","",VLOOKUP(E14,Biodata_Siswa,2,FALSE))</f>
        <v>7067</v>
      </c>
      <c r="G14" s="891" t="str">
        <f>IF(Biodata!E13="","",PROPER(VLOOKUP(E14,Biodata_Siswa,4,FALSE)))</f>
        <v>Ayu Emelia Putri</v>
      </c>
      <c r="H14" s="892"/>
      <c r="I14" s="386">
        <v>85.300000000000011</v>
      </c>
      <c r="J14" s="387">
        <v>84.75</v>
      </c>
      <c r="K14" s="382"/>
      <c r="L14" s="380"/>
      <c r="M14" s="381"/>
      <c r="N14" s="382"/>
      <c r="O14" s="380"/>
      <c r="P14" s="381"/>
      <c r="Q14" s="382"/>
      <c r="R14" s="380"/>
      <c r="S14" s="381"/>
      <c r="T14" s="382"/>
      <c r="U14" s="380"/>
      <c r="V14" s="381"/>
      <c r="W14" s="382"/>
      <c r="X14" s="380">
        <v>85.2</v>
      </c>
      <c r="Y14" s="381">
        <v>82.666666666666671</v>
      </c>
      <c r="Z14" s="382"/>
      <c r="AA14" s="380">
        <v>82.66</v>
      </c>
      <c r="AB14" s="381">
        <v>79.400000000000006</v>
      </c>
      <c r="AC14" s="382"/>
      <c r="AD14" s="755">
        <v>80.52</v>
      </c>
      <c r="AE14" s="755">
        <v>83</v>
      </c>
      <c r="AF14" s="382"/>
      <c r="AG14" s="380">
        <v>87.2</v>
      </c>
      <c r="AH14" s="381">
        <v>87.333333333333329</v>
      </c>
      <c r="AI14" s="382"/>
      <c r="AJ14" s="380">
        <v>85.6</v>
      </c>
      <c r="AK14" s="381">
        <v>87.5</v>
      </c>
      <c r="AL14" s="382"/>
      <c r="AM14" s="380">
        <v>82.542857142857144</v>
      </c>
      <c r="AN14" s="381">
        <v>82.285714285714292</v>
      </c>
      <c r="AO14" s="382"/>
      <c r="AP14" s="756">
        <v>82.52</v>
      </c>
      <c r="AQ14" s="756">
        <v>82.8</v>
      </c>
      <c r="AR14" s="382"/>
      <c r="AS14" s="380">
        <v>79.099999999999994</v>
      </c>
      <c r="AT14" s="380">
        <v>78.25</v>
      </c>
      <c r="AU14" s="382"/>
      <c r="AV14" s="380">
        <v>84.8</v>
      </c>
      <c r="AW14" s="380">
        <v>85</v>
      </c>
      <c r="AX14" s="382"/>
      <c r="AY14" s="380">
        <v>80.5</v>
      </c>
      <c r="AZ14" s="381">
        <v>79.5</v>
      </c>
      <c r="BA14" s="213" t="str">
        <f t="shared" si="2"/>
        <v>C</v>
      </c>
      <c r="BB14" s="389">
        <f t="shared" si="0"/>
        <v>915.94285714285718</v>
      </c>
      <c r="BC14" s="390">
        <f t="shared" si="1"/>
        <v>83.267532467532476</v>
      </c>
      <c r="BD14" s="214">
        <f t="shared" si="3"/>
        <v>5</v>
      </c>
      <c r="BE14" s="570">
        <v>0</v>
      </c>
      <c r="BF14" s="23">
        <v>1</v>
      </c>
      <c r="BG14" s="24">
        <v>0</v>
      </c>
      <c r="BH14" s="215">
        <f t="shared" si="4"/>
        <v>1</v>
      </c>
      <c r="BI14" s="25"/>
      <c r="BK14" s="281" t="str">
        <f t="shared" si="5"/>
        <v>Tingkatkan prestasi belajarmu!</v>
      </c>
    </row>
    <row r="15" spans="2:63" ht="15.75">
      <c r="B15" s="927" t="str">
        <f>AD4</f>
        <v xml:space="preserve">Matematika </v>
      </c>
      <c r="C15" s="928"/>
      <c r="E15" s="211">
        <f>Biodata!B14</f>
        <v>9</v>
      </c>
      <c r="F15" s="212">
        <f>IF(Biodata!C14="","",VLOOKUP(E15,Biodata_Siswa,2,FALSE))</f>
        <v>7068</v>
      </c>
      <c r="G15" s="891" t="str">
        <f>IF(Biodata!E14="","",PROPER(VLOOKUP(E15,Biodata_Siswa,4,FALSE)))</f>
        <v>Bayu Anggoro</v>
      </c>
      <c r="H15" s="892"/>
      <c r="I15" s="386">
        <v>85.550000000000011</v>
      </c>
      <c r="J15" s="387">
        <v>85.5</v>
      </c>
      <c r="K15" s="382"/>
      <c r="L15" s="380"/>
      <c r="M15" s="381"/>
      <c r="N15" s="382"/>
      <c r="O15" s="380"/>
      <c r="P15" s="381"/>
      <c r="Q15" s="382"/>
      <c r="R15" s="380"/>
      <c r="S15" s="381"/>
      <c r="T15" s="382"/>
      <c r="U15" s="380"/>
      <c r="V15" s="381"/>
      <c r="W15" s="382"/>
      <c r="X15" s="380">
        <v>82.8</v>
      </c>
      <c r="Y15" s="381">
        <v>82.666666666666671</v>
      </c>
      <c r="Z15" s="382"/>
      <c r="AA15" s="380">
        <v>82.68</v>
      </c>
      <c r="AB15" s="381">
        <v>79.8</v>
      </c>
      <c r="AC15" s="382"/>
      <c r="AD15" s="755">
        <v>79.759999999999991</v>
      </c>
      <c r="AE15" s="755">
        <v>81.599999999999994</v>
      </c>
      <c r="AF15" s="382"/>
      <c r="AG15" s="380">
        <v>85.300000000000011</v>
      </c>
      <c r="AH15" s="381">
        <v>86.666666666666671</v>
      </c>
      <c r="AI15" s="382"/>
      <c r="AJ15" s="380">
        <v>84</v>
      </c>
      <c r="AK15" s="381">
        <v>82.5</v>
      </c>
      <c r="AL15" s="382"/>
      <c r="AM15" s="380">
        <v>85.314285714285717</v>
      </c>
      <c r="AN15" s="381">
        <v>85.714285714285708</v>
      </c>
      <c r="AO15" s="382"/>
      <c r="AP15" s="756">
        <v>82.16</v>
      </c>
      <c r="AQ15" s="756">
        <v>83</v>
      </c>
      <c r="AR15" s="382"/>
      <c r="AS15" s="380">
        <v>77.400000000000006</v>
      </c>
      <c r="AT15" s="380">
        <v>78.75</v>
      </c>
      <c r="AU15" s="382"/>
      <c r="AV15" s="380">
        <v>82.6</v>
      </c>
      <c r="AW15" s="380">
        <v>84</v>
      </c>
      <c r="AX15" s="382"/>
      <c r="AY15" s="380">
        <v>80.3</v>
      </c>
      <c r="AZ15" s="381">
        <v>80.5</v>
      </c>
      <c r="BA15" s="213" t="str">
        <f t="shared" si="2"/>
        <v>C</v>
      </c>
      <c r="BB15" s="389">
        <f t="shared" si="0"/>
        <v>907.86428571428564</v>
      </c>
      <c r="BC15" s="390">
        <f t="shared" si="1"/>
        <v>82.533116883116875</v>
      </c>
      <c r="BD15" s="214">
        <f t="shared" si="3"/>
        <v>7</v>
      </c>
      <c r="BE15" s="570">
        <v>1</v>
      </c>
      <c r="BF15" s="23">
        <v>2</v>
      </c>
      <c r="BG15" s="24">
        <v>8</v>
      </c>
      <c r="BH15" s="215">
        <f t="shared" si="4"/>
        <v>11</v>
      </c>
      <c r="BI15" s="25"/>
      <c r="BK15" s="281" t="str">
        <f t="shared" si="5"/>
        <v>Tingkatkan prestasimu dan kurangi meninggalkan sekolah!</v>
      </c>
    </row>
    <row r="16" spans="2:63" ht="15.75">
      <c r="B16" s="927" t="str">
        <f>AG4</f>
        <v xml:space="preserve">Ilmu Pengetahuan Alam </v>
      </c>
      <c r="C16" s="928"/>
      <c r="E16" s="211">
        <f>Biodata!B15</f>
        <v>10</v>
      </c>
      <c r="F16" s="212">
        <f>IF(Biodata!C15="","",VLOOKUP(E16,Biodata_Siswa,2,FALSE))</f>
        <v>7069</v>
      </c>
      <c r="G16" s="891" t="str">
        <f>IF(Biodata!E15="","",PROPER(VLOOKUP(E16,Biodata_Siswa,4,FALSE)))</f>
        <v>Calissta Sabrina Salwa Aurelia</v>
      </c>
      <c r="H16" s="892"/>
      <c r="I16" s="386">
        <v>82.7</v>
      </c>
      <c r="J16" s="387">
        <v>84.25</v>
      </c>
      <c r="K16" s="382"/>
      <c r="L16" s="380"/>
      <c r="M16" s="381"/>
      <c r="N16" s="382"/>
      <c r="O16" s="380"/>
      <c r="P16" s="381"/>
      <c r="Q16" s="382"/>
      <c r="R16" s="380"/>
      <c r="S16" s="381"/>
      <c r="T16" s="382"/>
      <c r="U16" s="380"/>
      <c r="V16" s="381"/>
      <c r="W16" s="382"/>
      <c r="X16" s="380">
        <v>84</v>
      </c>
      <c r="Y16" s="381">
        <v>82.666666666666671</v>
      </c>
      <c r="Z16" s="382"/>
      <c r="AA16" s="380">
        <v>79.599999999999994</v>
      </c>
      <c r="AB16" s="381">
        <v>78.8</v>
      </c>
      <c r="AC16" s="382"/>
      <c r="AD16" s="755">
        <v>82.6</v>
      </c>
      <c r="AE16" s="755">
        <v>84</v>
      </c>
      <c r="AF16" s="382"/>
      <c r="AG16" s="380">
        <v>81.5</v>
      </c>
      <c r="AH16" s="381">
        <v>81.5</v>
      </c>
      <c r="AI16" s="382"/>
      <c r="AJ16" s="380">
        <v>85</v>
      </c>
      <c r="AK16" s="381">
        <v>87.5</v>
      </c>
      <c r="AL16" s="382"/>
      <c r="AM16" s="380">
        <v>82.571428571428569</v>
      </c>
      <c r="AN16" s="381">
        <v>82</v>
      </c>
      <c r="AO16" s="382"/>
      <c r="AP16" s="756">
        <v>81</v>
      </c>
      <c r="AQ16" s="756">
        <v>81.599999999999994</v>
      </c>
      <c r="AR16" s="382"/>
      <c r="AS16" s="380">
        <v>80.999999999999986</v>
      </c>
      <c r="AT16" s="380">
        <v>78.75</v>
      </c>
      <c r="AU16" s="382"/>
      <c r="AV16" s="380">
        <v>83.72</v>
      </c>
      <c r="AW16" s="380">
        <v>85</v>
      </c>
      <c r="AX16" s="382"/>
      <c r="AY16" s="380">
        <v>81.05</v>
      </c>
      <c r="AZ16" s="381">
        <v>81.75</v>
      </c>
      <c r="BA16" s="213" t="str">
        <f t="shared" si="2"/>
        <v>C</v>
      </c>
      <c r="BB16" s="389">
        <f t="shared" si="0"/>
        <v>904.74142857142851</v>
      </c>
      <c r="BC16" s="390">
        <f t="shared" si="1"/>
        <v>82.249220779220778</v>
      </c>
      <c r="BD16" s="214">
        <f t="shared" si="3"/>
        <v>8</v>
      </c>
      <c r="BE16" s="570">
        <v>0</v>
      </c>
      <c r="BF16" s="23">
        <v>1</v>
      </c>
      <c r="BG16" s="24">
        <v>0</v>
      </c>
      <c r="BH16" s="215">
        <f t="shared" si="4"/>
        <v>1</v>
      </c>
      <c r="BI16" s="25"/>
      <c r="BK16" s="281" t="str">
        <f t="shared" si="5"/>
        <v>Tingkatkan prestasi belajarmu!</v>
      </c>
    </row>
    <row r="17" spans="2:63" ht="15.75">
      <c r="B17" s="927" t="str">
        <f>AJ4</f>
        <v xml:space="preserve">Ilmu Pengetahuan Sosial </v>
      </c>
      <c r="C17" s="928"/>
      <c r="E17" s="211">
        <f>Biodata!B16</f>
        <v>11</v>
      </c>
      <c r="F17" s="212">
        <f>IF(Biodata!C16="","",VLOOKUP(E17,Biodata_Siswa,2,FALSE))</f>
        <v>7074</v>
      </c>
      <c r="G17" s="891" t="str">
        <f>IF(Biodata!E16="","",PROPER(VLOOKUP(E17,Biodata_Siswa,4,FALSE)))</f>
        <v>Dea Safitri</v>
      </c>
      <c r="H17" s="892"/>
      <c r="I17" s="386">
        <v>81.349999999999994</v>
      </c>
      <c r="J17" s="387">
        <v>83</v>
      </c>
      <c r="K17" s="382"/>
      <c r="L17" s="380"/>
      <c r="M17" s="381"/>
      <c r="N17" s="382"/>
      <c r="O17" s="380"/>
      <c r="P17" s="381"/>
      <c r="Q17" s="382"/>
      <c r="R17" s="380"/>
      <c r="S17" s="381"/>
      <c r="T17" s="382"/>
      <c r="U17" s="380"/>
      <c r="V17" s="381"/>
      <c r="W17" s="382"/>
      <c r="X17" s="380">
        <v>82</v>
      </c>
      <c r="Y17" s="381">
        <v>82.666666666666671</v>
      </c>
      <c r="Z17" s="382"/>
      <c r="AA17" s="380">
        <v>78.34</v>
      </c>
      <c r="AB17" s="381">
        <v>77.400000000000006</v>
      </c>
      <c r="AC17" s="382"/>
      <c r="AD17" s="755">
        <v>78.8</v>
      </c>
      <c r="AE17" s="755">
        <v>80</v>
      </c>
      <c r="AF17" s="382"/>
      <c r="AG17" s="380">
        <v>78.8</v>
      </c>
      <c r="AH17" s="381">
        <v>79.833333333333329</v>
      </c>
      <c r="AI17" s="382"/>
      <c r="AJ17" s="380">
        <v>81.8</v>
      </c>
      <c r="AK17" s="381">
        <v>85</v>
      </c>
      <c r="AL17" s="382"/>
      <c r="AM17" s="380">
        <v>79.54285714285713</v>
      </c>
      <c r="AN17" s="381">
        <v>79.714285714285708</v>
      </c>
      <c r="AO17" s="382"/>
      <c r="AP17" s="756">
        <v>78.52</v>
      </c>
      <c r="AQ17" s="756">
        <v>80.400000000000006</v>
      </c>
      <c r="AR17" s="382"/>
      <c r="AS17" s="380">
        <v>80.3</v>
      </c>
      <c r="AT17" s="380">
        <v>79.5</v>
      </c>
      <c r="AU17" s="382"/>
      <c r="AV17" s="380">
        <v>81.199999999999989</v>
      </c>
      <c r="AW17" s="380">
        <v>83</v>
      </c>
      <c r="AX17" s="382"/>
      <c r="AY17" s="380">
        <v>79.7</v>
      </c>
      <c r="AZ17" s="381">
        <v>79.5</v>
      </c>
      <c r="BA17" s="213" t="str">
        <f t="shared" si="2"/>
        <v>C</v>
      </c>
      <c r="BB17" s="389">
        <f t="shared" si="0"/>
        <v>880.35285714285715</v>
      </c>
      <c r="BC17" s="390">
        <f t="shared" si="1"/>
        <v>80.032077922077917</v>
      </c>
      <c r="BD17" s="214">
        <f t="shared" si="3"/>
        <v>20</v>
      </c>
      <c r="BE17" s="570">
        <v>0</v>
      </c>
      <c r="BF17" s="23">
        <v>0</v>
      </c>
      <c r="BG17" s="24">
        <v>0</v>
      </c>
      <c r="BH17" s="215">
        <f t="shared" si="4"/>
        <v>0</v>
      </c>
      <c r="BI17" s="25"/>
      <c r="BK17" s="281" t="str">
        <f t="shared" si="5"/>
        <v>Tingkatkan prestasi belajarmu!</v>
      </c>
    </row>
    <row r="18" spans="2:63" ht="15.75">
      <c r="B18" s="927" t="str">
        <f>AM4</f>
        <v xml:space="preserve">Bahasa Inggris </v>
      </c>
      <c r="C18" s="928"/>
      <c r="E18" s="211">
        <f>Biodata!B17</f>
        <v>12</v>
      </c>
      <c r="F18" s="212">
        <f>IF(Biodata!C17="","",VLOOKUP(E18,Biodata_Siswa,2,FALSE))</f>
        <v>7080</v>
      </c>
      <c r="G18" s="891" t="str">
        <f>IF(Biodata!E17="","",PROPER(VLOOKUP(E18,Biodata_Siswa,4,FALSE)))</f>
        <v>Dewi Wulandari</v>
      </c>
      <c r="H18" s="892"/>
      <c r="I18" s="386">
        <v>81.95</v>
      </c>
      <c r="J18" s="387">
        <v>83.5</v>
      </c>
      <c r="K18" s="382"/>
      <c r="L18" s="380"/>
      <c r="M18" s="381"/>
      <c r="N18" s="382"/>
      <c r="O18" s="380"/>
      <c r="P18" s="381"/>
      <c r="Q18" s="382"/>
      <c r="R18" s="380"/>
      <c r="S18" s="381"/>
      <c r="T18" s="382"/>
      <c r="U18" s="380"/>
      <c r="V18" s="381"/>
      <c r="W18" s="382"/>
      <c r="X18" s="380">
        <v>82</v>
      </c>
      <c r="Y18" s="381">
        <v>82.666666666666671</v>
      </c>
      <c r="Z18" s="382"/>
      <c r="AA18" s="380">
        <v>79.039999999999992</v>
      </c>
      <c r="AB18" s="381">
        <v>77.900000000000006</v>
      </c>
      <c r="AC18" s="382"/>
      <c r="AD18" s="755">
        <v>79.039999999999992</v>
      </c>
      <c r="AE18" s="755">
        <v>80.400000000000006</v>
      </c>
      <c r="AF18" s="382"/>
      <c r="AG18" s="380">
        <v>79.599999999999994</v>
      </c>
      <c r="AH18" s="381">
        <v>80.166666666666671</v>
      </c>
      <c r="AI18" s="382"/>
      <c r="AJ18" s="380">
        <v>85.199999999999989</v>
      </c>
      <c r="AK18" s="381">
        <v>87.5</v>
      </c>
      <c r="AL18" s="382"/>
      <c r="AM18" s="380">
        <v>79.51428571428572</v>
      </c>
      <c r="AN18" s="381">
        <v>80</v>
      </c>
      <c r="AO18" s="382"/>
      <c r="AP18" s="756">
        <v>79.08</v>
      </c>
      <c r="AQ18" s="756">
        <v>80.400000000000006</v>
      </c>
      <c r="AR18" s="382"/>
      <c r="AS18" s="380">
        <v>79.8</v>
      </c>
      <c r="AT18" s="380">
        <v>79</v>
      </c>
      <c r="AU18" s="382"/>
      <c r="AV18" s="380">
        <v>82.8</v>
      </c>
      <c r="AW18" s="380">
        <v>84</v>
      </c>
      <c r="AX18" s="382"/>
      <c r="AY18" s="380">
        <v>81.05</v>
      </c>
      <c r="AZ18" s="381">
        <v>81.75</v>
      </c>
      <c r="BA18" s="213" t="str">
        <f t="shared" si="2"/>
        <v>C</v>
      </c>
      <c r="BB18" s="389">
        <f t="shared" si="0"/>
        <v>889.07428571428557</v>
      </c>
      <c r="BC18" s="390">
        <f t="shared" si="1"/>
        <v>80.824935064935048</v>
      </c>
      <c r="BD18" s="214">
        <f t="shared" si="3"/>
        <v>14</v>
      </c>
      <c r="BE18" s="570">
        <v>0</v>
      </c>
      <c r="BF18" s="23">
        <v>0</v>
      </c>
      <c r="BG18" s="24">
        <v>1</v>
      </c>
      <c r="BH18" s="215">
        <f t="shared" si="4"/>
        <v>1</v>
      </c>
      <c r="BI18" s="25"/>
      <c r="BK18" s="281" t="str">
        <f t="shared" si="5"/>
        <v>Tingkatkan prestasi belajarmu!</v>
      </c>
    </row>
    <row r="19" spans="2:63" ht="15.75">
      <c r="B19" s="927" t="str">
        <f>AP4</f>
        <v>Seni Budaya</v>
      </c>
      <c r="C19" s="928"/>
      <c r="E19" s="211">
        <f>Biodata!B18</f>
        <v>13</v>
      </c>
      <c r="F19" s="212">
        <f>IF(Biodata!C18="","",VLOOKUP(E19,Biodata_Siswa,2,FALSE))</f>
        <v>7084</v>
      </c>
      <c r="G19" s="891" t="str">
        <f>IF(Biodata!E18="","",PROPER(VLOOKUP(E19,Biodata_Siswa,4,FALSE)))</f>
        <v>Dony Pratama</v>
      </c>
      <c r="H19" s="892"/>
      <c r="I19" s="386">
        <v>80.8</v>
      </c>
      <c r="J19" s="387">
        <v>82.5</v>
      </c>
      <c r="K19" s="382"/>
      <c r="L19" s="380"/>
      <c r="M19" s="381"/>
      <c r="N19" s="382"/>
      <c r="O19" s="380"/>
      <c r="P19" s="381"/>
      <c r="Q19" s="382"/>
      <c r="R19" s="380"/>
      <c r="S19" s="381"/>
      <c r="T19" s="382"/>
      <c r="U19" s="380"/>
      <c r="V19" s="381"/>
      <c r="W19" s="382"/>
      <c r="X19" s="380">
        <v>80.8</v>
      </c>
      <c r="Y19" s="381">
        <v>82</v>
      </c>
      <c r="Z19" s="382"/>
      <c r="AA19" s="380">
        <v>77.56</v>
      </c>
      <c r="AB19" s="381">
        <v>76.7</v>
      </c>
      <c r="AC19" s="382"/>
      <c r="AD19" s="755">
        <v>76.759999999999991</v>
      </c>
      <c r="AE19" s="755">
        <v>76</v>
      </c>
      <c r="AF19" s="382"/>
      <c r="AG19" s="380">
        <v>79.599999999999994</v>
      </c>
      <c r="AH19" s="381">
        <v>80</v>
      </c>
      <c r="AI19" s="382"/>
      <c r="AJ19" s="380">
        <v>78.399999999999991</v>
      </c>
      <c r="AK19" s="381">
        <v>82.5</v>
      </c>
      <c r="AL19" s="382"/>
      <c r="AM19" s="380">
        <v>79.51428571428572</v>
      </c>
      <c r="AN19" s="381">
        <v>79.142857142857139</v>
      </c>
      <c r="AO19" s="382"/>
      <c r="AP19" s="756">
        <v>79.48</v>
      </c>
      <c r="AQ19" s="756">
        <v>80</v>
      </c>
      <c r="AR19" s="382"/>
      <c r="AS19" s="380">
        <v>78.150000000000006</v>
      </c>
      <c r="AT19" s="380">
        <v>79</v>
      </c>
      <c r="AU19" s="382"/>
      <c r="AV19" s="380">
        <v>81.11999999999999</v>
      </c>
      <c r="AW19" s="380">
        <v>81</v>
      </c>
      <c r="AX19" s="382"/>
      <c r="AY19" s="380">
        <v>78.650000000000006</v>
      </c>
      <c r="AZ19" s="381">
        <v>77.75</v>
      </c>
      <c r="BA19" s="213" t="str">
        <f t="shared" si="2"/>
        <v>C</v>
      </c>
      <c r="BB19" s="389">
        <f t="shared" si="0"/>
        <v>870.83428571428567</v>
      </c>
      <c r="BC19" s="390">
        <f t="shared" si="1"/>
        <v>79.166753246753245</v>
      </c>
      <c r="BD19" s="214">
        <f t="shared" si="3"/>
        <v>24</v>
      </c>
      <c r="BE19" s="570">
        <v>4</v>
      </c>
      <c r="BF19" s="23">
        <v>1</v>
      </c>
      <c r="BG19" s="24">
        <v>8</v>
      </c>
      <c r="BH19" s="215">
        <f t="shared" si="4"/>
        <v>13</v>
      </c>
      <c r="BI19" s="25"/>
      <c r="BK19" s="281" t="str">
        <f t="shared" si="5"/>
        <v>Tingkatkan prestasimu dan kurangi meninggalkan sekolah!</v>
      </c>
    </row>
    <row r="20" spans="2:63" ht="15.75">
      <c r="B20" s="927" t="str">
        <f>AS4</f>
        <v>Penjaskes</v>
      </c>
      <c r="C20" s="928"/>
      <c r="E20" s="211">
        <f>Biodata!B19</f>
        <v>14</v>
      </c>
      <c r="F20" s="212">
        <f>IF(Biodata!C19="","",VLOOKUP(E20,Biodata_Siswa,2,FALSE))</f>
        <v>7089</v>
      </c>
      <c r="G20" s="891" t="str">
        <f>IF(Biodata!E19="","",PROPER(VLOOKUP(E20,Biodata_Siswa,4,FALSE)))</f>
        <v>Faris Febram</v>
      </c>
      <c r="H20" s="892"/>
      <c r="I20" s="386">
        <v>79.95</v>
      </c>
      <c r="J20" s="387">
        <v>82</v>
      </c>
      <c r="K20" s="382"/>
      <c r="L20" s="380"/>
      <c r="M20" s="381"/>
      <c r="N20" s="382"/>
      <c r="O20" s="380"/>
      <c r="P20" s="381"/>
      <c r="Q20" s="382"/>
      <c r="R20" s="380"/>
      <c r="S20" s="381"/>
      <c r="T20" s="382"/>
      <c r="U20" s="380"/>
      <c r="V20" s="381"/>
      <c r="W20" s="382"/>
      <c r="X20" s="380">
        <v>81.599999999999994</v>
      </c>
      <c r="Y20" s="381">
        <v>82</v>
      </c>
      <c r="Z20" s="382"/>
      <c r="AA20" s="380">
        <v>78.460000000000008</v>
      </c>
      <c r="AB20" s="381">
        <v>77.099999999999994</v>
      </c>
      <c r="AC20" s="382"/>
      <c r="AD20" s="755">
        <v>76.36</v>
      </c>
      <c r="AE20" s="755">
        <v>76</v>
      </c>
      <c r="AF20" s="382"/>
      <c r="AG20" s="380">
        <v>79.099999999999994</v>
      </c>
      <c r="AH20" s="381">
        <v>79.166666666666671</v>
      </c>
      <c r="AI20" s="382"/>
      <c r="AJ20" s="380">
        <v>79.699999999999989</v>
      </c>
      <c r="AK20" s="381">
        <v>85</v>
      </c>
      <c r="AL20" s="382"/>
      <c r="AM20" s="380">
        <v>79.48571428571428</v>
      </c>
      <c r="AN20" s="381">
        <v>79.571428571428569</v>
      </c>
      <c r="AO20" s="382"/>
      <c r="AP20" s="756">
        <v>77.959999999999994</v>
      </c>
      <c r="AQ20" s="756">
        <v>81.599999999999994</v>
      </c>
      <c r="AR20" s="382"/>
      <c r="AS20" s="380">
        <v>79.849999999999994</v>
      </c>
      <c r="AT20" s="380">
        <v>81.5</v>
      </c>
      <c r="AU20" s="382"/>
      <c r="AV20" s="380">
        <v>81</v>
      </c>
      <c r="AW20" s="380">
        <v>82</v>
      </c>
      <c r="AX20" s="382"/>
      <c r="AY20" s="380">
        <v>79.400000000000006</v>
      </c>
      <c r="AZ20" s="381">
        <v>79</v>
      </c>
      <c r="BA20" s="213" t="str">
        <f t="shared" si="2"/>
        <v>C</v>
      </c>
      <c r="BB20" s="389">
        <f t="shared" si="0"/>
        <v>872.86571428571438</v>
      </c>
      <c r="BC20" s="390">
        <f t="shared" si="1"/>
        <v>79.351428571428585</v>
      </c>
      <c r="BD20" s="214">
        <f t="shared" si="3"/>
        <v>22</v>
      </c>
      <c r="BE20" s="570">
        <v>1</v>
      </c>
      <c r="BF20" s="23">
        <v>2</v>
      </c>
      <c r="BG20" s="24">
        <v>4</v>
      </c>
      <c r="BH20" s="215">
        <f t="shared" si="4"/>
        <v>7</v>
      </c>
      <c r="BI20" s="25"/>
      <c r="BK20" s="281" t="str">
        <f t="shared" si="5"/>
        <v>Tingkatkan prestasimu dan kurangi meninggalkan sekolah!</v>
      </c>
    </row>
    <row r="21" spans="2:63" ht="15.75">
      <c r="B21" s="927" t="str">
        <f>AV4</f>
        <v>Prakarya</v>
      </c>
      <c r="C21" s="928"/>
      <c r="E21" s="211">
        <f>Biodata!B20</f>
        <v>15</v>
      </c>
      <c r="F21" s="212">
        <f>IF(Biodata!C20="","",VLOOKUP(E21,Biodata_Siswa,2,FALSE))</f>
        <v>7095</v>
      </c>
      <c r="G21" s="891" t="str">
        <f>IF(Biodata!E20="","",PROPER(VLOOKUP(E21,Biodata_Siswa,4,FALSE)))</f>
        <v>Hikmatullah Umar Malik Abdul Aziz</v>
      </c>
      <c r="H21" s="892"/>
      <c r="I21" s="386">
        <v>81.25</v>
      </c>
      <c r="J21" s="387">
        <v>83</v>
      </c>
      <c r="K21" s="382"/>
      <c r="L21" s="380"/>
      <c r="M21" s="381"/>
      <c r="N21" s="382"/>
      <c r="O21" s="380"/>
      <c r="P21" s="381"/>
      <c r="Q21" s="382"/>
      <c r="R21" s="380"/>
      <c r="S21" s="381"/>
      <c r="T21" s="382"/>
      <c r="U21" s="380"/>
      <c r="V21" s="381"/>
      <c r="W21" s="382"/>
      <c r="X21" s="380">
        <v>80.8</v>
      </c>
      <c r="Y21" s="381">
        <v>82</v>
      </c>
      <c r="Z21" s="382"/>
      <c r="AA21" s="380">
        <v>81.66</v>
      </c>
      <c r="AB21" s="381">
        <v>79.3</v>
      </c>
      <c r="AC21" s="382"/>
      <c r="AD21" s="755">
        <v>79.08</v>
      </c>
      <c r="AE21" s="755">
        <v>79</v>
      </c>
      <c r="AF21" s="382"/>
      <c r="AG21" s="380">
        <v>80.099999999999994</v>
      </c>
      <c r="AH21" s="381">
        <v>80.166666666666671</v>
      </c>
      <c r="AI21" s="382"/>
      <c r="AJ21" s="380">
        <v>79.899999999999991</v>
      </c>
      <c r="AK21" s="381">
        <v>81.5</v>
      </c>
      <c r="AL21" s="382"/>
      <c r="AM21" s="380">
        <v>81.371428571428567</v>
      </c>
      <c r="AN21" s="381">
        <v>80.428571428571431</v>
      </c>
      <c r="AO21" s="382"/>
      <c r="AP21" s="756">
        <v>79.52</v>
      </c>
      <c r="AQ21" s="756">
        <v>82.8</v>
      </c>
      <c r="AR21" s="382"/>
      <c r="AS21" s="380">
        <v>80.100000000000009</v>
      </c>
      <c r="AT21" s="380">
        <v>79.75</v>
      </c>
      <c r="AU21" s="382"/>
      <c r="AV21" s="380">
        <v>80.8</v>
      </c>
      <c r="AW21" s="380">
        <v>83</v>
      </c>
      <c r="AX21" s="382"/>
      <c r="AY21" s="380">
        <v>79.7</v>
      </c>
      <c r="AZ21" s="381">
        <v>79.5</v>
      </c>
      <c r="BA21" s="213" t="str">
        <f t="shared" si="2"/>
        <v>C</v>
      </c>
      <c r="BB21" s="389">
        <f t="shared" si="0"/>
        <v>884.28142857142859</v>
      </c>
      <c r="BC21" s="390">
        <f t="shared" si="1"/>
        <v>80.389220779220778</v>
      </c>
      <c r="BD21" s="214">
        <f t="shared" si="3"/>
        <v>18</v>
      </c>
      <c r="BE21" s="570">
        <v>0</v>
      </c>
      <c r="BF21" s="23">
        <v>0</v>
      </c>
      <c r="BG21" s="24">
        <v>1</v>
      </c>
      <c r="BH21" s="215">
        <f t="shared" si="4"/>
        <v>1</v>
      </c>
      <c r="BI21" s="25"/>
      <c r="BK21" s="281" t="str">
        <f t="shared" si="5"/>
        <v>Tingkatkan prestasi belajarmu!</v>
      </c>
    </row>
    <row r="22" spans="2:63" ht="15.75">
      <c r="B22" s="927" t="str">
        <f>AY4</f>
        <v>Bahasa dan Aksara Lampung</v>
      </c>
      <c r="C22" s="928"/>
      <c r="E22" s="211">
        <f>Biodata!B21</f>
        <v>16</v>
      </c>
      <c r="F22" s="212">
        <f>IF(Biodata!C21="","",VLOOKUP(E22,Biodata_Siswa,2,FALSE))</f>
        <v>7096</v>
      </c>
      <c r="G22" s="891" t="str">
        <f>IF(Biodata!E21="","",PROPER(VLOOKUP(E22,Biodata_Siswa,4,FALSE)))</f>
        <v>Indah Purnama Ningsih</v>
      </c>
      <c r="H22" s="892"/>
      <c r="I22" s="386">
        <v>84.949999999999989</v>
      </c>
      <c r="J22" s="387">
        <v>84.5</v>
      </c>
      <c r="K22" s="382"/>
      <c r="L22" s="380"/>
      <c r="M22" s="381"/>
      <c r="N22" s="382"/>
      <c r="O22" s="380"/>
      <c r="P22" s="381"/>
      <c r="Q22" s="382"/>
      <c r="R22" s="380"/>
      <c r="S22" s="381"/>
      <c r="T22" s="382"/>
      <c r="U22" s="380"/>
      <c r="V22" s="381"/>
      <c r="W22" s="382"/>
      <c r="X22" s="380">
        <v>86</v>
      </c>
      <c r="Y22" s="381">
        <v>82.666666666666671</v>
      </c>
      <c r="Z22" s="382"/>
      <c r="AA22" s="380">
        <v>80.2</v>
      </c>
      <c r="AB22" s="381">
        <v>78.3</v>
      </c>
      <c r="AC22" s="382"/>
      <c r="AD22" s="755">
        <v>83.2</v>
      </c>
      <c r="AE22" s="755">
        <v>85.2</v>
      </c>
      <c r="AF22" s="382"/>
      <c r="AG22" s="380">
        <v>89.5</v>
      </c>
      <c r="AH22" s="381">
        <v>90</v>
      </c>
      <c r="AI22" s="382"/>
      <c r="AJ22" s="380">
        <v>88</v>
      </c>
      <c r="AK22" s="381">
        <v>90</v>
      </c>
      <c r="AL22" s="382"/>
      <c r="AM22" s="380">
        <v>84.6</v>
      </c>
      <c r="AN22" s="381">
        <v>83.714285714285708</v>
      </c>
      <c r="AO22" s="382"/>
      <c r="AP22" s="756">
        <v>80.72</v>
      </c>
      <c r="AQ22" s="756">
        <v>82</v>
      </c>
      <c r="AR22" s="382"/>
      <c r="AS22" s="380">
        <v>79.400000000000006</v>
      </c>
      <c r="AT22" s="380">
        <v>78</v>
      </c>
      <c r="AU22" s="382"/>
      <c r="AV22" s="380">
        <v>83.6</v>
      </c>
      <c r="AW22" s="380">
        <v>84</v>
      </c>
      <c r="AX22" s="382"/>
      <c r="AY22" s="380">
        <v>81.849999999999994</v>
      </c>
      <c r="AZ22" s="381">
        <v>81.75</v>
      </c>
      <c r="BA22" s="213" t="str">
        <f t="shared" si="2"/>
        <v>C</v>
      </c>
      <c r="BB22" s="389">
        <f t="shared" si="0"/>
        <v>922.02</v>
      </c>
      <c r="BC22" s="390">
        <f t="shared" si="1"/>
        <v>83.82</v>
      </c>
      <c r="BD22" s="214">
        <f t="shared" si="3"/>
        <v>3</v>
      </c>
      <c r="BE22" s="570">
        <v>0</v>
      </c>
      <c r="BF22" s="23">
        <v>0</v>
      </c>
      <c r="BG22" s="24">
        <v>0</v>
      </c>
      <c r="BH22" s="215">
        <f t="shared" si="4"/>
        <v>0</v>
      </c>
      <c r="BI22" s="25"/>
      <c r="BK22" s="281" t="str">
        <f t="shared" si="5"/>
        <v>Tingkatkan prestasi belajarmu!</v>
      </c>
    </row>
    <row r="23" spans="2:63" ht="15.75">
      <c r="B23" s="927" t="str">
        <f>BE2</f>
        <v>Absensi</v>
      </c>
      <c r="C23" s="928"/>
      <c r="E23" s="211">
        <f>Biodata!B22</f>
        <v>17</v>
      </c>
      <c r="F23" s="212">
        <f>IF(Biodata!C22="","",VLOOKUP(E23,Biodata_Siswa,2,FALSE))</f>
        <v>7098</v>
      </c>
      <c r="G23" s="891" t="str">
        <f>IF(Biodata!E22="","",PROPER(VLOOKUP(E23,Biodata_Siswa,4,FALSE)))</f>
        <v>Ladiva Nurrosa Laila</v>
      </c>
      <c r="H23" s="892"/>
      <c r="I23" s="386">
        <v>82.15</v>
      </c>
      <c r="J23" s="387">
        <v>83.75</v>
      </c>
      <c r="K23" s="382"/>
      <c r="L23" s="380"/>
      <c r="M23" s="381"/>
      <c r="N23" s="382"/>
      <c r="O23" s="380"/>
      <c r="P23" s="381"/>
      <c r="Q23" s="382"/>
      <c r="R23" s="380"/>
      <c r="S23" s="381"/>
      <c r="T23" s="382"/>
      <c r="U23" s="380"/>
      <c r="V23" s="381"/>
      <c r="W23" s="382"/>
      <c r="X23" s="380">
        <v>82</v>
      </c>
      <c r="Y23" s="381">
        <v>82.666666666666671</v>
      </c>
      <c r="Z23" s="382"/>
      <c r="AA23" s="380">
        <v>78.72</v>
      </c>
      <c r="AB23" s="381">
        <v>78</v>
      </c>
      <c r="AC23" s="382"/>
      <c r="AD23" s="755">
        <v>77.760000000000005</v>
      </c>
      <c r="AE23" s="755">
        <v>77.599999999999994</v>
      </c>
      <c r="AF23" s="382"/>
      <c r="AG23" s="380">
        <v>83.199999999999989</v>
      </c>
      <c r="AH23" s="381">
        <v>86</v>
      </c>
      <c r="AI23" s="382"/>
      <c r="AJ23" s="380">
        <v>78</v>
      </c>
      <c r="AK23" s="381">
        <v>85</v>
      </c>
      <c r="AL23" s="382"/>
      <c r="AM23" s="380">
        <v>79.971428571428589</v>
      </c>
      <c r="AN23" s="381">
        <v>80.285714285714292</v>
      </c>
      <c r="AO23" s="382"/>
      <c r="AP23" s="756">
        <v>79.759999999999991</v>
      </c>
      <c r="AQ23" s="756">
        <v>81.8</v>
      </c>
      <c r="AR23" s="382"/>
      <c r="AS23" s="380">
        <v>80</v>
      </c>
      <c r="AT23" s="380">
        <v>79.75</v>
      </c>
      <c r="AU23" s="382"/>
      <c r="AV23" s="380">
        <v>83.199999999999989</v>
      </c>
      <c r="AW23" s="380">
        <v>83</v>
      </c>
      <c r="AX23" s="382"/>
      <c r="AY23" s="380">
        <v>81.05</v>
      </c>
      <c r="AZ23" s="381">
        <v>81.75</v>
      </c>
      <c r="BA23" s="213" t="str">
        <f t="shared" si="2"/>
        <v>C</v>
      </c>
      <c r="BB23" s="389">
        <f t="shared" si="0"/>
        <v>885.81142857142845</v>
      </c>
      <c r="BC23" s="390">
        <f t="shared" si="1"/>
        <v>80.528311688311675</v>
      </c>
      <c r="BD23" s="214">
        <f t="shared" si="3"/>
        <v>17</v>
      </c>
      <c r="BE23" s="570">
        <v>0</v>
      </c>
      <c r="BF23" s="23">
        <v>1</v>
      </c>
      <c r="BG23" s="24">
        <v>1</v>
      </c>
      <c r="BH23" s="215">
        <f t="shared" si="4"/>
        <v>2</v>
      </c>
      <c r="BI23" s="25"/>
      <c r="BK23" s="281" t="str">
        <f t="shared" si="5"/>
        <v>Tingkatkan prestasi belajarmu!</v>
      </c>
    </row>
    <row r="24" spans="2:63" thickBot="1">
      <c r="B24" s="949" t="s">
        <v>67</v>
      </c>
      <c r="C24" s="950"/>
      <c r="E24" s="211">
        <f>Biodata!B23</f>
        <v>18</v>
      </c>
      <c r="F24" s="212">
        <f>IF(Biodata!C23="","",VLOOKUP(E24,Biodata_Siswa,2,FALSE))</f>
        <v>7101</v>
      </c>
      <c r="G24" s="891" t="str">
        <f>IF(Biodata!E23="","",PROPER(VLOOKUP(E24,Biodata_Siswa,4,FALSE)))</f>
        <v>Mefa Novita Putri</v>
      </c>
      <c r="H24" s="892"/>
      <c r="I24" s="386">
        <v>87.15</v>
      </c>
      <c r="J24" s="387">
        <v>85.5</v>
      </c>
      <c r="K24" s="382"/>
      <c r="L24" s="380"/>
      <c r="M24" s="381"/>
      <c r="N24" s="382"/>
      <c r="O24" s="380"/>
      <c r="P24" s="381"/>
      <c r="Q24" s="382"/>
      <c r="R24" s="380"/>
      <c r="S24" s="381"/>
      <c r="T24" s="382"/>
      <c r="U24" s="380"/>
      <c r="V24" s="381"/>
      <c r="W24" s="382"/>
      <c r="X24" s="380">
        <v>84</v>
      </c>
      <c r="Y24" s="381">
        <v>82.666666666666671</v>
      </c>
      <c r="Z24" s="382"/>
      <c r="AA24" s="380">
        <v>80.419999999999987</v>
      </c>
      <c r="AB24" s="381">
        <v>78.3</v>
      </c>
      <c r="AC24" s="382"/>
      <c r="AD24" s="755">
        <v>84.6</v>
      </c>
      <c r="AE24" s="755">
        <v>87</v>
      </c>
      <c r="AF24" s="382"/>
      <c r="AG24" s="380">
        <v>88.699999999999989</v>
      </c>
      <c r="AH24" s="381">
        <v>89.5</v>
      </c>
      <c r="AI24" s="382"/>
      <c r="AJ24" s="380">
        <v>90.2</v>
      </c>
      <c r="AK24" s="381">
        <v>90</v>
      </c>
      <c r="AL24" s="382"/>
      <c r="AM24" s="380">
        <v>83.514285714285705</v>
      </c>
      <c r="AN24" s="381">
        <v>82.714285714285708</v>
      </c>
      <c r="AO24" s="382"/>
      <c r="AP24" s="756">
        <v>84.8</v>
      </c>
      <c r="AQ24" s="756">
        <v>83.2</v>
      </c>
      <c r="AR24" s="382"/>
      <c r="AS24" s="380">
        <v>80</v>
      </c>
      <c r="AT24" s="380">
        <v>79.5</v>
      </c>
      <c r="AU24" s="382"/>
      <c r="AV24" s="380">
        <v>83.88</v>
      </c>
      <c r="AW24" s="380">
        <v>84</v>
      </c>
      <c r="AX24" s="382"/>
      <c r="AY24" s="380">
        <v>82.75</v>
      </c>
      <c r="AZ24" s="381">
        <v>81.25</v>
      </c>
      <c r="BA24" s="213" t="str">
        <f t="shared" si="2"/>
        <v>C</v>
      </c>
      <c r="BB24" s="389">
        <f t="shared" si="0"/>
        <v>930.01428571428562</v>
      </c>
      <c r="BC24" s="390">
        <f t="shared" si="1"/>
        <v>84.546753246753241</v>
      </c>
      <c r="BD24" s="214">
        <f t="shared" si="3"/>
        <v>1</v>
      </c>
      <c r="BE24" s="570">
        <v>0</v>
      </c>
      <c r="BF24" s="23">
        <v>0</v>
      </c>
      <c r="BG24" s="24">
        <v>0</v>
      </c>
      <c r="BH24" s="215">
        <f t="shared" si="4"/>
        <v>0</v>
      </c>
      <c r="BI24" s="25"/>
      <c r="BK24" s="281" t="str">
        <f t="shared" si="5"/>
        <v>Pertahankan prestasimu!</v>
      </c>
    </row>
    <row r="25" spans="2:63">
      <c r="E25" s="211">
        <f>Biodata!B24</f>
        <v>19</v>
      </c>
      <c r="F25" s="212">
        <f>IF(Biodata!C24="","",VLOOKUP(E25,Biodata_Siswa,2,FALSE))</f>
        <v>7104</v>
      </c>
      <c r="G25" s="891" t="str">
        <f>IF(Biodata!E24="","",PROPER(VLOOKUP(E25,Biodata_Siswa,4,FALSE)))</f>
        <v>Mellanie Bunga Aprilia</v>
      </c>
      <c r="H25" s="892"/>
      <c r="I25" s="386">
        <v>86.95</v>
      </c>
      <c r="J25" s="387">
        <v>86</v>
      </c>
      <c r="K25" s="382"/>
      <c r="L25" s="380"/>
      <c r="M25" s="381"/>
      <c r="N25" s="382"/>
      <c r="O25" s="380"/>
      <c r="P25" s="381"/>
      <c r="Q25" s="382"/>
      <c r="R25" s="380"/>
      <c r="S25" s="381"/>
      <c r="T25" s="382"/>
      <c r="U25" s="380"/>
      <c r="V25" s="381"/>
      <c r="W25" s="382"/>
      <c r="X25" s="380">
        <v>83.6</v>
      </c>
      <c r="Y25" s="381">
        <v>82.666666666666671</v>
      </c>
      <c r="Z25" s="382"/>
      <c r="AA25" s="380">
        <v>80.56</v>
      </c>
      <c r="AB25" s="381">
        <v>77.7</v>
      </c>
      <c r="AC25" s="382"/>
      <c r="AD25" s="755">
        <v>79.319999999999993</v>
      </c>
      <c r="AE25" s="755">
        <v>80.2</v>
      </c>
      <c r="AF25" s="382"/>
      <c r="AG25" s="380">
        <v>84.8</v>
      </c>
      <c r="AH25" s="381">
        <v>85.833333333333329</v>
      </c>
      <c r="AI25" s="382"/>
      <c r="AJ25" s="380">
        <v>88.800000000000011</v>
      </c>
      <c r="AK25" s="381">
        <v>87.5</v>
      </c>
      <c r="AL25" s="382"/>
      <c r="AM25" s="380">
        <v>82.6</v>
      </c>
      <c r="AN25" s="381">
        <v>82.857142857142861</v>
      </c>
      <c r="AO25" s="382"/>
      <c r="AP25" s="756">
        <v>83.76</v>
      </c>
      <c r="AQ25" s="756">
        <v>81.2</v>
      </c>
      <c r="AR25" s="382"/>
      <c r="AS25" s="380">
        <v>80</v>
      </c>
      <c r="AT25" s="380">
        <v>80</v>
      </c>
      <c r="AU25" s="382"/>
      <c r="AV25" s="380">
        <v>85.6</v>
      </c>
      <c r="AW25" s="380">
        <v>84</v>
      </c>
      <c r="AX25" s="382"/>
      <c r="AY25" s="380">
        <v>80.75</v>
      </c>
      <c r="AZ25" s="381">
        <v>81.25</v>
      </c>
      <c r="BA25" s="213" t="str">
        <f t="shared" si="2"/>
        <v>C</v>
      </c>
      <c r="BB25" s="389">
        <f t="shared" si="0"/>
        <v>916.74</v>
      </c>
      <c r="BC25" s="390">
        <f t="shared" si="1"/>
        <v>83.34</v>
      </c>
      <c r="BD25" s="214">
        <f t="shared" si="3"/>
        <v>4</v>
      </c>
      <c r="BE25" s="570">
        <v>0</v>
      </c>
      <c r="BF25" s="23">
        <v>0</v>
      </c>
      <c r="BG25" s="24">
        <v>0</v>
      </c>
      <c r="BH25" s="215">
        <f t="shared" si="4"/>
        <v>0</v>
      </c>
      <c r="BI25" s="25"/>
      <c r="BK25" s="281" t="str">
        <f t="shared" si="5"/>
        <v>Tingkatkan prestasi belajarmu!</v>
      </c>
    </row>
    <row r="26" spans="2:63">
      <c r="E26" s="211">
        <f>Biodata!B25</f>
        <v>20</v>
      </c>
      <c r="F26" s="212">
        <f>IF(Biodata!C25="","",VLOOKUP(E26,Biodata_Siswa,2,FALSE))</f>
        <v>7105</v>
      </c>
      <c r="G26" s="891" t="str">
        <f>IF(Biodata!E25="","",PROPER(VLOOKUP(E26,Biodata_Siswa,4,FALSE)))</f>
        <v>Mirra Tusolickak</v>
      </c>
      <c r="H26" s="892"/>
      <c r="I26" s="386">
        <v>83.15</v>
      </c>
      <c r="J26" s="387">
        <v>83.5</v>
      </c>
      <c r="K26" s="382"/>
      <c r="L26" s="380"/>
      <c r="M26" s="381"/>
      <c r="N26" s="382"/>
      <c r="O26" s="380"/>
      <c r="P26" s="381"/>
      <c r="Q26" s="382"/>
      <c r="R26" s="380"/>
      <c r="S26" s="381"/>
      <c r="T26" s="382"/>
      <c r="U26" s="380"/>
      <c r="V26" s="381"/>
      <c r="W26" s="382"/>
      <c r="X26" s="380">
        <v>85.2</v>
      </c>
      <c r="Y26" s="381">
        <v>83.333333333333329</v>
      </c>
      <c r="Z26" s="382"/>
      <c r="AA26" s="380">
        <v>81.680000000000007</v>
      </c>
      <c r="AB26" s="381">
        <v>77.7</v>
      </c>
      <c r="AC26" s="382"/>
      <c r="AD26" s="755">
        <v>87</v>
      </c>
      <c r="AE26" s="755">
        <v>90</v>
      </c>
      <c r="AF26" s="382"/>
      <c r="AG26" s="380">
        <v>90.3</v>
      </c>
      <c r="AH26" s="381">
        <v>90.333333333333329</v>
      </c>
      <c r="AI26" s="382"/>
      <c r="AJ26" s="380">
        <v>90.2</v>
      </c>
      <c r="AK26" s="381">
        <v>87.5</v>
      </c>
      <c r="AL26" s="382"/>
      <c r="AM26" s="380">
        <v>81.971428571428575</v>
      </c>
      <c r="AN26" s="381">
        <v>81.285714285714292</v>
      </c>
      <c r="AO26" s="382"/>
      <c r="AP26" s="756">
        <v>81.2</v>
      </c>
      <c r="AQ26" s="756">
        <v>81.599999999999994</v>
      </c>
      <c r="AR26" s="382"/>
      <c r="AS26" s="380">
        <v>80.75</v>
      </c>
      <c r="AT26" s="380">
        <v>79.75</v>
      </c>
      <c r="AU26" s="382"/>
      <c r="AV26" s="380">
        <v>84</v>
      </c>
      <c r="AW26" s="380">
        <v>84</v>
      </c>
      <c r="AX26" s="382"/>
      <c r="AY26" s="380">
        <v>81.550000000000011</v>
      </c>
      <c r="AZ26" s="381">
        <v>81.25</v>
      </c>
      <c r="BA26" s="213" t="str">
        <f t="shared" si="2"/>
        <v>C</v>
      </c>
      <c r="BB26" s="389">
        <f t="shared" si="0"/>
        <v>927.00142857142873</v>
      </c>
      <c r="BC26" s="390">
        <f t="shared" si="1"/>
        <v>84.272857142857163</v>
      </c>
      <c r="BD26" s="214">
        <f t="shared" si="3"/>
        <v>2</v>
      </c>
      <c r="BE26" s="570">
        <v>0</v>
      </c>
      <c r="BF26" s="23">
        <v>0</v>
      </c>
      <c r="BG26" s="24">
        <v>0</v>
      </c>
      <c r="BH26" s="215">
        <f t="shared" si="4"/>
        <v>0</v>
      </c>
      <c r="BI26" s="25"/>
      <c r="BK26" s="281" t="str">
        <f t="shared" si="5"/>
        <v>Tingkatkan prestasi belajarmu!</v>
      </c>
    </row>
    <row r="27" spans="2:63">
      <c r="B27" s="947" t="s">
        <v>85</v>
      </c>
      <c r="C27" s="947"/>
      <c r="E27" s="211">
        <f>Biodata!B26</f>
        <v>21</v>
      </c>
      <c r="F27" s="212">
        <f>IF(Biodata!C26="","",VLOOKUP(E27,Biodata_Siswa,2,FALSE))</f>
        <v>7107</v>
      </c>
      <c r="G27" s="891" t="str">
        <f>IF(Biodata!E26="","",PROPER(VLOOKUP(E27,Biodata_Siswa,4,FALSE)))</f>
        <v>Muhammad Daffa Rifa'I</v>
      </c>
      <c r="H27" s="892"/>
      <c r="I27" s="386">
        <v>86.199999999999989</v>
      </c>
      <c r="J27" s="387">
        <v>84.75</v>
      </c>
      <c r="K27" s="382"/>
      <c r="L27" s="380"/>
      <c r="M27" s="381"/>
      <c r="N27" s="382"/>
      <c r="O27" s="380"/>
      <c r="P27" s="381"/>
      <c r="Q27" s="382"/>
      <c r="R27" s="380"/>
      <c r="S27" s="381"/>
      <c r="T27" s="382"/>
      <c r="U27" s="380"/>
      <c r="V27" s="381"/>
      <c r="W27" s="382"/>
      <c r="X27" s="380">
        <v>85.2</v>
      </c>
      <c r="Y27" s="381">
        <v>83.333333333333329</v>
      </c>
      <c r="Z27" s="382"/>
      <c r="AA27" s="380">
        <v>80.400000000000006</v>
      </c>
      <c r="AB27" s="381">
        <v>78</v>
      </c>
      <c r="AC27" s="382"/>
      <c r="AD27" s="755">
        <v>79.08</v>
      </c>
      <c r="AE27" s="755">
        <v>79.8</v>
      </c>
      <c r="AF27" s="382"/>
      <c r="AG27" s="380">
        <v>85.8</v>
      </c>
      <c r="AH27" s="381">
        <v>86.333333333333329</v>
      </c>
      <c r="AI27" s="382"/>
      <c r="AJ27" s="380">
        <v>78.599999999999994</v>
      </c>
      <c r="AK27" s="381">
        <v>82.5</v>
      </c>
      <c r="AL27" s="382"/>
      <c r="AM27" s="380">
        <v>83.6</v>
      </c>
      <c r="AN27" s="381">
        <v>82.857142857142861</v>
      </c>
      <c r="AO27" s="382"/>
      <c r="AP27" s="380">
        <v>81</v>
      </c>
      <c r="AQ27" s="381">
        <v>80.2</v>
      </c>
      <c r="AR27" s="382"/>
      <c r="AS27" s="380">
        <v>78.5</v>
      </c>
      <c r="AT27" s="380">
        <v>77.5</v>
      </c>
      <c r="AU27" s="382"/>
      <c r="AV27" s="380">
        <v>83.800000000000011</v>
      </c>
      <c r="AW27" s="380">
        <v>83</v>
      </c>
      <c r="AX27" s="382"/>
      <c r="AY27" s="380">
        <v>79.7</v>
      </c>
      <c r="AZ27" s="381">
        <v>79.5</v>
      </c>
      <c r="BA27" s="213" t="str">
        <f t="shared" si="2"/>
        <v>C</v>
      </c>
      <c r="BB27" s="389">
        <f t="shared" si="0"/>
        <v>901.88000000000011</v>
      </c>
      <c r="BC27" s="390">
        <f t="shared" si="1"/>
        <v>81.989090909090919</v>
      </c>
      <c r="BD27" s="214">
        <f t="shared" si="3"/>
        <v>9</v>
      </c>
      <c r="BE27" s="570">
        <v>1</v>
      </c>
      <c r="BF27" s="23">
        <v>2</v>
      </c>
      <c r="BG27" s="24">
        <v>1</v>
      </c>
      <c r="BH27" s="215">
        <f t="shared" si="4"/>
        <v>4</v>
      </c>
      <c r="BI27" s="25"/>
      <c r="BK27" s="281" t="str">
        <f t="shared" si="5"/>
        <v>Tingkatkan prestasi belajarmu!</v>
      </c>
    </row>
    <row r="28" spans="2:63" ht="15.75">
      <c r="B28" s="216" t="s">
        <v>59</v>
      </c>
      <c r="C28" s="216" t="s">
        <v>113</v>
      </c>
      <c r="E28" s="211">
        <f>Biodata!B27</f>
        <v>22</v>
      </c>
      <c r="F28" s="212">
        <f>IF(Biodata!C27="","",VLOOKUP(E28,Biodata_Siswa,2,FALSE))</f>
        <v>7108</v>
      </c>
      <c r="G28" s="891" t="str">
        <f>IF(Biodata!E27="","",PROPER(VLOOKUP(E28,Biodata_Siswa,4,FALSE)))</f>
        <v>Muhammad Jaupanto</v>
      </c>
      <c r="H28" s="892"/>
      <c r="I28" s="386">
        <v>76.449999999999989</v>
      </c>
      <c r="J28" s="387">
        <v>77.25</v>
      </c>
      <c r="K28" s="382"/>
      <c r="L28" s="380"/>
      <c r="M28" s="381"/>
      <c r="N28" s="382"/>
      <c r="O28" s="380"/>
      <c r="P28" s="381"/>
      <c r="Q28" s="382"/>
      <c r="R28" s="380"/>
      <c r="S28" s="381"/>
      <c r="T28" s="382"/>
      <c r="U28" s="380"/>
      <c r="V28" s="381"/>
      <c r="W28" s="382"/>
      <c r="X28" s="380">
        <v>78</v>
      </c>
      <c r="Y28" s="381">
        <v>80</v>
      </c>
      <c r="Z28" s="382"/>
      <c r="AA28" s="380">
        <v>77.02</v>
      </c>
      <c r="AB28" s="381">
        <v>76.8</v>
      </c>
      <c r="AC28" s="382"/>
      <c r="AD28" s="755">
        <v>75.88</v>
      </c>
      <c r="AE28" s="755">
        <v>75.8</v>
      </c>
      <c r="AF28" s="382"/>
      <c r="AG28" s="380">
        <v>77.600000000000009</v>
      </c>
      <c r="AH28" s="381">
        <v>79</v>
      </c>
      <c r="AI28" s="382"/>
      <c r="AJ28" s="380">
        <v>77.5</v>
      </c>
      <c r="AK28" s="381">
        <v>82</v>
      </c>
      <c r="AL28" s="382"/>
      <c r="AM28" s="380">
        <v>77.599999999999994</v>
      </c>
      <c r="AN28" s="381">
        <v>77.428571428571431</v>
      </c>
      <c r="AO28" s="382"/>
      <c r="AP28" s="380">
        <v>79</v>
      </c>
      <c r="AQ28" s="381">
        <v>79.400000000000006</v>
      </c>
      <c r="AR28" s="382"/>
      <c r="AS28" s="380">
        <v>79.199999999999989</v>
      </c>
      <c r="AT28" s="380">
        <v>79.5</v>
      </c>
      <c r="AU28" s="382"/>
      <c r="AV28" s="380">
        <v>81.400000000000006</v>
      </c>
      <c r="AW28" s="380">
        <v>82</v>
      </c>
      <c r="AX28" s="382"/>
      <c r="AY28" s="380">
        <v>79.400000000000006</v>
      </c>
      <c r="AZ28" s="381">
        <v>79</v>
      </c>
      <c r="BA28" s="213" t="str">
        <f t="shared" si="2"/>
        <v>C</v>
      </c>
      <c r="BB28" s="389">
        <f t="shared" si="0"/>
        <v>859.05</v>
      </c>
      <c r="BC28" s="390">
        <f t="shared" si="1"/>
        <v>78.095454545454544</v>
      </c>
      <c r="BD28" s="214">
        <f t="shared" si="3"/>
        <v>26</v>
      </c>
      <c r="BE28" s="570">
        <v>0</v>
      </c>
      <c r="BF28" s="23">
        <v>0</v>
      </c>
      <c r="BG28" s="24">
        <v>10</v>
      </c>
      <c r="BH28" s="215">
        <f t="shared" si="4"/>
        <v>10</v>
      </c>
      <c r="BI28" s="25"/>
      <c r="BK28" s="281" t="str">
        <f t="shared" si="5"/>
        <v>Tingkatkan prestasimu dan kurangi meninggalkan sekolah!</v>
      </c>
    </row>
    <row r="29" spans="2:63" ht="15.75">
      <c r="B29" s="217" t="s">
        <v>126</v>
      </c>
      <c r="C29" s="217" t="s">
        <v>79</v>
      </c>
      <c r="E29" s="211">
        <f>Biodata!B28</f>
        <v>23</v>
      </c>
      <c r="F29" s="212">
        <f>IF(Biodata!C28="","",VLOOKUP(E29,Biodata_Siswa,2,FALSE))</f>
        <v>7111</v>
      </c>
      <c r="G29" s="891" t="str">
        <f>IF(Biodata!E28="","",PROPER(VLOOKUP(E29,Biodata_Siswa,4,FALSE)))</f>
        <v>Nova Laila Khusna</v>
      </c>
      <c r="H29" s="892"/>
      <c r="I29" s="386">
        <v>85.549999999999983</v>
      </c>
      <c r="J29" s="387">
        <v>85.25</v>
      </c>
      <c r="K29" s="382"/>
      <c r="L29" s="380"/>
      <c r="M29" s="381"/>
      <c r="N29" s="382"/>
      <c r="O29" s="380"/>
      <c r="P29" s="381"/>
      <c r="Q29" s="382"/>
      <c r="R29" s="380"/>
      <c r="S29" s="381"/>
      <c r="T29" s="382"/>
      <c r="U29" s="380"/>
      <c r="V29" s="381"/>
      <c r="W29" s="382"/>
      <c r="X29" s="380">
        <v>83.6</v>
      </c>
      <c r="Y29" s="381">
        <v>82</v>
      </c>
      <c r="Z29" s="382"/>
      <c r="AA29" s="380">
        <v>78.66</v>
      </c>
      <c r="AB29" s="381">
        <v>77.5</v>
      </c>
      <c r="AC29" s="382"/>
      <c r="AD29" s="755">
        <v>80.639999999999986</v>
      </c>
      <c r="AE29" s="755">
        <v>82</v>
      </c>
      <c r="AF29" s="382"/>
      <c r="AG29" s="380">
        <v>83.8</v>
      </c>
      <c r="AH29" s="381">
        <v>85.666666666666671</v>
      </c>
      <c r="AI29" s="382"/>
      <c r="AJ29" s="380">
        <v>86.2</v>
      </c>
      <c r="AK29" s="381">
        <v>87.5</v>
      </c>
      <c r="AL29" s="382"/>
      <c r="AM29" s="380">
        <v>81.171428571428578</v>
      </c>
      <c r="AN29" s="381">
        <v>80.285714285714292</v>
      </c>
      <c r="AO29" s="382"/>
      <c r="AP29" s="380">
        <v>79.47999999999999</v>
      </c>
      <c r="AQ29" s="381">
        <v>80.400000000000006</v>
      </c>
      <c r="AR29" s="382"/>
      <c r="AS29" s="380">
        <v>80.399999999999991</v>
      </c>
      <c r="AT29" s="380">
        <v>81</v>
      </c>
      <c r="AU29" s="382"/>
      <c r="AV29" s="380">
        <v>81.399999999999991</v>
      </c>
      <c r="AW29" s="380">
        <v>84</v>
      </c>
      <c r="AX29" s="382"/>
      <c r="AY29" s="380">
        <v>80</v>
      </c>
      <c r="AZ29" s="381">
        <v>80</v>
      </c>
      <c r="BA29" s="213" t="str">
        <f t="shared" si="2"/>
        <v>C</v>
      </c>
      <c r="BB29" s="389">
        <f t="shared" si="0"/>
        <v>900.90142857142848</v>
      </c>
      <c r="BC29" s="390">
        <f t="shared" si="1"/>
        <v>81.900129870129859</v>
      </c>
      <c r="BD29" s="214">
        <f t="shared" si="3"/>
        <v>11</v>
      </c>
      <c r="BE29" s="570">
        <v>0</v>
      </c>
      <c r="BF29" s="23">
        <v>1</v>
      </c>
      <c r="BG29" s="24">
        <v>0</v>
      </c>
      <c r="BH29" s="215">
        <f t="shared" si="4"/>
        <v>1</v>
      </c>
      <c r="BI29" s="25"/>
      <c r="BK29" s="281" t="str">
        <f t="shared" si="5"/>
        <v>Tingkatkan prestasi belajarmu!</v>
      </c>
    </row>
    <row r="30" spans="2:63" ht="15.75">
      <c r="B30" s="217" t="s">
        <v>125</v>
      </c>
      <c r="C30" s="217" t="s">
        <v>83</v>
      </c>
      <c r="E30" s="211">
        <f>Biodata!B29</f>
        <v>24</v>
      </c>
      <c r="F30" s="212">
        <f>IF(Biodata!C29="","",VLOOKUP(E30,Biodata_Siswa,2,FALSE))</f>
        <v>7126</v>
      </c>
      <c r="G30" s="891" t="str">
        <f>IF(Biodata!E29="","",PROPER(VLOOKUP(E30,Biodata_Siswa,4,FALSE)))</f>
        <v>Sawal Ramadian</v>
      </c>
      <c r="H30" s="892"/>
      <c r="I30" s="386">
        <v>84.6</v>
      </c>
      <c r="J30" s="387">
        <v>82.75</v>
      </c>
      <c r="K30" s="382"/>
      <c r="L30" s="380"/>
      <c r="M30" s="381"/>
      <c r="N30" s="382"/>
      <c r="O30" s="380"/>
      <c r="P30" s="381"/>
      <c r="Q30" s="382"/>
      <c r="R30" s="380"/>
      <c r="S30" s="381"/>
      <c r="T30" s="382"/>
      <c r="U30" s="380"/>
      <c r="V30" s="381"/>
      <c r="W30" s="382"/>
      <c r="X30" s="380">
        <v>83.2</v>
      </c>
      <c r="Y30" s="381">
        <v>82</v>
      </c>
      <c r="Z30" s="382"/>
      <c r="AA30" s="380">
        <v>81.47999999999999</v>
      </c>
      <c r="AB30" s="381">
        <v>79</v>
      </c>
      <c r="AC30" s="382"/>
      <c r="AD30" s="755">
        <v>85.800000000000011</v>
      </c>
      <c r="AE30" s="755">
        <v>86.2</v>
      </c>
      <c r="AF30" s="382"/>
      <c r="AG30" s="380">
        <v>89.5</v>
      </c>
      <c r="AH30" s="381">
        <v>90.833333333333329</v>
      </c>
      <c r="AI30" s="382"/>
      <c r="AJ30" s="380">
        <v>83.9</v>
      </c>
      <c r="AK30" s="381">
        <v>82.5</v>
      </c>
      <c r="AL30" s="382"/>
      <c r="AM30" s="380">
        <v>82.771428571428572</v>
      </c>
      <c r="AN30" s="381">
        <v>82</v>
      </c>
      <c r="AO30" s="382"/>
      <c r="AP30" s="380">
        <v>80.44</v>
      </c>
      <c r="AQ30" s="381">
        <v>81.2</v>
      </c>
      <c r="AR30" s="382"/>
      <c r="AS30" s="380">
        <v>78.650000000000006</v>
      </c>
      <c r="AT30" s="380">
        <v>78</v>
      </c>
      <c r="AU30" s="382"/>
      <c r="AV30" s="380">
        <v>80.52</v>
      </c>
      <c r="AW30" s="380">
        <v>81</v>
      </c>
      <c r="AX30" s="382"/>
      <c r="AY30" s="380">
        <v>80</v>
      </c>
      <c r="AZ30" s="381">
        <v>80</v>
      </c>
      <c r="BA30" s="213" t="str">
        <f t="shared" si="2"/>
        <v>C</v>
      </c>
      <c r="BB30" s="389">
        <f t="shared" si="0"/>
        <v>910.86142857142852</v>
      </c>
      <c r="BC30" s="390">
        <f t="shared" si="1"/>
        <v>82.805584415584406</v>
      </c>
      <c r="BD30" s="214">
        <f t="shared" si="3"/>
        <v>6</v>
      </c>
      <c r="BE30" s="570">
        <v>0</v>
      </c>
      <c r="BF30" s="23">
        <v>1</v>
      </c>
      <c r="BG30" s="24">
        <v>0</v>
      </c>
      <c r="BH30" s="215">
        <f t="shared" si="4"/>
        <v>1</v>
      </c>
      <c r="BI30" s="25"/>
      <c r="BK30" s="281" t="str">
        <f t="shared" si="5"/>
        <v>Tingkatkan prestasi belajarmu!</v>
      </c>
    </row>
    <row r="31" spans="2:63" ht="15.75">
      <c r="B31" s="217" t="s">
        <v>124</v>
      </c>
      <c r="C31" s="217" t="s">
        <v>82</v>
      </c>
      <c r="E31" s="211">
        <f>Biodata!B30</f>
        <v>25</v>
      </c>
      <c r="F31" s="212">
        <f>IF(Biodata!C30="","",VLOOKUP(E31,Biodata_Siswa,2,FALSE))</f>
        <v>7130</v>
      </c>
      <c r="G31" s="891" t="str">
        <f>IF(Biodata!E30="","",PROPER(VLOOKUP(E31,Biodata_Siswa,4,FALSE)))</f>
        <v>Sofyan Romansyah</v>
      </c>
      <c r="H31" s="892"/>
      <c r="I31" s="386">
        <v>75.8</v>
      </c>
      <c r="J31" s="387">
        <v>76.25</v>
      </c>
      <c r="K31" s="382"/>
      <c r="L31" s="380"/>
      <c r="M31" s="381"/>
      <c r="N31" s="382"/>
      <c r="O31" s="380"/>
      <c r="P31" s="381"/>
      <c r="Q31" s="382"/>
      <c r="R31" s="380"/>
      <c r="S31" s="381"/>
      <c r="T31" s="382"/>
      <c r="U31" s="380"/>
      <c r="V31" s="381"/>
      <c r="W31" s="382"/>
      <c r="X31" s="380">
        <v>78</v>
      </c>
      <c r="Y31" s="381">
        <v>80</v>
      </c>
      <c r="Z31" s="382"/>
      <c r="AA31" s="380">
        <v>76.34</v>
      </c>
      <c r="AB31" s="381">
        <v>76.3</v>
      </c>
      <c r="AC31" s="382"/>
      <c r="AD31" s="755">
        <v>76.72</v>
      </c>
      <c r="AE31" s="755">
        <v>77</v>
      </c>
      <c r="AF31" s="382"/>
      <c r="AG31" s="380">
        <v>76.7</v>
      </c>
      <c r="AH31" s="381">
        <v>76.666666666666671</v>
      </c>
      <c r="AI31" s="382"/>
      <c r="AJ31" s="380">
        <v>75.2</v>
      </c>
      <c r="AK31" s="381">
        <v>75</v>
      </c>
      <c r="AL31" s="382"/>
      <c r="AM31" s="380">
        <v>76.428571428571431</v>
      </c>
      <c r="AN31" s="381">
        <v>75.428571428571431</v>
      </c>
      <c r="AO31" s="382"/>
      <c r="AP31" s="380">
        <v>77.44</v>
      </c>
      <c r="AQ31" s="381">
        <v>77.400000000000006</v>
      </c>
      <c r="AR31" s="382"/>
      <c r="AS31" s="380">
        <v>77.3</v>
      </c>
      <c r="AT31" s="380">
        <v>78</v>
      </c>
      <c r="AU31" s="382"/>
      <c r="AV31" s="380">
        <v>79</v>
      </c>
      <c r="AW31" s="380">
        <v>80</v>
      </c>
      <c r="AX31" s="382"/>
      <c r="AY31" s="380">
        <v>79.400000000000006</v>
      </c>
      <c r="AZ31" s="381">
        <v>79</v>
      </c>
      <c r="BA31" s="213" t="str">
        <f t="shared" si="2"/>
        <v>C</v>
      </c>
      <c r="BB31" s="389">
        <f t="shared" si="0"/>
        <v>848.32857142857131</v>
      </c>
      <c r="BC31" s="390">
        <f t="shared" si="1"/>
        <v>77.120779220779212</v>
      </c>
      <c r="BD31" s="214">
        <f t="shared" si="3"/>
        <v>28</v>
      </c>
      <c r="BE31" s="570">
        <v>0</v>
      </c>
      <c r="BF31" s="23">
        <v>1</v>
      </c>
      <c r="BG31" s="24">
        <v>0</v>
      </c>
      <c r="BH31" s="215">
        <f t="shared" si="4"/>
        <v>1</v>
      </c>
      <c r="BI31" s="25"/>
      <c r="BK31" s="281" t="str">
        <f t="shared" si="5"/>
        <v>Tingkatkan prestasi belajarmu!</v>
      </c>
    </row>
    <row r="32" spans="2:63" ht="15.75">
      <c r="B32" s="217" t="s">
        <v>123</v>
      </c>
      <c r="C32" s="217" t="s">
        <v>81</v>
      </c>
      <c r="E32" s="211">
        <f>Biodata!B31</f>
        <v>26</v>
      </c>
      <c r="F32" s="212">
        <f>IF(Biodata!C31="","",VLOOKUP(E32,Biodata_Siswa,2,FALSE))</f>
        <v>7132</v>
      </c>
      <c r="G32" s="891" t="str">
        <f>IF(Biodata!E31="","",PROPER(VLOOKUP(E32,Biodata_Siswa,4,FALSE)))</f>
        <v>Tio Ardinata</v>
      </c>
      <c r="H32" s="892"/>
      <c r="I32" s="386">
        <v>78.05</v>
      </c>
      <c r="J32" s="387">
        <v>78.5</v>
      </c>
      <c r="K32" s="382"/>
      <c r="L32" s="380"/>
      <c r="M32" s="381"/>
      <c r="N32" s="382"/>
      <c r="O32" s="380"/>
      <c r="P32" s="381"/>
      <c r="Q32" s="382"/>
      <c r="R32" s="380"/>
      <c r="S32" s="381"/>
      <c r="T32" s="382"/>
      <c r="U32" s="380"/>
      <c r="V32" s="381"/>
      <c r="W32" s="382"/>
      <c r="X32" s="380">
        <v>78</v>
      </c>
      <c r="Y32" s="381">
        <v>81.333333333333329</v>
      </c>
      <c r="Z32" s="382"/>
      <c r="AA32" s="380">
        <v>77.8</v>
      </c>
      <c r="AB32" s="381">
        <v>76.900000000000006</v>
      </c>
      <c r="AC32" s="382"/>
      <c r="AD32" s="755">
        <v>75.760000000000005</v>
      </c>
      <c r="AE32" s="755">
        <v>75.599999999999994</v>
      </c>
      <c r="AF32" s="382"/>
      <c r="AG32" s="380">
        <v>77.5</v>
      </c>
      <c r="AH32" s="381">
        <v>78</v>
      </c>
      <c r="AI32" s="382"/>
      <c r="AJ32" s="380">
        <v>76.7</v>
      </c>
      <c r="AK32" s="381">
        <v>81</v>
      </c>
      <c r="AL32" s="382"/>
      <c r="AM32" s="380">
        <v>78.8</v>
      </c>
      <c r="AN32" s="381">
        <v>78.142857142857139</v>
      </c>
      <c r="AO32" s="382"/>
      <c r="AP32" s="380">
        <v>78.040000000000006</v>
      </c>
      <c r="AQ32" s="381">
        <v>79.2</v>
      </c>
      <c r="AR32" s="382"/>
      <c r="AS32" s="380">
        <v>77.75</v>
      </c>
      <c r="AT32" s="380">
        <v>78</v>
      </c>
      <c r="AU32" s="382"/>
      <c r="AV32" s="380">
        <v>81.199999999999989</v>
      </c>
      <c r="AW32" s="380">
        <v>83</v>
      </c>
      <c r="AX32" s="382"/>
      <c r="AY32" s="380">
        <v>79.099999999999994</v>
      </c>
      <c r="AZ32" s="381">
        <v>78.5</v>
      </c>
      <c r="BA32" s="213" t="str">
        <f t="shared" si="2"/>
        <v>C</v>
      </c>
      <c r="BB32" s="389">
        <f t="shared" si="0"/>
        <v>858.69999999999993</v>
      </c>
      <c r="BC32" s="390">
        <f t="shared" si="1"/>
        <v>78.063636363636363</v>
      </c>
      <c r="BD32" s="214">
        <f t="shared" si="3"/>
        <v>27</v>
      </c>
      <c r="BE32" s="570">
        <v>0</v>
      </c>
      <c r="BF32" s="23">
        <v>5</v>
      </c>
      <c r="BG32" s="24">
        <v>12</v>
      </c>
      <c r="BH32" s="215">
        <f t="shared" si="4"/>
        <v>17</v>
      </c>
      <c r="BI32" s="25"/>
      <c r="BK32" s="281" t="str">
        <f t="shared" si="5"/>
        <v>Tingkatkan prestasimu dan kurangi meninggalkan sekolah!</v>
      </c>
    </row>
    <row r="33" spans="2:63">
      <c r="E33" s="211">
        <f>Biodata!B32</f>
        <v>27</v>
      </c>
      <c r="F33" s="212">
        <f>IF(Biodata!C32="","",VLOOKUP(E33,Biodata_Siswa,2,FALSE))</f>
        <v>7133</v>
      </c>
      <c r="G33" s="891" t="str">
        <f>IF(Biodata!E32="","",PROPER(VLOOKUP(E33,Biodata_Siswa,4,FALSE)))</f>
        <v>Tutik Dillayanti</v>
      </c>
      <c r="H33" s="892"/>
      <c r="I33" s="386">
        <v>81.3</v>
      </c>
      <c r="J33" s="387">
        <v>83.75</v>
      </c>
      <c r="K33" s="382"/>
      <c r="L33" s="380"/>
      <c r="M33" s="381"/>
      <c r="N33" s="382"/>
      <c r="O33" s="380"/>
      <c r="P33" s="381"/>
      <c r="Q33" s="382"/>
      <c r="R33" s="380"/>
      <c r="S33" s="381"/>
      <c r="T33" s="382"/>
      <c r="U33" s="380"/>
      <c r="V33" s="381"/>
      <c r="W33" s="382"/>
      <c r="X33" s="380">
        <v>80</v>
      </c>
      <c r="Y33" s="381">
        <v>81.333333333333329</v>
      </c>
      <c r="Z33" s="382"/>
      <c r="AA33" s="380">
        <v>78.64</v>
      </c>
      <c r="AB33" s="381">
        <v>77.599999999999994</v>
      </c>
      <c r="AC33" s="382"/>
      <c r="AD33" s="755">
        <v>76.72</v>
      </c>
      <c r="AE33" s="755">
        <v>77.2</v>
      </c>
      <c r="AF33" s="382"/>
      <c r="AG33" s="380">
        <v>80</v>
      </c>
      <c r="AH33" s="381">
        <v>80.833333333333329</v>
      </c>
      <c r="AI33" s="382"/>
      <c r="AJ33" s="380">
        <v>78</v>
      </c>
      <c r="AK33" s="381">
        <v>87.5</v>
      </c>
      <c r="AL33" s="382"/>
      <c r="AM33" s="380">
        <v>78.628571428571419</v>
      </c>
      <c r="AN33" s="381">
        <v>79.285714285714292</v>
      </c>
      <c r="AO33" s="382"/>
      <c r="AP33" s="380">
        <v>78.599999999999994</v>
      </c>
      <c r="AQ33" s="381">
        <v>81</v>
      </c>
      <c r="AR33" s="382"/>
      <c r="AS33" s="380">
        <v>78.45</v>
      </c>
      <c r="AT33" s="380">
        <v>76.75</v>
      </c>
      <c r="AU33" s="382"/>
      <c r="AV33" s="380">
        <v>80.599999999999994</v>
      </c>
      <c r="AW33" s="380">
        <v>84</v>
      </c>
      <c r="AX33" s="382"/>
      <c r="AY33" s="380">
        <v>80.75</v>
      </c>
      <c r="AZ33" s="381">
        <v>81.25</v>
      </c>
      <c r="BA33" s="213" t="str">
        <f t="shared" si="2"/>
        <v>C</v>
      </c>
      <c r="BB33" s="389">
        <f t="shared" si="0"/>
        <v>871.68857142857144</v>
      </c>
      <c r="BC33" s="390">
        <f t="shared" si="1"/>
        <v>79.244415584415592</v>
      </c>
      <c r="BD33" s="214">
        <f t="shared" si="3"/>
        <v>23</v>
      </c>
      <c r="BE33" s="570">
        <v>0</v>
      </c>
      <c r="BF33" s="23">
        <v>2</v>
      </c>
      <c r="BG33" s="24">
        <v>2</v>
      </c>
      <c r="BH33" s="215">
        <f t="shared" si="4"/>
        <v>4</v>
      </c>
      <c r="BI33" s="25"/>
      <c r="BK33" s="281" t="str">
        <f t="shared" si="5"/>
        <v>Tingkatkan prestasi belajarmu!</v>
      </c>
    </row>
    <row r="34" spans="2:63">
      <c r="E34" s="211">
        <f>Biodata!B33</f>
        <v>28</v>
      </c>
      <c r="F34" s="212">
        <f>IF(Biodata!C33="","",VLOOKUP(E34,Biodata_Siswa,2,FALSE))</f>
        <v>7142</v>
      </c>
      <c r="G34" s="891" t="str">
        <f>IF(Biodata!E33="","",PROPER(VLOOKUP(E34,Biodata_Siswa,4,FALSE)))</f>
        <v>I Gede Nyoman Bagiyasa</v>
      </c>
      <c r="H34" s="892"/>
      <c r="I34" s="386"/>
      <c r="J34" s="387"/>
      <c r="K34" s="382"/>
      <c r="L34" s="380"/>
      <c r="M34" s="381"/>
      <c r="N34" s="382"/>
      <c r="O34" s="380"/>
      <c r="P34" s="381"/>
      <c r="Q34" s="382"/>
      <c r="R34" s="380">
        <v>80</v>
      </c>
      <c r="S34" s="381">
        <v>80</v>
      </c>
      <c r="T34" s="382"/>
      <c r="U34" s="380"/>
      <c r="V34" s="381"/>
      <c r="W34" s="382"/>
      <c r="X34" s="380">
        <v>78</v>
      </c>
      <c r="Y34" s="381">
        <v>80</v>
      </c>
      <c r="Z34" s="382"/>
      <c r="AA34" s="380">
        <v>77.8</v>
      </c>
      <c r="AB34" s="381">
        <v>77</v>
      </c>
      <c r="AC34" s="382"/>
      <c r="AD34" s="755">
        <v>75.760000000000005</v>
      </c>
      <c r="AE34" s="755">
        <v>75.599999999999994</v>
      </c>
      <c r="AF34" s="382"/>
      <c r="AG34" s="380">
        <v>79</v>
      </c>
      <c r="AH34" s="381">
        <v>80.166666666666671</v>
      </c>
      <c r="AI34" s="382"/>
      <c r="AJ34" s="380">
        <v>77.400000000000006</v>
      </c>
      <c r="AK34" s="381">
        <v>81</v>
      </c>
      <c r="AL34" s="382"/>
      <c r="AM34" s="380">
        <v>78.51428571428572</v>
      </c>
      <c r="AN34" s="381">
        <v>78.142857142857139</v>
      </c>
      <c r="AO34" s="382"/>
      <c r="AP34" s="380">
        <v>77.959999999999994</v>
      </c>
      <c r="AQ34" s="381">
        <v>79.2</v>
      </c>
      <c r="AR34" s="382"/>
      <c r="AS34" s="380">
        <v>80.349999999999994</v>
      </c>
      <c r="AT34" s="380">
        <v>80</v>
      </c>
      <c r="AU34" s="382"/>
      <c r="AV34" s="380">
        <v>81.199999999999989</v>
      </c>
      <c r="AW34" s="380">
        <v>83</v>
      </c>
      <c r="AX34" s="382"/>
      <c r="AY34" s="380">
        <v>79.099999999999994</v>
      </c>
      <c r="AZ34" s="381">
        <v>78.5</v>
      </c>
      <c r="BA34" s="213" t="str">
        <f t="shared" si="2"/>
        <v>C</v>
      </c>
      <c r="BB34" s="389">
        <f t="shared" si="0"/>
        <v>865.08428571428578</v>
      </c>
      <c r="BC34" s="390">
        <f t="shared" si="1"/>
        <v>78.644025974025979</v>
      </c>
      <c r="BD34" s="214">
        <f t="shared" si="3"/>
        <v>25</v>
      </c>
      <c r="BE34" s="570">
        <v>0</v>
      </c>
      <c r="BF34" s="23">
        <v>0</v>
      </c>
      <c r="BG34" s="24">
        <v>5</v>
      </c>
      <c r="BH34" s="215">
        <f t="shared" si="4"/>
        <v>5</v>
      </c>
      <c r="BI34" s="25"/>
      <c r="BK34" s="281" t="str">
        <f t="shared" si="5"/>
        <v>Tingkatkan prestasi belajarmu!</v>
      </c>
    </row>
    <row r="35" spans="2:63">
      <c r="E35" s="211">
        <f>Biodata!B34</f>
        <v>29</v>
      </c>
      <c r="F35" s="212" t="str">
        <f>IF(Biodata!C34="","",VLOOKUP(E35,Biodata_Siswa,2,FALSE))</f>
        <v/>
      </c>
      <c r="G35" s="891" t="str">
        <f>IF(Biodata!E34="","",PROPER(VLOOKUP(E35,Biodata_Siswa,4,FALSE)))</f>
        <v>Melati Sabilla Rochmah</v>
      </c>
      <c r="H35" s="892"/>
      <c r="I35" s="386"/>
      <c r="J35" s="387"/>
      <c r="K35" s="382"/>
      <c r="L35" s="380"/>
      <c r="M35" s="381"/>
      <c r="N35" s="382"/>
      <c r="O35" s="380"/>
      <c r="P35" s="381"/>
      <c r="Q35" s="382"/>
      <c r="R35" s="380"/>
      <c r="S35" s="381"/>
      <c r="T35" s="382"/>
      <c r="U35" s="380"/>
      <c r="V35" s="381"/>
      <c r="W35" s="382"/>
      <c r="X35" s="380"/>
      <c r="Y35" s="381"/>
      <c r="Z35" s="382"/>
      <c r="AA35" s="380"/>
      <c r="AB35" s="381"/>
      <c r="AC35" s="382"/>
      <c r="AD35" s="755"/>
      <c r="AE35" s="755"/>
      <c r="AF35" s="382"/>
      <c r="AG35" s="380"/>
      <c r="AH35" s="381"/>
      <c r="AI35" s="382"/>
      <c r="AJ35" s="380"/>
      <c r="AK35" s="381"/>
      <c r="AL35" s="382"/>
      <c r="AM35" s="380"/>
      <c r="AN35" s="381"/>
      <c r="AO35" s="382"/>
      <c r="AP35" s="380"/>
      <c r="AQ35" s="381"/>
      <c r="AR35" s="382"/>
      <c r="AS35" s="380"/>
      <c r="AT35" s="380"/>
      <c r="AU35" s="382"/>
      <c r="AV35" s="380"/>
      <c r="AW35" s="380"/>
      <c r="AX35" s="382"/>
      <c r="AY35" s="380"/>
      <c r="AZ35" s="381"/>
      <c r="BA35" s="213" t="str">
        <f t="shared" si="2"/>
        <v/>
      </c>
      <c r="BB35" s="389" t="str">
        <f t="shared" si="0"/>
        <v/>
      </c>
      <c r="BC35" s="390" t="str">
        <f t="shared" si="1"/>
        <v/>
      </c>
      <c r="BD35" s="214" t="str">
        <f t="shared" si="3"/>
        <v/>
      </c>
      <c r="BE35" s="570"/>
      <c r="BF35" s="23"/>
      <c r="BG35" s="24"/>
      <c r="BH35" s="215"/>
      <c r="BI35" s="25"/>
      <c r="BK35" s="281"/>
    </row>
    <row r="36" spans="2:63">
      <c r="E36" s="211" t="str">
        <f>Biodata!B35</f>
        <v/>
      </c>
      <c r="F36" s="212" t="str">
        <f>IF(Biodata!C35="","",VLOOKUP(E36,Biodata_Siswa,2,FALSE))</f>
        <v/>
      </c>
      <c r="G36" s="891" t="str">
        <f>IF(Biodata!E35="","",PROPER(VLOOKUP(E36,Biodata_Siswa,4,FALSE)))</f>
        <v/>
      </c>
      <c r="H36" s="892"/>
      <c r="I36" s="386"/>
      <c r="J36" s="387"/>
      <c r="K36" s="382"/>
      <c r="L36" s="380"/>
      <c r="M36" s="381"/>
      <c r="N36" s="382"/>
      <c r="O36" s="380"/>
      <c r="P36" s="381"/>
      <c r="Q36" s="382"/>
      <c r="R36" s="380"/>
      <c r="S36" s="381"/>
      <c r="T36" s="382"/>
      <c r="U36" s="380"/>
      <c r="V36" s="381"/>
      <c r="W36" s="382"/>
      <c r="X36" s="380"/>
      <c r="Y36" s="381"/>
      <c r="Z36" s="382"/>
      <c r="AA36" s="380"/>
      <c r="AB36" s="381"/>
      <c r="AC36" s="382"/>
      <c r="AD36" s="755"/>
      <c r="AE36" s="755"/>
      <c r="AF36" s="382"/>
      <c r="AG36" s="380"/>
      <c r="AH36" s="381"/>
      <c r="AI36" s="382"/>
      <c r="AJ36" s="380"/>
      <c r="AK36" s="381"/>
      <c r="AL36" s="382"/>
      <c r="AM36" s="380"/>
      <c r="AN36" s="381"/>
      <c r="AO36" s="382"/>
      <c r="AP36" s="380"/>
      <c r="AQ36" s="381"/>
      <c r="AR36" s="382"/>
      <c r="AS36" s="380"/>
      <c r="AT36" s="380"/>
      <c r="AU36" s="382"/>
      <c r="AV36" s="380"/>
      <c r="AW36" s="380"/>
      <c r="AX36" s="382"/>
      <c r="AY36" s="380"/>
      <c r="AZ36" s="381"/>
      <c r="BA36" s="213" t="str">
        <f t="shared" si="2"/>
        <v/>
      </c>
      <c r="BB36" s="389" t="str">
        <f t="shared" si="0"/>
        <v/>
      </c>
      <c r="BC36" s="390" t="str">
        <f t="shared" si="1"/>
        <v/>
      </c>
      <c r="BD36" s="214" t="str">
        <f t="shared" si="3"/>
        <v/>
      </c>
      <c r="BE36" s="570"/>
      <c r="BF36" s="23"/>
      <c r="BG36" s="24"/>
      <c r="BH36" s="215"/>
      <c r="BI36" s="25"/>
      <c r="BK36" s="281"/>
    </row>
    <row r="37" spans="2:63">
      <c r="E37" s="211" t="str">
        <f>Biodata!B36</f>
        <v/>
      </c>
      <c r="F37" s="212" t="str">
        <f>IF(Biodata!C36="","",VLOOKUP(E37,Biodata_Siswa,2,FALSE))</f>
        <v/>
      </c>
      <c r="G37" s="891" t="str">
        <f>IF(Biodata!E36="","",PROPER(VLOOKUP(E37,Biodata_Siswa,4,FALSE)))</f>
        <v/>
      </c>
      <c r="H37" s="892"/>
      <c r="I37" s="386"/>
      <c r="J37" s="387"/>
      <c r="K37" s="382"/>
      <c r="L37" s="380"/>
      <c r="M37" s="381"/>
      <c r="N37" s="382"/>
      <c r="O37" s="380"/>
      <c r="P37" s="381"/>
      <c r="Q37" s="382"/>
      <c r="R37" s="380"/>
      <c r="S37" s="381"/>
      <c r="T37" s="382"/>
      <c r="U37" s="380"/>
      <c r="V37" s="381"/>
      <c r="W37" s="382"/>
      <c r="X37" s="380"/>
      <c r="Y37" s="381"/>
      <c r="Z37" s="382"/>
      <c r="AA37" s="380"/>
      <c r="AB37" s="381"/>
      <c r="AC37" s="382"/>
      <c r="AD37" s="755"/>
      <c r="AE37" s="755"/>
      <c r="AF37" s="382"/>
      <c r="AG37" s="380"/>
      <c r="AH37" s="381"/>
      <c r="AI37" s="382"/>
      <c r="AJ37" s="380"/>
      <c r="AK37" s="381"/>
      <c r="AL37" s="382"/>
      <c r="AM37" s="380"/>
      <c r="AN37" s="381"/>
      <c r="AO37" s="382"/>
      <c r="AP37" s="380"/>
      <c r="AQ37" s="381"/>
      <c r="AR37" s="382"/>
      <c r="AS37" s="380"/>
      <c r="AT37" s="380"/>
      <c r="AU37" s="382"/>
      <c r="AV37" s="380"/>
      <c r="AW37" s="380"/>
      <c r="AX37" s="382"/>
      <c r="AY37" s="380"/>
      <c r="AZ37" s="381"/>
      <c r="BA37" s="213" t="str">
        <f t="shared" si="2"/>
        <v/>
      </c>
      <c r="BB37" s="389" t="str">
        <f>IF(G37="","",IF(I37+L37+O37+R37+U37+X37+AA37+AD37+AG37+AJ37+AM37+AP37+AS37+AV37+AY37=0,"",I37+L37+O37+R37+U37+X37+AA37+AD37+AG37+AJ37+AM37+AP37+AS37+AV37+AY37))</f>
        <v/>
      </c>
      <c r="BC37" s="390" t="str">
        <f t="shared" si="1"/>
        <v/>
      </c>
      <c r="BD37" s="214" t="str">
        <f t="shared" si="3"/>
        <v/>
      </c>
      <c r="BE37" s="570"/>
      <c r="BF37" s="23"/>
      <c r="BG37" s="24"/>
      <c r="BH37" s="215"/>
      <c r="BI37" s="25"/>
      <c r="BK37" s="281"/>
    </row>
    <row r="38" spans="2:63">
      <c r="E38" s="211" t="str">
        <f>Biodata!B37</f>
        <v/>
      </c>
      <c r="F38" s="212" t="str">
        <f>IF(Biodata!C37="","",VLOOKUP(E38,Biodata_Siswa,2,FALSE))</f>
        <v/>
      </c>
      <c r="G38" s="891" t="str">
        <f>IF(Biodata!E37="","",PROPER(VLOOKUP(E38,Biodata_Siswa,4,FALSE)))</f>
        <v/>
      </c>
      <c r="H38" s="892"/>
      <c r="I38" s="386"/>
      <c r="J38" s="387"/>
      <c r="K38" s="382"/>
      <c r="L38" s="380"/>
      <c r="M38" s="381"/>
      <c r="N38" s="382"/>
      <c r="O38" s="380"/>
      <c r="P38" s="381"/>
      <c r="Q38" s="382"/>
      <c r="R38" s="380"/>
      <c r="S38" s="381"/>
      <c r="T38" s="382"/>
      <c r="U38" s="380"/>
      <c r="V38" s="381"/>
      <c r="W38" s="382"/>
      <c r="X38" s="380"/>
      <c r="Y38" s="381"/>
      <c r="Z38" s="382"/>
      <c r="AA38" s="380"/>
      <c r="AB38" s="381"/>
      <c r="AC38" s="382"/>
      <c r="AD38" s="755"/>
      <c r="AE38" s="755"/>
      <c r="AF38" s="382"/>
      <c r="AG38" s="380"/>
      <c r="AH38" s="381"/>
      <c r="AI38" s="382"/>
      <c r="AJ38" s="380"/>
      <c r="AK38" s="381"/>
      <c r="AL38" s="382"/>
      <c r="AM38" s="380"/>
      <c r="AN38" s="381"/>
      <c r="AO38" s="382"/>
      <c r="AP38" s="380"/>
      <c r="AQ38" s="381"/>
      <c r="AR38" s="382"/>
      <c r="AS38" s="380"/>
      <c r="AT38" s="380"/>
      <c r="AU38" s="382"/>
      <c r="AV38" s="380"/>
      <c r="AW38" s="380"/>
      <c r="AX38" s="382"/>
      <c r="AY38" s="380"/>
      <c r="AZ38" s="381"/>
      <c r="BA38" s="213" t="str">
        <f t="shared" si="2"/>
        <v/>
      </c>
      <c r="BB38" s="389" t="str">
        <f t="shared" si="0"/>
        <v/>
      </c>
      <c r="BC38" s="390" t="str">
        <f t="shared" si="1"/>
        <v/>
      </c>
      <c r="BD38" s="214" t="str">
        <f t="shared" si="3"/>
        <v/>
      </c>
      <c r="BE38" s="570"/>
      <c r="BF38" s="23"/>
      <c r="BG38" s="24"/>
      <c r="BH38" s="215"/>
      <c r="BI38" s="25"/>
      <c r="BK38" s="281"/>
    </row>
    <row r="39" spans="2:63">
      <c r="E39" s="211" t="str">
        <f>Biodata!B38</f>
        <v/>
      </c>
      <c r="F39" s="212" t="str">
        <f>IF(Biodata!C38="","",VLOOKUP(E39,Biodata_Siswa,2,FALSE))</f>
        <v/>
      </c>
      <c r="G39" s="891" t="str">
        <f>IF(Biodata!E38="","",PROPER(VLOOKUP(E39,Biodata_Siswa,4,FALSE)))</f>
        <v/>
      </c>
      <c r="H39" s="892"/>
      <c r="I39" s="386"/>
      <c r="J39" s="387"/>
      <c r="K39" s="382"/>
      <c r="L39" s="380"/>
      <c r="M39" s="381"/>
      <c r="N39" s="382"/>
      <c r="O39" s="380"/>
      <c r="P39" s="381"/>
      <c r="Q39" s="382"/>
      <c r="R39" s="380"/>
      <c r="S39" s="381"/>
      <c r="T39" s="382"/>
      <c r="U39" s="380"/>
      <c r="V39" s="381"/>
      <c r="W39" s="382"/>
      <c r="X39" s="380"/>
      <c r="Y39" s="381"/>
      <c r="Z39" s="382"/>
      <c r="AA39" s="380"/>
      <c r="AB39" s="381"/>
      <c r="AC39" s="382"/>
      <c r="AD39" s="755"/>
      <c r="AE39" s="755"/>
      <c r="AF39" s="382"/>
      <c r="AG39" s="380"/>
      <c r="AH39" s="381"/>
      <c r="AI39" s="382"/>
      <c r="AJ39" s="380"/>
      <c r="AK39" s="381"/>
      <c r="AL39" s="382"/>
      <c r="AM39" s="380"/>
      <c r="AN39" s="381"/>
      <c r="AO39" s="382"/>
      <c r="AP39" s="380"/>
      <c r="AQ39" s="381"/>
      <c r="AR39" s="382"/>
      <c r="AS39" s="380"/>
      <c r="AT39" s="380"/>
      <c r="AU39" s="382"/>
      <c r="AV39" s="380"/>
      <c r="AW39" s="380"/>
      <c r="AX39" s="382"/>
      <c r="AY39" s="380"/>
      <c r="AZ39" s="381"/>
      <c r="BA39" s="213" t="str">
        <f t="shared" si="2"/>
        <v/>
      </c>
      <c r="BB39" s="389" t="str">
        <f t="shared" si="0"/>
        <v/>
      </c>
      <c r="BC39" s="390" t="str">
        <f t="shared" si="1"/>
        <v/>
      </c>
      <c r="BD39" s="214" t="str">
        <f t="shared" si="3"/>
        <v/>
      </c>
      <c r="BE39" s="570"/>
      <c r="BF39" s="23"/>
      <c r="BG39" s="24"/>
      <c r="BH39" s="215"/>
      <c r="BI39" s="25"/>
      <c r="BK39" s="281"/>
    </row>
    <row r="40" spans="2:63">
      <c r="E40" s="211" t="str">
        <f>Biodata!B39</f>
        <v/>
      </c>
      <c r="F40" s="212" t="str">
        <f>IF(Biodata!C39="","",VLOOKUP(E40,Biodata_Siswa,2,FALSE))</f>
        <v/>
      </c>
      <c r="G40" s="891" t="str">
        <f>IF(Biodata!E39="","",PROPER(VLOOKUP(E40,Biodata_Siswa,4,FALSE)))</f>
        <v/>
      </c>
      <c r="H40" s="892"/>
      <c r="I40" s="386"/>
      <c r="J40" s="387"/>
      <c r="K40" s="382"/>
      <c r="L40" s="380"/>
      <c r="M40" s="381"/>
      <c r="N40" s="382"/>
      <c r="O40" s="380"/>
      <c r="P40" s="381"/>
      <c r="Q40" s="382"/>
      <c r="R40" s="380"/>
      <c r="S40" s="381"/>
      <c r="T40" s="382"/>
      <c r="U40" s="380"/>
      <c r="V40" s="381"/>
      <c r="W40" s="382"/>
      <c r="X40" s="380"/>
      <c r="Y40" s="381"/>
      <c r="Z40" s="382"/>
      <c r="AA40" s="380"/>
      <c r="AB40" s="381"/>
      <c r="AC40" s="382"/>
      <c r="AD40" s="380"/>
      <c r="AE40" s="381"/>
      <c r="AF40" s="382"/>
      <c r="AG40" s="380"/>
      <c r="AH40" s="381"/>
      <c r="AI40" s="382"/>
      <c r="AJ40" s="380"/>
      <c r="AK40" s="381"/>
      <c r="AL40" s="382"/>
      <c r="AM40" s="380"/>
      <c r="AN40" s="381"/>
      <c r="AO40" s="382"/>
      <c r="AP40" s="380"/>
      <c r="AQ40" s="381"/>
      <c r="AR40" s="382"/>
      <c r="AS40" s="380"/>
      <c r="AT40" s="380"/>
      <c r="AU40" s="382"/>
      <c r="AV40" s="380"/>
      <c r="AW40" s="380"/>
      <c r="AX40" s="382"/>
      <c r="AY40" s="380"/>
      <c r="AZ40" s="381"/>
      <c r="BA40" s="213" t="str">
        <f t="shared" si="2"/>
        <v/>
      </c>
      <c r="BB40" s="389" t="str">
        <f t="shared" si="0"/>
        <v/>
      </c>
      <c r="BC40" s="390" t="str">
        <f t="shared" si="1"/>
        <v/>
      </c>
      <c r="BD40" s="214" t="str">
        <f t="shared" si="3"/>
        <v/>
      </c>
      <c r="BE40" s="570"/>
      <c r="BF40" s="23"/>
      <c r="BG40" s="24"/>
      <c r="BH40" s="215"/>
      <c r="BI40" s="25"/>
      <c r="BK40" s="281"/>
    </row>
    <row r="41" spans="2:63">
      <c r="B41" s="948"/>
      <c r="C41" s="948"/>
      <c r="E41" s="211" t="str">
        <f>Biodata!B40</f>
        <v/>
      </c>
      <c r="F41" s="212" t="str">
        <f>IF(Biodata!C40="","",VLOOKUP(E41,Biodata_Siswa,2,FALSE))</f>
        <v/>
      </c>
      <c r="G41" s="891" t="str">
        <f>IF(Biodata!E40="","",PROPER(VLOOKUP(E41,Biodata_Siswa,4,FALSE)))</f>
        <v/>
      </c>
      <c r="H41" s="892"/>
      <c r="I41" s="386"/>
      <c r="J41" s="387"/>
      <c r="K41" s="382"/>
      <c r="L41" s="380"/>
      <c r="M41" s="381"/>
      <c r="N41" s="382"/>
      <c r="O41" s="380"/>
      <c r="P41" s="381"/>
      <c r="Q41" s="382"/>
      <c r="R41" s="380"/>
      <c r="S41" s="381"/>
      <c r="T41" s="382"/>
      <c r="U41" s="380"/>
      <c r="V41" s="381"/>
      <c r="W41" s="382"/>
      <c r="X41" s="380"/>
      <c r="Y41" s="381"/>
      <c r="Z41" s="382"/>
      <c r="AA41" s="380"/>
      <c r="AB41" s="381"/>
      <c r="AC41" s="382"/>
      <c r="AD41" s="380"/>
      <c r="AE41" s="381"/>
      <c r="AF41" s="382"/>
      <c r="AG41" s="380"/>
      <c r="AH41" s="381"/>
      <c r="AI41" s="382"/>
      <c r="AJ41" s="380"/>
      <c r="AK41" s="381"/>
      <c r="AL41" s="382"/>
      <c r="AM41" s="380"/>
      <c r="AN41" s="381"/>
      <c r="AO41" s="382"/>
      <c r="AP41" s="380"/>
      <c r="AQ41" s="381"/>
      <c r="AR41" s="382"/>
      <c r="AS41" s="380"/>
      <c r="AT41" s="380"/>
      <c r="AU41" s="382"/>
      <c r="AV41" s="380"/>
      <c r="AW41" s="380"/>
      <c r="AX41" s="382"/>
      <c r="AY41" s="380"/>
      <c r="AZ41" s="381"/>
      <c r="BA41" s="213" t="str">
        <f t="shared" si="2"/>
        <v/>
      </c>
      <c r="BB41" s="389" t="str">
        <f t="shared" si="0"/>
        <v/>
      </c>
      <c r="BC41" s="390" t="str">
        <f t="shared" si="1"/>
        <v/>
      </c>
      <c r="BD41" s="214" t="str">
        <f t="shared" si="3"/>
        <v/>
      </c>
      <c r="BE41" s="570"/>
      <c r="BF41" s="23"/>
      <c r="BG41" s="24"/>
      <c r="BH41" s="215"/>
      <c r="BI41" s="25"/>
      <c r="BK41" s="281"/>
    </row>
    <row r="42" spans="2:63">
      <c r="E42" s="211" t="str">
        <f>Biodata!B41</f>
        <v/>
      </c>
      <c r="F42" s="212" t="str">
        <f>IF(Biodata!C41="","",VLOOKUP(E42,Biodata_Siswa,2,FALSE))</f>
        <v/>
      </c>
      <c r="G42" s="891" t="str">
        <f>IF(Biodata!E41="","",PROPER(VLOOKUP(E42,Biodata_Siswa,4,FALSE)))</f>
        <v/>
      </c>
      <c r="H42" s="892"/>
      <c r="I42" s="386"/>
      <c r="J42" s="387"/>
      <c r="K42" s="382"/>
      <c r="L42" s="380"/>
      <c r="M42" s="381"/>
      <c r="N42" s="382"/>
      <c r="O42" s="380"/>
      <c r="P42" s="381"/>
      <c r="Q42" s="382"/>
      <c r="R42" s="380"/>
      <c r="S42" s="381"/>
      <c r="T42" s="382"/>
      <c r="U42" s="380"/>
      <c r="V42" s="381"/>
      <c r="W42" s="382"/>
      <c r="X42" s="380"/>
      <c r="Y42" s="381"/>
      <c r="Z42" s="382"/>
      <c r="AA42" s="380"/>
      <c r="AB42" s="381"/>
      <c r="AC42" s="382"/>
      <c r="AD42" s="380"/>
      <c r="AE42" s="381"/>
      <c r="AF42" s="382"/>
      <c r="AG42" s="380"/>
      <c r="AH42" s="381"/>
      <c r="AI42" s="382"/>
      <c r="AJ42" s="380"/>
      <c r="AK42" s="381"/>
      <c r="AL42" s="382"/>
      <c r="AM42" s="380"/>
      <c r="AN42" s="381"/>
      <c r="AO42" s="382"/>
      <c r="AP42" s="380"/>
      <c r="AQ42" s="381"/>
      <c r="AR42" s="382"/>
      <c r="AS42" s="380"/>
      <c r="AT42" s="380"/>
      <c r="AU42" s="382"/>
      <c r="AV42" s="380"/>
      <c r="AW42" s="380"/>
      <c r="AX42" s="382"/>
      <c r="AY42" s="380"/>
      <c r="AZ42" s="381"/>
      <c r="BA42" s="213" t="str">
        <f t="shared" si="2"/>
        <v/>
      </c>
      <c r="BB42" s="389" t="str">
        <f t="shared" si="0"/>
        <v/>
      </c>
      <c r="BC42" s="390" t="str">
        <f t="shared" si="1"/>
        <v/>
      </c>
      <c r="BD42" s="214" t="str">
        <f t="shared" si="3"/>
        <v/>
      </c>
      <c r="BE42" s="570"/>
      <c r="BF42" s="23"/>
      <c r="BG42" s="24"/>
      <c r="BH42" s="215"/>
      <c r="BI42" s="25"/>
      <c r="BK42" s="281"/>
    </row>
    <row r="43" spans="2:63">
      <c r="E43" s="211" t="str">
        <f>Biodata!B42</f>
        <v/>
      </c>
      <c r="F43" s="212" t="str">
        <f>IF(Biodata!C42="","",VLOOKUP(E43,Biodata_Siswa,2,FALSE))</f>
        <v/>
      </c>
      <c r="G43" s="891" t="str">
        <f>IF(Biodata!E42="","",PROPER(VLOOKUP(E43,Biodata_Siswa,4,FALSE)))</f>
        <v/>
      </c>
      <c r="H43" s="892"/>
      <c r="I43" s="386"/>
      <c r="J43" s="387"/>
      <c r="K43" s="382"/>
      <c r="L43" s="380"/>
      <c r="M43" s="381"/>
      <c r="N43" s="382"/>
      <c r="O43" s="380"/>
      <c r="P43" s="381"/>
      <c r="Q43" s="382"/>
      <c r="R43" s="380"/>
      <c r="S43" s="381"/>
      <c r="T43" s="382"/>
      <c r="U43" s="380"/>
      <c r="V43" s="381"/>
      <c r="W43" s="382"/>
      <c r="X43" s="380"/>
      <c r="Y43" s="381"/>
      <c r="Z43" s="382"/>
      <c r="AA43" s="380"/>
      <c r="AB43" s="381"/>
      <c r="AC43" s="382"/>
      <c r="AD43" s="380"/>
      <c r="AE43" s="381"/>
      <c r="AF43" s="382"/>
      <c r="AG43" s="380"/>
      <c r="AH43" s="381"/>
      <c r="AI43" s="382"/>
      <c r="AJ43" s="380"/>
      <c r="AK43" s="381"/>
      <c r="AL43" s="382"/>
      <c r="AM43" s="380"/>
      <c r="AN43" s="381"/>
      <c r="AO43" s="382"/>
      <c r="AP43" s="380"/>
      <c r="AQ43" s="381"/>
      <c r="AR43" s="382"/>
      <c r="AS43" s="380"/>
      <c r="AT43" s="380"/>
      <c r="AU43" s="382"/>
      <c r="AV43" s="380"/>
      <c r="AW43" s="380"/>
      <c r="AX43" s="382"/>
      <c r="AY43" s="380"/>
      <c r="AZ43" s="381"/>
      <c r="BA43" s="213" t="str">
        <f t="shared" si="2"/>
        <v/>
      </c>
      <c r="BB43" s="389" t="str">
        <f t="shared" si="0"/>
        <v/>
      </c>
      <c r="BC43" s="390" t="str">
        <f t="shared" si="1"/>
        <v/>
      </c>
      <c r="BD43" s="214" t="str">
        <f t="shared" si="3"/>
        <v/>
      </c>
      <c r="BE43" s="570"/>
      <c r="BF43" s="23"/>
      <c r="BG43" s="24"/>
      <c r="BH43" s="215"/>
      <c r="BI43" s="25"/>
      <c r="BK43" s="281"/>
    </row>
    <row r="44" spans="2:63">
      <c r="E44" s="211" t="str">
        <f>Biodata!B43</f>
        <v/>
      </c>
      <c r="F44" s="212" t="str">
        <f>IF(Biodata!C43="","",VLOOKUP(E44,Biodata_Siswa,2,FALSE))</f>
        <v/>
      </c>
      <c r="G44" s="891" t="str">
        <f>IF(Biodata!E43="","",PROPER(VLOOKUP(E44,Biodata_Siswa,4,FALSE)))</f>
        <v/>
      </c>
      <c r="H44" s="892"/>
      <c r="I44" s="386"/>
      <c r="J44" s="387"/>
      <c r="K44" s="382"/>
      <c r="L44" s="380"/>
      <c r="M44" s="381"/>
      <c r="N44" s="382"/>
      <c r="O44" s="380"/>
      <c r="P44" s="381"/>
      <c r="Q44" s="382"/>
      <c r="R44" s="380"/>
      <c r="S44" s="381"/>
      <c r="T44" s="382"/>
      <c r="U44" s="380"/>
      <c r="V44" s="381"/>
      <c r="W44" s="382"/>
      <c r="X44" s="380"/>
      <c r="Y44" s="381"/>
      <c r="Z44" s="382"/>
      <c r="AA44" s="380"/>
      <c r="AB44" s="381"/>
      <c r="AC44" s="382"/>
      <c r="AD44" s="380"/>
      <c r="AE44" s="381"/>
      <c r="AF44" s="382"/>
      <c r="AG44" s="380"/>
      <c r="AH44" s="381"/>
      <c r="AI44" s="382"/>
      <c r="AJ44" s="380"/>
      <c r="AK44" s="381"/>
      <c r="AL44" s="382"/>
      <c r="AM44" s="380"/>
      <c r="AN44" s="381"/>
      <c r="AO44" s="382"/>
      <c r="AP44" s="380"/>
      <c r="AQ44" s="381"/>
      <c r="AR44" s="382"/>
      <c r="AS44" s="380"/>
      <c r="AT44" s="380"/>
      <c r="AU44" s="382"/>
      <c r="AV44" s="380"/>
      <c r="AW44" s="380"/>
      <c r="AX44" s="382"/>
      <c r="AY44" s="380"/>
      <c r="AZ44" s="381"/>
      <c r="BA44" s="213" t="str">
        <f t="shared" si="2"/>
        <v/>
      </c>
      <c r="BB44" s="389" t="str">
        <f t="shared" si="0"/>
        <v/>
      </c>
      <c r="BC44" s="390" t="str">
        <f t="shared" si="1"/>
        <v/>
      </c>
      <c r="BD44" s="214" t="str">
        <f t="shared" si="3"/>
        <v/>
      </c>
      <c r="BE44" s="570"/>
      <c r="BF44" s="23"/>
      <c r="BG44" s="24"/>
      <c r="BH44" s="215"/>
      <c r="BI44" s="25"/>
      <c r="BK44" s="281"/>
    </row>
    <row r="45" spans="2:63">
      <c r="E45" s="211" t="str">
        <f>Biodata!B44</f>
        <v/>
      </c>
      <c r="F45" s="212" t="str">
        <f>IF(Biodata!C44="","",VLOOKUP(E45,Biodata_Siswa,2,FALSE))</f>
        <v/>
      </c>
      <c r="G45" s="891" t="str">
        <f>IF(Biodata!E44="","",PROPER(VLOOKUP(E45,Biodata_Siswa,4,FALSE)))</f>
        <v/>
      </c>
      <c r="H45" s="892"/>
      <c r="I45" s="386"/>
      <c r="J45" s="387"/>
      <c r="K45" s="382"/>
      <c r="L45" s="380"/>
      <c r="M45" s="381"/>
      <c r="N45" s="382"/>
      <c r="O45" s="380"/>
      <c r="P45" s="381"/>
      <c r="Q45" s="382"/>
      <c r="R45" s="380"/>
      <c r="S45" s="381"/>
      <c r="T45" s="382"/>
      <c r="U45" s="380"/>
      <c r="V45" s="381"/>
      <c r="W45" s="382"/>
      <c r="X45" s="380"/>
      <c r="Y45" s="381"/>
      <c r="Z45" s="382"/>
      <c r="AA45" s="380"/>
      <c r="AB45" s="381"/>
      <c r="AC45" s="382"/>
      <c r="AD45" s="380"/>
      <c r="AE45" s="381"/>
      <c r="AF45" s="382"/>
      <c r="AG45" s="380"/>
      <c r="AH45" s="381"/>
      <c r="AI45" s="382"/>
      <c r="AJ45" s="380"/>
      <c r="AK45" s="381"/>
      <c r="AL45" s="382"/>
      <c r="AM45" s="380"/>
      <c r="AN45" s="381"/>
      <c r="AO45" s="382"/>
      <c r="AP45" s="380"/>
      <c r="AQ45" s="381"/>
      <c r="AR45" s="382"/>
      <c r="AS45" s="380"/>
      <c r="AT45" s="380"/>
      <c r="AU45" s="382"/>
      <c r="AV45" s="380"/>
      <c r="AW45" s="380"/>
      <c r="AX45" s="382"/>
      <c r="AY45" s="380"/>
      <c r="AZ45" s="381"/>
      <c r="BA45" s="213" t="str">
        <f t="shared" si="2"/>
        <v/>
      </c>
      <c r="BB45" s="389" t="str">
        <f t="shared" si="0"/>
        <v/>
      </c>
      <c r="BC45" s="390" t="str">
        <f t="shared" si="1"/>
        <v/>
      </c>
      <c r="BD45" s="214" t="str">
        <f t="shared" si="3"/>
        <v/>
      </c>
      <c r="BE45" s="570"/>
      <c r="BF45" s="23"/>
      <c r="BG45" s="24"/>
      <c r="BH45" s="215"/>
      <c r="BI45" s="25"/>
      <c r="BK45" s="281"/>
    </row>
    <row r="46" spans="2:63" ht="17.25" thickBot="1">
      <c r="E46" s="218" t="str">
        <f>Biodata!B45</f>
        <v/>
      </c>
      <c r="F46" s="219" t="str">
        <f>IF(Biodata!C45="","",VLOOKUP(E46,Biodata_Siswa,2,FALSE))</f>
        <v/>
      </c>
      <c r="G46" s="899" t="str">
        <f>IF(Biodata!E45="","",PROPER(VLOOKUP(E46,Biodata_Siswa,4,FALSE)))</f>
        <v/>
      </c>
      <c r="H46" s="900"/>
      <c r="I46" s="383"/>
      <c r="J46" s="384"/>
      <c r="K46" s="388"/>
      <c r="L46" s="383"/>
      <c r="M46" s="384"/>
      <c r="N46" s="385"/>
      <c r="O46" s="383"/>
      <c r="P46" s="384"/>
      <c r="Q46" s="385"/>
      <c r="R46" s="383"/>
      <c r="S46" s="384"/>
      <c r="T46" s="385"/>
      <c r="U46" s="383"/>
      <c r="V46" s="384"/>
      <c r="W46" s="385"/>
      <c r="X46" s="383"/>
      <c r="Y46" s="384"/>
      <c r="Z46" s="385"/>
      <c r="AA46" s="383"/>
      <c r="AB46" s="384"/>
      <c r="AC46" s="385"/>
      <c r="AD46" s="383"/>
      <c r="AE46" s="384"/>
      <c r="AF46" s="385"/>
      <c r="AG46" s="383"/>
      <c r="AH46" s="384"/>
      <c r="AI46" s="385"/>
      <c r="AJ46" s="383"/>
      <c r="AK46" s="384"/>
      <c r="AL46" s="385"/>
      <c r="AM46" s="383"/>
      <c r="AN46" s="384"/>
      <c r="AO46" s="385"/>
      <c r="AP46" s="383"/>
      <c r="AQ46" s="384"/>
      <c r="AR46" s="385"/>
      <c r="AS46" s="383"/>
      <c r="AT46" s="383"/>
      <c r="AU46" s="383"/>
      <c r="AV46" s="383"/>
      <c r="AW46" s="383"/>
      <c r="AX46" s="383"/>
      <c r="AY46" s="383"/>
      <c r="AZ46" s="384"/>
      <c r="BA46" s="220" t="str">
        <f t="shared" si="2"/>
        <v/>
      </c>
      <c r="BB46" s="391" t="str">
        <f t="shared" si="0"/>
        <v/>
      </c>
      <c r="BC46" s="392" t="str">
        <f t="shared" si="1"/>
        <v/>
      </c>
      <c r="BD46" s="221" t="str">
        <f t="shared" si="3"/>
        <v/>
      </c>
      <c r="BE46" s="571"/>
      <c r="BF46" s="572"/>
      <c r="BG46" s="40"/>
      <c r="BH46" s="222"/>
      <c r="BI46" s="41"/>
      <c r="BK46" s="282"/>
    </row>
    <row r="47" spans="2:63">
      <c r="E47" s="223">
        <f>MAX(E7:E46)</f>
        <v>29</v>
      </c>
    </row>
    <row r="48" spans="2:63" hidden="1"/>
    <row r="49" hidden="1"/>
    <row r="50" hidden="1"/>
    <row r="51" hidden="1"/>
    <row r="52" hidden="1"/>
    <row r="53" hidden="1"/>
    <row r="54" hidden="1"/>
    <row r="55" hidden="1"/>
    <row r="56" hidden="1"/>
    <row r="57" hidden="1"/>
    <row r="58" hidden="1"/>
    <row r="59" hidden="1"/>
    <row r="60" hidden="1"/>
    <row r="61" hidden="1"/>
    <row r="62" hidden="1"/>
    <row r="63" hidden="1"/>
    <row r="64" hidden="1"/>
    <row r="65" spans="2:53" hidden="1"/>
    <row r="66" spans="2:53" hidden="1"/>
    <row r="67" spans="2:53" hidden="1"/>
    <row r="68" spans="2:53" hidden="1"/>
    <row r="69" spans="2:53" hidden="1"/>
    <row r="70" spans="2:53" hidden="1"/>
    <row r="71" spans="2:53" hidden="1"/>
    <row r="72" spans="2:53" s="199" customFormat="1" hidden="1">
      <c r="B72" s="224"/>
      <c r="E72" s="199">
        <f>DL!M32</f>
        <v>0</v>
      </c>
      <c r="I72" s="198"/>
      <c r="J72" s="198"/>
      <c r="K72" s="198"/>
      <c r="L72" s="198"/>
      <c r="M72" s="198"/>
      <c r="N72" s="198"/>
      <c r="O72" s="198"/>
      <c r="P72" s="198"/>
      <c r="Q72" s="198"/>
      <c r="R72" s="198"/>
      <c r="S72" s="198"/>
      <c r="T72" s="198"/>
      <c r="U72" s="198"/>
      <c r="V72" s="198"/>
      <c r="W72" s="198"/>
      <c r="X72" s="198"/>
      <c r="Y72" s="198"/>
      <c r="Z72" s="198"/>
      <c r="AA72" s="198"/>
      <c r="AB72" s="198"/>
      <c r="AC72" s="198"/>
      <c r="AD72" s="198"/>
      <c r="AE72" s="198"/>
      <c r="AF72" s="198"/>
      <c r="AG72" s="198"/>
      <c r="AH72" s="198"/>
      <c r="AI72" s="198"/>
      <c r="AJ72" s="198"/>
      <c r="AK72" s="198"/>
      <c r="AL72" s="198"/>
      <c r="AM72" s="198"/>
      <c r="AN72" s="198"/>
      <c r="AO72" s="198"/>
      <c r="AP72" s="198"/>
      <c r="AQ72" s="198"/>
      <c r="AR72" s="198"/>
      <c r="AS72" s="198"/>
      <c r="AT72" s="198"/>
      <c r="AU72" s="198"/>
      <c r="AV72" s="198"/>
      <c r="AW72" s="198"/>
      <c r="AX72" s="198"/>
      <c r="AY72" s="198"/>
      <c r="AZ72" s="198"/>
      <c r="BA72" s="198"/>
    </row>
  </sheetData>
  <dataConsolidate/>
  <mergeCells count="111">
    <mergeCell ref="B27:C27"/>
    <mergeCell ref="B14:C14"/>
    <mergeCell ref="B41:C41"/>
    <mergeCell ref="B24:C24"/>
    <mergeCell ref="I4:K5"/>
    <mergeCell ref="L4:N5"/>
    <mergeCell ref="O4:Q5"/>
    <mergeCell ref="R4:T5"/>
    <mergeCell ref="U4:W5"/>
    <mergeCell ref="B22:C22"/>
    <mergeCell ref="B23:C23"/>
    <mergeCell ref="G25:H25"/>
    <mergeCell ref="G22:H22"/>
    <mergeCell ref="G23:H23"/>
    <mergeCell ref="G24:H24"/>
    <mergeCell ref="G34:H34"/>
    <mergeCell ref="G35:H35"/>
    <mergeCell ref="G36:H36"/>
    <mergeCell ref="G37:H37"/>
    <mergeCell ref="G26:H26"/>
    <mergeCell ref="G27:H27"/>
    <mergeCell ref="G28:H28"/>
    <mergeCell ref="G29:H29"/>
    <mergeCell ref="G30:H30"/>
    <mergeCell ref="C5:C6"/>
    <mergeCell ref="B15:C15"/>
    <mergeCell ref="B16:C16"/>
    <mergeCell ref="B17:C17"/>
    <mergeCell ref="B18:C18"/>
    <mergeCell ref="B19:C19"/>
    <mergeCell ref="B20:C20"/>
    <mergeCell ref="B21:C21"/>
    <mergeCell ref="BB4:BB6"/>
    <mergeCell ref="AA4:AC5"/>
    <mergeCell ref="AD4:AF5"/>
    <mergeCell ref="G15:H15"/>
    <mergeCell ref="G16:H16"/>
    <mergeCell ref="G17:H17"/>
    <mergeCell ref="G18:H18"/>
    <mergeCell ref="G19:H19"/>
    <mergeCell ref="G20:H20"/>
    <mergeCell ref="G21:H21"/>
    <mergeCell ref="X4:Z5"/>
    <mergeCell ref="G14:H14"/>
    <mergeCell ref="C2:C3"/>
    <mergeCell ref="B7:C7"/>
    <mergeCell ref="B8:C8"/>
    <mergeCell ref="B9:C9"/>
    <mergeCell ref="B10:C10"/>
    <mergeCell ref="B11:C11"/>
    <mergeCell ref="B12:C12"/>
    <mergeCell ref="B13:C13"/>
    <mergeCell ref="AY4:BA5"/>
    <mergeCell ref="F5:F6"/>
    <mergeCell ref="E5:E6"/>
    <mergeCell ref="E2:G3"/>
    <mergeCell ref="H2:H3"/>
    <mergeCell ref="G13:H13"/>
    <mergeCell ref="E4:H4"/>
    <mergeCell ref="G5:H6"/>
    <mergeCell ref="G7:H7"/>
    <mergeCell ref="G8:H8"/>
    <mergeCell ref="G9:H9"/>
    <mergeCell ref="G10:H10"/>
    <mergeCell ref="G11:H11"/>
    <mergeCell ref="G12:H12"/>
    <mergeCell ref="AG4:AI5"/>
    <mergeCell ref="AJ4:AL5"/>
    <mergeCell ref="BK2:BK6"/>
    <mergeCell ref="BI2:BI3"/>
    <mergeCell ref="I3:K3"/>
    <mergeCell ref="L3:N3"/>
    <mergeCell ref="O3:Q3"/>
    <mergeCell ref="R3:T3"/>
    <mergeCell ref="U3:W3"/>
    <mergeCell ref="X3:Z3"/>
    <mergeCell ref="AA3:AC3"/>
    <mergeCell ref="AD3:AF3"/>
    <mergeCell ref="AG3:AI3"/>
    <mergeCell ref="AJ3:AL3"/>
    <mergeCell ref="AM3:AO3"/>
    <mergeCell ref="AP3:AR3"/>
    <mergeCell ref="AS3:AU3"/>
    <mergeCell ref="AV3:AX3"/>
    <mergeCell ref="AY3:BA3"/>
    <mergeCell ref="BE4:BE6"/>
    <mergeCell ref="BF4:BF6"/>
    <mergeCell ref="BG4:BG6"/>
    <mergeCell ref="BH4:BH6"/>
    <mergeCell ref="I2:AO2"/>
    <mergeCell ref="BE2:BH3"/>
    <mergeCell ref="BC4:BC6"/>
    <mergeCell ref="G33:H33"/>
    <mergeCell ref="G44:H44"/>
    <mergeCell ref="G45:H45"/>
    <mergeCell ref="G46:H46"/>
    <mergeCell ref="G38:H38"/>
    <mergeCell ref="G39:H39"/>
    <mergeCell ref="G40:H40"/>
    <mergeCell ref="G41:H41"/>
    <mergeCell ref="G42:H42"/>
    <mergeCell ref="G43:H43"/>
    <mergeCell ref="BD4:BD6"/>
    <mergeCell ref="AP2:BA2"/>
    <mergeCell ref="AM4:AO5"/>
    <mergeCell ref="AP4:AR5"/>
    <mergeCell ref="AS4:AU5"/>
    <mergeCell ref="AV4:AX5"/>
    <mergeCell ref="G31:H31"/>
    <mergeCell ref="G32:H32"/>
    <mergeCell ref="BB2:BD3"/>
  </mergeCells>
  <conditionalFormatting sqref="I7:J46">
    <cfRule type="containsBlanks" dxfId="273" priority="147">
      <formula>LEN(TRIM(I7))=0</formula>
    </cfRule>
    <cfRule type="cellIs" dxfId="272" priority="148" operator="lessThan">
      <formula>$C$4</formula>
    </cfRule>
    <cfRule type="cellIs" dxfId="271" priority="149" operator="greaterThan">
      <formula>100</formula>
    </cfRule>
  </conditionalFormatting>
  <conditionalFormatting sqref="L7:M46">
    <cfRule type="cellIs" dxfId="270" priority="142" operator="greaterThan">
      <formula>100</formula>
    </cfRule>
    <cfRule type="containsBlanks" dxfId="269" priority="143">
      <formula>LEN(TRIM(L7))=0</formula>
    </cfRule>
    <cfRule type="cellIs" dxfId="268" priority="144" operator="lessThan">
      <formula>$C$4</formula>
    </cfRule>
  </conditionalFormatting>
  <conditionalFormatting sqref="O7:P46">
    <cfRule type="cellIs" dxfId="267" priority="139" operator="greaterThan">
      <formula>100</formula>
    </cfRule>
    <cfRule type="containsBlanks" dxfId="266" priority="140">
      <formula>LEN(TRIM(O7))=0</formula>
    </cfRule>
    <cfRule type="cellIs" dxfId="265" priority="141" operator="lessThan">
      <formula>$C$4</formula>
    </cfRule>
  </conditionalFormatting>
  <conditionalFormatting sqref="S7:T7 R7:S46">
    <cfRule type="cellIs" dxfId="264" priority="136" operator="greaterThan">
      <formula>100</formula>
    </cfRule>
    <cfRule type="containsBlanks" dxfId="263" priority="137">
      <formula>LEN(TRIM(R7))=0</formula>
    </cfRule>
    <cfRule type="cellIs" dxfId="262" priority="138" operator="lessThan">
      <formula>$C$4</formula>
    </cfRule>
  </conditionalFormatting>
  <conditionalFormatting sqref="U7:V46">
    <cfRule type="cellIs" dxfId="261" priority="133" operator="greaterThan">
      <formula>100</formula>
    </cfRule>
    <cfRule type="containsBlanks" dxfId="260" priority="134">
      <formula>LEN(TRIM(U7))=0</formula>
    </cfRule>
    <cfRule type="cellIs" dxfId="259" priority="135" operator="lessThan">
      <formula>$C$4</formula>
    </cfRule>
  </conditionalFormatting>
  <conditionalFormatting sqref="X7:Y46">
    <cfRule type="cellIs" dxfId="258" priority="130" operator="greaterThan">
      <formula>100</formula>
    </cfRule>
    <cfRule type="containsBlanks" dxfId="257" priority="131">
      <formula>LEN(TRIM(X7))=0</formula>
    </cfRule>
    <cfRule type="cellIs" dxfId="256" priority="132" operator="lessThan">
      <formula>$C$4</formula>
    </cfRule>
  </conditionalFormatting>
  <conditionalFormatting sqref="AA7:AB46">
    <cfRule type="cellIs" dxfId="255" priority="127" operator="greaterThan">
      <formula>100</formula>
    </cfRule>
    <cfRule type="containsBlanks" dxfId="254" priority="128">
      <formula>LEN(TRIM(AA7))=0</formula>
    </cfRule>
    <cfRule type="cellIs" dxfId="253" priority="129" operator="lessThan">
      <formula>$C$4</formula>
    </cfRule>
  </conditionalFormatting>
  <conditionalFormatting sqref="AD7:AE46">
    <cfRule type="cellIs" dxfId="252" priority="124" operator="greaterThan">
      <formula>100</formula>
    </cfRule>
    <cfRule type="containsBlanks" dxfId="251" priority="125">
      <formula>LEN(TRIM(AD7))=0</formula>
    </cfRule>
    <cfRule type="cellIs" dxfId="250" priority="126" operator="lessThan">
      <formula>$C$4</formula>
    </cfRule>
  </conditionalFormatting>
  <conditionalFormatting sqref="AG7:AH46">
    <cfRule type="cellIs" dxfId="249" priority="121" operator="greaterThan">
      <formula>100</formula>
    </cfRule>
    <cfRule type="containsBlanks" dxfId="248" priority="122">
      <formula>LEN(TRIM(AG7))=0</formula>
    </cfRule>
    <cfRule type="cellIs" dxfId="247" priority="123" operator="lessThan">
      <formula>$C$4</formula>
    </cfRule>
  </conditionalFormatting>
  <conditionalFormatting sqref="AJ7:AK46">
    <cfRule type="cellIs" dxfId="246" priority="118" operator="greaterThan">
      <formula>100</formula>
    </cfRule>
    <cfRule type="containsBlanks" dxfId="245" priority="119">
      <formula>LEN(TRIM(AJ7))=0</formula>
    </cfRule>
    <cfRule type="cellIs" dxfId="244" priority="120" operator="lessThan">
      <formula>$C$4</formula>
    </cfRule>
  </conditionalFormatting>
  <conditionalFormatting sqref="AM7:AN46">
    <cfRule type="cellIs" dxfId="243" priority="115" operator="greaterThan">
      <formula>100</formula>
    </cfRule>
    <cfRule type="containsBlanks" dxfId="242" priority="116">
      <formula>LEN(TRIM(AM7))=0</formula>
    </cfRule>
    <cfRule type="cellIs" dxfId="241" priority="117" operator="lessThan">
      <formula>$C$4</formula>
    </cfRule>
  </conditionalFormatting>
  <conditionalFormatting sqref="AP7:AQ46 AT7:AT46">
    <cfRule type="cellIs" dxfId="240" priority="112" operator="greaterThan">
      <formula>100</formula>
    </cfRule>
    <cfRule type="containsBlanks" dxfId="239" priority="113">
      <formula>LEN(TRIM(AP7))=0</formula>
    </cfRule>
    <cfRule type="cellIs" dxfId="238" priority="114" operator="lessThan">
      <formula>$C$4</formula>
    </cfRule>
  </conditionalFormatting>
  <conditionalFormatting sqref="AS7:AT46 AT46:AX46">
    <cfRule type="cellIs" dxfId="237" priority="109" operator="greaterThan">
      <formula>100</formula>
    </cfRule>
    <cfRule type="containsBlanks" dxfId="236" priority="110">
      <formula>LEN(TRIM(AS7))=0</formula>
    </cfRule>
    <cfRule type="cellIs" dxfId="235" priority="111" operator="lessThan">
      <formula>$C$4</formula>
    </cfRule>
  </conditionalFormatting>
  <conditionalFormatting sqref="AV7:AW46">
    <cfRule type="cellIs" dxfId="234" priority="106" operator="greaterThan">
      <formula>100</formula>
    </cfRule>
    <cfRule type="containsBlanks" dxfId="233" priority="107">
      <formula>LEN(TRIM(AV7))=0</formula>
    </cfRule>
    <cfRule type="cellIs" dxfId="232" priority="108" operator="lessThan">
      <formula>$C$4</formula>
    </cfRule>
  </conditionalFormatting>
  <conditionalFormatting sqref="AY7:AZ46">
    <cfRule type="cellIs" dxfId="231" priority="103" operator="greaterThan">
      <formula>100</formula>
    </cfRule>
    <cfRule type="containsBlanks" dxfId="230" priority="104">
      <formula>LEN(TRIM(AY7))=0</formula>
    </cfRule>
    <cfRule type="cellIs" dxfId="229" priority="105" operator="lessThan">
      <formula>$C$4</formula>
    </cfRule>
  </conditionalFormatting>
  <conditionalFormatting sqref="L7:M45">
    <cfRule type="containsBlanks" dxfId="228" priority="99">
      <formula>LEN(TRIM(L7))=0</formula>
    </cfRule>
    <cfRule type="cellIs" dxfId="227" priority="100" operator="lessThan">
      <formula>$C$4</formula>
    </cfRule>
    <cfRule type="cellIs" dxfId="226" priority="101" operator="greaterThan">
      <formula>100</formula>
    </cfRule>
  </conditionalFormatting>
  <conditionalFormatting sqref="O7:P46">
    <cfRule type="containsBlanks" dxfId="225" priority="96">
      <formula>LEN(TRIM(O7))=0</formula>
    </cfRule>
    <cfRule type="cellIs" dxfId="224" priority="97" operator="lessThan">
      <formula>$C$4</formula>
    </cfRule>
    <cfRule type="cellIs" dxfId="223" priority="98" operator="greaterThan">
      <formula>100</formula>
    </cfRule>
  </conditionalFormatting>
  <conditionalFormatting sqref="S7:T7 R7:S46">
    <cfRule type="containsBlanks" dxfId="222" priority="93">
      <formula>LEN(TRIM(R7))=0</formula>
    </cfRule>
    <cfRule type="cellIs" dxfId="221" priority="94" operator="lessThan">
      <formula>$C$4</formula>
    </cfRule>
    <cfRule type="cellIs" dxfId="220" priority="95" operator="greaterThan">
      <formula>100</formula>
    </cfRule>
  </conditionalFormatting>
  <conditionalFormatting sqref="U7:V46">
    <cfRule type="containsBlanks" dxfId="219" priority="90">
      <formula>LEN(TRIM(U7))=0</formula>
    </cfRule>
    <cfRule type="cellIs" dxfId="218" priority="91" operator="lessThan">
      <formula>$C$4</formula>
    </cfRule>
    <cfRule type="cellIs" dxfId="217" priority="92" operator="greaterThan">
      <formula>100</formula>
    </cfRule>
  </conditionalFormatting>
  <conditionalFormatting sqref="X7:Y46">
    <cfRule type="containsBlanks" dxfId="216" priority="87">
      <formula>LEN(TRIM(X7))=0</formula>
    </cfRule>
    <cfRule type="cellIs" dxfId="215" priority="88" operator="lessThan">
      <formula>$C$4</formula>
    </cfRule>
    <cfRule type="cellIs" dxfId="214" priority="89" operator="greaterThan">
      <formula>100</formula>
    </cfRule>
  </conditionalFormatting>
  <conditionalFormatting sqref="AA7:AB46">
    <cfRule type="containsBlanks" dxfId="213" priority="84">
      <formula>LEN(TRIM(AA7))=0</formula>
    </cfRule>
    <cfRule type="cellIs" dxfId="212" priority="85" operator="lessThan">
      <formula>$C$4</formula>
    </cfRule>
    <cfRule type="cellIs" dxfId="211" priority="86" operator="greaterThan">
      <formula>100</formula>
    </cfRule>
  </conditionalFormatting>
  <conditionalFormatting sqref="AD7:AE46">
    <cfRule type="containsBlanks" dxfId="210" priority="81">
      <formula>LEN(TRIM(AD7))=0</formula>
    </cfRule>
    <cfRule type="cellIs" dxfId="209" priority="82" operator="lessThan">
      <formula>$C$4</formula>
    </cfRule>
    <cfRule type="cellIs" dxfId="208" priority="83" operator="greaterThan">
      <formula>100</formula>
    </cfRule>
  </conditionalFormatting>
  <conditionalFormatting sqref="AG7:AH46">
    <cfRule type="containsBlanks" dxfId="207" priority="78">
      <formula>LEN(TRIM(AG7))=0</formula>
    </cfRule>
    <cfRule type="cellIs" dxfId="206" priority="79" operator="lessThan">
      <formula>$C$4</formula>
    </cfRule>
    <cfRule type="cellIs" dxfId="205" priority="80" operator="greaterThan">
      <formula>100</formula>
    </cfRule>
  </conditionalFormatting>
  <conditionalFormatting sqref="AJ7:AK46">
    <cfRule type="containsBlanks" dxfId="204" priority="75">
      <formula>LEN(TRIM(AJ7))=0</formula>
    </cfRule>
    <cfRule type="cellIs" dxfId="203" priority="76" operator="lessThan">
      <formula>$C$4</formula>
    </cfRule>
    <cfRule type="cellIs" dxfId="202" priority="77" operator="greaterThan">
      <formula>100</formula>
    </cfRule>
  </conditionalFormatting>
  <conditionalFormatting sqref="AM7:AN46">
    <cfRule type="containsBlanks" dxfId="201" priority="72">
      <formula>LEN(TRIM(AM7))=0</formula>
    </cfRule>
    <cfRule type="cellIs" dxfId="200" priority="73" operator="lessThan">
      <formula>$C$4</formula>
    </cfRule>
    <cfRule type="cellIs" dxfId="199" priority="74" operator="greaterThan">
      <formula>100</formula>
    </cfRule>
  </conditionalFormatting>
  <conditionalFormatting sqref="AP7:AQ46 AT7:AT46">
    <cfRule type="containsBlanks" dxfId="198" priority="69">
      <formula>LEN(TRIM(AP7))=0</formula>
    </cfRule>
    <cfRule type="cellIs" dxfId="197" priority="70" operator="lessThan">
      <formula>$C$4</formula>
    </cfRule>
    <cfRule type="cellIs" dxfId="196" priority="71" operator="greaterThan">
      <formula>100</formula>
    </cfRule>
  </conditionalFormatting>
  <conditionalFormatting sqref="AS7:AT46 AT46:AX46">
    <cfRule type="containsBlanks" dxfId="195" priority="66">
      <formula>LEN(TRIM(AS7))=0</formula>
    </cfRule>
    <cfRule type="cellIs" dxfId="194" priority="67" operator="lessThan">
      <formula>$C$4</formula>
    </cfRule>
    <cfRule type="cellIs" dxfId="193" priority="68" operator="greaterThan">
      <formula>100</formula>
    </cfRule>
  </conditionalFormatting>
  <conditionalFormatting sqref="AV7:AW46">
    <cfRule type="containsBlanks" dxfId="192" priority="63">
      <formula>LEN(TRIM(AV7))=0</formula>
    </cfRule>
    <cfRule type="cellIs" dxfId="191" priority="64" operator="lessThan">
      <formula>$C$4</formula>
    </cfRule>
    <cfRule type="cellIs" dxfId="190" priority="65" operator="greaterThan">
      <formula>100</formula>
    </cfRule>
  </conditionalFormatting>
  <conditionalFormatting sqref="AY7:AZ46">
    <cfRule type="containsBlanks" dxfId="189" priority="60">
      <formula>LEN(TRIM(AY7))=0</formula>
    </cfRule>
    <cfRule type="cellIs" dxfId="188" priority="61" operator="lessThan">
      <formula>$C$4</formula>
    </cfRule>
    <cfRule type="cellIs" dxfId="187" priority="62" operator="greaterThan">
      <formula>100</formula>
    </cfRule>
  </conditionalFormatting>
  <conditionalFormatting sqref="J17:J25">
    <cfRule type="cellIs" dxfId="186" priority="57" operator="greaterThan">
      <formula>100</formula>
    </cfRule>
    <cfRule type="containsBlanks" dxfId="185" priority="58">
      <formula>LEN(TRIM(J17))=0</formula>
    </cfRule>
    <cfRule type="cellIs" dxfId="184" priority="59" operator="lessThan">
      <formula>$C$4</formula>
    </cfRule>
  </conditionalFormatting>
  <conditionalFormatting sqref="J17:J25">
    <cfRule type="containsBlanks" dxfId="183" priority="54">
      <formula>LEN(TRIM(J17))=0</formula>
    </cfRule>
    <cfRule type="cellIs" dxfId="182" priority="55" operator="lessThan">
      <formula>$C$4</formula>
    </cfRule>
    <cfRule type="cellIs" dxfId="181" priority="56" operator="greaterThan">
      <formula>100</formula>
    </cfRule>
  </conditionalFormatting>
  <conditionalFormatting sqref="J26:J34">
    <cfRule type="cellIs" dxfId="180" priority="51" operator="greaterThan">
      <formula>100</formula>
    </cfRule>
    <cfRule type="containsBlanks" dxfId="179" priority="52">
      <formula>LEN(TRIM(J26))=0</formula>
    </cfRule>
    <cfRule type="cellIs" dxfId="178" priority="53" operator="lessThan">
      <formula>$C$4</formula>
    </cfRule>
  </conditionalFormatting>
  <conditionalFormatting sqref="J26:J34">
    <cfRule type="containsBlanks" dxfId="177" priority="48">
      <formula>LEN(TRIM(J26))=0</formula>
    </cfRule>
    <cfRule type="cellIs" dxfId="176" priority="49" operator="lessThan">
      <formula>$C$4</formula>
    </cfRule>
    <cfRule type="cellIs" dxfId="175" priority="50" operator="greaterThan">
      <formula>100</formula>
    </cfRule>
  </conditionalFormatting>
  <conditionalFormatting sqref="J35:J46">
    <cfRule type="cellIs" dxfId="174" priority="45" operator="greaterThan">
      <formula>100</formula>
    </cfRule>
    <cfRule type="containsBlanks" dxfId="173" priority="46">
      <formula>LEN(TRIM(J35))=0</formula>
    </cfRule>
    <cfRule type="cellIs" dxfId="172" priority="47" operator="lessThan">
      <formula>$C$4</formula>
    </cfRule>
  </conditionalFormatting>
  <conditionalFormatting sqref="J35:J46">
    <cfRule type="containsBlanks" dxfId="171" priority="42">
      <formula>LEN(TRIM(J35))=0</formula>
    </cfRule>
    <cfRule type="cellIs" dxfId="170" priority="43" operator="lessThan">
      <formula>$C$4</formula>
    </cfRule>
    <cfRule type="cellIs" dxfId="169" priority="44" operator="greaterThan">
      <formula>100</formula>
    </cfRule>
  </conditionalFormatting>
  <conditionalFormatting sqref="L17:M23">
    <cfRule type="containsBlanks" dxfId="168" priority="39">
      <formula>LEN(TRIM(L17))=0</formula>
    </cfRule>
    <cfRule type="cellIs" dxfId="167" priority="40" operator="lessThan">
      <formula>$C$4</formula>
    </cfRule>
    <cfRule type="cellIs" dxfId="166" priority="41" operator="greaterThan">
      <formula>100</formula>
    </cfRule>
  </conditionalFormatting>
  <conditionalFormatting sqref="L24:M30">
    <cfRule type="containsBlanks" dxfId="165" priority="36">
      <formula>LEN(TRIM(L24))=0</formula>
    </cfRule>
    <cfRule type="cellIs" dxfId="164" priority="37" operator="lessThan">
      <formula>$C$4</formula>
    </cfRule>
    <cfRule type="cellIs" dxfId="163" priority="38" operator="greaterThan">
      <formula>100</formula>
    </cfRule>
  </conditionalFormatting>
  <conditionalFormatting sqref="L31:M37">
    <cfRule type="containsBlanks" dxfId="162" priority="33">
      <formula>LEN(TRIM(L31))=0</formula>
    </cfRule>
    <cfRule type="cellIs" dxfId="161" priority="34" operator="lessThan">
      <formula>$C$4</formula>
    </cfRule>
    <cfRule type="cellIs" dxfId="160" priority="35" operator="greaterThan">
      <formula>100</formula>
    </cfRule>
  </conditionalFormatting>
  <conditionalFormatting sqref="L38:M44">
    <cfRule type="containsBlanks" dxfId="159" priority="30">
      <formula>LEN(TRIM(L38))=0</formula>
    </cfRule>
    <cfRule type="cellIs" dxfId="158" priority="31" operator="lessThan">
      <formula>$C$4</formula>
    </cfRule>
    <cfRule type="cellIs" dxfId="157" priority="32" operator="greaterThan">
      <formula>100</formula>
    </cfRule>
  </conditionalFormatting>
  <conditionalFormatting sqref="L45:M46">
    <cfRule type="containsBlanks" dxfId="156" priority="27">
      <formula>LEN(TRIM(L45))=0</formula>
    </cfRule>
    <cfRule type="cellIs" dxfId="155" priority="28" operator="lessThan">
      <formula>$C$4</formula>
    </cfRule>
    <cfRule type="cellIs" dxfId="154" priority="29" operator="greaterThan">
      <formula>100</formula>
    </cfRule>
  </conditionalFormatting>
  <conditionalFormatting sqref="U7:V9">
    <cfRule type="cellIs" dxfId="153" priority="26" stopIfTrue="1" operator="lessThan">
      <formula>$U$7</formula>
    </cfRule>
  </conditionalFormatting>
  <conditionalFormatting sqref="U7:V9">
    <cfRule type="containsBlanks" dxfId="152" priority="150">
      <formula>LEN(TRIM(U7))=0</formula>
    </cfRule>
    <cfRule type="cellIs" dxfId="151" priority="24" operator="greaterThan">
      <formula>100</formula>
    </cfRule>
    <cfRule type="cellIs" dxfId="150" priority="25" operator="lessThan">
      <formula>$U$7</formula>
    </cfRule>
  </conditionalFormatting>
  <conditionalFormatting sqref="AV7:AW46">
    <cfRule type="cellIs" dxfId="149" priority="22" stopIfTrue="1" operator="lessThan">
      <formula>$U$7</formula>
    </cfRule>
  </conditionalFormatting>
  <conditionalFormatting sqref="AV7:AW46">
    <cfRule type="containsBlanks" dxfId="148" priority="19">
      <formula>LEN(TRIM(AV7))=0</formula>
    </cfRule>
    <cfRule type="cellIs" dxfId="147" priority="20" operator="greaterThan">
      <formula>100</formula>
    </cfRule>
    <cfRule type="cellIs" dxfId="146" priority="21" operator="lessThan">
      <formula>$U$7</formula>
    </cfRule>
  </conditionalFormatting>
  <conditionalFormatting sqref="AW7:AW46">
    <cfRule type="cellIs" dxfId="145" priority="16" operator="greaterThan">
      <formula>100</formula>
    </cfRule>
    <cfRule type="containsBlanks" dxfId="144" priority="17">
      <formula>LEN(TRIM(AW7))=0</formula>
    </cfRule>
    <cfRule type="cellIs" dxfId="143" priority="18" operator="lessThan">
      <formula>$C$4</formula>
    </cfRule>
  </conditionalFormatting>
  <conditionalFormatting sqref="AV7:AW46">
    <cfRule type="cellIs" dxfId="142" priority="13" operator="greaterThan">
      <formula>100</formula>
    </cfRule>
    <cfRule type="containsBlanks" dxfId="141" priority="14">
      <formula>LEN(TRIM(AV7))=0</formula>
    </cfRule>
    <cfRule type="cellIs" dxfId="140" priority="15" operator="lessThan">
      <formula>$C$4</formula>
    </cfRule>
  </conditionalFormatting>
  <conditionalFormatting sqref="AW7:AW46">
    <cfRule type="containsBlanks" dxfId="139" priority="10">
      <formula>LEN(TRIM(AW7))=0</formula>
    </cfRule>
    <cfRule type="cellIs" dxfId="138" priority="11" operator="lessThan">
      <formula>$C$4</formula>
    </cfRule>
    <cfRule type="cellIs" dxfId="137" priority="12" operator="greaterThan">
      <formula>100</formula>
    </cfRule>
  </conditionalFormatting>
  <conditionalFormatting sqref="AV7:AW46">
    <cfRule type="containsBlanks" dxfId="136" priority="7">
      <formula>LEN(TRIM(AV7))=0</formula>
    </cfRule>
    <cfRule type="cellIs" dxfId="135" priority="8" operator="lessThan">
      <formula>$C$4</formula>
    </cfRule>
    <cfRule type="cellIs" dxfId="134" priority="9" operator="greaterThan">
      <formula>100</formula>
    </cfRule>
  </conditionalFormatting>
  <conditionalFormatting sqref="AD20:AE39">
    <cfRule type="containsBlanks" dxfId="133" priority="4">
      <formula>LEN(TRIM(AD20))=0</formula>
    </cfRule>
    <cfRule type="cellIs" dxfId="132" priority="5" operator="greaterThan">
      <formula>100</formula>
    </cfRule>
    <cfRule type="cellIs" dxfId="131" priority="6" operator="lessThan">
      <formula>$E$11</formula>
    </cfRule>
  </conditionalFormatting>
  <conditionalFormatting sqref="AD7:AE26">
    <cfRule type="containsBlanks" dxfId="130" priority="1">
      <formula>LEN(TRIM(AD7))=0</formula>
    </cfRule>
    <cfRule type="cellIs" dxfId="129" priority="2" operator="greaterThan">
      <formula>100</formula>
    </cfRule>
    <cfRule type="cellIs" dxfId="128" priority="3" operator="lessThan">
      <formula>$E$11</formula>
    </cfRule>
  </conditionalFormatting>
  <dataValidations count="1">
    <dataValidation type="list" allowBlank="1" showInputMessage="1" showErrorMessage="1" sqref="C4">
      <formula1>_nilai</formula1>
    </dataValidation>
  </dataValidations>
  <hyperlinks>
    <hyperlink ref="B8" location="Leger1!H4" display="Leger1!H4"/>
    <hyperlink ref="B9" location="Leger1!K4" display="Leger1!K4"/>
    <hyperlink ref="B10" location="Leger1!N4" display="Leger1!N4"/>
    <hyperlink ref="B11" location="Leger1!Q4" display="Leger1!Q4"/>
    <hyperlink ref="B12" location="Leger1!T4" display="Leger1!T4"/>
    <hyperlink ref="B13" location="Leger1!W4" display="Leger1!W4"/>
    <hyperlink ref="B14" location="Leger1!Z4" display="Leger1!Z4"/>
    <hyperlink ref="B15" location="Leger1!AC4" display="Leger1!AC4"/>
    <hyperlink ref="B16" location="Leger1!AF4" display="Leger1!AF4"/>
    <hyperlink ref="B17" location="Leger1!AI4" display="Leger1!AI4"/>
    <hyperlink ref="B18" location="Leger1!AL4" display="Leger1!AL4"/>
    <hyperlink ref="B19" location="Leger1!AO4" display="Leger1!AO4"/>
    <hyperlink ref="B20" location="Leger1!AR4" display="Leger1!AR4"/>
    <hyperlink ref="B21" location="Leger1!AU4" display="Leger1!AU4"/>
    <hyperlink ref="B22" location="Leger1!AX4" display="Leger1!AX4"/>
    <hyperlink ref="B23" location="Leger1!BD2" display="Leger1!BD2"/>
    <hyperlink ref="B24" location="Leger1!BJ2" display="Catatan u/ Orang Tua"/>
    <hyperlink ref="B8:C8" location="Leger1!I4" display="Leger1!I4"/>
    <hyperlink ref="B9:C9" location="Leger1!L4" display="Leger1!L4"/>
    <hyperlink ref="B10:C10" location="Leger1!O4" display="Leger1!O4"/>
    <hyperlink ref="B11:C11" location="Leger1!R4" display="Leger1!R4"/>
    <hyperlink ref="B12:C12" location="Leger1!U4" display="Leger1!U4"/>
    <hyperlink ref="B13:C13" location="Leger1!X4" display="Leger1!X4"/>
    <hyperlink ref="B14:C14" location="Leger1!AA4" display="Leger1!AA4"/>
    <hyperlink ref="B15:C15" location="Leger1!AD4" display="Leger1!AD4"/>
    <hyperlink ref="B16:C16" location="Leger1!AG4" display="Leger1!AG4"/>
    <hyperlink ref="B17:C17" location="Leger1!AJ4" display="Leger1!AJ4"/>
    <hyperlink ref="B18:C18" location="Leger1!AM4" display="Leger1!AM4"/>
    <hyperlink ref="B19:C19" location="Leger1!AP4" display="Leger1!AP4"/>
    <hyperlink ref="B20:C20" location="Leger1!AS4" display="Leger1!AS4"/>
    <hyperlink ref="B21:C21" location="Leger1!AV4" display="Leger1!AV4"/>
    <hyperlink ref="B22:C22" location="Leger1!AY4" display="Leger1!AY4"/>
    <hyperlink ref="B23:C23" location="Leger1!BE2" display="Leger1!BE2"/>
    <hyperlink ref="B24:C24" location="Leger1!BK2" display="Catatan u/ Orang Tua"/>
  </hyperlinks>
  <pageMargins left="0.35" right="0.19" top="0.74803149606299213" bottom="0.43307086614173229" header="0.31496062992125984" footer="0.31496062992125984"/>
  <pageSetup paperSize="256" scale="55" orientation="landscape" horizontalDpi="4294967293" r:id="rId1"/>
  <drawing r:id="rId2"/>
</worksheet>
</file>

<file path=xl/worksheets/sheet9.xml><?xml version="1.0" encoding="utf-8"?>
<worksheet xmlns="http://schemas.openxmlformats.org/spreadsheetml/2006/main" xmlns:r="http://schemas.openxmlformats.org/officeDocument/2006/relationships">
  <sheetPr codeName="Sheet14">
    <tabColor theme="9"/>
  </sheetPr>
  <dimension ref="A1:F33"/>
  <sheetViews>
    <sheetView showRowColHeaders="0" workbookViewId="0">
      <selection activeCell="D13" sqref="D13"/>
    </sheetView>
  </sheetViews>
  <sheetFormatPr defaultColWidth="0" defaultRowHeight="15" zeroHeight="1"/>
  <cols>
    <col min="1" max="1" width="14.7109375" style="16" customWidth="1"/>
    <col min="2" max="2" width="6.28515625" style="16" customWidth="1"/>
    <col min="3" max="3" width="26.140625" style="16" customWidth="1"/>
    <col min="4" max="4" width="71" style="16" customWidth="1"/>
    <col min="5" max="5" width="70.5703125" style="16" customWidth="1"/>
    <col min="6" max="6" width="8.42578125" style="16" customWidth="1"/>
    <col min="7" max="16384" width="9.140625" style="16" hidden="1"/>
  </cols>
  <sheetData>
    <row r="1" spans="2:5"/>
    <row r="2" spans="2:5" ht="23.25" customHeight="1">
      <c r="B2" s="255" t="s">
        <v>118</v>
      </c>
      <c r="C2" s="198"/>
      <c r="D2" s="198"/>
      <c r="E2" s="198"/>
    </row>
    <row r="3" spans="2:5" ht="30" customHeight="1" thickBot="1">
      <c r="B3" s="256" t="str">
        <f>"SEMESTER "&amp;UPPER(_smt_ganjil)&amp;" - KELAS "&amp;_kelas</f>
        <v>SEMESTER 3 (TIGA) - KELAS VIII A</v>
      </c>
      <c r="C3" s="198"/>
      <c r="D3" s="198"/>
      <c r="E3" s="198"/>
    </row>
    <row r="4" spans="2:5" s="28" customFormat="1" ht="19.5" customHeight="1">
      <c r="B4" s="965" t="s">
        <v>50</v>
      </c>
      <c r="C4" s="968" t="s">
        <v>119</v>
      </c>
      <c r="D4" s="962" t="s">
        <v>120</v>
      </c>
      <c r="E4" s="953"/>
    </row>
    <row r="5" spans="2:5" s="28" customFormat="1" ht="19.5" customHeight="1">
      <c r="B5" s="966"/>
      <c r="C5" s="969"/>
      <c r="D5" s="963"/>
      <c r="E5" s="964"/>
    </row>
    <row r="6" spans="2:5" s="28" customFormat="1" ht="15.75" customHeight="1" thickBot="1">
      <c r="B6" s="966"/>
      <c r="C6" s="969"/>
      <c r="D6" s="954"/>
      <c r="E6" s="956"/>
    </row>
    <row r="7" spans="2:5" s="28" customFormat="1" ht="19.5" thickBot="1">
      <c r="B7" s="967"/>
      <c r="C7" s="970"/>
      <c r="D7" s="257" t="s">
        <v>121</v>
      </c>
      <c r="E7" s="257" t="s">
        <v>122</v>
      </c>
    </row>
    <row r="8" spans="2:5">
      <c r="B8" s="258">
        <v>1</v>
      </c>
      <c r="C8" s="259" t="str">
        <f>_MP1</f>
        <v>Pendidikan Agama Islam</v>
      </c>
      <c r="D8" s="129" t="s">
        <v>609</v>
      </c>
      <c r="E8" s="129"/>
    </row>
    <row r="9" spans="2:5">
      <c r="B9" s="260">
        <v>2</v>
      </c>
      <c r="C9" s="261" t="str">
        <f>_MP2</f>
        <v>Pendidikan Agama Kristen</v>
      </c>
      <c r="D9" s="128"/>
      <c r="E9" s="128"/>
    </row>
    <row r="10" spans="2:5">
      <c r="B10" s="260">
        <v>3</v>
      </c>
      <c r="C10" s="261" t="str">
        <f>_MP3</f>
        <v>Pendidikan Agama Katolik</v>
      </c>
      <c r="D10" s="128"/>
      <c r="E10" s="128"/>
    </row>
    <row r="11" spans="2:5">
      <c r="B11" s="260">
        <v>4</v>
      </c>
      <c r="C11" s="261" t="str">
        <f>_MP4</f>
        <v>Pendidikan Agama Hindu</v>
      </c>
      <c r="D11" s="128"/>
      <c r="E11" s="128"/>
    </row>
    <row r="12" spans="2:5">
      <c r="B12" s="260">
        <v>5</v>
      </c>
      <c r="C12" s="261" t="str">
        <f>_MP5</f>
        <v>Pendidikan Agama Budha</v>
      </c>
      <c r="D12" s="128"/>
      <c r="E12" s="128"/>
    </row>
    <row r="13" spans="2:5">
      <c r="B13" s="262">
        <v>6</v>
      </c>
      <c r="C13" s="263" t="str">
        <f>_MP6</f>
        <v>PKn</v>
      </c>
      <c r="D13" s="128"/>
      <c r="E13" s="128"/>
    </row>
    <row r="14" spans="2:5">
      <c r="B14" s="264">
        <v>7</v>
      </c>
      <c r="C14" s="265" t="str">
        <f>_MP7</f>
        <v xml:space="preserve">Bahasa Indonesia </v>
      </c>
      <c r="D14" s="128"/>
      <c r="E14" s="128"/>
    </row>
    <row r="15" spans="2:5">
      <c r="B15" s="264">
        <v>8</v>
      </c>
      <c r="C15" s="265" t="str">
        <f>_MP8</f>
        <v xml:space="preserve">Matematika </v>
      </c>
      <c r="D15" s="128"/>
      <c r="E15" s="128"/>
    </row>
    <row r="16" spans="2:5">
      <c r="B16" s="264">
        <v>9</v>
      </c>
      <c r="C16" s="265" t="str">
        <f>_MP9</f>
        <v xml:space="preserve">Ilmu Pengetahuan Alam </v>
      </c>
      <c r="D16" s="128"/>
      <c r="E16" s="128"/>
    </row>
    <row r="17" spans="2:5">
      <c r="B17" s="264">
        <v>10</v>
      </c>
      <c r="C17" s="265" t="str">
        <f>_MP10</f>
        <v xml:space="preserve">Ilmu Pengetahuan Sosial </v>
      </c>
      <c r="D17" s="128"/>
      <c r="E17" s="128"/>
    </row>
    <row r="18" spans="2:5">
      <c r="B18" s="264">
        <v>11</v>
      </c>
      <c r="C18" s="265" t="str">
        <f>_MP11</f>
        <v xml:space="preserve">Bahasa Inggris </v>
      </c>
      <c r="D18" s="128"/>
      <c r="E18" s="128"/>
    </row>
    <row r="19" spans="2:5">
      <c r="B19" s="264">
        <v>12</v>
      </c>
      <c r="C19" s="265" t="str">
        <f>_MP12</f>
        <v>Seni Budaya</v>
      </c>
      <c r="D19" s="128"/>
      <c r="E19" s="128"/>
    </row>
    <row r="20" spans="2:5">
      <c r="B20" s="264">
        <v>13</v>
      </c>
      <c r="C20" s="265" t="str">
        <f>_MP13</f>
        <v>Penjaskes</v>
      </c>
      <c r="D20" s="128"/>
      <c r="E20" s="128"/>
    </row>
    <row r="21" spans="2:5">
      <c r="B21" s="264">
        <v>14</v>
      </c>
      <c r="C21" s="265" t="str">
        <f>_MP14</f>
        <v>Prakarya</v>
      </c>
      <c r="D21" s="128"/>
      <c r="E21" s="128"/>
    </row>
    <row r="22" spans="2:5" ht="15.75" thickBot="1">
      <c r="B22" s="266">
        <v>15</v>
      </c>
      <c r="C22" s="267" t="str">
        <f>_MP15</f>
        <v>Bahasa dan Aksara Lampung</v>
      </c>
      <c r="D22" s="268"/>
      <c r="E22" s="268"/>
    </row>
    <row r="23" spans="2:5" ht="46.5" customHeight="1"/>
    <row r="24" spans="2:5" hidden="1"/>
    <row r="25" spans="2:5" hidden="1"/>
    <row r="26" spans="2:5" hidden="1"/>
    <row r="27" spans="2:5" hidden="1"/>
    <row r="28" spans="2:5" hidden="1"/>
    <row r="29" spans="2:5" hidden="1"/>
    <row r="30" spans="2:5" hidden="1"/>
    <row r="31" spans="2:5" hidden="1"/>
    <row r="32" spans="2:5" hidden="1"/>
    <row r="33" s="17" customFormat="1" hidden="1"/>
  </sheetData>
  <sheetProtection password="CF75" sheet="1" objects="1" scenarios="1" selectLockedCells="1"/>
  <mergeCells count="3">
    <mergeCell ref="D4:E6"/>
    <mergeCell ref="B4:B7"/>
    <mergeCell ref="C4:C7"/>
  </mergeCells>
  <pageMargins left="0.51" right="0.28999999999999998" top="0.75" bottom="0.75" header="0.3" footer="0.3"/>
  <pageSetup paperSize="9" scale="79" orientation="landscape" r:id="rId1"/>
  <drawing r:id="rId2"/>
</worksheet>
</file>

<file path=xl/worksheets/sheet10.xml><?xml version="1.0" encoding="utf-8"?>
<worksheet xmlns="http://schemas.openxmlformats.org/spreadsheetml/2006/main" xmlns:r="http://schemas.openxmlformats.org/officeDocument/2006/relationships">
  <sheetPr codeName="Sheet13">
    <tabColor theme="9"/>
  </sheetPr>
  <dimension ref="A1:K69"/>
  <sheetViews>
    <sheetView showRowColHeaders="0" workbookViewId="0">
      <selection activeCell="E29" sqref="E29"/>
    </sheetView>
  </sheetViews>
  <sheetFormatPr defaultColWidth="0" defaultRowHeight="15" zeroHeight="1"/>
  <cols>
    <col min="1" max="1" width="14.7109375" style="16" customWidth="1"/>
    <col min="2" max="2" width="5.7109375" style="17" customWidth="1"/>
    <col min="3" max="3" width="7.85546875" style="17" customWidth="1"/>
    <col min="4" max="4" width="32.85546875" style="16" customWidth="1"/>
    <col min="5" max="5" width="12.140625" style="16" customWidth="1"/>
    <col min="6" max="6" width="11.42578125" style="17" customWidth="1"/>
    <col min="7" max="7" width="2.85546875" style="16" customWidth="1"/>
    <col min="8" max="8" width="15" style="16" customWidth="1"/>
    <col min="9" max="9" width="62.5703125" style="16" customWidth="1"/>
    <col min="10" max="10" width="61.85546875" style="16" customWidth="1"/>
    <col min="11" max="11" width="9.140625" style="16" customWidth="1"/>
    <col min="12" max="16384" width="9.140625" style="16" hidden="1"/>
  </cols>
  <sheetData>
    <row r="1" spans="2:10"/>
    <row r="2" spans="2:10" ht="23.25" customHeight="1">
      <c r="B2" s="45" t="s">
        <v>297</v>
      </c>
    </row>
    <row r="3" spans="2:10" ht="30" customHeight="1" thickBot="1">
      <c r="B3" s="60" t="str">
        <f>"SEMESTER "&amp;UPPER(_smt_ganjil)&amp;" - KELAS "&amp;_kelas</f>
        <v>SEMESTER 3 (TIGA) - KELAS VIII A</v>
      </c>
    </row>
    <row r="4" spans="2:10" ht="18.75" customHeight="1">
      <c r="B4" s="825" t="s">
        <v>86</v>
      </c>
      <c r="C4" s="826"/>
      <c r="D4" s="827"/>
      <c r="E4" s="971" t="s">
        <v>12</v>
      </c>
      <c r="F4" s="972"/>
      <c r="H4" s="978" t="s">
        <v>117</v>
      </c>
      <c r="I4" s="989" t="s">
        <v>295</v>
      </c>
      <c r="J4" s="980" t="s">
        <v>116</v>
      </c>
    </row>
    <row r="5" spans="2:10" s="22" customFormat="1" ht="33.75" customHeight="1" thickBot="1">
      <c r="B5" s="828"/>
      <c r="C5" s="829"/>
      <c r="D5" s="830"/>
      <c r="E5" s="973"/>
      <c r="F5" s="974"/>
      <c r="H5" s="979"/>
      <c r="I5" s="989"/>
      <c r="J5" s="980"/>
    </row>
    <row r="6" spans="2:10" s="28" customFormat="1" ht="47.25" customHeight="1">
      <c r="B6" s="30" t="s">
        <v>50</v>
      </c>
      <c r="C6" s="31" t="s">
        <v>51</v>
      </c>
      <c r="D6" s="65" t="s">
        <v>52</v>
      </c>
      <c r="E6" s="59" t="s">
        <v>296</v>
      </c>
      <c r="F6" s="62" t="s">
        <v>115</v>
      </c>
      <c r="H6" s="975" t="s">
        <v>79</v>
      </c>
      <c r="I6" s="981" t="s">
        <v>396</v>
      </c>
      <c r="J6" s="985" t="s">
        <v>399</v>
      </c>
    </row>
    <row r="7" spans="2:10" ht="15.75" customHeight="1">
      <c r="B7" s="15">
        <f>IF(AND(C7="",C7="",D7=""),"",ROW()-6)</f>
        <v>1</v>
      </c>
      <c r="C7" s="46">
        <f>Leger1!F7</f>
        <v>7057</v>
      </c>
      <c r="D7" s="63" t="str">
        <f>Leger1!G7</f>
        <v>Ahmad Zaki Aufa</v>
      </c>
      <c r="E7" s="50" t="s">
        <v>83</v>
      </c>
      <c r="F7" s="52" t="s">
        <v>83</v>
      </c>
      <c r="H7" s="975"/>
      <c r="I7" s="981"/>
      <c r="J7" s="985"/>
    </row>
    <row r="8" spans="2:10" ht="15" customHeight="1">
      <c r="B8" s="15">
        <f t="shared" ref="B8:B46" si="0">IF(AND(C8="",C8="",D8=""),"",ROW()-6)</f>
        <v>2</v>
      </c>
      <c r="C8" s="46">
        <f>Leger1!F8</f>
        <v>7058</v>
      </c>
      <c r="D8" s="63" t="str">
        <f>Leger1!G8</f>
        <v>Anandhita Nafra Wilova</v>
      </c>
      <c r="E8" s="53" t="s">
        <v>83</v>
      </c>
      <c r="F8" s="54" t="s">
        <v>83</v>
      </c>
      <c r="H8" s="976" t="s">
        <v>83</v>
      </c>
      <c r="I8" s="982" t="s">
        <v>397</v>
      </c>
      <c r="J8" s="986" t="s">
        <v>400</v>
      </c>
    </row>
    <row r="9" spans="2:10" ht="15.75">
      <c r="B9" s="15">
        <f t="shared" si="0"/>
        <v>3</v>
      </c>
      <c r="C9" s="46">
        <f>Leger1!F9</f>
        <v>7059</v>
      </c>
      <c r="D9" s="63" t="str">
        <f>Leger1!G9</f>
        <v>Andini Dwi Aryanti</v>
      </c>
      <c r="E9" s="53" t="s">
        <v>83</v>
      </c>
      <c r="F9" s="54" t="s">
        <v>83</v>
      </c>
      <c r="H9" s="976"/>
      <c r="I9" s="983"/>
      <c r="J9" s="987"/>
    </row>
    <row r="10" spans="2:10" ht="15.75">
      <c r="B10" s="15">
        <f t="shared" si="0"/>
        <v>4</v>
      </c>
      <c r="C10" s="46">
        <f>Leger1!F10</f>
        <v>7060</v>
      </c>
      <c r="D10" s="63" t="str">
        <f>Leger1!G10</f>
        <v>Anggun Suci Rahmadani</v>
      </c>
      <c r="E10" s="53" t="s">
        <v>83</v>
      </c>
      <c r="F10" s="54" t="s">
        <v>83</v>
      </c>
      <c r="H10" s="976"/>
      <c r="I10" s="983"/>
      <c r="J10" s="987"/>
    </row>
    <row r="11" spans="2:10" ht="15.75">
      <c r="B11" s="15">
        <f t="shared" si="0"/>
        <v>5</v>
      </c>
      <c r="C11" s="46">
        <f>Leger1!F11</f>
        <v>7061</v>
      </c>
      <c r="D11" s="63" t="str">
        <f>Leger1!G11</f>
        <v>Anisa Julia Tasya</v>
      </c>
      <c r="E11" s="53" t="s">
        <v>83</v>
      </c>
      <c r="F11" s="54" t="s">
        <v>83</v>
      </c>
      <c r="H11" s="976"/>
      <c r="I11" s="984"/>
      <c r="J11" s="988"/>
    </row>
    <row r="12" spans="2:10" ht="15.75">
      <c r="B12" s="15">
        <f t="shared" si="0"/>
        <v>6</v>
      </c>
      <c r="C12" s="46">
        <f>Leger1!F12</f>
        <v>7065</v>
      </c>
      <c r="D12" s="63" t="str">
        <f>Leger1!G12</f>
        <v>Aulia Rahmawati</v>
      </c>
      <c r="E12" s="53" t="s">
        <v>83</v>
      </c>
      <c r="F12" s="54" t="s">
        <v>83</v>
      </c>
      <c r="H12" s="976" t="s">
        <v>82</v>
      </c>
      <c r="I12" s="982" t="s">
        <v>423</v>
      </c>
      <c r="J12" s="986" t="s">
        <v>401</v>
      </c>
    </row>
    <row r="13" spans="2:10" ht="15.75">
      <c r="B13" s="15">
        <f t="shared" si="0"/>
        <v>7</v>
      </c>
      <c r="C13" s="46">
        <f>Leger1!F13</f>
        <v>7066</v>
      </c>
      <c r="D13" s="63" t="str">
        <f>Leger1!G13</f>
        <v>Ayu Chumaira</v>
      </c>
      <c r="E13" s="53" t="s">
        <v>83</v>
      </c>
      <c r="F13" s="54" t="s">
        <v>83</v>
      </c>
      <c r="H13" s="976"/>
      <c r="I13" s="983"/>
      <c r="J13" s="987"/>
    </row>
    <row r="14" spans="2:10" ht="15.75">
      <c r="B14" s="15">
        <f t="shared" si="0"/>
        <v>8</v>
      </c>
      <c r="C14" s="46">
        <f>Leger1!F14</f>
        <v>7067</v>
      </c>
      <c r="D14" s="63" t="str">
        <f>Leger1!G14</f>
        <v>Ayu Emelia Putri</v>
      </c>
      <c r="E14" s="53" t="s">
        <v>83</v>
      </c>
      <c r="F14" s="54" t="s">
        <v>83</v>
      </c>
      <c r="H14" s="976"/>
      <c r="I14" s="983"/>
      <c r="J14" s="987"/>
    </row>
    <row r="15" spans="2:10" ht="15.75">
      <c r="B15" s="15">
        <f t="shared" si="0"/>
        <v>9</v>
      </c>
      <c r="C15" s="46">
        <f>Leger1!F15</f>
        <v>7068</v>
      </c>
      <c r="D15" s="63" t="str">
        <f>Leger1!G15</f>
        <v>Bayu Anggoro</v>
      </c>
      <c r="E15" s="53" t="s">
        <v>83</v>
      </c>
      <c r="F15" s="54" t="s">
        <v>83</v>
      </c>
      <c r="H15" s="976"/>
      <c r="I15" s="984"/>
      <c r="J15" s="988"/>
    </row>
    <row r="16" spans="2:10" ht="15.75">
      <c r="B16" s="15">
        <f t="shared" si="0"/>
        <v>10</v>
      </c>
      <c r="C16" s="46">
        <f>Leger1!F16</f>
        <v>7069</v>
      </c>
      <c r="D16" s="63" t="str">
        <f>Leger1!G16</f>
        <v>Calissta Sabrina Salwa Aurelia</v>
      </c>
      <c r="E16" s="53" t="s">
        <v>83</v>
      </c>
      <c r="F16" s="54" t="s">
        <v>83</v>
      </c>
      <c r="H16" s="976" t="s">
        <v>81</v>
      </c>
      <c r="I16" s="982" t="s">
        <v>398</v>
      </c>
      <c r="J16" s="986" t="s">
        <v>402</v>
      </c>
    </row>
    <row r="17" spans="2:10" ht="15.75">
      <c r="B17" s="15">
        <f t="shared" si="0"/>
        <v>11</v>
      </c>
      <c r="C17" s="46">
        <f>Leger1!F17</f>
        <v>7074</v>
      </c>
      <c r="D17" s="63" t="str">
        <f>Leger1!G17</f>
        <v>Dea Safitri</v>
      </c>
      <c r="E17" s="53" t="s">
        <v>83</v>
      </c>
      <c r="F17" s="54" t="s">
        <v>83</v>
      </c>
      <c r="H17" s="976"/>
      <c r="I17" s="983"/>
      <c r="J17" s="987"/>
    </row>
    <row r="18" spans="2:10" ht="15.75">
      <c r="B18" s="15">
        <f t="shared" si="0"/>
        <v>12</v>
      </c>
      <c r="C18" s="46">
        <f>Leger1!F18</f>
        <v>7080</v>
      </c>
      <c r="D18" s="63" t="str">
        <f>Leger1!G18</f>
        <v>Dewi Wulandari</v>
      </c>
      <c r="E18" s="53" t="s">
        <v>83</v>
      </c>
      <c r="F18" s="54" t="s">
        <v>83</v>
      </c>
      <c r="H18" s="976"/>
      <c r="I18" s="983"/>
      <c r="J18" s="987"/>
    </row>
    <row r="19" spans="2:10" ht="16.5" thickBot="1">
      <c r="B19" s="15">
        <f t="shared" si="0"/>
        <v>13</v>
      </c>
      <c r="C19" s="46">
        <f>Leger1!F19</f>
        <v>7084</v>
      </c>
      <c r="D19" s="63" t="str">
        <f>Leger1!G19</f>
        <v>Dony Pratama</v>
      </c>
      <c r="E19" s="53" t="s">
        <v>83</v>
      </c>
      <c r="F19" s="54" t="s">
        <v>83</v>
      </c>
      <c r="H19" s="977"/>
      <c r="I19" s="984"/>
      <c r="J19" s="988"/>
    </row>
    <row r="20" spans="2:10" ht="15.75">
      <c r="B20" s="15">
        <f t="shared" si="0"/>
        <v>14</v>
      </c>
      <c r="C20" s="46">
        <f>Leger1!F20</f>
        <v>7089</v>
      </c>
      <c r="D20" s="63" t="str">
        <f>Leger1!G20</f>
        <v>Faris Febram</v>
      </c>
      <c r="E20" s="53" t="s">
        <v>83</v>
      </c>
      <c r="F20" s="54" t="s">
        <v>83</v>
      </c>
    </row>
    <row r="21" spans="2:10" ht="15.75">
      <c r="B21" s="15">
        <f t="shared" si="0"/>
        <v>15</v>
      </c>
      <c r="C21" s="46">
        <f>Leger1!F21</f>
        <v>7095</v>
      </c>
      <c r="D21" s="63" t="str">
        <f>Leger1!G21</f>
        <v>Hikmatullah Umar Malik Abdul Aziz</v>
      </c>
      <c r="E21" s="53" t="s">
        <v>83</v>
      </c>
      <c r="F21" s="54" t="s">
        <v>83</v>
      </c>
    </row>
    <row r="22" spans="2:10" ht="15.75">
      <c r="B22" s="15">
        <f t="shared" si="0"/>
        <v>16</v>
      </c>
      <c r="C22" s="46">
        <f>Leger1!F22</f>
        <v>7096</v>
      </c>
      <c r="D22" s="63" t="str">
        <f>Leger1!G22</f>
        <v>Indah Purnama Ningsih</v>
      </c>
      <c r="E22" s="53" t="s">
        <v>83</v>
      </c>
      <c r="F22" s="54" t="s">
        <v>79</v>
      </c>
    </row>
    <row r="23" spans="2:10" ht="15.75">
      <c r="B23" s="15">
        <f t="shared" si="0"/>
        <v>17</v>
      </c>
      <c r="C23" s="46">
        <f>Leger1!F23</f>
        <v>7098</v>
      </c>
      <c r="D23" s="63" t="str">
        <f>Leger1!G23</f>
        <v>Ladiva Nurrosa Laila</v>
      </c>
      <c r="E23" s="53" t="s">
        <v>83</v>
      </c>
      <c r="F23" s="54" t="s">
        <v>83</v>
      </c>
    </row>
    <row r="24" spans="2:10" ht="15.75">
      <c r="B24" s="15">
        <f t="shared" si="0"/>
        <v>18</v>
      </c>
      <c r="C24" s="46">
        <f>Leger1!F24</f>
        <v>7101</v>
      </c>
      <c r="D24" s="63" t="str">
        <f>Leger1!G24</f>
        <v>Mefa Novita Putri</v>
      </c>
      <c r="E24" s="53" t="s">
        <v>83</v>
      </c>
      <c r="F24" s="54" t="s">
        <v>79</v>
      </c>
    </row>
    <row r="25" spans="2:10" ht="15.75">
      <c r="B25" s="15">
        <f t="shared" si="0"/>
        <v>19</v>
      </c>
      <c r="C25" s="46">
        <f>Leger1!F25</f>
        <v>7104</v>
      </c>
      <c r="D25" s="63" t="str">
        <f>Leger1!G25</f>
        <v>Mellanie Bunga Aprilia</v>
      </c>
      <c r="E25" s="53" t="s">
        <v>83</v>
      </c>
      <c r="F25" s="54" t="s">
        <v>83</v>
      </c>
    </row>
    <row r="26" spans="2:10" ht="15.75">
      <c r="B26" s="15">
        <f t="shared" si="0"/>
        <v>20</v>
      </c>
      <c r="C26" s="46">
        <f>Leger1!F26</f>
        <v>7105</v>
      </c>
      <c r="D26" s="63" t="str">
        <f>Leger1!G26</f>
        <v>Mirra Tusolickak</v>
      </c>
      <c r="E26" s="53" t="s">
        <v>83</v>
      </c>
      <c r="F26" s="54" t="s">
        <v>83</v>
      </c>
    </row>
    <row r="27" spans="2:10" ht="15.75">
      <c r="B27" s="15">
        <f t="shared" si="0"/>
        <v>21</v>
      </c>
      <c r="C27" s="46">
        <f>Leger1!F27</f>
        <v>7107</v>
      </c>
      <c r="D27" s="63" t="str">
        <f>Leger1!G27</f>
        <v>Muhammad Daffa Rifa'I</v>
      </c>
      <c r="E27" s="53" t="s">
        <v>83</v>
      </c>
      <c r="F27" s="54" t="s">
        <v>83</v>
      </c>
    </row>
    <row r="28" spans="2:10" ht="15.75">
      <c r="B28" s="15">
        <f t="shared" si="0"/>
        <v>22</v>
      </c>
      <c r="C28" s="46">
        <f>Leger1!F28</f>
        <v>7108</v>
      </c>
      <c r="D28" s="63" t="str">
        <f>Leger1!G28</f>
        <v>Muhammad Jaupanto</v>
      </c>
      <c r="E28" s="53" t="s">
        <v>83</v>
      </c>
      <c r="F28" s="54" t="s">
        <v>83</v>
      </c>
    </row>
    <row r="29" spans="2:10" ht="15.75">
      <c r="B29" s="15">
        <f t="shared" si="0"/>
        <v>23</v>
      </c>
      <c r="C29" s="46">
        <f>Leger1!F29</f>
        <v>7111</v>
      </c>
      <c r="D29" s="63" t="str">
        <f>Leger1!G29</f>
        <v>Nova Laila Khusna</v>
      </c>
      <c r="E29" s="53" t="s">
        <v>83</v>
      </c>
      <c r="F29" s="54" t="s">
        <v>79</v>
      </c>
    </row>
    <row r="30" spans="2:10" ht="15.75">
      <c r="B30" s="15">
        <f t="shared" si="0"/>
        <v>24</v>
      </c>
      <c r="C30" s="46">
        <f>Leger1!F30</f>
        <v>7126</v>
      </c>
      <c r="D30" s="63" t="str">
        <f>Leger1!G30</f>
        <v>Sawal Ramadian</v>
      </c>
      <c r="E30" s="53" t="s">
        <v>83</v>
      </c>
      <c r="F30" s="54" t="s">
        <v>83</v>
      </c>
    </row>
    <row r="31" spans="2:10" ht="15.75">
      <c r="B31" s="15">
        <f t="shared" si="0"/>
        <v>25</v>
      </c>
      <c r="C31" s="46">
        <f>Leger1!F31</f>
        <v>7130</v>
      </c>
      <c r="D31" s="63" t="str">
        <f>Leger1!G31</f>
        <v>Sofyan Romansyah</v>
      </c>
      <c r="E31" s="53" t="s">
        <v>83</v>
      </c>
      <c r="F31" s="54" t="s">
        <v>83</v>
      </c>
    </row>
    <row r="32" spans="2:10" ht="15.75">
      <c r="B32" s="15">
        <f t="shared" si="0"/>
        <v>26</v>
      </c>
      <c r="C32" s="46">
        <f>Leger1!F32</f>
        <v>7132</v>
      </c>
      <c r="D32" s="63" t="str">
        <f>Leger1!G32</f>
        <v>Tio Ardinata</v>
      </c>
      <c r="E32" s="53" t="s">
        <v>83</v>
      </c>
      <c r="F32" s="54" t="s">
        <v>83</v>
      </c>
    </row>
    <row r="33" spans="2:6" ht="15.75">
      <c r="B33" s="15">
        <f t="shared" si="0"/>
        <v>27</v>
      </c>
      <c r="C33" s="46">
        <f>Leger1!F33</f>
        <v>7133</v>
      </c>
      <c r="D33" s="63" t="str">
        <f>Leger1!G33</f>
        <v>Tutik Dillayanti</v>
      </c>
      <c r="E33" s="53" t="s">
        <v>83</v>
      </c>
      <c r="F33" s="54" t="s">
        <v>83</v>
      </c>
    </row>
    <row r="34" spans="2:6" ht="15.75">
      <c r="B34" s="15">
        <f t="shared" si="0"/>
        <v>28</v>
      </c>
      <c r="C34" s="46">
        <f>Leger1!F34</f>
        <v>7142</v>
      </c>
      <c r="D34" s="63" t="str">
        <f>Leger1!G34</f>
        <v>I Gede Nyoman Bagiyasa</v>
      </c>
      <c r="E34" s="53" t="s">
        <v>83</v>
      </c>
      <c r="F34" s="54" t="s">
        <v>83</v>
      </c>
    </row>
    <row r="35" spans="2:6" ht="15.75">
      <c r="B35" s="15">
        <f t="shared" si="0"/>
        <v>29</v>
      </c>
      <c r="C35" s="46" t="str">
        <f>Leger1!F35</f>
        <v/>
      </c>
      <c r="D35" s="63" t="str">
        <f>Leger1!G35</f>
        <v>Melati Sabilla Rochmah</v>
      </c>
      <c r="E35" s="53"/>
      <c r="F35" s="54"/>
    </row>
    <row r="36" spans="2:6" ht="15.75">
      <c r="B36" s="15" t="str">
        <f t="shared" si="0"/>
        <v/>
      </c>
      <c r="C36" s="46" t="str">
        <f>Leger1!F36</f>
        <v/>
      </c>
      <c r="D36" s="63" t="str">
        <f>Leger1!G36</f>
        <v/>
      </c>
      <c r="E36" s="53"/>
      <c r="F36" s="54"/>
    </row>
    <row r="37" spans="2:6" ht="15.75">
      <c r="B37" s="15" t="str">
        <f t="shared" si="0"/>
        <v/>
      </c>
      <c r="C37" s="46" t="str">
        <f>Leger1!F37</f>
        <v/>
      </c>
      <c r="D37" s="63" t="str">
        <f>Leger1!G37</f>
        <v/>
      </c>
      <c r="E37" s="53" t="s">
        <v>81</v>
      </c>
      <c r="F37" s="54"/>
    </row>
    <row r="38" spans="2:6" ht="15.75">
      <c r="B38" s="15" t="str">
        <f t="shared" si="0"/>
        <v/>
      </c>
      <c r="C38" s="46" t="str">
        <f>Leger1!F38</f>
        <v/>
      </c>
      <c r="D38" s="63" t="str">
        <f>Leger1!G38</f>
        <v/>
      </c>
      <c r="E38" s="53" t="s">
        <v>79</v>
      </c>
      <c r="F38" s="54" t="s">
        <v>83</v>
      </c>
    </row>
    <row r="39" spans="2:6" ht="15.75">
      <c r="B39" s="15" t="str">
        <f t="shared" si="0"/>
        <v/>
      </c>
      <c r="C39" s="46" t="str">
        <f>Leger1!F39</f>
        <v/>
      </c>
      <c r="D39" s="63" t="str">
        <f>Leger1!G39</f>
        <v/>
      </c>
      <c r="E39" s="53" t="s">
        <v>83</v>
      </c>
      <c r="F39" s="54" t="s">
        <v>83</v>
      </c>
    </row>
    <row r="40" spans="2:6" ht="15.75">
      <c r="B40" s="15" t="str">
        <f t="shared" si="0"/>
        <v/>
      </c>
      <c r="C40" s="46" t="str">
        <f>Leger1!F40</f>
        <v/>
      </c>
      <c r="D40" s="63" t="str">
        <f>Leger1!G40</f>
        <v/>
      </c>
      <c r="E40" s="53" t="s">
        <v>83</v>
      </c>
      <c r="F40" s="54" t="s">
        <v>83</v>
      </c>
    </row>
    <row r="41" spans="2:6" ht="15.75">
      <c r="B41" s="15" t="str">
        <f t="shared" si="0"/>
        <v/>
      </c>
      <c r="C41" s="46" t="str">
        <f>Leger1!F41</f>
        <v/>
      </c>
      <c r="D41" s="63" t="str">
        <f>Leger1!G41</f>
        <v/>
      </c>
      <c r="E41" s="53" t="s">
        <v>83</v>
      </c>
      <c r="F41" s="54" t="s">
        <v>83</v>
      </c>
    </row>
    <row r="42" spans="2:6" ht="15.75">
      <c r="B42" s="15" t="str">
        <f t="shared" si="0"/>
        <v/>
      </c>
      <c r="C42" s="46" t="str">
        <f>Leger1!F42</f>
        <v/>
      </c>
      <c r="D42" s="63" t="str">
        <f>Leger1!G42</f>
        <v/>
      </c>
      <c r="E42" s="53" t="s">
        <v>83</v>
      </c>
      <c r="F42" s="54" t="s">
        <v>83</v>
      </c>
    </row>
    <row r="43" spans="2:6" ht="15.75">
      <c r="B43" s="15" t="str">
        <f t="shared" si="0"/>
        <v/>
      </c>
      <c r="C43" s="46" t="str">
        <f>Leger1!F43</f>
        <v/>
      </c>
      <c r="D43" s="63" t="str">
        <f>Leger1!G43</f>
        <v/>
      </c>
      <c r="E43" s="53" t="s">
        <v>83</v>
      </c>
      <c r="F43" s="54" t="s">
        <v>83</v>
      </c>
    </row>
    <row r="44" spans="2:6" ht="15.75">
      <c r="B44" s="15" t="str">
        <f t="shared" si="0"/>
        <v/>
      </c>
      <c r="C44" s="46" t="str">
        <f>Leger1!F44</f>
        <v/>
      </c>
      <c r="D44" s="63" t="str">
        <f>Leger1!G44</f>
        <v/>
      </c>
      <c r="E44" s="53" t="s">
        <v>83</v>
      </c>
      <c r="F44" s="54" t="s">
        <v>83</v>
      </c>
    </row>
    <row r="45" spans="2:6" ht="15.75">
      <c r="B45" s="15" t="str">
        <f t="shared" si="0"/>
        <v/>
      </c>
      <c r="C45" s="46" t="str">
        <f>Leger1!F45</f>
        <v/>
      </c>
      <c r="D45" s="63" t="str">
        <f>Leger1!G45</f>
        <v/>
      </c>
      <c r="E45" s="53" t="s">
        <v>83</v>
      </c>
      <c r="F45" s="54" t="s">
        <v>83</v>
      </c>
    </row>
    <row r="46" spans="2:6" ht="16.5" thickBot="1">
      <c r="B46" s="29" t="str">
        <f t="shared" si="0"/>
        <v/>
      </c>
      <c r="C46" s="61" t="str">
        <f>Leger1!F46</f>
        <v/>
      </c>
      <c r="D46" s="64" t="str">
        <f>Leger1!G46</f>
        <v/>
      </c>
      <c r="E46" s="56" t="s">
        <v>83</v>
      </c>
      <c r="F46" s="58" t="s">
        <v>83</v>
      </c>
    </row>
    <row r="47" spans="2:6"/>
    <row r="48" spans="2:6" hidden="1"/>
    <row r="49" hidden="1"/>
    <row r="50" hidden="1"/>
    <row r="51" hidden="1"/>
    <row r="52" hidden="1"/>
    <row r="53" hidden="1"/>
    <row r="54" hidden="1"/>
    <row r="55" hidden="1"/>
    <row r="56" hidden="1"/>
    <row r="57" hidden="1"/>
    <row r="58" hidden="1"/>
    <row r="59" hidden="1"/>
    <row r="60" hidden="1"/>
    <row r="61" hidden="1"/>
    <row r="62" hidden="1"/>
    <row r="63" hidden="1"/>
    <row r="64" hidden="1"/>
    <row r="65" spans="2:2" hidden="1"/>
    <row r="66" spans="2:2" hidden="1"/>
    <row r="67" spans="2:2" hidden="1"/>
    <row r="68" spans="2:2" hidden="1"/>
    <row r="69" spans="2:2" s="17" customFormat="1" hidden="1">
      <c r="B69" s="17">
        <f>DL!M32</f>
        <v>0</v>
      </c>
    </row>
  </sheetData>
  <sheetProtection password="CE75" sheet="1" objects="1" scenarios="1" selectLockedCells="1"/>
  <mergeCells count="17">
    <mergeCell ref="H16:H19"/>
    <mergeCell ref="H4:H5"/>
    <mergeCell ref="J4:J5"/>
    <mergeCell ref="I6:I7"/>
    <mergeCell ref="I8:I11"/>
    <mergeCell ref="I12:I15"/>
    <mergeCell ref="I16:I19"/>
    <mergeCell ref="J6:J7"/>
    <mergeCell ref="J8:J11"/>
    <mergeCell ref="J12:J15"/>
    <mergeCell ref="J16:J19"/>
    <mergeCell ref="I4:I5"/>
    <mergeCell ref="B4:D5"/>
    <mergeCell ref="E4:F5"/>
    <mergeCell ref="H6:H7"/>
    <mergeCell ref="H8:H11"/>
    <mergeCell ref="H12:H15"/>
  </mergeCells>
  <dataValidations count="1">
    <dataValidation type="list" allowBlank="1" showInputMessage="1" showErrorMessage="1" sqref="E7:F46">
      <formula1>"A,B,C,D"</formula1>
    </dataValidation>
  </dataValidations>
  <pageMargins left="0.7" right="0.7" top="0.44" bottom="0.48" header="0.3" footer="0.3"/>
  <pageSetup paperSize="9" orientation="portrait" r:id="rId1"/>
  <rowBreaks count="1" manualBreakCount="1">
    <brk id="46" min="1" max="5" man="1"/>
  </rowBreaks>
  <drawing r:id="rId2"/>
</worksheet>
</file>

<file path=xl/worksheets/sheet11.xml><?xml version="1.0" encoding="utf-8"?>
<worksheet xmlns="http://schemas.openxmlformats.org/spreadsheetml/2006/main" xmlns:r="http://schemas.openxmlformats.org/officeDocument/2006/relationships">
  <sheetPr codeName="Sheet11">
    <tabColor theme="9"/>
  </sheetPr>
  <dimension ref="A1:K69"/>
  <sheetViews>
    <sheetView showRowColHeaders="0" topLeftCell="A3" workbookViewId="0">
      <selection activeCell="F16" sqref="F16"/>
    </sheetView>
  </sheetViews>
  <sheetFormatPr defaultColWidth="0" defaultRowHeight="15" zeroHeight="1"/>
  <cols>
    <col min="1" max="1" width="14.7109375" style="16" customWidth="1"/>
    <col min="2" max="2" width="5.7109375" style="17" customWidth="1"/>
    <col min="3" max="3" width="8" style="17" customWidth="1"/>
    <col min="4" max="4" width="35.42578125" style="16" customWidth="1"/>
    <col min="5" max="5" width="28.7109375" style="16" customWidth="1"/>
    <col min="6" max="6" width="6" style="17" customWidth="1"/>
    <col min="7" max="7" width="28.7109375" style="16" customWidth="1"/>
    <col min="8" max="8" width="6" style="17" customWidth="1"/>
    <col min="9" max="9" width="28.7109375" style="16" customWidth="1"/>
    <col min="10" max="10" width="6" style="17" customWidth="1"/>
    <col min="11" max="11" width="9.140625" style="16" customWidth="1"/>
    <col min="12" max="16384" width="9.140625" style="16" hidden="1"/>
  </cols>
  <sheetData>
    <row r="1" spans="2:10"/>
    <row r="2" spans="2:10" ht="23.25" customHeight="1">
      <c r="B2" s="45" t="s">
        <v>108</v>
      </c>
    </row>
    <row r="3" spans="2:10" ht="30.75" customHeight="1" thickBot="1">
      <c r="B3" s="60" t="str">
        <f>"SEMESTER "&amp;UPPER(_smt_ganjil)&amp;" - KELAS "&amp;_kelas</f>
        <v>SEMESTER 3 (TIGA) - KELAS VIII A</v>
      </c>
    </row>
    <row r="4" spans="2:10" ht="18.75" customHeight="1">
      <c r="B4" s="825" t="s">
        <v>86</v>
      </c>
      <c r="C4" s="826"/>
      <c r="D4" s="827"/>
      <c r="E4" s="814" t="s">
        <v>106</v>
      </c>
      <c r="F4" s="816"/>
      <c r="G4" s="814" t="s">
        <v>107</v>
      </c>
      <c r="H4" s="816"/>
      <c r="I4" s="814" t="s">
        <v>422</v>
      </c>
      <c r="J4" s="816"/>
    </row>
    <row r="5" spans="2:10" s="22" customFormat="1" ht="17.25" customHeight="1" thickBot="1">
      <c r="B5" s="828"/>
      <c r="C5" s="829"/>
      <c r="D5" s="830"/>
      <c r="E5" s="990"/>
      <c r="F5" s="819"/>
      <c r="G5" s="990"/>
      <c r="H5" s="819"/>
      <c r="I5" s="990"/>
      <c r="J5" s="819"/>
    </row>
    <row r="6" spans="2:10" s="28" customFormat="1" ht="30" customHeight="1">
      <c r="B6" s="30" t="s">
        <v>50</v>
      </c>
      <c r="C6" s="31" t="s">
        <v>51</v>
      </c>
      <c r="D6" s="32" t="s">
        <v>52</v>
      </c>
      <c r="E6" s="33" t="s">
        <v>100</v>
      </c>
      <c r="F6" s="34" t="s">
        <v>59</v>
      </c>
      <c r="G6" s="33" t="s">
        <v>100</v>
      </c>
      <c r="H6" s="34" t="s">
        <v>59</v>
      </c>
      <c r="I6" s="33" t="s">
        <v>100</v>
      </c>
      <c r="J6" s="34" t="s">
        <v>59</v>
      </c>
    </row>
    <row r="7" spans="2:10" ht="15.75" customHeight="1">
      <c r="B7" s="15">
        <f>IF(AND(C7="",C7="",D7=""),"",ROW()-6)</f>
        <v>1</v>
      </c>
      <c r="C7" s="46">
        <f>Leger1!F7</f>
        <v>7057</v>
      </c>
      <c r="D7" s="47" t="str">
        <f>Leger1!G7</f>
        <v>Ahmad Zaki Aufa</v>
      </c>
      <c r="E7" s="37" t="s">
        <v>596</v>
      </c>
      <c r="F7" s="35" t="s">
        <v>83</v>
      </c>
      <c r="G7" s="37" t="s">
        <v>78</v>
      </c>
      <c r="H7" s="35"/>
      <c r="I7" s="37" t="s">
        <v>78</v>
      </c>
      <c r="J7" s="35"/>
    </row>
    <row r="8" spans="2:10" ht="15" customHeight="1">
      <c r="B8" s="15">
        <f t="shared" ref="B8:B46" si="0">IF(AND(C8="",C8="",D8=""),"",ROW()-6)</f>
        <v>2</v>
      </c>
      <c r="C8" s="46">
        <f>Leger1!F8</f>
        <v>7058</v>
      </c>
      <c r="D8" s="47" t="str">
        <f>Leger1!G8</f>
        <v>Anandhita Nafra Wilova</v>
      </c>
      <c r="E8" s="37" t="s">
        <v>596</v>
      </c>
      <c r="F8" s="35" t="s">
        <v>83</v>
      </c>
      <c r="G8" s="37"/>
      <c r="H8" s="35"/>
      <c r="I8" s="37"/>
      <c r="J8" s="35"/>
    </row>
    <row r="9" spans="2:10" ht="15.75">
      <c r="B9" s="15">
        <f t="shared" si="0"/>
        <v>3</v>
      </c>
      <c r="C9" s="46">
        <f>Leger1!F9</f>
        <v>7059</v>
      </c>
      <c r="D9" s="47" t="str">
        <f>Leger1!G9</f>
        <v>Andini Dwi Aryanti</v>
      </c>
      <c r="E9" s="37" t="s">
        <v>596</v>
      </c>
      <c r="F9" s="35" t="s">
        <v>83</v>
      </c>
      <c r="G9" s="37"/>
      <c r="H9" s="35"/>
      <c r="I9" s="37"/>
      <c r="J9" s="35"/>
    </row>
    <row r="10" spans="2:10" ht="15.75">
      <c r="B10" s="15">
        <f t="shared" si="0"/>
        <v>4</v>
      </c>
      <c r="C10" s="46">
        <f>Leger1!F10</f>
        <v>7060</v>
      </c>
      <c r="D10" s="47" t="str">
        <f>Leger1!G10</f>
        <v>Anggun Suci Rahmadani</v>
      </c>
      <c r="E10" s="37" t="s">
        <v>596</v>
      </c>
      <c r="F10" s="35" t="s">
        <v>83</v>
      </c>
      <c r="G10" s="37" t="s">
        <v>78</v>
      </c>
      <c r="H10" s="35"/>
      <c r="I10" s="37"/>
      <c r="J10" s="35"/>
    </row>
    <row r="11" spans="2:10" ht="15.75">
      <c r="B11" s="15">
        <f t="shared" si="0"/>
        <v>5</v>
      </c>
      <c r="C11" s="46">
        <f>Leger1!F11</f>
        <v>7061</v>
      </c>
      <c r="D11" s="47" t="str">
        <f>Leger1!G11</f>
        <v>Anisa Julia Tasya</v>
      </c>
      <c r="E11" s="37" t="s">
        <v>596</v>
      </c>
      <c r="F11" s="35" t="s">
        <v>83</v>
      </c>
      <c r="G11" s="37"/>
      <c r="H11" s="35"/>
      <c r="I11" s="37"/>
      <c r="J11" s="35"/>
    </row>
    <row r="12" spans="2:10" ht="15.75">
      <c r="B12" s="15">
        <f t="shared" si="0"/>
        <v>6</v>
      </c>
      <c r="C12" s="46">
        <f>Leger1!F12</f>
        <v>7065</v>
      </c>
      <c r="D12" s="47" t="str">
        <f>Leger1!G12</f>
        <v>Aulia Rahmawati</v>
      </c>
      <c r="E12" s="37" t="s">
        <v>596</v>
      </c>
      <c r="F12" s="35" t="s">
        <v>83</v>
      </c>
      <c r="G12" s="37"/>
      <c r="H12" s="35"/>
      <c r="I12" s="37"/>
      <c r="J12" s="35"/>
    </row>
    <row r="13" spans="2:10" ht="15.75">
      <c r="B13" s="15">
        <f t="shared" si="0"/>
        <v>7</v>
      </c>
      <c r="C13" s="46">
        <f>Leger1!F13</f>
        <v>7066</v>
      </c>
      <c r="D13" s="47" t="str">
        <f>Leger1!G13</f>
        <v>Ayu Chumaira</v>
      </c>
      <c r="E13" s="37" t="s">
        <v>596</v>
      </c>
      <c r="F13" s="35" t="s">
        <v>83</v>
      </c>
      <c r="G13" s="37"/>
      <c r="H13" s="35"/>
      <c r="I13" s="37"/>
      <c r="J13" s="35"/>
    </row>
    <row r="14" spans="2:10" ht="15.75">
      <c r="B14" s="15">
        <f t="shared" si="0"/>
        <v>8</v>
      </c>
      <c r="C14" s="46">
        <f>Leger1!F14</f>
        <v>7067</v>
      </c>
      <c r="D14" s="47" t="str">
        <f>Leger1!G14</f>
        <v>Ayu Emelia Putri</v>
      </c>
      <c r="E14" s="37" t="s">
        <v>596</v>
      </c>
      <c r="F14" s="35" t="s">
        <v>83</v>
      </c>
      <c r="G14" s="37"/>
      <c r="H14" s="35"/>
      <c r="I14" s="37"/>
      <c r="J14" s="35"/>
    </row>
    <row r="15" spans="2:10" ht="15.75">
      <c r="B15" s="15">
        <f t="shared" si="0"/>
        <v>9</v>
      </c>
      <c r="C15" s="46">
        <f>Leger1!F15</f>
        <v>7068</v>
      </c>
      <c r="D15" s="47" t="str">
        <f>Leger1!G15</f>
        <v>Bayu Anggoro</v>
      </c>
      <c r="E15" s="37" t="s">
        <v>596</v>
      </c>
      <c r="F15" s="35" t="s">
        <v>83</v>
      </c>
      <c r="G15" s="37"/>
      <c r="H15" s="35"/>
      <c r="I15" s="37"/>
      <c r="J15" s="35"/>
    </row>
    <row r="16" spans="2:10" ht="15.75">
      <c r="B16" s="15">
        <f t="shared" si="0"/>
        <v>10</v>
      </c>
      <c r="C16" s="46">
        <f>Leger1!F16</f>
        <v>7069</v>
      </c>
      <c r="D16" s="47" t="str">
        <f>Leger1!G16</f>
        <v>Calissta Sabrina Salwa Aurelia</v>
      </c>
      <c r="E16" s="37" t="s">
        <v>596</v>
      </c>
      <c r="F16" s="35" t="s">
        <v>83</v>
      </c>
      <c r="G16" s="37"/>
      <c r="H16" s="35"/>
      <c r="I16" s="37"/>
      <c r="J16" s="35"/>
    </row>
    <row r="17" spans="2:10" ht="15.75">
      <c r="B17" s="15">
        <f t="shared" si="0"/>
        <v>11</v>
      </c>
      <c r="C17" s="46">
        <f>Leger1!F17</f>
        <v>7074</v>
      </c>
      <c r="D17" s="47" t="str">
        <f>Leger1!G17</f>
        <v>Dea Safitri</v>
      </c>
      <c r="E17" s="37" t="s">
        <v>596</v>
      </c>
      <c r="F17" s="35" t="s">
        <v>83</v>
      </c>
      <c r="G17" s="37"/>
      <c r="H17" s="35"/>
      <c r="I17" s="37"/>
      <c r="J17" s="35"/>
    </row>
    <row r="18" spans="2:10" ht="15.75">
      <c r="B18" s="15">
        <f t="shared" si="0"/>
        <v>12</v>
      </c>
      <c r="C18" s="46">
        <f>Leger1!F18</f>
        <v>7080</v>
      </c>
      <c r="D18" s="47" t="str">
        <f>Leger1!G18</f>
        <v>Dewi Wulandari</v>
      </c>
      <c r="E18" s="37" t="s">
        <v>596</v>
      </c>
      <c r="F18" s="35" t="s">
        <v>83</v>
      </c>
      <c r="G18" s="37"/>
      <c r="H18" s="35"/>
      <c r="I18" s="37"/>
      <c r="J18" s="35"/>
    </row>
    <row r="19" spans="2:10" ht="15.75">
      <c r="B19" s="15">
        <f t="shared" si="0"/>
        <v>13</v>
      </c>
      <c r="C19" s="46">
        <f>Leger1!F19</f>
        <v>7084</v>
      </c>
      <c r="D19" s="47" t="str">
        <f>Leger1!G19</f>
        <v>Dony Pratama</v>
      </c>
      <c r="E19" s="37" t="s">
        <v>596</v>
      </c>
      <c r="F19" s="35" t="s">
        <v>83</v>
      </c>
      <c r="G19" s="37"/>
      <c r="H19" s="35"/>
      <c r="I19" s="37"/>
      <c r="J19" s="35"/>
    </row>
    <row r="20" spans="2:10" ht="15.75">
      <c r="B20" s="15">
        <f t="shared" si="0"/>
        <v>14</v>
      </c>
      <c r="C20" s="46">
        <f>Leger1!F20</f>
        <v>7089</v>
      </c>
      <c r="D20" s="47" t="str">
        <f>Leger1!G20</f>
        <v>Faris Febram</v>
      </c>
      <c r="E20" s="37" t="s">
        <v>596</v>
      </c>
      <c r="F20" s="35" t="s">
        <v>83</v>
      </c>
      <c r="G20" s="37"/>
      <c r="H20" s="35"/>
      <c r="I20" s="37"/>
      <c r="J20" s="35"/>
    </row>
    <row r="21" spans="2:10" ht="15.75">
      <c r="B21" s="15">
        <f t="shared" si="0"/>
        <v>15</v>
      </c>
      <c r="C21" s="46">
        <f>Leger1!F21</f>
        <v>7095</v>
      </c>
      <c r="D21" s="47" t="str">
        <f>Leger1!G21</f>
        <v>Hikmatullah Umar Malik Abdul Aziz</v>
      </c>
      <c r="E21" s="37" t="s">
        <v>596</v>
      </c>
      <c r="F21" s="35" t="s">
        <v>83</v>
      </c>
      <c r="G21" s="37"/>
      <c r="H21" s="35"/>
      <c r="I21" s="37"/>
      <c r="J21" s="35"/>
    </row>
    <row r="22" spans="2:10" ht="15.75">
      <c r="B22" s="15">
        <f t="shared" si="0"/>
        <v>16</v>
      </c>
      <c r="C22" s="46">
        <f>Leger1!F22</f>
        <v>7096</v>
      </c>
      <c r="D22" s="47" t="str">
        <f>Leger1!G22</f>
        <v>Indah Purnama Ningsih</v>
      </c>
      <c r="E22" s="37" t="s">
        <v>596</v>
      </c>
      <c r="F22" s="35" t="s">
        <v>83</v>
      </c>
      <c r="G22" s="37"/>
      <c r="H22" s="35"/>
      <c r="I22" s="37"/>
      <c r="J22" s="35"/>
    </row>
    <row r="23" spans="2:10" ht="15.75">
      <c r="B23" s="15">
        <f t="shared" si="0"/>
        <v>17</v>
      </c>
      <c r="C23" s="46">
        <f>Leger1!F23</f>
        <v>7098</v>
      </c>
      <c r="D23" s="47" t="str">
        <f>Leger1!G23</f>
        <v>Ladiva Nurrosa Laila</v>
      </c>
      <c r="E23" s="37" t="s">
        <v>596</v>
      </c>
      <c r="F23" s="35" t="s">
        <v>83</v>
      </c>
      <c r="G23" s="37"/>
      <c r="H23" s="35"/>
      <c r="I23" s="37"/>
      <c r="J23" s="35"/>
    </row>
    <row r="24" spans="2:10" ht="15.75">
      <c r="B24" s="15">
        <f t="shared" si="0"/>
        <v>18</v>
      </c>
      <c r="C24" s="46">
        <f>Leger1!F24</f>
        <v>7101</v>
      </c>
      <c r="D24" s="47" t="str">
        <f>Leger1!G24</f>
        <v>Mefa Novita Putri</v>
      </c>
      <c r="E24" s="37" t="s">
        <v>596</v>
      </c>
      <c r="F24" s="35" t="s">
        <v>79</v>
      </c>
      <c r="G24" s="37"/>
      <c r="H24" s="35"/>
      <c r="I24" s="37"/>
      <c r="J24" s="35"/>
    </row>
    <row r="25" spans="2:10" ht="15.75">
      <c r="B25" s="15">
        <f t="shared" si="0"/>
        <v>19</v>
      </c>
      <c r="C25" s="46">
        <f>Leger1!F25</f>
        <v>7104</v>
      </c>
      <c r="D25" s="47" t="str">
        <f>Leger1!G25</f>
        <v>Mellanie Bunga Aprilia</v>
      </c>
      <c r="E25" s="37" t="s">
        <v>596</v>
      </c>
      <c r="F25" s="35" t="s">
        <v>83</v>
      </c>
      <c r="G25" s="37"/>
      <c r="H25" s="35"/>
      <c r="I25" s="37"/>
      <c r="J25" s="35"/>
    </row>
    <row r="26" spans="2:10" ht="15.75">
      <c r="B26" s="15">
        <f t="shared" si="0"/>
        <v>20</v>
      </c>
      <c r="C26" s="46">
        <f>Leger1!F26</f>
        <v>7105</v>
      </c>
      <c r="D26" s="47" t="str">
        <f>Leger1!G26</f>
        <v>Mirra Tusolickak</v>
      </c>
      <c r="E26" s="37" t="s">
        <v>596</v>
      </c>
      <c r="F26" s="35" t="s">
        <v>83</v>
      </c>
      <c r="G26" s="37"/>
      <c r="H26" s="35"/>
      <c r="I26" s="37"/>
      <c r="J26" s="35"/>
    </row>
    <row r="27" spans="2:10" ht="15.75">
      <c r="B27" s="15">
        <f t="shared" si="0"/>
        <v>21</v>
      </c>
      <c r="C27" s="46">
        <f>Leger1!F27</f>
        <v>7107</v>
      </c>
      <c r="D27" s="47" t="str">
        <f>Leger1!G27</f>
        <v>Muhammad Daffa Rifa'I</v>
      </c>
      <c r="E27" s="37" t="s">
        <v>596</v>
      </c>
      <c r="F27" s="35" t="s">
        <v>79</v>
      </c>
      <c r="G27" s="37"/>
      <c r="H27" s="35"/>
      <c r="I27" s="37"/>
      <c r="J27" s="35"/>
    </row>
    <row r="28" spans="2:10" ht="15.75">
      <c r="B28" s="15">
        <f t="shared" si="0"/>
        <v>22</v>
      </c>
      <c r="C28" s="46">
        <f>Leger1!F28</f>
        <v>7108</v>
      </c>
      <c r="D28" s="47" t="str">
        <f>Leger1!G28</f>
        <v>Muhammad Jaupanto</v>
      </c>
      <c r="E28" s="37" t="s">
        <v>596</v>
      </c>
      <c r="F28" s="35" t="s">
        <v>83</v>
      </c>
      <c r="G28" s="37"/>
      <c r="H28" s="35"/>
      <c r="I28" s="37"/>
      <c r="J28" s="35"/>
    </row>
    <row r="29" spans="2:10" ht="15.75">
      <c r="B29" s="15">
        <f t="shared" si="0"/>
        <v>23</v>
      </c>
      <c r="C29" s="46">
        <f>Leger1!F29</f>
        <v>7111</v>
      </c>
      <c r="D29" s="47" t="str">
        <f>Leger1!G29</f>
        <v>Nova Laila Khusna</v>
      </c>
      <c r="E29" s="37" t="s">
        <v>596</v>
      </c>
      <c r="F29" s="35" t="s">
        <v>83</v>
      </c>
      <c r="G29" s="37"/>
      <c r="H29" s="35"/>
      <c r="I29" s="37"/>
      <c r="J29" s="35"/>
    </row>
    <row r="30" spans="2:10" ht="15.75">
      <c r="B30" s="15">
        <f t="shared" si="0"/>
        <v>24</v>
      </c>
      <c r="C30" s="46">
        <f>Leger1!F30</f>
        <v>7126</v>
      </c>
      <c r="D30" s="47" t="str">
        <f>Leger1!G30</f>
        <v>Sawal Ramadian</v>
      </c>
      <c r="E30" s="37" t="s">
        <v>596</v>
      </c>
      <c r="F30" s="35" t="s">
        <v>83</v>
      </c>
      <c r="G30" s="37"/>
      <c r="H30" s="35"/>
      <c r="I30" s="37"/>
      <c r="J30" s="35"/>
    </row>
    <row r="31" spans="2:10" ht="15.75">
      <c r="B31" s="15">
        <f t="shared" si="0"/>
        <v>25</v>
      </c>
      <c r="C31" s="46">
        <f>Leger1!F31</f>
        <v>7130</v>
      </c>
      <c r="D31" s="47" t="str">
        <f>Leger1!G31</f>
        <v>Sofyan Romansyah</v>
      </c>
      <c r="E31" s="37" t="s">
        <v>596</v>
      </c>
      <c r="F31" s="35" t="s">
        <v>83</v>
      </c>
      <c r="G31" s="37"/>
      <c r="H31" s="35"/>
      <c r="I31" s="37"/>
      <c r="J31" s="35"/>
    </row>
    <row r="32" spans="2:10" ht="15.75">
      <c r="B32" s="15">
        <f t="shared" si="0"/>
        <v>26</v>
      </c>
      <c r="C32" s="46">
        <f>Leger1!F32</f>
        <v>7132</v>
      </c>
      <c r="D32" s="47" t="str">
        <f>Leger1!G32</f>
        <v>Tio Ardinata</v>
      </c>
      <c r="E32" s="37" t="s">
        <v>596</v>
      </c>
      <c r="F32" s="35" t="s">
        <v>83</v>
      </c>
      <c r="G32" s="37"/>
      <c r="H32" s="35"/>
      <c r="I32" s="37"/>
      <c r="J32" s="35"/>
    </row>
    <row r="33" spans="2:10" ht="15.75">
      <c r="B33" s="15">
        <f t="shared" si="0"/>
        <v>27</v>
      </c>
      <c r="C33" s="46">
        <f>Leger1!F33</f>
        <v>7133</v>
      </c>
      <c r="D33" s="47" t="str">
        <f>Leger1!G33</f>
        <v>Tutik Dillayanti</v>
      </c>
      <c r="E33" s="37" t="s">
        <v>596</v>
      </c>
      <c r="F33" s="35" t="s">
        <v>83</v>
      </c>
      <c r="G33" s="37"/>
      <c r="H33" s="35"/>
      <c r="I33" s="37"/>
      <c r="J33" s="35"/>
    </row>
    <row r="34" spans="2:10" ht="15.75">
      <c r="B34" s="15">
        <f t="shared" si="0"/>
        <v>28</v>
      </c>
      <c r="C34" s="46">
        <f>Leger1!F34</f>
        <v>7142</v>
      </c>
      <c r="D34" s="47" t="str">
        <f>Leger1!G34</f>
        <v>I Gede Nyoman Bagiyasa</v>
      </c>
      <c r="E34" s="37" t="s">
        <v>596</v>
      </c>
      <c r="F34" s="35" t="s">
        <v>83</v>
      </c>
      <c r="G34" s="37"/>
      <c r="H34" s="35"/>
      <c r="I34" s="37"/>
      <c r="J34" s="35"/>
    </row>
    <row r="35" spans="2:10" ht="15.75">
      <c r="B35" s="15">
        <f t="shared" si="0"/>
        <v>29</v>
      </c>
      <c r="C35" s="46" t="str">
        <f>Leger1!F35</f>
        <v/>
      </c>
      <c r="D35" s="47" t="str">
        <f>Leger1!G35</f>
        <v>Melati Sabilla Rochmah</v>
      </c>
      <c r="E35" s="37"/>
      <c r="F35" s="35"/>
      <c r="G35" s="37"/>
      <c r="H35" s="35"/>
      <c r="I35" s="37"/>
      <c r="J35" s="35"/>
    </row>
    <row r="36" spans="2:10" ht="15.75">
      <c r="B36" s="15" t="str">
        <f t="shared" si="0"/>
        <v/>
      </c>
      <c r="C36" s="46" t="str">
        <f>Leger1!F36</f>
        <v/>
      </c>
      <c r="D36" s="47" t="str">
        <f>Leger1!G36</f>
        <v/>
      </c>
      <c r="E36" s="37"/>
      <c r="F36" s="35"/>
      <c r="G36" s="37"/>
      <c r="H36" s="35"/>
      <c r="I36" s="37"/>
      <c r="J36" s="35"/>
    </row>
    <row r="37" spans="2:10" ht="15.75">
      <c r="B37" s="15" t="str">
        <f t="shared" si="0"/>
        <v/>
      </c>
      <c r="C37" s="46" t="str">
        <f>Leger1!F37</f>
        <v/>
      </c>
      <c r="D37" s="47" t="str">
        <f>Leger1!G37</f>
        <v/>
      </c>
      <c r="E37" s="37"/>
      <c r="F37" s="35"/>
      <c r="G37" s="37"/>
      <c r="H37" s="35"/>
      <c r="I37" s="37"/>
      <c r="J37" s="35"/>
    </row>
    <row r="38" spans="2:10" ht="15.75">
      <c r="B38" s="15" t="str">
        <f t="shared" si="0"/>
        <v/>
      </c>
      <c r="C38" s="46" t="str">
        <f>Leger1!F38</f>
        <v/>
      </c>
      <c r="D38" s="47" t="str">
        <f>Leger1!G38</f>
        <v/>
      </c>
      <c r="E38" s="37"/>
      <c r="F38" s="35"/>
      <c r="G38" s="37"/>
      <c r="H38" s="35"/>
      <c r="I38" s="37"/>
      <c r="J38" s="35"/>
    </row>
    <row r="39" spans="2:10" ht="15.75">
      <c r="B39" s="15" t="str">
        <f t="shared" si="0"/>
        <v/>
      </c>
      <c r="C39" s="46" t="str">
        <f>Leger1!F39</f>
        <v/>
      </c>
      <c r="D39" s="47" t="str">
        <f>Leger1!G39</f>
        <v/>
      </c>
      <c r="E39" s="37"/>
      <c r="F39" s="35"/>
      <c r="G39" s="37"/>
      <c r="H39" s="35"/>
      <c r="I39" s="37"/>
      <c r="J39" s="35"/>
    </row>
    <row r="40" spans="2:10" ht="15.75">
      <c r="B40" s="15" t="str">
        <f t="shared" si="0"/>
        <v/>
      </c>
      <c r="C40" s="46" t="str">
        <f>Leger1!F40</f>
        <v/>
      </c>
      <c r="D40" s="47" t="str">
        <f>Leger1!G40</f>
        <v/>
      </c>
      <c r="E40" s="37"/>
      <c r="F40" s="35"/>
      <c r="G40" s="37"/>
      <c r="H40" s="35"/>
      <c r="I40" s="37"/>
      <c r="J40" s="35"/>
    </row>
    <row r="41" spans="2:10" ht="15.75">
      <c r="B41" s="15" t="str">
        <f t="shared" si="0"/>
        <v/>
      </c>
      <c r="C41" s="46" t="str">
        <f>Leger1!F41</f>
        <v/>
      </c>
      <c r="D41" s="47" t="str">
        <f>Leger1!G41</f>
        <v/>
      </c>
      <c r="E41" s="37"/>
      <c r="F41" s="35"/>
      <c r="G41" s="37"/>
      <c r="H41" s="35"/>
      <c r="I41" s="37"/>
      <c r="J41" s="35"/>
    </row>
    <row r="42" spans="2:10" ht="15.75">
      <c r="B42" s="15" t="str">
        <f t="shared" si="0"/>
        <v/>
      </c>
      <c r="C42" s="46" t="str">
        <f>Leger1!F42</f>
        <v/>
      </c>
      <c r="D42" s="47" t="str">
        <f>Leger1!G42</f>
        <v/>
      </c>
      <c r="E42" s="37"/>
      <c r="F42" s="35"/>
      <c r="G42" s="37"/>
      <c r="H42" s="35"/>
      <c r="I42" s="37"/>
      <c r="J42" s="35"/>
    </row>
    <row r="43" spans="2:10" ht="15.75">
      <c r="B43" s="15" t="str">
        <f t="shared" si="0"/>
        <v/>
      </c>
      <c r="C43" s="46" t="str">
        <f>Leger1!F43</f>
        <v/>
      </c>
      <c r="D43" s="47" t="str">
        <f>Leger1!G43</f>
        <v/>
      </c>
      <c r="E43" s="37"/>
      <c r="F43" s="35"/>
      <c r="G43" s="37"/>
      <c r="H43" s="35"/>
      <c r="I43" s="37"/>
      <c r="J43" s="35"/>
    </row>
    <row r="44" spans="2:10" ht="15.75">
      <c r="B44" s="15" t="str">
        <f t="shared" si="0"/>
        <v/>
      </c>
      <c r="C44" s="46" t="str">
        <f>Leger1!F44</f>
        <v/>
      </c>
      <c r="D44" s="47" t="str">
        <f>Leger1!G44</f>
        <v/>
      </c>
      <c r="E44" s="37"/>
      <c r="F44" s="35"/>
      <c r="G44" s="37"/>
      <c r="H44" s="35"/>
      <c r="I44" s="37"/>
      <c r="J44" s="35"/>
    </row>
    <row r="45" spans="2:10" ht="15.75">
      <c r="B45" s="15" t="str">
        <f t="shared" si="0"/>
        <v/>
      </c>
      <c r="C45" s="46" t="str">
        <f>Leger1!F45</f>
        <v/>
      </c>
      <c r="D45" s="47" t="str">
        <f>Leger1!G45</f>
        <v/>
      </c>
      <c r="E45" s="37"/>
      <c r="F45" s="35"/>
      <c r="G45" s="37"/>
      <c r="H45" s="35"/>
      <c r="I45" s="37"/>
      <c r="J45" s="35"/>
    </row>
    <row r="46" spans="2:10" ht="16.5" thickBot="1">
      <c r="B46" s="29" t="str">
        <f t="shared" si="0"/>
        <v/>
      </c>
      <c r="C46" s="61" t="str">
        <f>Leger1!F46</f>
        <v/>
      </c>
      <c r="D46" s="48" t="str">
        <f>Leger1!G46</f>
        <v/>
      </c>
      <c r="E46" s="38"/>
      <c r="F46" s="36"/>
      <c r="G46" s="93"/>
      <c r="H46" s="36"/>
      <c r="I46" s="93"/>
      <c r="J46" s="36"/>
    </row>
    <row r="47" spans="2:10"/>
    <row r="48" spans="2:10"/>
    <row r="49" hidden="1"/>
    <row r="50" hidden="1"/>
    <row r="51" hidden="1"/>
    <row r="52" hidden="1"/>
    <row r="53" hidden="1"/>
    <row r="54" hidden="1"/>
    <row r="55" hidden="1"/>
    <row r="56" hidden="1"/>
    <row r="57" hidden="1"/>
    <row r="58" hidden="1"/>
    <row r="59" hidden="1"/>
    <row r="60" hidden="1"/>
    <row r="61" hidden="1"/>
    <row r="62" hidden="1"/>
    <row r="63" hidden="1"/>
    <row r="64" hidden="1"/>
    <row r="65" spans="2:2" hidden="1"/>
    <row r="66" spans="2:2" hidden="1"/>
    <row r="67" spans="2:2" hidden="1"/>
    <row r="68" spans="2:2" hidden="1"/>
    <row r="69" spans="2:2" s="17" customFormat="1" hidden="1">
      <c r="B69" s="17">
        <f>DL!M32</f>
        <v>0</v>
      </c>
    </row>
  </sheetData>
  <sheetProtection password="CE75" sheet="1" objects="1" scenarios="1" selectLockedCells="1"/>
  <mergeCells count="4">
    <mergeCell ref="B4:D5"/>
    <mergeCell ref="E4:F5"/>
    <mergeCell ref="G4:H5"/>
    <mergeCell ref="I4:J5"/>
  </mergeCells>
  <dataValidations count="3">
    <dataValidation type="list" allowBlank="1" showInputMessage="1" showErrorMessage="1" sqref="H7:H46 F7:F46 J7:J46">
      <formula1>"A,B,C,D"</formula1>
    </dataValidation>
    <dataValidation type="list" errorStyle="information" allowBlank="1" showInputMessage="1" sqref="E7:E46">
      <formula1>_ektra</formula1>
    </dataValidation>
    <dataValidation type="list" allowBlank="1" showInputMessage="1" showErrorMessage="1" sqref="G7:G46 I7:I46">
      <formula1>_ektra</formula1>
    </dataValidation>
  </dataValidations>
  <pageMargins left="0.7" right="0.7" top="0.75" bottom="0.75" header="0.3" footer="0.3"/>
  <pageSetup scale="58" orientation="portrait" r:id="rId1"/>
  <drawing r:id="rId2"/>
</worksheet>
</file>

<file path=xl/worksheets/sheet12.xml><?xml version="1.0" encoding="utf-8"?>
<worksheet xmlns="http://schemas.openxmlformats.org/spreadsheetml/2006/main" xmlns:r="http://schemas.openxmlformats.org/officeDocument/2006/relationships">
  <sheetPr codeName="Sheet12">
    <tabColor theme="9"/>
  </sheetPr>
  <dimension ref="A1:H69"/>
  <sheetViews>
    <sheetView showRowColHeaders="0" workbookViewId="0">
      <selection activeCell="E10" sqref="E10"/>
    </sheetView>
  </sheetViews>
  <sheetFormatPr defaultColWidth="0" defaultRowHeight="15" zeroHeight="1"/>
  <cols>
    <col min="1" max="1" width="14.7109375" style="16" customWidth="1"/>
    <col min="2" max="2" width="5.7109375" style="17" customWidth="1"/>
    <col min="3" max="3" width="7.85546875" style="17" customWidth="1"/>
    <col min="4" max="4" width="35.42578125" style="16" customWidth="1"/>
    <col min="5" max="5" width="32.7109375" style="16" customWidth="1"/>
    <col min="6" max="6" width="32.7109375" style="17" customWidth="1"/>
    <col min="7" max="7" width="32.7109375" style="16" customWidth="1"/>
    <col min="8" max="8" width="9.140625" style="16" customWidth="1"/>
    <col min="9" max="16384" width="9.140625" style="16" hidden="1"/>
  </cols>
  <sheetData>
    <row r="1" spans="2:7"/>
    <row r="2" spans="2:7" ht="23.25" customHeight="1">
      <c r="B2" s="45" t="s">
        <v>109</v>
      </c>
    </row>
    <row r="3" spans="2:7" ht="30" customHeight="1" thickBot="1">
      <c r="B3" s="60" t="str">
        <f>"SEMESTER "&amp;UPPER(_smt_ganjil)&amp;" - KELAS "&amp;_kelas</f>
        <v>SEMESTER 3 (TIGA) - KELAS VIII A</v>
      </c>
    </row>
    <row r="4" spans="2:7" ht="18.75" customHeight="1">
      <c r="B4" s="825" t="s">
        <v>86</v>
      </c>
      <c r="C4" s="826"/>
      <c r="D4" s="827"/>
      <c r="E4" s="991" t="s">
        <v>114</v>
      </c>
      <c r="F4" s="992"/>
      <c r="G4" s="993"/>
    </row>
    <row r="5" spans="2:7" s="22" customFormat="1" ht="17.25" customHeight="1" thickBot="1">
      <c r="B5" s="828"/>
      <c r="C5" s="829"/>
      <c r="D5" s="830"/>
      <c r="E5" s="994"/>
      <c r="F5" s="995"/>
      <c r="G5" s="996"/>
    </row>
    <row r="6" spans="2:7" s="28" customFormat="1" ht="30" customHeight="1">
      <c r="B6" s="30" t="s">
        <v>50</v>
      </c>
      <c r="C6" s="31" t="s">
        <v>51</v>
      </c>
      <c r="D6" s="32" t="s">
        <v>52</v>
      </c>
      <c r="E6" s="33" t="s">
        <v>110</v>
      </c>
      <c r="F6" s="59" t="s">
        <v>111</v>
      </c>
      <c r="G6" s="34" t="s">
        <v>112</v>
      </c>
    </row>
    <row r="7" spans="2:7" ht="15.75" customHeight="1">
      <c r="B7" s="15">
        <f>IF(AND(C7="",C7="",D7=""),"",ROW()-6)</f>
        <v>1</v>
      </c>
      <c r="C7" s="46">
        <f>Leger1!F7</f>
        <v>7057</v>
      </c>
      <c r="D7" s="47" t="str">
        <f>Leger1!G7</f>
        <v>Ahmad Zaki Aufa</v>
      </c>
      <c r="E7" s="49"/>
      <c r="F7" s="51"/>
      <c r="G7" s="279"/>
    </row>
    <row r="8" spans="2:7" ht="15" customHeight="1">
      <c r="B8" s="15">
        <f t="shared" ref="B8:B46" si="0">IF(AND(C8="",C8="",D8=""),"",ROW()-6)</f>
        <v>2</v>
      </c>
      <c r="C8" s="46">
        <f>Leger1!F8</f>
        <v>7058</v>
      </c>
      <c r="D8" s="47" t="str">
        <f>Leger1!G8</f>
        <v>Anandhita Nafra Wilova</v>
      </c>
      <c r="E8" s="49"/>
      <c r="F8" s="51"/>
      <c r="G8" s="279"/>
    </row>
    <row r="9" spans="2:7" ht="15.75">
      <c r="B9" s="15">
        <f t="shared" si="0"/>
        <v>3</v>
      </c>
      <c r="C9" s="46">
        <f>Leger1!F9</f>
        <v>7059</v>
      </c>
      <c r="D9" s="47" t="str">
        <f>Leger1!G9</f>
        <v>Andini Dwi Aryanti</v>
      </c>
      <c r="E9" s="49"/>
      <c r="F9" s="51"/>
      <c r="G9" s="279"/>
    </row>
    <row r="10" spans="2:7" ht="15.75">
      <c r="B10" s="15">
        <f t="shared" si="0"/>
        <v>4</v>
      </c>
      <c r="C10" s="46">
        <f>Leger1!F10</f>
        <v>7060</v>
      </c>
      <c r="D10" s="47" t="str">
        <f>Leger1!G10</f>
        <v>Anggun Suci Rahmadani</v>
      </c>
      <c r="E10" s="49"/>
      <c r="F10" s="51"/>
      <c r="G10" s="279"/>
    </row>
    <row r="11" spans="2:7" ht="15.75">
      <c r="B11" s="15">
        <f t="shared" si="0"/>
        <v>5</v>
      </c>
      <c r="C11" s="46">
        <f>Leger1!F11</f>
        <v>7061</v>
      </c>
      <c r="D11" s="47" t="str">
        <f>Leger1!G11</f>
        <v>Anisa Julia Tasya</v>
      </c>
      <c r="E11" s="49"/>
      <c r="F11" s="51"/>
      <c r="G11" s="279"/>
    </row>
    <row r="12" spans="2:7" ht="15.75">
      <c r="B12" s="15">
        <f t="shared" si="0"/>
        <v>6</v>
      </c>
      <c r="C12" s="46">
        <f>Leger1!F12</f>
        <v>7065</v>
      </c>
      <c r="D12" s="47" t="str">
        <f>Leger1!G12</f>
        <v>Aulia Rahmawati</v>
      </c>
      <c r="E12" s="49"/>
      <c r="F12" s="51"/>
      <c r="G12" s="279"/>
    </row>
    <row r="13" spans="2:7" ht="15.75">
      <c r="B13" s="15">
        <f t="shared" si="0"/>
        <v>7</v>
      </c>
      <c r="C13" s="46">
        <f>Leger1!F13</f>
        <v>7066</v>
      </c>
      <c r="D13" s="47" t="str">
        <f>Leger1!G13</f>
        <v>Ayu Chumaira</v>
      </c>
      <c r="E13" s="49"/>
      <c r="F13" s="51"/>
      <c r="G13" s="279"/>
    </row>
    <row r="14" spans="2:7" ht="15.75">
      <c r="B14" s="15">
        <f t="shared" si="0"/>
        <v>8</v>
      </c>
      <c r="C14" s="46">
        <f>Leger1!F14</f>
        <v>7067</v>
      </c>
      <c r="D14" s="47" t="str">
        <f>Leger1!G14</f>
        <v>Ayu Emelia Putri</v>
      </c>
      <c r="E14" s="49"/>
      <c r="F14" s="51"/>
      <c r="G14" s="279"/>
    </row>
    <row r="15" spans="2:7" ht="15.75">
      <c r="B15" s="15">
        <f t="shared" si="0"/>
        <v>9</v>
      </c>
      <c r="C15" s="46">
        <f>Leger1!F15</f>
        <v>7068</v>
      </c>
      <c r="D15" s="47" t="str">
        <f>Leger1!G15</f>
        <v>Bayu Anggoro</v>
      </c>
      <c r="E15" s="49"/>
      <c r="F15" s="51"/>
      <c r="G15" s="279"/>
    </row>
    <row r="16" spans="2:7" ht="15.75">
      <c r="B16" s="15">
        <f t="shared" si="0"/>
        <v>10</v>
      </c>
      <c r="C16" s="46">
        <f>Leger1!F16</f>
        <v>7069</v>
      </c>
      <c r="D16" s="47" t="str">
        <f>Leger1!G16</f>
        <v>Calissta Sabrina Salwa Aurelia</v>
      </c>
      <c r="E16" s="49"/>
      <c r="F16" s="51"/>
      <c r="G16" s="279"/>
    </row>
    <row r="17" spans="2:7" ht="15.75">
      <c r="B17" s="15">
        <f t="shared" si="0"/>
        <v>11</v>
      </c>
      <c r="C17" s="46">
        <f>Leger1!F17</f>
        <v>7074</v>
      </c>
      <c r="D17" s="47" t="str">
        <f>Leger1!G17</f>
        <v>Dea Safitri</v>
      </c>
      <c r="E17" s="49"/>
      <c r="F17" s="51"/>
      <c r="G17" s="279"/>
    </row>
    <row r="18" spans="2:7" ht="15.75">
      <c r="B18" s="15">
        <f t="shared" si="0"/>
        <v>12</v>
      </c>
      <c r="C18" s="46">
        <f>Leger1!F18</f>
        <v>7080</v>
      </c>
      <c r="D18" s="47" t="str">
        <f>Leger1!G18</f>
        <v>Dewi Wulandari</v>
      </c>
      <c r="E18" s="49"/>
      <c r="F18" s="51"/>
      <c r="G18" s="279"/>
    </row>
    <row r="19" spans="2:7" ht="15.75">
      <c r="B19" s="15">
        <f t="shared" si="0"/>
        <v>13</v>
      </c>
      <c r="C19" s="46">
        <f>Leger1!F19</f>
        <v>7084</v>
      </c>
      <c r="D19" s="47" t="str">
        <f>Leger1!G19</f>
        <v>Dony Pratama</v>
      </c>
      <c r="E19" s="49"/>
      <c r="F19" s="51"/>
      <c r="G19" s="279"/>
    </row>
    <row r="20" spans="2:7" ht="15.75">
      <c r="B20" s="15">
        <f t="shared" si="0"/>
        <v>14</v>
      </c>
      <c r="C20" s="46">
        <f>Leger1!F20</f>
        <v>7089</v>
      </c>
      <c r="D20" s="47" t="str">
        <f>Leger1!G20</f>
        <v>Faris Febram</v>
      </c>
      <c r="E20" s="49"/>
      <c r="F20" s="51"/>
      <c r="G20" s="279"/>
    </row>
    <row r="21" spans="2:7" ht="15.75">
      <c r="B21" s="15">
        <f t="shared" si="0"/>
        <v>15</v>
      </c>
      <c r="C21" s="46">
        <f>Leger1!F21</f>
        <v>7095</v>
      </c>
      <c r="D21" s="47" t="str">
        <f>Leger1!G21</f>
        <v>Hikmatullah Umar Malik Abdul Aziz</v>
      </c>
      <c r="E21" s="49"/>
      <c r="F21" s="51"/>
      <c r="G21" s="279"/>
    </row>
    <row r="22" spans="2:7" ht="15.75">
      <c r="B22" s="15">
        <f t="shared" si="0"/>
        <v>16</v>
      </c>
      <c r="C22" s="46">
        <f>Leger1!F22</f>
        <v>7096</v>
      </c>
      <c r="D22" s="47" t="str">
        <f>Leger1!G22</f>
        <v>Indah Purnama Ningsih</v>
      </c>
      <c r="E22" s="49"/>
      <c r="F22" s="51"/>
      <c r="G22" s="279"/>
    </row>
    <row r="23" spans="2:7" ht="15.75">
      <c r="B23" s="15">
        <f t="shared" si="0"/>
        <v>17</v>
      </c>
      <c r="C23" s="46">
        <f>Leger1!F23</f>
        <v>7098</v>
      </c>
      <c r="D23" s="47" t="str">
        <f>Leger1!G23</f>
        <v>Ladiva Nurrosa Laila</v>
      </c>
      <c r="E23" s="49"/>
      <c r="F23" s="51"/>
      <c r="G23" s="279"/>
    </row>
    <row r="24" spans="2:7" ht="15.75">
      <c r="B24" s="15">
        <f t="shared" si="0"/>
        <v>18</v>
      </c>
      <c r="C24" s="46">
        <f>Leger1!F24</f>
        <v>7101</v>
      </c>
      <c r="D24" s="47" t="str">
        <f>Leger1!G24</f>
        <v>Mefa Novita Putri</v>
      </c>
      <c r="E24" s="49"/>
      <c r="F24" s="51"/>
      <c r="G24" s="279"/>
    </row>
    <row r="25" spans="2:7" ht="15.75">
      <c r="B25" s="15">
        <f t="shared" si="0"/>
        <v>19</v>
      </c>
      <c r="C25" s="46">
        <f>Leger1!F25</f>
        <v>7104</v>
      </c>
      <c r="D25" s="47" t="str">
        <f>Leger1!G25</f>
        <v>Mellanie Bunga Aprilia</v>
      </c>
      <c r="E25" s="49"/>
      <c r="F25" s="51"/>
      <c r="G25" s="279"/>
    </row>
    <row r="26" spans="2:7" ht="15.75">
      <c r="B26" s="15">
        <f t="shared" si="0"/>
        <v>20</v>
      </c>
      <c r="C26" s="46">
        <f>Leger1!F26</f>
        <v>7105</v>
      </c>
      <c r="D26" s="47" t="str">
        <f>Leger1!G26</f>
        <v>Mirra Tusolickak</v>
      </c>
      <c r="E26" s="49"/>
      <c r="F26" s="51"/>
      <c r="G26" s="279"/>
    </row>
    <row r="27" spans="2:7" ht="15.75">
      <c r="B27" s="15">
        <f t="shared" si="0"/>
        <v>21</v>
      </c>
      <c r="C27" s="46">
        <f>Leger1!F27</f>
        <v>7107</v>
      </c>
      <c r="D27" s="47" t="str">
        <f>Leger1!G27</f>
        <v>Muhammad Daffa Rifa'I</v>
      </c>
      <c r="E27" s="49"/>
      <c r="F27" s="51"/>
      <c r="G27" s="279"/>
    </row>
    <row r="28" spans="2:7" ht="15.75">
      <c r="B28" s="15">
        <f t="shared" si="0"/>
        <v>22</v>
      </c>
      <c r="C28" s="46">
        <f>Leger1!F28</f>
        <v>7108</v>
      </c>
      <c r="D28" s="47" t="str">
        <f>Leger1!G28</f>
        <v>Muhammad Jaupanto</v>
      </c>
      <c r="E28" s="49"/>
      <c r="F28" s="51"/>
      <c r="G28" s="279"/>
    </row>
    <row r="29" spans="2:7" ht="15.75">
      <c r="B29" s="15">
        <f t="shared" si="0"/>
        <v>23</v>
      </c>
      <c r="C29" s="46">
        <f>Leger1!F29</f>
        <v>7111</v>
      </c>
      <c r="D29" s="47" t="str">
        <f>Leger1!G29</f>
        <v>Nova Laila Khusna</v>
      </c>
      <c r="E29" s="49"/>
      <c r="F29" s="51"/>
      <c r="G29" s="279"/>
    </row>
    <row r="30" spans="2:7" ht="15.75">
      <c r="B30" s="15">
        <f t="shared" si="0"/>
        <v>24</v>
      </c>
      <c r="C30" s="46">
        <f>Leger1!F30</f>
        <v>7126</v>
      </c>
      <c r="D30" s="47" t="str">
        <f>Leger1!G30</f>
        <v>Sawal Ramadian</v>
      </c>
      <c r="E30" s="49"/>
      <c r="F30" s="51"/>
      <c r="G30" s="279"/>
    </row>
    <row r="31" spans="2:7" ht="15.75">
      <c r="B31" s="15">
        <f t="shared" si="0"/>
        <v>25</v>
      </c>
      <c r="C31" s="46">
        <f>Leger1!F31</f>
        <v>7130</v>
      </c>
      <c r="D31" s="47" t="str">
        <f>Leger1!G31</f>
        <v>Sofyan Romansyah</v>
      </c>
      <c r="E31" s="49"/>
      <c r="F31" s="51"/>
      <c r="G31" s="279"/>
    </row>
    <row r="32" spans="2:7" ht="15.75">
      <c r="B32" s="15">
        <f t="shared" si="0"/>
        <v>26</v>
      </c>
      <c r="C32" s="46">
        <f>Leger1!F32</f>
        <v>7132</v>
      </c>
      <c r="D32" s="47" t="str">
        <f>Leger1!G32</f>
        <v>Tio Ardinata</v>
      </c>
      <c r="E32" s="49"/>
      <c r="F32" s="51"/>
      <c r="G32" s="279"/>
    </row>
    <row r="33" spans="2:7" ht="15.75">
      <c r="B33" s="15">
        <f t="shared" si="0"/>
        <v>27</v>
      </c>
      <c r="C33" s="46">
        <f>Leger1!F33</f>
        <v>7133</v>
      </c>
      <c r="D33" s="47" t="str">
        <f>Leger1!G33</f>
        <v>Tutik Dillayanti</v>
      </c>
      <c r="E33" s="49"/>
      <c r="F33" s="51"/>
      <c r="G33" s="279"/>
    </row>
    <row r="34" spans="2:7" ht="15.75">
      <c r="B34" s="15">
        <f t="shared" si="0"/>
        <v>28</v>
      </c>
      <c r="C34" s="46">
        <f>Leger1!F34</f>
        <v>7142</v>
      </c>
      <c r="D34" s="47" t="str">
        <f>Leger1!G34</f>
        <v>I Gede Nyoman Bagiyasa</v>
      </c>
      <c r="E34" s="49"/>
      <c r="F34" s="51"/>
      <c r="G34" s="279"/>
    </row>
    <row r="35" spans="2:7" ht="15.75">
      <c r="B35" s="15">
        <f t="shared" si="0"/>
        <v>29</v>
      </c>
      <c r="C35" s="46" t="str">
        <f>Leger1!F35</f>
        <v/>
      </c>
      <c r="D35" s="47" t="str">
        <f>Leger1!G35</f>
        <v>Melati Sabilla Rochmah</v>
      </c>
      <c r="E35" s="49"/>
      <c r="F35" s="51"/>
      <c r="G35" s="279"/>
    </row>
    <row r="36" spans="2:7" ht="15.75">
      <c r="B36" s="15" t="str">
        <f t="shared" si="0"/>
        <v/>
      </c>
      <c r="C36" s="46" t="str">
        <f>Leger1!F36</f>
        <v/>
      </c>
      <c r="D36" s="47" t="str">
        <f>Leger1!G36</f>
        <v/>
      </c>
      <c r="E36" s="49"/>
      <c r="F36" s="51"/>
      <c r="G36" s="279"/>
    </row>
    <row r="37" spans="2:7" ht="15.75">
      <c r="B37" s="15" t="str">
        <f t="shared" si="0"/>
        <v/>
      </c>
      <c r="C37" s="46" t="str">
        <f>Leger1!F37</f>
        <v/>
      </c>
      <c r="D37" s="47" t="str">
        <f>Leger1!G37</f>
        <v/>
      </c>
      <c r="E37" s="49"/>
      <c r="F37" s="51"/>
      <c r="G37" s="279"/>
    </row>
    <row r="38" spans="2:7" ht="15.75">
      <c r="B38" s="15" t="str">
        <f t="shared" si="0"/>
        <v/>
      </c>
      <c r="C38" s="46" t="str">
        <f>Leger1!F38</f>
        <v/>
      </c>
      <c r="D38" s="47" t="str">
        <f>Leger1!G38</f>
        <v/>
      </c>
      <c r="E38" s="49"/>
      <c r="F38" s="51"/>
      <c r="G38" s="279"/>
    </row>
    <row r="39" spans="2:7" ht="15.75">
      <c r="B39" s="15" t="str">
        <f t="shared" si="0"/>
        <v/>
      </c>
      <c r="C39" s="46" t="str">
        <f>Leger1!F39</f>
        <v/>
      </c>
      <c r="D39" s="47" t="str">
        <f>Leger1!G39</f>
        <v/>
      </c>
      <c r="E39" s="49"/>
      <c r="F39" s="51"/>
      <c r="G39" s="279"/>
    </row>
    <row r="40" spans="2:7" ht="15.75">
      <c r="B40" s="15" t="str">
        <f t="shared" si="0"/>
        <v/>
      </c>
      <c r="C40" s="46" t="str">
        <f>Leger1!F40</f>
        <v/>
      </c>
      <c r="D40" s="47" t="str">
        <f>Leger1!G40</f>
        <v/>
      </c>
      <c r="E40" s="49"/>
      <c r="F40" s="51"/>
      <c r="G40" s="279"/>
    </row>
    <row r="41" spans="2:7" ht="15.75">
      <c r="B41" s="15" t="str">
        <f t="shared" si="0"/>
        <v/>
      </c>
      <c r="C41" s="46" t="str">
        <f>Leger1!F41</f>
        <v/>
      </c>
      <c r="D41" s="47" t="str">
        <f>Leger1!G41</f>
        <v/>
      </c>
      <c r="E41" s="49"/>
      <c r="F41" s="51"/>
      <c r="G41" s="279"/>
    </row>
    <row r="42" spans="2:7" ht="15.75">
      <c r="B42" s="15" t="str">
        <f t="shared" si="0"/>
        <v/>
      </c>
      <c r="C42" s="46" t="str">
        <f>Leger1!F42</f>
        <v/>
      </c>
      <c r="D42" s="47" t="str">
        <f>Leger1!G42</f>
        <v/>
      </c>
      <c r="E42" s="49"/>
      <c r="F42" s="51"/>
      <c r="G42" s="279"/>
    </row>
    <row r="43" spans="2:7" ht="15.75">
      <c r="B43" s="15" t="str">
        <f t="shared" si="0"/>
        <v/>
      </c>
      <c r="C43" s="46" t="str">
        <f>Leger1!F43</f>
        <v/>
      </c>
      <c r="D43" s="47" t="str">
        <f>Leger1!G43</f>
        <v/>
      </c>
      <c r="E43" s="49"/>
      <c r="F43" s="51"/>
      <c r="G43" s="279"/>
    </row>
    <row r="44" spans="2:7" ht="15.75">
      <c r="B44" s="15" t="str">
        <f t="shared" si="0"/>
        <v/>
      </c>
      <c r="C44" s="46" t="str">
        <f>Leger1!F44</f>
        <v/>
      </c>
      <c r="D44" s="47" t="str">
        <f>Leger1!G44</f>
        <v/>
      </c>
      <c r="E44" s="49"/>
      <c r="F44" s="51"/>
      <c r="G44" s="279"/>
    </row>
    <row r="45" spans="2:7" ht="15.75">
      <c r="B45" s="15" t="str">
        <f t="shared" si="0"/>
        <v/>
      </c>
      <c r="C45" s="46" t="str">
        <f>Leger1!F45</f>
        <v/>
      </c>
      <c r="D45" s="47" t="str">
        <f>Leger1!G45</f>
        <v/>
      </c>
      <c r="E45" s="49"/>
      <c r="F45" s="51"/>
      <c r="G45" s="279"/>
    </row>
    <row r="46" spans="2:7" ht="16.5" thickBot="1">
      <c r="B46" s="29" t="str">
        <f t="shared" si="0"/>
        <v/>
      </c>
      <c r="C46" s="61" t="str">
        <f>Leger1!F46</f>
        <v/>
      </c>
      <c r="D46" s="48" t="str">
        <f>Leger1!G46</f>
        <v/>
      </c>
      <c r="E46" s="55"/>
      <c r="F46" s="57"/>
      <c r="G46" s="280"/>
    </row>
    <row r="47" spans="2:7"/>
    <row r="48" spans="2:7" ht="29.25" customHeight="1"/>
    <row r="49" ht="15.75" hidden="1" customHeight="1"/>
    <row r="50" hidden="1"/>
    <row r="51" hidden="1"/>
    <row r="52" hidden="1"/>
    <row r="53" hidden="1"/>
    <row r="54" hidden="1"/>
    <row r="55" hidden="1"/>
    <row r="56" hidden="1"/>
    <row r="57" hidden="1"/>
    <row r="58" hidden="1"/>
    <row r="59" hidden="1"/>
    <row r="60" hidden="1"/>
    <row r="61" hidden="1"/>
    <row r="62" hidden="1"/>
    <row r="63" hidden="1"/>
    <row r="64" hidden="1"/>
    <row r="65" spans="2:2" hidden="1"/>
    <row r="66" spans="2:2" hidden="1"/>
    <row r="67" spans="2:2" hidden="1"/>
    <row r="68" spans="2:2" hidden="1"/>
    <row r="69" spans="2:2" s="17" customFormat="1" hidden="1">
      <c r="B69" s="17">
        <f>DL!M32</f>
        <v>0</v>
      </c>
    </row>
  </sheetData>
  <sheetProtection password="CF75" sheet="1" objects="1" scenarios="1" selectLockedCells="1"/>
  <mergeCells count="2">
    <mergeCell ref="B4:D5"/>
    <mergeCell ref="E4:G5"/>
  </mergeCells>
  <pageMargins left="0.7" right="0.7" top="0.55000000000000004" bottom="0.75" header="0.3" footer="0.3"/>
  <pageSetup paperSize="9" scale="59" orientation="portrait" r:id="rId1"/>
  <drawing r:id="rId2"/>
</worksheet>
</file>

<file path=xl/worksheets/sheet13.xml><?xml version="1.0" encoding="utf-8"?>
<worksheet xmlns="http://schemas.openxmlformats.org/spreadsheetml/2006/main" xmlns:r="http://schemas.openxmlformats.org/officeDocument/2006/relationships">
  <sheetPr codeName="Sheet10">
    <tabColor theme="9"/>
  </sheetPr>
  <dimension ref="A1:J55"/>
  <sheetViews>
    <sheetView showGridLines="0" showRowColHeaders="0" showZeros="0" zoomScaleSheetLayoutView="85" workbookViewId="0"/>
  </sheetViews>
  <sheetFormatPr defaultColWidth="0" defaultRowHeight="15" zeroHeight="1"/>
  <cols>
    <col min="1" max="1" width="13.28515625" style="198" customWidth="1"/>
    <col min="2" max="2" width="1.7109375" style="198" customWidth="1"/>
    <col min="3" max="3" width="5.85546875" style="198" customWidth="1"/>
    <col min="4" max="4" width="11.85546875" style="198" customWidth="1"/>
    <col min="5" max="5" width="1.5703125" style="198" customWidth="1"/>
    <col min="6" max="6" width="29.7109375" style="198" customWidth="1"/>
    <col min="7" max="7" width="8.28515625" style="198" customWidth="1"/>
    <col min="8" max="8" width="14" style="198" customWidth="1"/>
    <col min="9" max="9" width="12.85546875" style="198" customWidth="1"/>
    <col min="10" max="10" width="16.140625" style="198" customWidth="1"/>
    <col min="11" max="16384" width="9.140625" style="198" hidden="1"/>
  </cols>
  <sheetData>
    <row r="1" spans="3:9" ht="18" customHeight="1">
      <c r="C1" s="1000" t="s">
        <v>98</v>
      </c>
      <c r="D1" s="1000"/>
      <c r="E1" s="1000"/>
      <c r="F1" s="1000"/>
      <c r="G1" s="1000"/>
      <c r="H1" s="1000"/>
      <c r="I1" s="1000"/>
    </row>
    <row r="2" spans="3:9" ht="16.5" customHeight="1">
      <c r="C2" s="225"/>
      <c r="D2" s="225"/>
      <c r="E2" s="225"/>
      <c r="F2" s="225"/>
      <c r="G2" s="225"/>
      <c r="H2" s="225"/>
      <c r="I2" s="225"/>
    </row>
    <row r="3" spans="3:9">
      <c r="C3" s="1001" t="s">
        <v>5</v>
      </c>
      <c r="D3" s="1001"/>
      <c r="E3" s="226" t="s">
        <v>2</v>
      </c>
      <c r="F3" s="1003" t="str">
        <f>DK!D5</f>
        <v>VIII A</v>
      </c>
      <c r="G3" s="1003"/>
      <c r="H3" s="227" t="s">
        <v>29</v>
      </c>
      <c r="I3" s="228" t="str">
        <f>": "&amp;COUNTA(Biodata!E6:E45)</f>
        <v>: 29</v>
      </c>
    </row>
    <row r="4" spans="3:9" ht="14.25" customHeight="1">
      <c r="C4" s="1001" t="s">
        <v>3</v>
      </c>
      <c r="D4" s="1001"/>
      <c r="E4" s="226" t="s">
        <v>2</v>
      </c>
      <c r="F4" s="1003" t="str">
        <f>DK!D8</f>
        <v>2018 / 2019</v>
      </c>
      <c r="G4" s="1003"/>
      <c r="H4" s="229" t="s">
        <v>4</v>
      </c>
      <c r="I4" s="229" t="str">
        <f>": "&amp;DK!D9</f>
        <v>: 3 (Tiga)</v>
      </c>
    </row>
    <row r="5" spans="3:9" ht="4.5" customHeight="1">
      <c r="C5" s="229"/>
      <c r="D5" s="229"/>
      <c r="E5" s="229"/>
      <c r="F5" s="229"/>
      <c r="G5" s="229"/>
      <c r="H5" s="229"/>
      <c r="I5" s="230"/>
    </row>
    <row r="6" spans="3:9" ht="5.25" customHeight="1" thickBot="1">
      <c r="C6" s="231"/>
      <c r="D6" s="231"/>
      <c r="E6" s="231"/>
      <c r="F6" s="231"/>
      <c r="G6" s="232"/>
      <c r="H6" s="232"/>
      <c r="I6" s="233"/>
    </row>
    <row r="7" spans="3:9" ht="30" customHeight="1" thickBot="1">
      <c r="C7" s="582" t="s">
        <v>96</v>
      </c>
      <c r="D7" s="583" t="s">
        <v>51</v>
      </c>
      <c r="E7" s="1002" t="s">
        <v>97</v>
      </c>
      <c r="F7" s="1002"/>
      <c r="G7" s="1002"/>
      <c r="H7" s="585" t="s">
        <v>59</v>
      </c>
      <c r="I7" s="584" t="s">
        <v>61</v>
      </c>
    </row>
    <row r="8" spans="3:9">
      <c r="C8" s="236">
        <f>IF(E8="","",ROW()-7)</f>
        <v>1</v>
      </c>
      <c r="D8" s="237">
        <f>Konversi1!V3</f>
        <v>7101</v>
      </c>
      <c r="E8" s="997" t="str">
        <f>Konversi1!U3</f>
        <v>Mefa Novita Putri</v>
      </c>
      <c r="F8" s="998"/>
      <c r="G8" s="999"/>
      <c r="H8" s="395">
        <f>Konversi1!W3</f>
        <v>930.01428571428562</v>
      </c>
      <c r="I8" s="238">
        <f>Konversi1!X3</f>
        <v>1</v>
      </c>
    </row>
    <row r="9" spans="3:9">
      <c r="C9" s="236">
        <f t="shared" ref="C9:C47" si="0">IF(E9="","",ROW()-7)</f>
        <v>2</v>
      </c>
      <c r="D9" s="237">
        <f>Konversi1!V4</f>
        <v>7105</v>
      </c>
      <c r="E9" s="997" t="str">
        <f>Konversi1!U4</f>
        <v>Mirra Tusolickak</v>
      </c>
      <c r="F9" s="998"/>
      <c r="G9" s="999"/>
      <c r="H9" s="395">
        <f>Konversi1!W4</f>
        <v>927.00142857142873</v>
      </c>
      <c r="I9" s="238">
        <f>Konversi1!X4</f>
        <v>2</v>
      </c>
    </row>
    <row r="10" spans="3:9">
      <c r="C10" s="236">
        <f t="shared" si="0"/>
        <v>3</v>
      </c>
      <c r="D10" s="237">
        <f>Konversi1!V5</f>
        <v>7096</v>
      </c>
      <c r="E10" s="997" t="str">
        <f>Konversi1!U5</f>
        <v>Indah Purnama Ningsih</v>
      </c>
      <c r="F10" s="998"/>
      <c r="G10" s="999"/>
      <c r="H10" s="395">
        <f>Konversi1!W5</f>
        <v>922.02</v>
      </c>
      <c r="I10" s="238">
        <f>Konversi1!X5</f>
        <v>3</v>
      </c>
    </row>
    <row r="11" spans="3:9">
      <c r="C11" s="236">
        <f t="shared" si="0"/>
        <v>4</v>
      </c>
      <c r="D11" s="237">
        <f>Konversi1!V6</f>
        <v>7104</v>
      </c>
      <c r="E11" s="997" t="str">
        <f>Konversi1!U6</f>
        <v>Mellanie Bunga Aprilia</v>
      </c>
      <c r="F11" s="998"/>
      <c r="G11" s="999"/>
      <c r="H11" s="395">
        <f>Konversi1!W6</f>
        <v>916.74</v>
      </c>
      <c r="I11" s="238">
        <f>Konversi1!X6</f>
        <v>4</v>
      </c>
    </row>
    <row r="12" spans="3:9">
      <c r="C12" s="236">
        <f t="shared" si="0"/>
        <v>5</v>
      </c>
      <c r="D12" s="237">
        <f>Konversi1!V7</f>
        <v>7067</v>
      </c>
      <c r="E12" s="997" t="str">
        <f>Konversi1!U7</f>
        <v>Ayu Emelia Putri</v>
      </c>
      <c r="F12" s="998"/>
      <c r="G12" s="999"/>
      <c r="H12" s="395">
        <f>Konversi1!W7</f>
        <v>915.94285714285718</v>
      </c>
      <c r="I12" s="238">
        <f>Konversi1!X7</f>
        <v>5</v>
      </c>
    </row>
    <row r="13" spans="3:9">
      <c r="C13" s="236">
        <f t="shared" si="0"/>
        <v>6</v>
      </c>
      <c r="D13" s="237">
        <f>Konversi1!V8</f>
        <v>7126</v>
      </c>
      <c r="E13" s="997" t="str">
        <f>Konversi1!U8</f>
        <v>Sawal Ramadian</v>
      </c>
      <c r="F13" s="998"/>
      <c r="G13" s="999"/>
      <c r="H13" s="395">
        <f>Konversi1!W8</f>
        <v>910.86142857142852</v>
      </c>
      <c r="I13" s="238">
        <f>Konversi1!X8</f>
        <v>6</v>
      </c>
    </row>
    <row r="14" spans="3:9">
      <c r="C14" s="236">
        <f t="shared" si="0"/>
        <v>7</v>
      </c>
      <c r="D14" s="237">
        <f>Konversi1!V9</f>
        <v>7068</v>
      </c>
      <c r="E14" s="997" t="str">
        <f>Konversi1!U9</f>
        <v>Bayu Anggoro</v>
      </c>
      <c r="F14" s="998"/>
      <c r="G14" s="999"/>
      <c r="H14" s="395">
        <f>Konversi1!W9</f>
        <v>907.86428571428564</v>
      </c>
      <c r="I14" s="238">
        <f>Konversi1!X9</f>
        <v>7</v>
      </c>
    </row>
    <row r="15" spans="3:9">
      <c r="C15" s="236">
        <f t="shared" si="0"/>
        <v>8</v>
      </c>
      <c r="D15" s="237">
        <f>Konversi1!V10</f>
        <v>7069</v>
      </c>
      <c r="E15" s="997" t="str">
        <f>Konversi1!U10</f>
        <v>Calissta Sabrina Salwa Aurelia</v>
      </c>
      <c r="F15" s="998"/>
      <c r="G15" s="999"/>
      <c r="H15" s="395">
        <f>Konversi1!W10</f>
        <v>904.74142857142851</v>
      </c>
      <c r="I15" s="238">
        <f>Konversi1!X10</f>
        <v>8</v>
      </c>
    </row>
    <row r="16" spans="3:9">
      <c r="C16" s="236">
        <f t="shared" si="0"/>
        <v>9</v>
      </c>
      <c r="D16" s="237">
        <f>Konversi1!V11</f>
        <v>7107</v>
      </c>
      <c r="E16" s="997" t="str">
        <f>Konversi1!U11</f>
        <v>Muhammad Daffa Rifa'I</v>
      </c>
      <c r="F16" s="998"/>
      <c r="G16" s="999"/>
      <c r="H16" s="395">
        <f>Konversi1!W11</f>
        <v>901.88000000000011</v>
      </c>
      <c r="I16" s="238">
        <f>Konversi1!X11</f>
        <v>9</v>
      </c>
    </row>
    <row r="17" spans="3:9">
      <c r="C17" s="236">
        <f t="shared" si="0"/>
        <v>10</v>
      </c>
      <c r="D17" s="237">
        <f>Konversi1!V12</f>
        <v>7066</v>
      </c>
      <c r="E17" s="997" t="str">
        <f>Konversi1!U12</f>
        <v>Ayu Chumaira</v>
      </c>
      <c r="F17" s="998"/>
      <c r="G17" s="999"/>
      <c r="H17" s="395">
        <f>Konversi1!W12</f>
        <v>901.05</v>
      </c>
      <c r="I17" s="238">
        <f>Konversi1!X12</f>
        <v>10</v>
      </c>
    </row>
    <row r="18" spans="3:9">
      <c r="C18" s="236">
        <f t="shared" si="0"/>
        <v>11</v>
      </c>
      <c r="D18" s="237">
        <f>Konversi1!V13</f>
        <v>7111</v>
      </c>
      <c r="E18" s="997" t="str">
        <f>Konversi1!U13</f>
        <v>Nova Laila Khusna</v>
      </c>
      <c r="F18" s="998"/>
      <c r="G18" s="999"/>
      <c r="H18" s="395">
        <f>Konversi1!W13</f>
        <v>900.90142857142848</v>
      </c>
      <c r="I18" s="238">
        <f>Konversi1!X13</f>
        <v>11</v>
      </c>
    </row>
    <row r="19" spans="3:9">
      <c r="C19" s="236">
        <f t="shared" si="0"/>
        <v>12</v>
      </c>
      <c r="D19" s="237">
        <f>Konversi1!V14</f>
        <v>7061</v>
      </c>
      <c r="E19" s="997" t="str">
        <f>Konversi1!U14</f>
        <v>Anisa Julia Tasya</v>
      </c>
      <c r="F19" s="998"/>
      <c r="G19" s="999"/>
      <c r="H19" s="395">
        <f>Konversi1!W14</f>
        <v>894.70571428571418</v>
      </c>
      <c r="I19" s="238">
        <f>Konversi1!X14</f>
        <v>12</v>
      </c>
    </row>
    <row r="20" spans="3:9">
      <c r="C20" s="236">
        <f t="shared" si="0"/>
        <v>13</v>
      </c>
      <c r="D20" s="237">
        <f>Konversi1!V15</f>
        <v>7058</v>
      </c>
      <c r="E20" s="997" t="str">
        <f>Konversi1!U15</f>
        <v>Anandhita Nafra Wilova</v>
      </c>
      <c r="F20" s="998"/>
      <c r="G20" s="999"/>
      <c r="H20" s="395">
        <f>Konversi1!W15</f>
        <v>894.29142857142847</v>
      </c>
      <c r="I20" s="238">
        <f>Konversi1!X15</f>
        <v>13</v>
      </c>
    </row>
    <row r="21" spans="3:9">
      <c r="C21" s="236">
        <f t="shared" si="0"/>
        <v>14</v>
      </c>
      <c r="D21" s="237">
        <f>Konversi1!V16</f>
        <v>7080</v>
      </c>
      <c r="E21" s="997" t="str">
        <f>Konversi1!U16</f>
        <v>Dewi Wulandari</v>
      </c>
      <c r="F21" s="998"/>
      <c r="G21" s="999"/>
      <c r="H21" s="395">
        <f>Konversi1!W16</f>
        <v>889.07428571428557</v>
      </c>
      <c r="I21" s="238">
        <f>Konversi1!X16</f>
        <v>14</v>
      </c>
    </row>
    <row r="22" spans="3:9">
      <c r="C22" s="236">
        <f t="shared" si="0"/>
        <v>15</v>
      </c>
      <c r="D22" s="237">
        <f>Konversi1!V17</f>
        <v>7057</v>
      </c>
      <c r="E22" s="997" t="str">
        <f>Konversi1!U17</f>
        <v>Ahmad Zaki Aufa</v>
      </c>
      <c r="F22" s="998"/>
      <c r="G22" s="999"/>
      <c r="H22" s="395">
        <f>Konversi1!W17</f>
        <v>887.9442857142858</v>
      </c>
      <c r="I22" s="238">
        <f>Konversi1!X17</f>
        <v>15</v>
      </c>
    </row>
    <row r="23" spans="3:9">
      <c r="C23" s="236">
        <f t="shared" si="0"/>
        <v>16</v>
      </c>
      <c r="D23" s="237">
        <f>Konversi1!V18</f>
        <v>7065</v>
      </c>
      <c r="E23" s="997" t="str">
        <f>Konversi1!U18</f>
        <v>Aulia Rahmawati</v>
      </c>
      <c r="F23" s="998"/>
      <c r="G23" s="999"/>
      <c r="H23" s="395">
        <f>Konversi1!W18</f>
        <v>886.7385714285715</v>
      </c>
      <c r="I23" s="238">
        <f>Konversi1!X18</f>
        <v>16</v>
      </c>
    </row>
    <row r="24" spans="3:9">
      <c r="C24" s="236">
        <f t="shared" si="0"/>
        <v>17</v>
      </c>
      <c r="D24" s="237">
        <f>Konversi1!V19</f>
        <v>7098</v>
      </c>
      <c r="E24" s="997" t="str">
        <f>Konversi1!U19</f>
        <v>Ladiva Nurrosa Laila</v>
      </c>
      <c r="F24" s="998"/>
      <c r="G24" s="999"/>
      <c r="H24" s="395">
        <f>Konversi1!W19</f>
        <v>885.81142857142845</v>
      </c>
      <c r="I24" s="238">
        <f>Konversi1!X19</f>
        <v>17</v>
      </c>
    </row>
    <row r="25" spans="3:9">
      <c r="C25" s="236">
        <f t="shared" si="0"/>
        <v>18</v>
      </c>
      <c r="D25" s="237">
        <f>Konversi1!V20</f>
        <v>7095</v>
      </c>
      <c r="E25" s="997" t="str">
        <f>Konversi1!U20</f>
        <v>Hikmatullah Umar Malik Abdul Aziz</v>
      </c>
      <c r="F25" s="998"/>
      <c r="G25" s="999"/>
      <c r="H25" s="395">
        <f>Konversi1!W20</f>
        <v>884.28142857142859</v>
      </c>
      <c r="I25" s="238">
        <f>Konversi1!X20</f>
        <v>18</v>
      </c>
    </row>
    <row r="26" spans="3:9">
      <c r="C26" s="236">
        <f t="shared" si="0"/>
        <v>19</v>
      </c>
      <c r="D26" s="237">
        <f>Konversi1!V21</f>
        <v>7059</v>
      </c>
      <c r="E26" s="997" t="str">
        <f>Konversi1!U21</f>
        <v>Andini Dwi Aryanti</v>
      </c>
      <c r="F26" s="998"/>
      <c r="G26" s="999"/>
      <c r="H26" s="395">
        <f>Konversi1!W21</f>
        <v>882.44857142857143</v>
      </c>
      <c r="I26" s="238">
        <f>Konversi1!X21</f>
        <v>19</v>
      </c>
    </row>
    <row r="27" spans="3:9">
      <c r="C27" s="236">
        <f t="shared" si="0"/>
        <v>20</v>
      </c>
      <c r="D27" s="237">
        <f>Konversi1!V22</f>
        <v>7074</v>
      </c>
      <c r="E27" s="997" t="str">
        <f>Konversi1!U22</f>
        <v>Dea Safitri</v>
      </c>
      <c r="F27" s="998"/>
      <c r="G27" s="999"/>
      <c r="H27" s="395">
        <f>Konversi1!W22</f>
        <v>880.35285714285715</v>
      </c>
      <c r="I27" s="238">
        <f>Konversi1!X22</f>
        <v>20</v>
      </c>
    </row>
    <row r="28" spans="3:9">
      <c r="C28" s="236">
        <f t="shared" si="0"/>
        <v>21</v>
      </c>
      <c r="D28" s="237">
        <f>Konversi1!V23</f>
        <v>7060</v>
      </c>
      <c r="E28" s="997" t="str">
        <f>Konversi1!U23</f>
        <v>Anggun Suci Rahmadani</v>
      </c>
      <c r="F28" s="998"/>
      <c r="G28" s="999"/>
      <c r="H28" s="395">
        <f>Konversi1!W23</f>
        <v>875.96285714285705</v>
      </c>
      <c r="I28" s="238">
        <f>Konversi1!X23</f>
        <v>21</v>
      </c>
    </row>
    <row r="29" spans="3:9">
      <c r="C29" s="236">
        <f t="shared" si="0"/>
        <v>22</v>
      </c>
      <c r="D29" s="237">
        <f>Konversi1!V24</f>
        <v>7089</v>
      </c>
      <c r="E29" s="997" t="str">
        <f>Konversi1!U24</f>
        <v>Faris Febram</v>
      </c>
      <c r="F29" s="998"/>
      <c r="G29" s="999"/>
      <c r="H29" s="395">
        <f>Konversi1!W24</f>
        <v>872.86571428571438</v>
      </c>
      <c r="I29" s="238">
        <f>Konversi1!X24</f>
        <v>22</v>
      </c>
    </row>
    <row r="30" spans="3:9">
      <c r="C30" s="236">
        <f t="shared" si="0"/>
        <v>23</v>
      </c>
      <c r="D30" s="237">
        <f>Konversi1!V25</f>
        <v>7133</v>
      </c>
      <c r="E30" s="997" t="str">
        <f>Konversi1!U25</f>
        <v>Tutik Dillayanti</v>
      </c>
      <c r="F30" s="998"/>
      <c r="G30" s="999"/>
      <c r="H30" s="395">
        <f>Konversi1!W25</f>
        <v>871.68857142857144</v>
      </c>
      <c r="I30" s="238">
        <f>Konversi1!X25</f>
        <v>23</v>
      </c>
    </row>
    <row r="31" spans="3:9">
      <c r="C31" s="236">
        <f t="shared" si="0"/>
        <v>24</v>
      </c>
      <c r="D31" s="237">
        <f>Konversi1!V26</f>
        <v>7084</v>
      </c>
      <c r="E31" s="997" t="str">
        <f>Konversi1!U26</f>
        <v>Dony Pratama</v>
      </c>
      <c r="F31" s="998"/>
      <c r="G31" s="999"/>
      <c r="H31" s="395">
        <f>Konversi1!W26</f>
        <v>870.83428571428567</v>
      </c>
      <c r="I31" s="238">
        <f>Konversi1!X26</f>
        <v>24</v>
      </c>
    </row>
    <row r="32" spans="3:9">
      <c r="C32" s="236">
        <f t="shared" si="0"/>
        <v>25</v>
      </c>
      <c r="D32" s="237">
        <f>Konversi1!V27</f>
        <v>7142</v>
      </c>
      <c r="E32" s="997" t="str">
        <f>Konversi1!U27</f>
        <v>I Gede Nyoman Bagiyasa</v>
      </c>
      <c r="F32" s="998"/>
      <c r="G32" s="999"/>
      <c r="H32" s="395">
        <f>Konversi1!W27</f>
        <v>865.08428571428578</v>
      </c>
      <c r="I32" s="238">
        <f>Konversi1!X27</f>
        <v>25</v>
      </c>
    </row>
    <row r="33" spans="3:9">
      <c r="C33" s="236">
        <f t="shared" si="0"/>
        <v>26</v>
      </c>
      <c r="D33" s="237">
        <f>Konversi1!V28</f>
        <v>7108</v>
      </c>
      <c r="E33" s="997" t="str">
        <f>Konversi1!U28</f>
        <v>Muhammad Jaupanto</v>
      </c>
      <c r="F33" s="998"/>
      <c r="G33" s="999"/>
      <c r="H33" s="395">
        <f>Konversi1!W28</f>
        <v>859.05</v>
      </c>
      <c r="I33" s="238">
        <f>Konversi1!X28</f>
        <v>26</v>
      </c>
    </row>
    <row r="34" spans="3:9">
      <c r="C34" s="236">
        <f t="shared" si="0"/>
        <v>27</v>
      </c>
      <c r="D34" s="237">
        <f>Konversi1!V29</f>
        <v>7132</v>
      </c>
      <c r="E34" s="997" t="str">
        <f>Konversi1!U29</f>
        <v>Tio Ardinata</v>
      </c>
      <c r="F34" s="998"/>
      <c r="G34" s="999"/>
      <c r="H34" s="395">
        <f>Konversi1!W29</f>
        <v>858.69999999999993</v>
      </c>
      <c r="I34" s="238">
        <f>Konversi1!X29</f>
        <v>27</v>
      </c>
    </row>
    <row r="35" spans="3:9">
      <c r="C35" s="236">
        <f t="shared" si="0"/>
        <v>28</v>
      </c>
      <c r="D35" s="237">
        <f>Konversi1!V30</f>
        <v>7130</v>
      </c>
      <c r="E35" s="997" t="str">
        <f>Konversi1!U30</f>
        <v>Sofyan Romansyah</v>
      </c>
      <c r="F35" s="998"/>
      <c r="G35" s="999"/>
      <c r="H35" s="395">
        <f>Konversi1!W30</f>
        <v>848.32857142857131</v>
      </c>
      <c r="I35" s="238">
        <f>Konversi1!X30</f>
        <v>28</v>
      </c>
    </row>
    <row r="36" spans="3:9">
      <c r="C36" s="236" t="str">
        <f t="shared" si="0"/>
        <v/>
      </c>
      <c r="D36" s="237" t="str">
        <f>Konversi1!V31</f>
        <v/>
      </c>
      <c r="E36" s="997" t="str">
        <f>Konversi1!U31</f>
        <v/>
      </c>
      <c r="F36" s="998"/>
      <c r="G36" s="999"/>
      <c r="H36" s="395" t="str">
        <f>Konversi1!W31</f>
        <v/>
      </c>
      <c r="I36" s="238" t="str">
        <f>Konversi1!X31</f>
        <v/>
      </c>
    </row>
    <row r="37" spans="3:9">
      <c r="C37" s="236" t="str">
        <f t="shared" si="0"/>
        <v/>
      </c>
      <c r="D37" s="237" t="str">
        <f>Konversi1!V32</f>
        <v/>
      </c>
      <c r="E37" s="997" t="str">
        <f>Konversi1!U32</f>
        <v/>
      </c>
      <c r="F37" s="998"/>
      <c r="G37" s="999"/>
      <c r="H37" s="395" t="str">
        <f>Konversi1!W32</f>
        <v/>
      </c>
      <c r="I37" s="238" t="str">
        <f>Konversi1!X32</f>
        <v/>
      </c>
    </row>
    <row r="38" spans="3:9">
      <c r="C38" s="236" t="str">
        <f t="shared" si="0"/>
        <v/>
      </c>
      <c r="D38" s="237" t="str">
        <f>Konversi1!V33</f>
        <v/>
      </c>
      <c r="E38" s="997" t="str">
        <f>Konversi1!U33</f>
        <v/>
      </c>
      <c r="F38" s="998"/>
      <c r="G38" s="999"/>
      <c r="H38" s="395" t="str">
        <f>Konversi1!W33</f>
        <v/>
      </c>
      <c r="I38" s="238" t="str">
        <f>Konversi1!X33</f>
        <v/>
      </c>
    </row>
    <row r="39" spans="3:9">
      <c r="C39" s="236" t="str">
        <f t="shared" si="0"/>
        <v/>
      </c>
      <c r="D39" s="237" t="str">
        <f>Konversi1!V34</f>
        <v/>
      </c>
      <c r="E39" s="997" t="str">
        <f>Konversi1!U34</f>
        <v/>
      </c>
      <c r="F39" s="998"/>
      <c r="G39" s="999"/>
      <c r="H39" s="395" t="str">
        <f>Konversi1!W34</f>
        <v/>
      </c>
      <c r="I39" s="238" t="str">
        <f>Konversi1!X34</f>
        <v/>
      </c>
    </row>
    <row r="40" spans="3:9">
      <c r="C40" s="236" t="str">
        <f t="shared" si="0"/>
        <v/>
      </c>
      <c r="D40" s="237" t="str">
        <f>Konversi1!V35</f>
        <v/>
      </c>
      <c r="E40" s="997" t="str">
        <f>Konversi1!U35</f>
        <v/>
      </c>
      <c r="F40" s="998"/>
      <c r="G40" s="999"/>
      <c r="H40" s="395" t="str">
        <f>Konversi1!W35</f>
        <v/>
      </c>
      <c r="I40" s="238" t="str">
        <f>Konversi1!X35</f>
        <v/>
      </c>
    </row>
    <row r="41" spans="3:9">
      <c r="C41" s="236" t="str">
        <f t="shared" si="0"/>
        <v/>
      </c>
      <c r="D41" s="237" t="str">
        <f>Konversi1!V36</f>
        <v/>
      </c>
      <c r="E41" s="997" t="str">
        <f>Konversi1!U36</f>
        <v/>
      </c>
      <c r="F41" s="998"/>
      <c r="G41" s="999"/>
      <c r="H41" s="395" t="str">
        <f>Konversi1!W36</f>
        <v/>
      </c>
      <c r="I41" s="238" t="str">
        <f>Konversi1!X36</f>
        <v/>
      </c>
    </row>
    <row r="42" spans="3:9">
      <c r="C42" s="236" t="str">
        <f t="shared" si="0"/>
        <v/>
      </c>
      <c r="D42" s="237" t="str">
        <f>Konversi1!V37</f>
        <v/>
      </c>
      <c r="E42" s="997" t="str">
        <f>Konversi1!U37</f>
        <v/>
      </c>
      <c r="F42" s="998"/>
      <c r="G42" s="999"/>
      <c r="H42" s="395" t="str">
        <f>Konversi1!W37</f>
        <v/>
      </c>
      <c r="I42" s="238" t="str">
        <f>Konversi1!X37</f>
        <v/>
      </c>
    </row>
    <row r="43" spans="3:9">
      <c r="C43" s="236" t="str">
        <f t="shared" si="0"/>
        <v/>
      </c>
      <c r="D43" s="237" t="str">
        <f>Konversi1!V38</f>
        <v/>
      </c>
      <c r="E43" s="997" t="str">
        <f>Konversi1!U38</f>
        <v/>
      </c>
      <c r="F43" s="998"/>
      <c r="G43" s="999"/>
      <c r="H43" s="395" t="str">
        <f>Konversi1!W38</f>
        <v/>
      </c>
      <c r="I43" s="238" t="str">
        <f>Konversi1!X38</f>
        <v/>
      </c>
    </row>
    <row r="44" spans="3:9">
      <c r="C44" s="236" t="str">
        <f t="shared" si="0"/>
        <v/>
      </c>
      <c r="D44" s="237" t="str">
        <f>Konversi1!V39</f>
        <v/>
      </c>
      <c r="E44" s="997" t="str">
        <f>Konversi1!U39</f>
        <v/>
      </c>
      <c r="F44" s="998"/>
      <c r="G44" s="999"/>
      <c r="H44" s="395" t="str">
        <f>Konversi1!W39</f>
        <v/>
      </c>
      <c r="I44" s="238" t="str">
        <f>Konversi1!X39</f>
        <v/>
      </c>
    </row>
    <row r="45" spans="3:9">
      <c r="C45" s="236" t="str">
        <f t="shared" si="0"/>
        <v/>
      </c>
      <c r="D45" s="237" t="str">
        <f>Konversi1!V40</f>
        <v/>
      </c>
      <c r="E45" s="997" t="str">
        <f>Konversi1!U40</f>
        <v/>
      </c>
      <c r="F45" s="998"/>
      <c r="G45" s="999"/>
      <c r="H45" s="395" t="str">
        <f>Konversi1!W40</f>
        <v/>
      </c>
      <c r="I45" s="238" t="str">
        <f>Konversi1!X40</f>
        <v/>
      </c>
    </row>
    <row r="46" spans="3:9">
      <c r="C46" s="236" t="str">
        <f t="shared" si="0"/>
        <v/>
      </c>
      <c r="D46" s="237" t="str">
        <f>Konversi1!V41</f>
        <v/>
      </c>
      <c r="E46" s="997" t="str">
        <f>Konversi1!U41</f>
        <v/>
      </c>
      <c r="F46" s="998"/>
      <c r="G46" s="999"/>
      <c r="H46" s="395" t="str">
        <f>Konversi1!W41</f>
        <v/>
      </c>
      <c r="I46" s="238" t="str">
        <f>Konversi1!X41</f>
        <v/>
      </c>
    </row>
    <row r="47" spans="3:9" ht="15.75" thickBot="1">
      <c r="C47" s="239" t="str">
        <f t="shared" si="0"/>
        <v/>
      </c>
      <c r="D47" s="240" t="str">
        <f>Konversi1!V42</f>
        <v/>
      </c>
      <c r="E47" s="1005" t="str">
        <f>Konversi1!U42</f>
        <v/>
      </c>
      <c r="F47" s="1006"/>
      <c r="G47" s="1007"/>
      <c r="H47" s="396" t="str">
        <f>Konversi1!W42</f>
        <v/>
      </c>
      <c r="I47" s="241" t="str">
        <f>Konversi1!X42</f>
        <v/>
      </c>
    </row>
    <row r="48" spans="3:9" ht="9.75" customHeight="1">
      <c r="C48" s="242"/>
      <c r="D48" s="242"/>
      <c r="E48" s="243"/>
      <c r="F48" s="243"/>
      <c r="G48" s="243"/>
      <c r="H48" s="242"/>
      <c r="I48" s="242"/>
    </row>
    <row r="49" spans="3:9">
      <c r="C49" s="242"/>
      <c r="D49" s="242"/>
      <c r="E49" s="243"/>
      <c r="F49" s="243"/>
      <c r="G49" s="1004" t="str">
        <f>_tempat_penyerahan&amp;", "&amp;_tgl_rapor_ganjil</f>
        <v>Abung Surakarta, 21 Desember 2018</v>
      </c>
      <c r="H49" s="1004"/>
      <c r="I49" s="1004"/>
    </row>
    <row r="50" spans="3:9">
      <c r="C50" s="242"/>
      <c r="D50" s="242"/>
      <c r="E50" s="243"/>
      <c r="F50" s="243"/>
      <c r="G50" s="244" t="s">
        <v>149</v>
      </c>
      <c r="H50" s="245"/>
      <c r="I50" s="242"/>
    </row>
    <row r="51" spans="3:9">
      <c r="C51" s="242"/>
      <c r="D51" s="242"/>
      <c r="E51" s="243"/>
      <c r="F51" s="243"/>
      <c r="G51" s="242"/>
      <c r="H51" s="245"/>
      <c r="I51" s="242"/>
    </row>
    <row r="52" spans="3:9">
      <c r="C52" s="242"/>
      <c r="D52" s="242"/>
      <c r="E52" s="243"/>
      <c r="F52" s="243"/>
      <c r="G52" s="242"/>
      <c r="H52" s="245"/>
      <c r="I52" s="242"/>
    </row>
    <row r="53" spans="3:9">
      <c r="C53" s="242"/>
      <c r="D53" s="242"/>
      <c r="E53" s="243"/>
      <c r="F53" s="243"/>
      <c r="G53" s="246" t="str">
        <f>DK!D6</f>
        <v>Siti Kotijah, S.Pd.</v>
      </c>
      <c r="H53" s="245"/>
      <c r="I53" s="242"/>
    </row>
    <row r="54" spans="3:9">
      <c r="C54" s="242"/>
      <c r="D54" s="242"/>
      <c r="E54" s="243"/>
      <c r="F54" s="243"/>
      <c r="G54" s="244" t="str">
        <f>"NIP. "&amp;IF(DK!D7=0,"",DK!D7)</f>
        <v>NIP. 19700120199501 2 001</v>
      </c>
      <c r="H54" s="245"/>
      <c r="I54" s="242"/>
    </row>
    <row r="55" spans="3:9"/>
  </sheetData>
  <sheetProtection password="CF75" sheet="1" objects="1" scenarios="1"/>
  <mergeCells count="47">
    <mergeCell ref="G49:I49"/>
    <mergeCell ref="E20:G20"/>
    <mergeCell ref="E39:G39"/>
    <mergeCell ref="E46:G46"/>
    <mergeCell ref="E47:G47"/>
    <mergeCell ref="E40:G40"/>
    <mergeCell ref="E41:G41"/>
    <mergeCell ref="E42:G42"/>
    <mergeCell ref="E43:G43"/>
    <mergeCell ref="E44:G44"/>
    <mergeCell ref="E45:G45"/>
    <mergeCell ref="E37:G37"/>
    <mergeCell ref="E28:G28"/>
    <mergeCell ref="E29:G29"/>
    <mergeCell ref="E38:G38"/>
    <mergeCell ref="C1:I1"/>
    <mergeCell ref="C3:D3"/>
    <mergeCell ref="C4:D4"/>
    <mergeCell ref="E22:G22"/>
    <mergeCell ref="E21:G21"/>
    <mergeCell ref="E7:G7"/>
    <mergeCell ref="E8:G8"/>
    <mergeCell ref="E9:G9"/>
    <mergeCell ref="E10:G10"/>
    <mergeCell ref="F3:G3"/>
    <mergeCell ref="F4:G4"/>
    <mergeCell ref="E18:G18"/>
    <mergeCell ref="E17:G17"/>
    <mergeCell ref="E11:G11"/>
    <mergeCell ref="E12:G12"/>
    <mergeCell ref="E13:G13"/>
    <mergeCell ref="E14:G14"/>
    <mergeCell ref="E16:G16"/>
    <mergeCell ref="E19:G19"/>
    <mergeCell ref="E36:G36"/>
    <mergeCell ref="E30:G30"/>
    <mergeCell ref="E32:G32"/>
    <mergeCell ref="E35:G35"/>
    <mergeCell ref="E34:G34"/>
    <mergeCell ref="E23:G23"/>
    <mergeCell ref="E24:G24"/>
    <mergeCell ref="E25:G25"/>
    <mergeCell ref="E26:G26"/>
    <mergeCell ref="E33:G33"/>
    <mergeCell ref="E31:G31"/>
    <mergeCell ref="E27:G27"/>
    <mergeCell ref="E15:G15"/>
  </mergeCells>
  <pageMargins left="1.0900000000000001" right="0.88" top="0.55000000000000004" bottom="0.39" header="0.3" footer="0.3"/>
  <pageSetup paperSize="9" scale="95" orientation="portrait" r:id="rId1"/>
  <ignoredErrors>
    <ignoredError sqref="G49" unlockedFormula="1"/>
  </ignoredErrors>
  <drawing r:id="rId2"/>
</worksheet>
</file>

<file path=xl/worksheets/sheet14.xml><?xml version="1.0" encoding="utf-8"?>
<worksheet xmlns="http://schemas.openxmlformats.org/spreadsheetml/2006/main" xmlns:r="http://schemas.openxmlformats.org/officeDocument/2006/relationships">
  <dimension ref="A1:T56"/>
  <sheetViews>
    <sheetView showGridLines="0" workbookViewId="0"/>
  </sheetViews>
  <sheetFormatPr defaultColWidth="0" defaultRowHeight="15" zeroHeight="1"/>
  <cols>
    <col min="1" max="1" width="13.28515625" style="198" customWidth="1"/>
    <col min="2" max="2" width="7.140625" style="634" customWidth="1"/>
    <col min="3" max="3" width="3" style="198" customWidth="1"/>
    <col min="4" max="4" width="28.5703125" style="593" customWidth="1"/>
    <col min="5" max="5" width="11.7109375" style="199" bestFit="1" customWidth="1"/>
    <col min="6" max="6" width="2.5703125" style="594" customWidth="1"/>
    <col min="7" max="7" width="2" style="594" bestFit="1" customWidth="1"/>
    <col min="8" max="8" width="12.7109375" style="198" bestFit="1" customWidth="1"/>
    <col min="9" max="9" width="13.28515625" style="198" customWidth="1"/>
    <col min="10" max="11" width="4.5703125" style="198" customWidth="1"/>
    <col min="12" max="12" width="16.140625" style="198" customWidth="1"/>
    <col min="13" max="20" width="0" style="198" hidden="1" customWidth="1"/>
    <col min="21" max="16384" width="9.140625" style="198" hidden="1"/>
  </cols>
  <sheetData>
    <row r="1" spans="2:9"/>
    <row r="2" spans="2:9" ht="23.25">
      <c r="C2" s="595" t="s">
        <v>597</v>
      </c>
      <c r="D2" s="596"/>
      <c r="E2" s="596"/>
      <c r="F2" s="597"/>
      <c r="G2" s="597"/>
      <c r="H2" s="598"/>
      <c r="I2" s="598"/>
    </row>
    <row r="3" spans="2:9" ht="21">
      <c r="C3" s="599" t="str">
        <f>"Kelas "&amp;_kelas</f>
        <v>Kelas VIII A</v>
      </c>
      <c r="D3" s="600"/>
      <c r="E3" s="600"/>
      <c r="F3" s="601"/>
      <c r="G3" s="601"/>
      <c r="H3" s="602"/>
      <c r="I3" s="602"/>
    </row>
    <row r="4" spans="2:9">
      <c r="C4" s="596"/>
      <c r="D4" s="596"/>
      <c r="E4" s="596"/>
      <c r="F4" s="597"/>
      <c r="G4" s="597"/>
      <c r="H4" s="598"/>
      <c r="I4" s="598"/>
    </row>
    <row r="5" spans="2:9" ht="19.5" thickBot="1">
      <c r="C5" s="603" t="str">
        <f>"Semester "&amp;_smt_ganjil</f>
        <v>Semester 3 (Tiga)</v>
      </c>
      <c r="D5" s="596"/>
      <c r="E5" s="604"/>
      <c r="F5" s="605"/>
      <c r="G5" s="605"/>
      <c r="H5" s="598"/>
      <c r="I5" s="598"/>
    </row>
    <row r="6" spans="2:9" ht="15.75" thickBot="1">
      <c r="C6" s="606" t="s">
        <v>29</v>
      </c>
      <c r="D6" s="607"/>
      <c r="E6" s="608" t="str">
        <f>IF(_JUMLAH_SISWA=0,"0",_JUMLAH_SISWA&amp;" Siswa")</f>
        <v>29 Siswa</v>
      </c>
      <c r="F6" s="609"/>
      <c r="G6" s="609"/>
      <c r="H6" s="1010" t="s">
        <v>598</v>
      </c>
      <c r="I6" s="1011"/>
    </row>
    <row r="7" spans="2:9" ht="15.75" thickBot="1">
      <c r="C7" s="1012" t="s">
        <v>599</v>
      </c>
      <c r="D7" s="1013"/>
      <c r="E7" s="1014"/>
      <c r="F7" s="610"/>
      <c r="G7" s="611"/>
      <c r="H7" s="612" t="s">
        <v>121</v>
      </c>
      <c r="I7" s="613" t="s">
        <v>122</v>
      </c>
    </row>
    <row r="8" spans="2:9">
      <c r="B8" s="633">
        <f>COUNTA(Leger1!$I$7:$I$46)</f>
        <v>27</v>
      </c>
      <c r="C8" s="614">
        <v>1</v>
      </c>
      <c r="D8" s="615" t="str">
        <f>Leger1!$I$4</f>
        <v>Pendidikan Agama Islam</v>
      </c>
      <c r="E8" s="616" t="str">
        <f>IF(B8=0,"Belum terisi","OK")</f>
        <v>OK</v>
      </c>
      <c r="F8" s="617">
        <f>LEN('IKD1'!$D$8)</f>
        <v>4</v>
      </c>
      <c r="G8" s="618">
        <f>LEN('IKD1'!$E$8)</f>
        <v>0</v>
      </c>
      <c r="H8" s="619" t="str">
        <f>IF(F8=0,"Belum terisi","OK")</f>
        <v>OK</v>
      </c>
      <c r="I8" s="620" t="str">
        <f>IF(G8=0,"Belum terisi","OK")</f>
        <v>Belum terisi</v>
      </c>
    </row>
    <row r="9" spans="2:9">
      <c r="B9" s="633">
        <f>COUNTA(Leger1!$X$7:$X$46)</f>
        <v>28</v>
      </c>
      <c r="C9" s="621">
        <v>2</v>
      </c>
      <c r="D9" s="622" t="str">
        <f>Leger1!$X$4</f>
        <v>PKn</v>
      </c>
      <c r="E9" s="623" t="str">
        <f t="shared" ref="E9:E18" si="0">IF(B9=0,"Belum terisi","OK")</f>
        <v>OK</v>
      </c>
      <c r="F9" s="617">
        <f>LEN('IKD1'!$D$13)</f>
        <v>0</v>
      </c>
      <c r="G9" s="618">
        <f>LEN('IKD1'!$E$13)</f>
        <v>0</v>
      </c>
      <c r="H9" s="624" t="str">
        <f t="shared" ref="H9:I18" si="1">IF(F9=0,"Belum terisi","OK")</f>
        <v>Belum terisi</v>
      </c>
      <c r="I9" s="623" t="str">
        <f t="shared" si="1"/>
        <v>Belum terisi</v>
      </c>
    </row>
    <row r="10" spans="2:9">
      <c r="B10" s="633">
        <f>COUNTA(Leger1!$AA$7:$AA$46)</f>
        <v>28</v>
      </c>
      <c r="C10" s="621">
        <v>3</v>
      </c>
      <c r="D10" s="622" t="str">
        <f>Leger1!$AA$4</f>
        <v xml:space="preserve">Bahasa Indonesia </v>
      </c>
      <c r="E10" s="623" t="str">
        <f t="shared" si="0"/>
        <v>OK</v>
      </c>
      <c r="F10" s="617">
        <f>LEN('IKD1'!$D$14)</f>
        <v>0</v>
      </c>
      <c r="G10" s="618">
        <f>LEN('IKD1'!$E$14)</f>
        <v>0</v>
      </c>
      <c r="H10" s="624" t="str">
        <f t="shared" si="1"/>
        <v>Belum terisi</v>
      </c>
      <c r="I10" s="623" t="str">
        <f t="shared" si="1"/>
        <v>Belum terisi</v>
      </c>
    </row>
    <row r="11" spans="2:9">
      <c r="B11" s="633">
        <f>COUNTA(Leger1!$AD$7:$AD$46)</f>
        <v>28</v>
      </c>
      <c r="C11" s="621">
        <v>4</v>
      </c>
      <c r="D11" s="622" t="str">
        <f>Leger1!$AD$4</f>
        <v xml:space="preserve">Matematika </v>
      </c>
      <c r="E11" s="623" t="str">
        <f t="shared" si="0"/>
        <v>OK</v>
      </c>
      <c r="F11" s="617">
        <f>LEN('IKD1'!$D$15)</f>
        <v>0</v>
      </c>
      <c r="G11" s="618">
        <f>LEN('IKD1'!$E$15)</f>
        <v>0</v>
      </c>
      <c r="H11" s="624" t="str">
        <f t="shared" si="1"/>
        <v>Belum terisi</v>
      </c>
      <c r="I11" s="623" t="str">
        <f t="shared" si="1"/>
        <v>Belum terisi</v>
      </c>
    </row>
    <row r="12" spans="2:9">
      <c r="B12" s="633">
        <f>COUNTA(Leger1!$AG$7:$AG$46)</f>
        <v>28</v>
      </c>
      <c r="C12" s="621">
        <v>5</v>
      </c>
      <c r="D12" s="622" t="str">
        <f>Leger1!$AG$4</f>
        <v xml:space="preserve">Ilmu Pengetahuan Alam </v>
      </c>
      <c r="E12" s="623" t="str">
        <f t="shared" si="0"/>
        <v>OK</v>
      </c>
      <c r="F12" s="617">
        <f>LEN('IKD1'!$D$16)</f>
        <v>0</v>
      </c>
      <c r="G12" s="618">
        <f>LEN('IKD1'!$E$16)</f>
        <v>0</v>
      </c>
      <c r="H12" s="624" t="str">
        <f t="shared" si="1"/>
        <v>Belum terisi</v>
      </c>
      <c r="I12" s="623" t="str">
        <f t="shared" si="1"/>
        <v>Belum terisi</v>
      </c>
    </row>
    <row r="13" spans="2:9">
      <c r="B13" s="633">
        <f>COUNTA(Leger1!$AJ$7:$AJ$46)</f>
        <v>28</v>
      </c>
      <c r="C13" s="621">
        <v>6</v>
      </c>
      <c r="D13" s="622" t="str">
        <f>Leger1!$AJ$4</f>
        <v xml:space="preserve">Ilmu Pengetahuan Sosial </v>
      </c>
      <c r="E13" s="623" t="str">
        <f t="shared" si="0"/>
        <v>OK</v>
      </c>
      <c r="F13" s="617">
        <f>LEN('IKD1'!$D$17)</f>
        <v>0</v>
      </c>
      <c r="G13" s="618">
        <f>LEN('IKD1'!$E$17)</f>
        <v>0</v>
      </c>
      <c r="H13" s="624" t="str">
        <f t="shared" si="1"/>
        <v>Belum terisi</v>
      </c>
      <c r="I13" s="623" t="str">
        <f t="shared" si="1"/>
        <v>Belum terisi</v>
      </c>
    </row>
    <row r="14" spans="2:9">
      <c r="B14" s="633">
        <f>COUNTA(Leger1!$AM$7:$AM$46)</f>
        <v>28</v>
      </c>
      <c r="C14" s="621">
        <v>7</v>
      </c>
      <c r="D14" s="622" t="str">
        <f>Leger1!$AM$4</f>
        <v xml:space="preserve">Bahasa Inggris </v>
      </c>
      <c r="E14" s="623" t="str">
        <f t="shared" si="0"/>
        <v>OK</v>
      </c>
      <c r="F14" s="617">
        <f>LEN('IKD1'!$D$18)</f>
        <v>0</v>
      </c>
      <c r="G14" s="618">
        <f>LEN('IKD1'!$E$18)</f>
        <v>0</v>
      </c>
      <c r="H14" s="624" t="str">
        <f t="shared" si="1"/>
        <v>Belum terisi</v>
      </c>
      <c r="I14" s="623" t="str">
        <f t="shared" si="1"/>
        <v>Belum terisi</v>
      </c>
    </row>
    <row r="15" spans="2:9">
      <c r="B15" s="633">
        <f>COUNTA(Leger1!$AP$7:$AP$46)</f>
        <v>28</v>
      </c>
      <c r="C15" s="621">
        <v>8</v>
      </c>
      <c r="D15" s="622" t="str">
        <f>Leger1!$AP$4</f>
        <v>Seni Budaya</v>
      </c>
      <c r="E15" s="623" t="str">
        <f t="shared" si="0"/>
        <v>OK</v>
      </c>
      <c r="F15" s="617">
        <f>LEN('IKD1'!$D$19)</f>
        <v>0</v>
      </c>
      <c r="G15" s="618">
        <f>LEN('IKD1'!$E$19)</f>
        <v>0</v>
      </c>
      <c r="H15" s="624" t="str">
        <f t="shared" si="1"/>
        <v>Belum terisi</v>
      </c>
      <c r="I15" s="623" t="str">
        <f t="shared" si="1"/>
        <v>Belum terisi</v>
      </c>
    </row>
    <row r="16" spans="2:9">
      <c r="B16" s="633">
        <f>COUNTA(Leger1!$AS$7:$AS$46)</f>
        <v>28</v>
      </c>
      <c r="C16" s="621">
        <v>9</v>
      </c>
      <c r="D16" s="622" t="str">
        <f>Leger1!$AS$4</f>
        <v>Penjaskes</v>
      </c>
      <c r="E16" s="623" t="str">
        <f t="shared" si="0"/>
        <v>OK</v>
      </c>
      <c r="F16" s="617">
        <f>LEN('IKD1'!$D$20)</f>
        <v>0</v>
      </c>
      <c r="G16" s="618">
        <f>LEN('IKD1'!$E$20)</f>
        <v>0</v>
      </c>
      <c r="H16" s="624" t="str">
        <f t="shared" si="1"/>
        <v>Belum terisi</v>
      </c>
      <c r="I16" s="623" t="str">
        <f t="shared" si="1"/>
        <v>Belum terisi</v>
      </c>
    </row>
    <row r="17" spans="2:9">
      <c r="B17" s="633">
        <f>COUNTA(Leger1!$AV$7:$AV$46)</f>
        <v>28</v>
      </c>
      <c r="C17" s="621">
        <v>10</v>
      </c>
      <c r="D17" s="622" t="str">
        <f>Leger1!$AV$4</f>
        <v>Prakarya</v>
      </c>
      <c r="E17" s="623" t="str">
        <f t="shared" si="0"/>
        <v>OK</v>
      </c>
      <c r="F17" s="617">
        <f>LEN('IKD1'!$D$21)</f>
        <v>0</v>
      </c>
      <c r="G17" s="618">
        <f>LEN('IKD1'!$E$21)</f>
        <v>0</v>
      </c>
      <c r="H17" s="624" t="str">
        <f t="shared" si="1"/>
        <v>Belum terisi</v>
      </c>
      <c r="I17" s="623" t="str">
        <f t="shared" si="1"/>
        <v>Belum terisi</v>
      </c>
    </row>
    <row r="18" spans="2:9" ht="15.75" thickBot="1">
      <c r="B18" s="633">
        <f>COUNTA(Leger1!$AY$7:$AY$46)</f>
        <v>28</v>
      </c>
      <c r="C18" s="625">
        <v>11</v>
      </c>
      <c r="D18" s="626" t="str">
        <f>Leger1!$AY$4</f>
        <v>Bahasa dan Aksara Lampung</v>
      </c>
      <c r="E18" s="627" t="str">
        <f t="shared" si="0"/>
        <v>OK</v>
      </c>
      <c r="F18" s="628">
        <f>LEN('IKD1'!$D$22)</f>
        <v>0</v>
      </c>
      <c r="G18" s="629">
        <f>LEN('IKD1'!$E$22)</f>
        <v>0</v>
      </c>
      <c r="H18" s="630" t="str">
        <f t="shared" si="1"/>
        <v>Belum terisi</v>
      </c>
      <c r="I18" s="627" t="str">
        <f t="shared" si="1"/>
        <v>Belum terisi</v>
      </c>
    </row>
    <row r="19" spans="2:9" ht="15.75" thickBot="1">
      <c r="B19" s="634">
        <f>MAX(Leger1!$BH$7:$BH$46)</f>
        <v>17</v>
      </c>
      <c r="C19" s="1008" t="s">
        <v>62</v>
      </c>
      <c r="D19" s="1009"/>
      <c r="E19" s="635" t="str">
        <f>IF(B19=0,"Belum terisi","OK")</f>
        <v>OK</v>
      </c>
      <c r="F19" s="631"/>
      <c r="G19" s="631"/>
      <c r="H19" s="631"/>
      <c r="I19" s="632"/>
    </row>
    <row r="20" spans="2:9">
      <c r="C20" s="598"/>
      <c r="D20" s="596"/>
      <c r="E20" s="604"/>
      <c r="F20" s="605"/>
      <c r="G20" s="605"/>
      <c r="H20" s="598"/>
      <c r="I20" s="598"/>
    </row>
    <row r="21" spans="2:9" ht="19.5" thickBot="1">
      <c r="C21" s="603" t="str">
        <f>"Semester "&amp;_smt_genap</f>
        <v>Semester 4 (Empat)</v>
      </c>
      <c r="D21" s="596"/>
      <c r="E21" s="604"/>
      <c r="F21" s="605"/>
      <c r="G21" s="605"/>
      <c r="H21" s="598"/>
      <c r="I21" s="598"/>
    </row>
    <row r="22" spans="2:9" ht="15.75" thickBot="1">
      <c r="C22" s="606" t="s">
        <v>29</v>
      </c>
      <c r="D22" s="607"/>
      <c r="E22" s="608" t="str">
        <f>IF(_JUMLAH_SISWA=0,"0",_JUMLAH_SISWA&amp;" Siswa")</f>
        <v>29 Siswa</v>
      </c>
      <c r="F22" s="609"/>
      <c r="G22" s="609"/>
      <c r="H22" s="1010" t="s">
        <v>598</v>
      </c>
      <c r="I22" s="1011"/>
    </row>
    <row r="23" spans="2:9" ht="15.75" thickBot="1">
      <c r="C23" s="1012" t="s">
        <v>599</v>
      </c>
      <c r="D23" s="1013"/>
      <c r="E23" s="1014"/>
      <c r="F23" s="610"/>
      <c r="G23" s="611"/>
      <c r="H23" s="612" t="s">
        <v>121</v>
      </c>
      <c r="I23" s="613" t="s">
        <v>122</v>
      </c>
    </row>
    <row r="24" spans="2:9">
      <c r="B24" s="633">
        <f>COUNTA(Leger2!$I$7:$I$46)</f>
        <v>0</v>
      </c>
      <c r="C24" s="614">
        <v>1</v>
      </c>
      <c r="D24" s="615" t="str">
        <f>Leger1!$I$4</f>
        <v>Pendidikan Agama Islam</v>
      </c>
      <c r="E24" s="616" t="str">
        <f>IF(B24=0,"Belum terisi","OK")</f>
        <v>Belum terisi</v>
      </c>
      <c r="F24" s="617">
        <f>LEN('IKD2'!$D$8)</f>
        <v>0</v>
      </c>
      <c r="G24" s="618">
        <f>LEN('IKD2'!$E$8)</f>
        <v>0</v>
      </c>
      <c r="H24" s="619" t="str">
        <f>IF(F24=0,"Belum terisi","OK")</f>
        <v>Belum terisi</v>
      </c>
      <c r="I24" s="620" t="str">
        <f>IF(G24=0,"Belum terisi","OK")</f>
        <v>Belum terisi</v>
      </c>
    </row>
    <row r="25" spans="2:9">
      <c r="B25" s="633">
        <f>COUNTA(Leger2!$X$7:$X$46)</f>
        <v>0</v>
      </c>
      <c r="C25" s="621">
        <v>2</v>
      </c>
      <c r="D25" s="622" t="str">
        <f>Leger1!$X$4</f>
        <v>PKn</v>
      </c>
      <c r="E25" s="623" t="str">
        <f t="shared" ref="E25:E34" si="2">IF(B25=0,"Belum terisi","OK")</f>
        <v>Belum terisi</v>
      </c>
      <c r="F25" s="617">
        <f>LEN('IKD2'!$D$13)</f>
        <v>0</v>
      </c>
      <c r="G25" s="618">
        <f>LEN('IKD2'!$E$13)</f>
        <v>0</v>
      </c>
      <c r="H25" s="624" t="str">
        <f t="shared" ref="H25:I34" si="3">IF(F25=0,"Belum terisi","OK")</f>
        <v>Belum terisi</v>
      </c>
      <c r="I25" s="623" t="str">
        <f t="shared" si="3"/>
        <v>Belum terisi</v>
      </c>
    </row>
    <row r="26" spans="2:9">
      <c r="B26" s="633">
        <f>COUNTA(Leger2!$AA$7:$AA$46)</f>
        <v>0</v>
      </c>
      <c r="C26" s="621">
        <v>3</v>
      </c>
      <c r="D26" s="622" t="str">
        <f>Leger1!$AA$4</f>
        <v xml:space="preserve">Bahasa Indonesia </v>
      </c>
      <c r="E26" s="623" t="str">
        <f t="shared" si="2"/>
        <v>Belum terisi</v>
      </c>
      <c r="F26" s="617">
        <f>LEN('IKD2'!$D$14)</f>
        <v>0</v>
      </c>
      <c r="G26" s="618">
        <f>LEN('IKD2'!$E$14)</f>
        <v>0</v>
      </c>
      <c r="H26" s="624" t="str">
        <f t="shared" si="3"/>
        <v>Belum terisi</v>
      </c>
      <c r="I26" s="623" t="str">
        <f t="shared" si="3"/>
        <v>Belum terisi</v>
      </c>
    </row>
    <row r="27" spans="2:9">
      <c r="B27" s="633">
        <f>COUNTA(Leger2!$AD$7:$AD$46)</f>
        <v>0</v>
      </c>
      <c r="C27" s="621">
        <v>4</v>
      </c>
      <c r="D27" s="622" t="str">
        <f>Leger1!$AD$4</f>
        <v xml:space="preserve">Matematika </v>
      </c>
      <c r="E27" s="623" t="str">
        <f t="shared" si="2"/>
        <v>Belum terisi</v>
      </c>
      <c r="F27" s="617">
        <f>LEN('IKD2'!$D$15)</f>
        <v>0</v>
      </c>
      <c r="G27" s="618">
        <f>LEN('IKD2'!$E$15)</f>
        <v>0</v>
      </c>
      <c r="H27" s="624" t="str">
        <f t="shared" si="3"/>
        <v>Belum terisi</v>
      </c>
      <c r="I27" s="623" t="str">
        <f t="shared" si="3"/>
        <v>Belum terisi</v>
      </c>
    </row>
    <row r="28" spans="2:9">
      <c r="B28" s="633">
        <f>COUNTA(Leger2!$AG$7:$AG$46)</f>
        <v>0</v>
      </c>
      <c r="C28" s="621">
        <v>5</v>
      </c>
      <c r="D28" s="622" t="str">
        <f>Leger1!$AG$4</f>
        <v xml:space="preserve">Ilmu Pengetahuan Alam </v>
      </c>
      <c r="E28" s="623" t="str">
        <f t="shared" si="2"/>
        <v>Belum terisi</v>
      </c>
      <c r="F28" s="617">
        <f>LEN('IKD2'!$D$16)</f>
        <v>0</v>
      </c>
      <c r="G28" s="618">
        <f>LEN('IKD2'!$E$16)</f>
        <v>0</v>
      </c>
      <c r="H28" s="624" t="str">
        <f t="shared" si="3"/>
        <v>Belum terisi</v>
      </c>
      <c r="I28" s="623" t="str">
        <f t="shared" si="3"/>
        <v>Belum terisi</v>
      </c>
    </row>
    <row r="29" spans="2:9">
      <c r="B29" s="633">
        <f>COUNTA(Leger2!$AJ$7:$AJ$46)</f>
        <v>0</v>
      </c>
      <c r="C29" s="621">
        <v>6</v>
      </c>
      <c r="D29" s="622" t="str">
        <f>Leger1!$AJ$4</f>
        <v xml:space="preserve">Ilmu Pengetahuan Sosial </v>
      </c>
      <c r="E29" s="623" t="str">
        <f t="shared" si="2"/>
        <v>Belum terisi</v>
      </c>
      <c r="F29" s="617">
        <f>LEN('IKD2'!$D$17)</f>
        <v>0</v>
      </c>
      <c r="G29" s="618">
        <f>LEN('IKD2'!$E$17)</f>
        <v>0</v>
      </c>
      <c r="H29" s="624" t="str">
        <f t="shared" si="3"/>
        <v>Belum terisi</v>
      </c>
      <c r="I29" s="623" t="str">
        <f t="shared" si="3"/>
        <v>Belum terisi</v>
      </c>
    </row>
    <row r="30" spans="2:9">
      <c r="B30" s="633">
        <f>COUNTA(Leger2!$AM$7:$AM$46)</f>
        <v>0</v>
      </c>
      <c r="C30" s="621">
        <v>7</v>
      </c>
      <c r="D30" s="622" t="str">
        <f>Leger1!$AM$4</f>
        <v xml:space="preserve">Bahasa Inggris </v>
      </c>
      <c r="E30" s="623" t="str">
        <f t="shared" si="2"/>
        <v>Belum terisi</v>
      </c>
      <c r="F30" s="617">
        <f>LEN('IKD2'!$D$18)</f>
        <v>0</v>
      </c>
      <c r="G30" s="618">
        <f>LEN('IKD2'!$E$18)</f>
        <v>0</v>
      </c>
      <c r="H30" s="624" t="str">
        <f t="shared" si="3"/>
        <v>Belum terisi</v>
      </c>
      <c r="I30" s="623" t="str">
        <f t="shared" si="3"/>
        <v>Belum terisi</v>
      </c>
    </row>
    <row r="31" spans="2:9">
      <c r="B31" s="633">
        <f>COUNTA(Leger2!$AP$7:$AP$46)</f>
        <v>0</v>
      </c>
      <c r="C31" s="621">
        <v>8</v>
      </c>
      <c r="D31" s="622" t="str">
        <f>Leger1!$AP$4</f>
        <v>Seni Budaya</v>
      </c>
      <c r="E31" s="623" t="str">
        <f t="shared" si="2"/>
        <v>Belum terisi</v>
      </c>
      <c r="F31" s="617">
        <f>LEN('IKD2'!$D$19)</f>
        <v>0</v>
      </c>
      <c r="G31" s="618">
        <f>LEN('IKD2'!$E$19)</f>
        <v>0</v>
      </c>
      <c r="H31" s="624" t="str">
        <f t="shared" si="3"/>
        <v>Belum terisi</v>
      </c>
      <c r="I31" s="623" t="str">
        <f t="shared" si="3"/>
        <v>Belum terisi</v>
      </c>
    </row>
    <row r="32" spans="2:9">
      <c r="B32" s="633">
        <f>COUNTA(Leger2!$AS$7:$AS$46)</f>
        <v>0</v>
      </c>
      <c r="C32" s="621">
        <v>9</v>
      </c>
      <c r="D32" s="622" t="str">
        <f>Leger1!$AS$4</f>
        <v>Penjaskes</v>
      </c>
      <c r="E32" s="623" t="str">
        <f t="shared" si="2"/>
        <v>Belum terisi</v>
      </c>
      <c r="F32" s="617">
        <f>LEN('IKD2'!$D$20)</f>
        <v>0</v>
      </c>
      <c r="G32" s="618">
        <f>LEN('IKD2'!$E$20)</f>
        <v>0</v>
      </c>
      <c r="H32" s="624" t="str">
        <f t="shared" si="3"/>
        <v>Belum terisi</v>
      </c>
      <c r="I32" s="623" t="str">
        <f t="shared" si="3"/>
        <v>Belum terisi</v>
      </c>
    </row>
    <row r="33" spans="2:9">
      <c r="B33" s="633">
        <f>COUNTA(Leger2!$AV$7:$AV$46)</f>
        <v>0</v>
      </c>
      <c r="C33" s="621">
        <v>10</v>
      </c>
      <c r="D33" s="622" t="str">
        <f>Leger1!$AV$4</f>
        <v>Prakarya</v>
      </c>
      <c r="E33" s="623" t="str">
        <f t="shared" si="2"/>
        <v>Belum terisi</v>
      </c>
      <c r="F33" s="617">
        <f>LEN('IKD2'!$D$21)</f>
        <v>0</v>
      </c>
      <c r="G33" s="618">
        <f>LEN('IKD2'!$E$21)</f>
        <v>0</v>
      </c>
      <c r="H33" s="624" t="str">
        <f t="shared" si="3"/>
        <v>Belum terisi</v>
      </c>
      <c r="I33" s="623" t="str">
        <f t="shared" si="3"/>
        <v>Belum terisi</v>
      </c>
    </row>
    <row r="34" spans="2:9" ht="15.75" thickBot="1">
      <c r="B34" s="633">
        <f>COUNTA(Leger2!$AY$7:$AY$46)</f>
        <v>0</v>
      </c>
      <c r="C34" s="625">
        <v>11</v>
      </c>
      <c r="D34" s="626" t="str">
        <f>Leger1!$AY$4</f>
        <v>Bahasa dan Aksara Lampung</v>
      </c>
      <c r="E34" s="627" t="str">
        <f t="shared" si="2"/>
        <v>Belum terisi</v>
      </c>
      <c r="F34" s="628">
        <f>LEN('IKD2'!$D$22)</f>
        <v>0</v>
      </c>
      <c r="G34" s="629">
        <f>LEN('IKD2'!$E$22)</f>
        <v>0</v>
      </c>
      <c r="H34" s="630" t="str">
        <f t="shared" si="3"/>
        <v>Belum terisi</v>
      </c>
      <c r="I34" s="627" t="str">
        <f t="shared" si="3"/>
        <v>Belum terisi</v>
      </c>
    </row>
    <row r="35" spans="2:9" ht="15.75" thickBot="1">
      <c r="B35" s="634">
        <f>MAX(Leger2!$BH$7:$BH$46)</f>
        <v>0</v>
      </c>
      <c r="C35" s="1008" t="s">
        <v>62</v>
      </c>
      <c r="D35" s="1009"/>
      <c r="E35" s="635" t="str">
        <f>IF(B35=0,"Belum terisi","OK")</f>
        <v>Belum terisi</v>
      </c>
      <c r="F35" s="631"/>
      <c r="G35" s="631"/>
      <c r="H35" s="631"/>
      <c r="I35" s="632"/>
    </row>
    <row r="36" spans="2:9"/>
    <row r="37" spans="2:9"/>
    <row r="38" spans="2:9"/>
    <row r="39" spans="2:9" hidden="1"/>
    <row r="40" spans="2:9" hidden="1"/>
    <row r="41" spans="2:9" hidden="1"/>
    <row r="42" spans="2:9" hidden="1"/>
    <row r="43" spans="2:9" hidden="1"/>
    <row r="44" spans="2:9" hidden="1"/>
    <row r="45" spans="2:9" hidden="1"/>
    <row r="46" spans="2:9" hidden="1"/>
    <row r="47" spans="2:9" hidden="1"/>
    <row r="48" spans="2:9" hidden="1"/>
    <row r="49" hidden="1"/>
    <row r="50" hidden="1"/>
    <row r="51" hidden="1"/>
    <row r="52" hidden="1"/>
    <row r="53" hidden="1"/>
    <row r="54" hidden="1"/>
    <row r="55" hidden="1"/>
    <row r="56" hidden="1"/>
  </sheetData>
  <sheetProtection selectLockedCells="1"/>
  <mergeCells count="6">
    <mergeCell ref="C35:D35"/>
    <mergeCell ref="H6:I6"/>
    <mergeCell ref="C7:E7"/>
    <mergeCell ref="C19:D19"/>
    <mergeCell ref="H22:I22"/>
    <mergeCell ref="C23:E23"/>
  </mergeCells>
  <conditionalFormatting sqref="E8:I19 E24:I35">
    <cfRule type="containsText" dxfId="127" priority="5" operator="containsText" text="OK">
      <formula>NOT(ISERROR(SEARCH("OK",E8)))</formula>
    </cfRule>
    <cfRule type="containsText" dxfId="126" priority="6" operator="containsText" text="Belum terisi">
      <formula>NOT(ISERROR(SEARCH("Belum terisi",E8)))</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sheetPr codeName="Sheet9">
    <tabColor theme="1"/>
  </sheetPr>
  <dimension ref="A1:AN72"/>
  <sheetViews>
    <sheetView showRowColHeaders="0" zoomScale="85" zoomScaleNormal="85" workbookViewId="0">
      <pane xSplit="8" ySplit="6" topLeftCell="I7" activePane="bottomRight" state="frozenSplit"/>
      <selection sqref="A1:XFD1048576"/>
      <selection pane="topRight" activeCell="J1" sqref="J1"/>
      <selection pane="bottomLeft" activeCell="A11" sqref="A11"/>
      <selection pane="bottomRight" activeCell="H47" sqref="H47"/>
    </sheetView>
  </sheetViews>
  <sheetFormatPr defaultColWidth="0" defaultRowHeight="16.5" zeroHeight="1"/>
  <cols>
    <col min="1" max="1" width="1.7109375" style="16" customWidth="1"/>
    <col min="2" max="2" width="9.42578125" style="19" customWidth="1"/>
    <col min="3" max="3" width="8.42578125" style="16" customWidth="1"/>
    <col min="4" max="4" width="2.5703125" style="16" customWidth="1"/>
    <col min="5" max="5" width="4.85546875" style="17" customWidth="1"/>
    <col min="6" max="6" width="7.85546875" style="17" customWidth="1"/>
    <col min="7" max="7" width="13.42578125" style="17" customWidth="1"/>
    <col min="8" max="8" width="17.5703125" style="17" customWidth="1"/>
    <col min="9" max="19" width="5.140625" style="16" customWidth="1"/>
    <col min="20" max="20" width="5.42578125" style="16" customWidth="1"/>
    <col min="21" max="21" width="4.28515625" style="16" customWidth="1"/>
    <col min="22" max="38" width="5.140625" style="16" customWidth="1"/>
    <col min="39" max="39" width="9.140625" style="16" customWidth="1"/>
    <col min="40" max="40" width="28.7109375" style="16" hidden="1" customWidth="1"/>
    <col min="41" max="16384" width="9.140625" style="16" hidden="1"/>
  </cols>
  <sheetData>
    <row r="1" spans="2:38" ht="17.25" thickBot="1">
      <c r="E1" s="199"/>
      <c r="F1" s="199"/>
      <c r="G1" s="199"/>
      <c r="H1" s="199"/>
      <c r="I1" s="198"/>
      <c r="J1" s="198"/>
      <c r="K1" s="198"/>
      <c r="L1" s="198"/>
      <c r="M1" s="198"/>
      <c r="N1" s="198"/>
      <c r="O1" s="198"/>
      <c r="P1" s="198"/>
      <c r="Q1" s="198"/>
      <c r="R1" s="198"/>
      <c r="S1" s="198"/>
      <c r="T1" s="198"/>
      <c r="U1" s="198"/>
      <c r="V1" s="198"/>
      <c r="W1" s="198"/>
      <c r="X1" s="198"/>
      <c r="Y1" s="198"/>
      <c r="Z1" s="198"/>
      <c r="AA1" s="198"/>
      <c r="AB1" s="198"/>
      <c r="AC1" s="198"/>
      <c r="AD1" s="198"/>
      <c r="AE1" s="198"/>
      <c r="AF1" s="198"/>
      <c r="AG1" s="198"/>
      <c r="AH1" s="198"/>
      <c r="AI1" s="198"/>
      <c r="AJ1" s="198"/>
      <c r="AK1" s="198"/>
      <c r="AL1" s="198"/>
    </row>
    <row r="2" spans="2:38" ht="18.75" customHeight="1">
      <c r="E2" s="1037" t="s">
        <v>57</v>
      </c>
      <c r="F2" s="1038"/>
      <c r="G2" s="1038"/>
      <c r="H2" s="1041" t="str">
        <f>UPPER(_smt_ganjil)</f>
        <v>3 (TIGA)</v>
      </c>
      <c r="I2" s="1043" t="s">
        <v>53</v>
      </c>
      <c r="J2" s="1044"/>
      <c r="K2" s="1044"/>
      <c r="L2" s="1044"/>
      <c r="M2" s="1044"/>
      <c r="N2" s="1044"/>
      <c r="O2" s="1044"/>
      <c r="P2" s="1044"/>
      <c r="Q2" s="1044"/>
      <c r="R2" s="1044"/>
      <c r="S2" s="1044"/>
      <c r="T2" s="1044"/>
      <c r="U2" s="1044"/>
      <c r="V2" s="1044"/>
      <c r="W2" s="1044"/>
      <c r="X2" s="1044"/>
      <c r="Y2" s="1044"/>
      <c r="Z2" s="1044"/>
      <c r="AA2" s="1044"/>
      <c r="AB2" s="1044"/>
      <c r="AC2" s="1044"/>
      <c r="AD2" s="1044"/>
      <c r="AE2" s="1045" t="s">
        <v>58</v>
      </c>
      <c r="AF2" s="1046"/>
      <c r="AG2" s="1046"/>
      <c r="AH2" s="1046"/>
      <c r="AI2" s="1046"/>
      <c r="AJ2" s="1046"/>
      <c r="AK2" s="1046"/>
      <c r="AL2" s="1047"/>
    </row>
    <row r="3" spans="2:38" s="22" customFormat="1" ht="17.25" customHeight="1" thickBot="1">
      <c r="B3" s="21"/>
      <c r="E3" s="1039"/>
      <c r="F3" s="1040"/>
      <c r="G3" s="1040"/>
      <c r="H3" s="1042"/>
      <c r="I3" s="1049">
        <v>1</v>
      </c>
      <c r="J3" s="1050"/>
      <c r="K3" s="906">
        <v>2</v>
      </c>
      <c r="L3" s="907"/>
      <c r="M3" s="906">
        <v>3</v>
      </c>
      <c r="N3" s="907"/>
      <c r="O3" s="906">
        <v>4</v>
      </c>
      <c r="P3" s="907"/>
      <c r="Q3" s="906">
        <v>5</v>
      </c>
      <c r="R3" s="907"/>
      <c r="S3" s="906">
        <v>6</v>
      </c>
      <c r="T3" s="907"/>
      <c r="U3" s="906">
        <v>7</v>
      </c>
      <c r="V3" s="907"/>
      <c r="W3" s="906">
        <v>8</v>
      </c>
      <c r="X3" s="907"/>
      <c r="Y3" s="906">
        <v>9</v>
      </c>
      <c r="Z3" s="907"/>
      <c r="AA3" s="906">
        <v>10</v>
      </c>
      <c r="AB3" s="907"/>
      <c r="AC3" s="906">
        <v>11</v>
      </c>
      <c r="AD3" s="907"/>
      <c r="AE3" s="906">
        <v>12</v>
      </c>
      <c r="AF3" s="907"/>
      <c r="AG3" s="906">
        <v>13</v>
      </c>
      <c r="AH3" s="907"/>
      <c r="AI3" s="906">
        <v>14</v>
      </c>
      <c r="AJ3" s="907"/>
      <c r="AK3" s="906">
        <v>15</v>
      </c>
      <c r="AL3" s="1048"/>
    </row>
    <row r="4" spans="2:38" ht="33" customHeight="1" thickBot="1">
      <c r="E4" s="1023" t="str">
        <f>"KELAS "&amp;_kelas&amp;" - TP. "&amp;DK!D8</f>
        <v>KELAS VIII A - TP. 2018 / 2019</v>
      </c>
      <c r="F4" s="1024"/>
      <c r="G4" s="1024"/>
      <c r="H4" s="1025"/>
      <c r="I4" s="1019" t="str">
        <f>_MP1</f>
        <v>Pendidikan Agama Islam</v>
      </c>
      <c r="J4" s="1026"/>
      <c r="K4" s="1019" t="str">
        <f>_MP2</f>
        <v>Pendidikan Agama Kristen</v>
      </c>
      <c r="L4" s="1020"/>
      <c r="M4" s="1019" t="str">
        <f>_MP3</f>
        <v>Pendidikan Agama Katolik</v>
      </c>
      <c r="N4" s="1020"/>
      <c r="O4" s="1019" t="str">
        <f>_MP4</f>
        <v>Pendidikan Agama Hindu</v>
      </c>
      <c r="P4" s="1020"/>
      <c r="Q4" s="1019" t="str">
        <f>_MP5</f>
        <v>Pendidikan Agama Budha</v>
      </c>
      <c r="R4" s="1020"/>
      <c r="S4" s="885" t="str">
        <f>_MP6</f>
        <v>PKn</v>
      </c>
      <c r="T4" s="886"/>
      <c r="U4" s="885" t="str">
        <f>_MP7</f>
        <v xml:space="preserve">Bahasa Indonesia </v>
      </c>
      <c r="V4" s="886"/>
      <c r="W4" s="885" t="str">
        <f>_MP8</f>
        <v xml:space="preserve">Matematika </v>
      </c>
      <c r="X4" s="886"/>
      <c r="Y4" s="885" t="str">
        <f>_MP9</f>
        <v xml:space="preserve">Ilmu Pengetahuan Alam </v>
      </c>
      <c r="Z4" s="886"/>
      <c r="AA4" s="885" t="str">
        <f>_MP10</f>
        <v xml:space="preserve">Ilmu Pengetahuan Sosial </v>
      </c>
      <c r="AB4" s="886"/>
      <c r="AC4" s="885" t="str">
        <f>_MP11</f>
        <v xml:space="preserve">Bahasa Inggris </v>
      </c>
      <c r="AD4" s="886"/>
      <c r="AE4" s="885" t="str">
        <f>_MP12</f>
        <v>Seni Budaya</v>
      </c>
      <c r="AF4" s="886"/>
      <c r="AG4" s="885" t="str">
        <f>_MP13</f>
        <v>Penjaskes</v>
      </c>
      <c r="AH4" s="886"/>
      <c r="AI4" s="885" t="str">
        <f>_MP14</f>
        <v>Prakarya</v>
      </c>
      <c r="AJ4" s="886"/>
      <c r="AK4" s="885" t="str">
        <f>_MP15</f>
        <v>Bahasa dan Aksara Lampung</v>
      </c>
      <c r="AL4" s="887"/>
    </row>
    <row r="5" spans="2:38" ht="17.25" thickBot="1">
      <c r="E5" s="1029" t="s">
        <v>50</v>
      </c>
      <c r="F5" s="1031" t="s">
        <v>51</v>
      </c>
      <c r="G5" s="1033" t="s">
        <v>52</v>
      </c>
      <c r="H5" s="1034"/>
      <c r="I5" s="1027"/>
      <c r="J5" s="1028"/>
      <c r="K5" s="1021"/>
      <c r="L5" s="1022"/>
      <c r="M5" s="1021"/>
      <c r="N5" s="1022"/>
      <c r="O5" s="1021"/>
      <c r="P5" s="1022"/>
      <c r="Q5" s="1021"/>
      <c r="R5" s="1022"/>
      <c r="S5" s="888"/>
      <c r="T5" s="889"/>
      <c r="U5" s="888"/>
      <c r="V5" s="889"/>
      <c r="W5" s="888"/>
      <c r="X5" s="889"/>
      <c r="Y5" s="888"/>
      <c r="Z5" s="889"/>
      <c r="AA5" s="888"/>
      <c r="AB5" s="889"/>
      <c r="AC5" s="888"/>
      <c r="AD5" s="889"/>
      <c r="AE5" s="888"/>
      <c r="AF5" s="889"/>
      <c r="AG5" s="888"/>
      <c r="AH5" s="889"/>
      <c r="AI5" s="888"/>
      <c r="AJ5" s="889"/>
      <c r="AK5" s="888"/>
      <c r="AL5" s="890"/>
    </row>
    <row r="6" spans="2:38" ht="17.25" thickBot="1">
      <c r="E6" s="1030"/>
      <c r="F6" s="1032"/>
      <c r="G6" s="1035"/>
      <c r="H6" s="1036"/>
      <c r="I6" s="204" t="s">
        <v>600</v>
      </c>
      <c r="J6" s="205" t="s">
        <v>601</v>
      </c>
      <c r="K6" s="204" t="s">
        <v>600</v>
      </c>
      <c r="L6" s="205" t="s">
        <v>601</v>
      </c>
      <c r="M6" s="204" t="s">
        <v>600</v>
      </c>
      <c r="N6" s="205" t="s">
        <v>601</v>
      </c>
      <c r="O6" s="204" t="s">
        <v>600</v>
      </c>
      <c r="P6" s="205" t="s">
        <v>601</v>
      </c>
      <c r="Q6" s="204" t="s">
        <v>600</v>
      </c>
      <c r="R6" s="205" t="s">
        <v>601</v>
      </c>
      <c r="S6" s="204" t="s">
        <v>600</v>
      </c>
      <c r="T6" s="205" t="s">
        <v>601</v>
      </c>
      <c r="U6" s="204" t="s">
        <v>600</v>
      </c>
      <c r="V6" s="205" t="s">
        <v>601</v>
      </c>
      <c r="W6" s="204" t="s">
        <v>600</v>
      </c>
      <c r="X6" s="205" t="s">
        <v>601</v>
      </c>
      <c r="Y6" s="204" t="s">
        <v>600</v>
      </c>
      <c r="Z6" s="205" t="s">
        <v>601</v>
      </c>
      <c r="AA6" s="204" t="s">
        <v>600</v>
      </c>
      <c r="AB6" s="205" t="s">
        <v>601</v>
      </c>
      <c r="AC6" s="204" t="s">
        <v>600</v>
      </c>
      <c r="AD6" s="205" t="s">
        <v>601</v>
      </c>
      <c r="AE6" s="204" t="s">
        <v>600</v>
      </c>
      <c r="AF6" s="205" t="s">
        <v>601</v>
      </c>
      <c r="AG6" s="204" t="s">
        <v>600</v>
      </c>
      <c r="AH6" s="205" t="s">
        <v>601</v>
      </c>
      <c r="AI6" s="204" t="s">
        <v>600</v>
      </c>
      <c r="AJ6" s="205" t="s">
        <v>601</v>
      </c>
      <c r="AK6" s="204" t="s">
        <v>600</v>
      </c>
      <c r="AL6" s="205" t="s">
        <v>601</v>
      </c>
    </row>
    <row r="7" spans="2:38">
      <c r="E7" s="247">
        <f>Biodata!B6</f>
        <v>1</v>
      </c>
      <c r="F7" s="248">
        <f>IF(Biodata!C6="","",VLOOKUP(E7,Biodata_Siswa,2,FALSE))</f>
        <v>7057</v>
      </c>
      <c r="G7" s="1015" t="str">
        <f>IF(Biodata!E6="","",PROPER(VLOOKUP(E7,Biodata_Siswa,4,FALSE)))</f>
        <v>Ahmad Zaki Aufa</v>
      </c>
      <c r="H7" s="1016"/>
      <c r="I7" s="249" t="str">
        <f>IF(Leger1!I7="","",IF(Leger1!I7&gt;=(Leger1!$C$4+2/3*(100-Leger1!$C$4)),"A",IF(Leger1!I7&gt;=(Leger1!$C$4+1/3*(100-Leger1!$C$4)),"B",IF(Leger1!I7&gt;=Leger1!$C$4,"C","D"))))</f>
        <v>C</v>
      </c>
      <c r="J7" s="250" t="str">
        <f>IF(Leger1!J7="","",IF(Leger1!J7&gt;=(Leger1!$C$4+2/3*(100-Leger1!$C$4)),"A",IF(Leger1!J7&gt;=(Leger1!$C$4+1/3*(100-Leger1!$C$4)),"B",IF(Leger1!J7&gt;=Leger1!$C$4,"C","D"))))</f>
        <v>B</v>
      </c>
      <c r="K7" s="251" t="str">
        <f>IF(Leger1!L7="","",IF(Leger1!L7&gt;=(Leger1!$C$4+2/3*(100-Leger1!$C$4)),"A",IF(Leger1!L7&gt;=(Leger1!$C$4+1/3*(100-Leger1!$C$4)),"B",IF(Leger1!L7&gt;=Leger1!$C$4,"C","D"))))</f>
        <v/>
      </c>
      <c r="L7" s="250" t="str">
        <f>IF(Leger1!M7="","",IF(Leger1!M7&gt;=(Leger1!$C$4+2/3*(100-Leger1!$C$4)),"A",IF(Leger1!M7&gt;=(Leger1!$C$4+1/3*(100-Leger1!$C$4)),"B",IF(Leger1!M7&gt;=Leger1!$C$4,"C","D"))))</f>
        <v/>
      </c>
      <c r="M7" s="251" t="str">
        <f>IF(Leger1!O7="","",IF(Leger1!O7&gt;=(Leger1!$C$4+2/3*(100-Leger1!$C$4)),"A",IF(Leger1!O7&gt;=(Leger1!$C$4+1/3*(100-Leger1!$C$4)),"B",IF(Leger1!O7&gt;=Leger1!$C$4,"C","D"))))</f>
        <v/>
      </c>
      <c r="N7" s="250" t="str">
        <f>IF(Leger1!P7="","",IF(Leger1!P7&gt;=(Leger1!$C$4+2/3*(100-Leger1!$C$4)),"A",IF(Leger1!P7&gt;=(Leger1!$C$4+1/3*(100-Leger1!$C$4)),"B",IF(Leger1!P7&gt;=Leger1!$C$4,"C","D"))))</f>
        <v/>
      </c>
      <c r="O7" s="251" t="str">
        <f>IF(Leger1!R7="","",IF(Leger1!R7&gt;=(Leger1!$C$4+2/3*(100-Leger1!$C$4)),"A",IF(Leger1!R7&gt;=(Leger1!$C$4+1/3*(100-Leger1!$C$4)),"B",IF(Leger1!R7&gt;=Leger1!$C$4,"C","D"))))</f>
        <v/>
      </c>
      <c r="P7" s="250" t="str">
        <f>IF(Leger1!S7="","",IF(Leger1!S7&gt;=(Leger1!$C$4+2/3*(100-Leger1!$C$4)),"A",IF(Leger1!S7&gt;=(Leger1!$C$4+1/3*(100-Leger1!$C$4)),"B",IF(Leger1!S7&gt;=Leger1!$C$4,"C","D"))))</f>
        <v/>
      </c>
      <c r="Q7" s="251" t="str">
        <f>IF(Leger1!U7="","",IF(Leger1!U7&gt;=(Leger1!$C$4+2/3*(100-Leger1!$C$4)),"A",IF(Leger1!U7&gt;=(Leger1!$C$4+1/3*(100-Leger1!$C$4)),"B",IF(Leger1!U7&gt;=Leger1!$C$4,"C","D"))))</f>
        <v/>
      </c>
      <c r="R7" s="250" t="str">
        <f>IF(Leger1!V7="","",IF(Leger1!V7&gt;=(Leger1!$C$4+2/3*(100-Leger1!$C$4)),"A",IF(Leger1!V7&gt;=(Leger1!$C$4+1/3*(100-Leger1!$C$4)),"B",IF(Leger1!V7&gt;=Leger1!$C$4,"C","D"))))</f>
        <v/>
      </c>
      <c r="S7" s="251" t="str">
        <f>IF(Leger1!X7="","",IF(Leger1!X7&gt;=(Leger1!$C$4+2/3*(100-Leger1!$C$4)),"A",IF(Leger1!X7&gt;=(Leger1!$C$4+1/3*(100-Leger1!$C$4)),"B",IF(Leger1!X7&gt;=Leger1!$C$4,"C","D"))))</f>
        <v>C</v>
      </c>
      <c r="T7" s="250" t="str">
        <f>IF(Leger1!Y7="","",IF(Leger1!Y7&gt;=(Leger1!$C$4+2/3*(100-Leger1!$C$4)),"A",IF(Leger1!Y7&gt;=(Leger1!$C$4+1/3*(100-Leger1!$C$4)),"B",IF(Leger1!Y7&gt;=Leger1!$C$4,"C","D"))))</f>
        <v>C</v>
      </c>
      <c r="U7" s="251" t="str">
        <f>IF(Leger1!AA7="","",IF(Leger1!AA7&gt;=(Leger1!$C$4+2/3*(100-Leger1!$C$4)),"A",IF(Leger1!AA7&gt;=(Leger1!$C$4+1/3*(100-Leger1!$C$4)),"B",IF(Leger1!AA7&gt;=Leger1!$C$4,"C","D"))))</f>
        <v>C</v>
      </c>
      <c r="V7" s="250" t="str">
        <f>IF(Leger1!AB7="","",IF(Leger1!AB7&gt;=(Leger1!$C$4+2/3*(100-Leger1!$C$4)),"A",IF(Leger1!AB7&gt;=(Leger1!$C$4+1/3*(100-Leger1!$C$4)),"B",IF(Leger1!AB7&gt;=Leger1!$C$4,"C","D"))))</f>
        <v>C</v>
      </c>
      <c r="W7" s="251" t="str">
        <f>IF(Leger1!AD7="","",IF(Leger1!AD7&gt;=(Leger1!$C$4+2/3*(100-Leger1!$C$4)),"A",IF(Leger1!AD7&gt;=(Leger1!$C$4+1/3*(100-Leger1!$C$4)),"B",IF(Leger1!AD7&gt;=Leger1!$C$4,"C","D"))))</f>
        <v>C</v>
      </c>
      <c r="X7" s="250" t="str">
        <f>IF(Leger1!AE7="","",IF(Leger1!AE7&gt;=(Leger1!$C$4+2/3*(100-Leger1!$C$4)),"A",IF(Leger1!AE7&gt;=(Leger1!$C$4+1/3*(100-Leger1!$C$4)),"B",IF(Leger1!AE7&gt;=Leger1!$C$4,"C","D"))))</f>
        <v>C</v>
      </c>
      <c r="Y7" s="251" t="str">
        <f>IF(Leger1!AG7="","",IF(Leger1!AG7&gt;=(Leger1!$C$4+2/3*(100-Leger1!$C$4)),"A",IF(Leger1!AG7&gt;=(Leger1!$C$4+1/3*(100-Leger1!$C$4)),"B",IF(Leger1!AG7&gt;=Leger1!$C$4,"C","D"))))</f>
        <v>B</v>
      </c>
      <c r="Z7" s="250" t="str">
        <f>IF(Leger1!AH7="","",IF(Leger1!AH7&gt;=(Leger1!$C$4+2/3*(100-Leger1!$C$4)),"A",IF(Leger1!AH7&gt;=(Leger1!$C$4+1/3*(100-Leger1!$C$4)),"B",IF(Leger1!AH7&gt;=Leger1!$C$4,"C","D"))))</f>
        <v>B</v>
      </c>
      <c r="AA7" s="251" t="str">
        <f>IF(Leger1!AJ7="","",IF(Leger1!AJ7&gt;=(Leger1!$C$4+2/3*(100-Leger1!$C$4)),"A",IF(Leger1!AJ7&gt;=(Leger1!$C$4+1/3*(100-Leger1!$C$4)),"B",IF(Leger1!AJ7&gt;=Leger1!$C$4,"C","D"))))</f>
        <v>C</v>
      </c>
      <c r="AB7" s="250" t="str">
        <f>IF(Leger1!AK7="","",IF(Leger1!AK7&gt;=(Leger1!$C$4+2/3*(100-Leger1!$C$4)),"A",IF(Leger1!AK7&gt;=(Leger1!$C$4+1/3*(100-Leger1!$C$4)),"B",IF(Leger1!AK7&gt;=Leger1!$C$4,"C","D"))))</f>
        <v>B</v>
      </c>
      <c r="AC7" s="251" t="str">
        <f>IF(Leger1!AM7="","",IF(Leger1!AM7&gt;=(Leger1!$C$4+2/3*(100-Leger1!$C$4)),"A",IF(Leger1!AM7&gt;=(Leger1!$C$4+1/3*(100-Leger1!$C$4)),"B",IF(Leger1!AM7&gt;=Leger1!$C$4,"C","D"))))</f>
        <v>C</v>
      </c>
      <c r="AD7" s="250" t="str">
        <f>IF(Leger1!AN7="","",IF(Leger1!AN7&gt;=(Leger1!$C$4+2/3*(100-Leger1!$C$4)),"A",IF(Leger1!AN7&gt;=(Leger1!$C$4+1/3*(100-Leger1!$C$4)),"B",IF(Leger1!AN7&gt;=Leger1!$C$4,"C","D"))))</f>
        <v>C</v>
      </c>
      <c r="AE7" s="251" t="str">
        <f>IF(Leger1!AP7="","",IF(Leger1!AP7&gt;=(Leger1!$C$4+2/3*(100-Leger1!$C$4)),"A",IF(Leger1!AP7&gt;=(Leger1!$C$4+1/3*(100-Leger1!$C$4)),"B",IF(Leger1!AP7&gt;=Leger1!$C$4,"C","D"))))</f>
        <v>C</v>
      </c>
      <c r="AF7" s="250" t="str">
        <f>IF(Leger1!AQ7="","",IF(Leger1!AQ7&gt;=(Leger1!$C$4+2/3*(100-Leger1!$C$4)),"A",IF(Leger1!AQ7&gt;=(Leger1!$C$4+1/3*(100-Leger1!$C$4)),"B",IF(Leger1!AQ7&gt;=Leger1!$C$4,"C","D"))))</f>
        <v>C</v>
      </c>
      <c r="AG7" s="251" t="str">
        <f>IF(Leger1!AS7="","",IF(Leger1!AS7&gt;=(Leger1!$C$4+2/3*(100-Leger1!$C$4)),"A",IF(Leger1!AS7&gt;=(Leger1!$C$4+1/3*(100-Leger1!$C$4)),"B",IF(Leger1!AS7&gt;=Leger1!$C$4,"C","D"))))</f>
        <v>C</v>
      </c>
      <c r="AH7" s="250" t="str">
        <f>IF(Leger1!AT7="","",IF(Leger1!AT7&gt;=(Leger1!$C$4+2/3*(100-Leger1!$C$4)),"A",IF(Leger1!AT7&gt;=(Leger1!$C$4+1/3*(100-Leger1!$C$4)),"B",IF(Leger1!AT7&gt;=Leger1!$C$4,"C","D"))))</f>
        <v>C</v>
      </c>
      <c r="AI7" s="251" t="str">
        <f>IF(Leger1!AV7="","",IF(Leger1!AV7&gt;=(Leger1!$C$4+2/3*(100-Leger1!$C$4)),"A",IF(Leger1!AV7&gt;=(Leger1!$C$4+1/3*(100-Leger1!$C$4)),"B",IF(Leger1!AV7&gt;=Leger1!$C$4,"C","D"))))</f>
        <v>C</v>
      </c>
      <c r="AJ7" s="250" t="str">
        <f>IF(Leger1!AW7="","",IF(Leger1!AW7&gt;=(Leger1!$C$4+2/3*(100-Leger1!$C$4)),"A",IF(Leger1!AW7&gt;=(Leger1!$C$4+1/3*(100-Leger1!$C$4)),"B",IF(Leger1!AW7&gt;=Leger1!$C$4,"C","D"))))</f>
        <v>C</v>
      </c>
      <c r="AK7" s="251" t="str">
        <f>IF(Leger1!AY7="","",IF(Leger1!AY7&gt;=(Leger1!$C$4+2/3*(100-Leger1!$C$4)),"A",IF(Leger1!AY7&gt;=(Leger1!$C$4+1/3*(100-Leger1!$C$4)),"B",IF(Leger1!AY7&gt;=Leger1!$C$4,"C","D"))))</f>
        <v>C</v>
      </c>
      <c r="AL7" s="250" t="str">
        <f>IF(Leger1!AZ7="","",IF(Leger1!AZ7&gt;=(Leger1!$C$4+2/3*(100-Leger1!$C$4)),"A",IF(Leger1!AZ7&gt;=(Leger1!$C$4+1/3*(100-Leger1!$C$4)),"B",IF(Leger1!AZ7&gt;=Leger1!$C$4,"C","D"))))</f>
        <v>C</v>
      </c>
    </row>
    <row r="8" spans="2:38">
      <c r="E8" s="211">
        <f>Biodata!B7</f>
        <v>2</v>
      </c>
      <c r="F8" s="212">
        <f>IF(Biodata!C7="","",VLOOKUP(E8,Biodata_Siswa,2,FALSE))</f>
        <v>7058</v>
      </c>
      <c r="G8" s="1015" t="str">
        <f>IF(Biodata!E7="","",PROPER(VLOOKUP(E8,Biodata_Siswa,4,FALSE)))</f>
        <v>Anandhita Nafra Wilova</v>
      </c>
      <c r="H8" s="1016"/>
      <c r="I8" s="249" t="str">
        <f>IF(Leger1!I8="","",IF(Leger1!I8&gt;=(Leger1!$C$4+2/3*(100-Leger1!$C$4)),"A",IF(Leger1!I8&gt;=(Leger1!$C$4+1/3*(100-Leger1!$C$4)),"B",IF(Leger1!I8&gt;=Leger1!$C$4,"C","D"))))</f>
        <v>C</v>
      </c>
      <c r="J8" s="252" t="str">
        <f>IF(Leger1!J8="","",IF(Leger1!J8&gt;=(Leger1!$C$4+2/3*(100-Leger1!$C$4)),"A",IF(Leger1!J8&gt;=(Leger1!$C$4+1/3*(100-Leger1!$C$4)),"B",IF(Leger1!J8&gt;=Leger1!$C$4,"C","D"))))</f>
        <v>B</v>
      </c>
      <c r="K8" s="249" t="str">
        <f>IF(Leger1!L8="","",IF(Leger1!L8&gt;=(Leger1!$C$4+2/3*(100-Leger1!$C$4)),"A",IF(Leger1!L8&gt;=(Leger1!$C$4+1/3*(100-Leger1!$C$4)),"B",IF(Leger1!L8&gt;=Leger1!$C$4,"C","D"))))</f>
        <v/>
      </c>
      <c r="L8" s="252" t="str">
        <f>IF(Leger1!M8="","",IF(Leger1!M8&gt;=(Leger1!$C$4+2/3*(100-Leger1!$C$4)),"A",IF(Leger1!M8&gt;=(Leger1!$C$4+1/3*(100-Leger1!$C$4)),"B",IF(Leger1!M8&gt;=Leger1!$C$4,"C","D"))))</f>
        <v/>
      </c>
      <c r="M8" s="249" t="str">
        <f>IF(Leger1!O8="","",IF(Leger1!O8&gt;=(Leger1!$C$4+2/3*(100-Leger1!$C$4)),"A",IF(Leger1!O8&gt;=(Leger1!$C$4+1/3*(100-Leger1!$C$4)),"B",IF(Leger1!O8&gt;=Leger1!$C$4,"C","D"))))</f>
        <v/>
      </c>
      <c r="N8" s="252" t="str">
        <f>IF(Leger1!P8="","",IF(Leger1!P8&gt;=(Leger1!$C$4+2/3*(100-Leger1!$C$4)),"A",IF(Leger1!P8&gt;=(Leger1!$C$4+1/3*(100-Leger1!$C$4)),"B",IF(Leger1!P8&gt;=Leger1!$C$4,"C","D"))))</f>
        <v/>
      </c>
      <c r="O8" s="249" t="str">
        <f>IF(Leger1!R8="","",IF(Leger1!R8&gt;=(Leger1!$C$4+2/3*(100-Leger1!$C$4)),"A",IF(Leger1!R8&gt;=(Leger1!$C$4+1/3*(100-Leger1!$C$4)),"B",IF(Leger1!R8&gt;=Leger1!$C$4,"C","D"))))</f>
        <v/>
      </c>
      <c r="P8" s="252" t="str">
        <f>IF(Leger1!S8="","",IF(Leger1!S8&gt;=(Leger1!$C$4+2/3*(100-Leger1!$C$4)),"A",IF(Leger1!S8&gt;=(Leger1!$C$4+1/3*(100-Leger1!$C$4)),"B",IF(Leger1!S8&gt;=Leger1!$C$4,"C","D"))))</f>
        <v/>
      </c>
      <c r="Q8" s="249" t="str">
        <f>IF(Leger1!U8="","",IF(Leger1!U8&gt;=(Leger1!$C$4+2/3*(100-Leger1!$C$4)),"A",IF(Leger1!U8&gt;=(Leger1!$C$4+1/3*(100-Leger1!$C$4)),"B",IF(Leger1!U8&gt;=Leger1!$C$4,"C","D"))))</f>
        <v/>
      </c>
      <c r="R8" s="252" t="str">
        <f>IF(Leger1!V8="","",IF(Leger1!V8&gt;=(Leger1!$C$4+2/3*(100-Leger1!$C$4)),"A",IF(Leger1!V8&gt;=(Leger1!$C$4+1/3*(100-Leger1!$C$4)),"B",IF(Leger1!V8&gt;=Leger1!$C$4,"C","D"))))</f>
        <v/>
      </c>
      <c r="S8" s="249" t="str">
        <f>IF(Leger1!X8="","",IF(Leger1!X8&gt;=(Leger1!$C$4+2/3*(100-Leger1!$C$4)),"A",IF(Leger1!X8&gt;=(Leger1!$C$4+1/3*(100-Leger1!$C$4)),"B",IF(Leger1!X8&gt;=Leger1!$C$4,"C","D"))))</f>
        <v>B</v>
      </c>
      <c r="T8" s="252" t="str">
        <f>IF(Leger1!Y8="","",IF(Leger1!Y8&gt;=(Leger1!$C$4+2/3*(100-Leger1!$C$4)),"A",IF(Leger1!Y8&gt;=(Leger1!$C$4+1/3*(100-Leger1!$C$4)),"B",IF(Leger1!Y8&gt;=Leger1!$C$4,"C","D"))))</f>
        <v>C</v>
      </c>
      <c r="U8" s="249" t="str">
        <f>IF(Leger1!AA8="","",IF(Leger1!AA8&gt;=(Leger1!$C$4+2/3*(100-Leger1!$C$4)),"A",IF(Leger1!AA8&gt;=(Leger1!$C$4+1/3*(100-Leger1!$C$4)),"B",IF(Leger1!AA8&gt;=Leger1!$C$4,"C","D"))))</f>
        <v>C</v>
      </c>
      <c r="V8" s="252" t="str">
        <f>IF(Leger1!AB8="","",IF(Leger1!AB8&gt;=(Leger1!$C$4+2/3*(100-Leger1!$C$4)),"A",IF(Leger1!AB8&gt;=(Leger1!$C$4+1/3*(100-Leger1!$C$4)),"B",IF(Leger1!AB8&gt;=Leger1!$C$4,"C","D"))))</f>
        <v>C</v>
      </c>
      <c r="W8" s="249" t="str">
        <f>IF(Leger1!AD8="","",IF(Leger1!AD8&gt;=(Leger1!$C$4+2/3*(100-Leger1!$C$4)),"A",IF(Leger1!AD8&gt;=(Leger1!$C$4+1/3*(100-Leger1!$C$4)),"B",IF(Leger1!AD8&gt;=Leger1!$C$4,"C","D"))))</f>
        <v>C</v>
      </c>
      <c r="X8" s="252" t="str">
        <f>IF(Leger1!AE8="","",IF(Leger1!AE8&gt;=(Leger1!$C$4+2/3*(100-Leger1!$C$4)),"A",IF(Leger1!AE8&gt;=(Leger1!$C$4+1/3*(100-Leger1!$C$4)),"B",IF(Leger1!AE8&gt;=Leger1!$C$4,"C","D"))))</f>
        <v>C</v>
      </c>
      <c r="Y8" s="249" t="str">
        <f>IF(Leger1!AG8="","",IF(Leger1!AG8&gt;=(Leger1!$C$4+2/3*(100-Leger1!$C$4)),"A",IF(Leger1!AG8&gt;=(Leger1!$C$4+1/3*(100-Leger1!$C$4)),"B",IF(Leger1!AG8&gt;=Leger1!$C$4,"C","D"))))</f>
        <v>C</v>
      </c>
      <c r="Z8" s="252" t="str">
        <f>IF(Leger1!AH8="","",IF(Leger1!AH8&gt;=(Leger1!$C$4+2/3*(100-Leger1!$C$4)),"A",IF(Leger1!AH8&gt;=(Leger1!$C$4+1/3*(100-Leger1!$C$4)),"B",IF(Leger1!AH8&gt;=Leger1!$C$4,"C","D"))))</f>
        <v>B</v>
      </c>
      <c r="AA8" s="249" t="str">
        <f>IF(Leger1!AJ8="","",IF(Leger1!AJ8&gt;=(Leger1!$C$4+2/3*(100-Leger1!$C$4)),"A",IF(Leger1!AJ8&gt;=(Leger1!$C$4+1/3*(100-Leger1!$C$4)),"B",IF(Leger1!AJ8&gt;=Leger1!$C$4,"C","D"))))</f>
        <v>B</v>
      </c>
      <c r="AB8" s="252" t="str">
        <f>IF(Leger1!AK8="","",IF(Leger1!AK8&gt;=(Leger1!$C$4+2/3*(100-Leger1!$C$4)),"A",IF(Leger1!AK8&gt;=(Leger1!$C$4+1/3*(100-Leger1!$C$4)),"B",IF(Leger1!AK8&gt;=Leger1!$C$4,"C","D"))))</f>
        <v>B</v>
      </c>
      <c r="AC8" s="249" t="str">
        <f>IF(Leger1!AM8="","",IF(Leger1!AM8&gt;=(Leger1!$C$4+2/3*(100-Leger1!$C$4)),"A",IF(Leger1!AM8&gt;=(Leger1!$C$4+1/3*(100-Leger1!$C$4)),"B",IF(Leger1!AM8&gt;=Leger1!$C$4,"C","D"))))</f>
        <v>C</v>
      </c>
      <c r="AD8" s="252" t="str">
        <f>IF(Leger1!AN8="","",IF(Leger1!AN8&gt;=(Leger1!$C$4+2/3*(100-Leger1!$C$4)),"A",IF(Leger1!AN8&gt;=(Leger1!$C$4+1/3*(100-Leger1!$C$4)),"B",IF(Leger1!AN8&gt;=Leger1!$C$4,"C","D"))))</f>
        <v>C</v>
      </c>
      <c r="AE8" s="249" t="str">
        <f>IF(Leger1!AP8="","",IF(Leger1!AP8&gt;=(Leger1!$C$4+2/3*(100-Leger1!$C$4)),"A",IF(Leger1!AP8&gt;=(Leger1!$C$4+1/3*(100-Leger1!$C$4)),"B",IF(Leger1!AP8&gt;=Leger1!$C$4,"C","D"))))</f>
        <v>C</v>
      </c>
      <c r="AF8" s="252" t="str">
        <f>IF(Leger1!AQ8="","",IF(Leger1!AQ8&gt;=(Leger1!$C$4+2/3*(100-Leger1!$C$4)),"A",IF(Leger1!AQ8&gt;=(Leger1!$C$4+1/3*(100-Leger1!$C$4)),"B",IF(Leger1!AQ8&gt;=Leger1!$C$4,"C","D"))))</f>
        <v>C</v>
      </c>
      <c r="AG8" s="249" t="str">
        <f>IF(Leger1!AS8="","",IF(Leger1!AS8&gt;=(Leger1!$C$4+2/3*(100-Leger1!$C$4)),"A",IF(Leger1!AS8&gt;=(Leger1!$C$4+1/3*(100-Leger1!$C$4)),"B",IF(Leger1!AS8&gt;=Leger1!$C$4,"C","D"))))</f>
        <v>C</v>
      </c>
      <c r="AH8" s="252" t="str">
        <f>IF(Leger1!AT8="","",IF(Leger1!AT8&gt;=(Leger1!$C$4+2/3*(100-Leger1!$C$4)),"A",IF(Leger1!AT8&gt;=(Leger1!$C$4+1/3*(100-Leger1!$C$4)),"B",IF(Leger1!AT8&gt;=Leger1!$C$4,"C","D"))))</f>
        <v>C</v>
      </c>
      <c r="AI8" s="249" t="str">
        <f>IF(Leger1!AV8="","",IF(Leger1!AV8&gt;=(Leger1!$C$4+2/3*(100-Leger1!$C$4)),"A",IF(Leger1!AV8&gt;=(Leger1!$C$4+1/3*(100-Leger1!$C$4)),"B",IF(Leger1!AV8&gt;=Leger1!$C$4,"C","D"))))</f>
        <v>C</v>
      </c>
      <c r="AJ8" s="252" t="str">
        <f>IF(Leger1!AW8="","",IF(Leger1!AW8&gt;=(Leger1!$C$4+2/3*(100-Leger1!$C$4)),"A",IF(Leger1!AW8&gt;=(Leger1!$C$4+1/3*(100-Leger1!$C$4)),"B",IF(Leger1!AW8&gt;=Leger1!$C$4,"C","D"))))</f>
        <v>B</v>
      </c>
      <c r="AK8" s="249" t="str">
        <f>IF(Leger1!AY8="","",IF(Leger1!AY8&gt;=(Leger1!$C$4+2/3*(100-Leger1!$C$4)),"A",IF(Leger1!AY8&gt;=(Leger1!$C$4+1/3*(100-Leger1!$C$4)),"B",IF(Leger1!AY8&gt;=Leger1!$C$4,"C","D"))))</f>
        <v>C</v>
      </c>
      <c r="AL8" s="252" t="str">
        <f>IF(Leger1!AZ8="","",IF(Leger1!AZ8&gt;=(Leger1!$C$4+2/3*(100-Leger1!$C$4)),"A",IF(Leger1!AZ8&gt;=(Leger1!$C$4+1/3*(100-Leger1!$C$4)),"B",IF(Leger1!AZ8&gt;=Leger1!$C$4,"C","D"))))</f>
        <v>C</v>
      </c>
    </row>
    <row r="9" spans="2:38">
      <c r="B9" s="1018" t="s">
        <v>85</v>
      </c>
      <c r="C9" s="1018"/>
      <c r="E9" s="211">
        <f>Biodata!B8</f>
        <v>3</v>
      </c>
      <c r="F9" s="212">
        <f>IF(Biodata!C8="","",VLOOKUP(E9,Biodata_Siswa,2,FALSE))</f>
        <v>7059</v>
      </c>
      <c r="G9" s="1015" t="str">
        <f>IF(Biodata!E8="","",PROPER(VLOOKUP(E9,Biodata_Siswa,4,FALSE)))</f>
        <v>Andini Dwi Aryanti</v>
      </c>
      <c r="H9" s="1016"/>
      <c r="I9" s="249" t="str">
        <f>IF(Leger1!I9="","",IF(Leger1!I9&gt;=(Leger1!$C$4+2/3*(100-Leger1!$C$4)),"A",IF(Leger1!I9&gt;=(Leger1!$C$4+1/3*(100-Leger1!$C$4)),"B",IF(Leger1!I9&gt;=Leger1!$C$4,"C","D"))))</f>
        <v>C</v>
      </c>
      <c r="J9" s="252" t="str">
        <f>IF(Leger1!J9="","",IF(Leger1!J9&gt;=(Leger1!$C$4+2/3*(100-Leger1!$C$4)),"A",IF(Leger1!J9&gt;=(Leger1!$C$4+1/3*(100-Leger1!$C$4)),"B",IF(Leger1!J9&gt;=Leger1!$C$4,"C","D"))))</f>
        <v>B</v>
      </c>
      <c r="K9" s="249" t="str">
        <f>IF(Leger1!L9="","",IF(Leger1!L9&gt;=(Leger1!$C$4+2/3*(100-Leger1!$C$4)),"A",IF(Leger1!L9&gt;=(Leger1!$C$4+1/3*(100-Leger1!$C$4)),"B",IF(Leger1!L9&gt;=Leger1!$C$4,"C","D"))))</f>
        <v/>
      </c>
      <c r="L9" s="252" t="str">
        <f>IF(Leger1!M9="","",IF(Leger1!M9&gt;=(Leger1!$C$4+2/3*(100-Leger1!$C$4)),"A",IF(Leger1!M9&gt;=(Leger1!$C$4+1/3*(100-Leger1!$C$4)),"B",IF(Leger1!M9&gt;=Leger1!$C$4,"C","D"))))</f>
        <v/>
      </c>
      <c r="M9" s="249" t="str">
        <f>IF(Leger1!O9="","",IF(Leger1!O9&gt;=(Leger1!$C$4+2/3*(100-Leger1!$C$4)),"A",IF(Leger1!O9&gt;=(Leger1!$C$4+1/3*(100-Leger1!$C$4)),"B",IF(Leger1!O9&gt;=Leger1!$C$4,"C","D"))))</f>
        <v/>
      </c>
      <c r="N9" s="252" t="str">
        <f>IF(Leger1!P9="","",IF(Leger1!P9&gt;=(Leger1!$C$4+2/3*(100-Leger1!$C$4)),"A",IF(Leger1!P9&gt;=(Leger1!$C$4+1/3*(100-Leger1!$C$4)),"B",IF(Leger1!P9&gt;=Leger1!$C$4,"C","D"))))</f>
        <v/>
      </c>
      <c r="O9" s="249" t="str">
        <f>IF(Leger1!R9="","",IF(Leger1!R9&gt;=(Leger1!$C$4+2/3*(100-Leger1!$C$4)),"A",IF(Leger1!R9&gt;=(Leger1!$C$4+1/3*(100-Leger1!$C$4)),"B",IF(Leger1!R9&gt;=Leger1!$C$4,"C","D"))))</f>
        <v/>
      </c>
      <c r="P9" s="252" t="str">
        <f>IF(Leger1!S9="","",IF(Leger1!S9&gt;=(Leger1!$C$4+2/3*(100-Leger1!$C$4)),"A",IF(Leger1!S9&gt;=(Leger1!$C$4+1/3*(100-Leger1!$C$4)),"B",IF(Leger1!S9&gt;=Leger1!$C$4,"C","D"))))</f>
        <v/>
      </c>
      <c r="Q9" s="249" t="str">
        <f>IF(Leger1!U9="","",IF(Leger1!U9&gt;=(Leger1!$C$4+2/3*(100-Leger1!$C$4)),"A",IF(Leger1!U9&gt;=(Leger1!$C$4+1/3*(100-Leger1!$C$4)),"B",IF(Leger1!U9&gt;=Leger1!$C$4,"C","D"))))</f>
        <v/>
      </c>
      <c r="R9" s="252" t="str">
        <f>IF(Leger1!V9="","",IF(Leger1!V9&gt;=(Leger1!$C$4+2/3*(100-Leger1!$C$4)),"A",IF(Leger1!V9&gt;=(Leger1!$C$4+1/3*(100-Leger1!$C$4)),"B",IF(Leger1!V9&gt;=Leger1!$C$4,"C","D"))))</f>
        <v/>
      </c>
      <c r="S9" s="249" t="str">
        <f>IF(Leger1!X9="","",IF(Leger1!X9&gt;=(Leger1!$C$4+2/3*(100-Leger1!$C$4)),"A",IF(Leger1!X9&gt;=(Leger1!$C$4+1/3*(100-Leger1!$C$4)),"B",IF(Leger1!X9&gt;=Leger1!$C$4,"C","D"))))</f>
        <v>C</v>
      </c>
      <c r="T9" s="252" t="str">
        <f>IF(Leger1!Y9="","",IF(Leger1!Y9&gt;=(Leger1!$C$4+2/3*(100-Leger1!$C$4)),"A",IF(Leger1!Y9&gt;=(Leger1!$C$4+1/3*(100-Leger1!$C$4)),"B",IF(Leger1!Y9&gt;=Leger1!$C$4,"C","D"))))</f>
        <v>C</v>
      </c>
      <c r="U9" s="249" t="str">
        <f>IF(Leger1!AA9="","",IF(Leger1!AA9&gt;=(Leger1!$C$4+2/3*(100-Leger1!$C$4)),"A",IF(Leger1!AA9&gt;=(Leger1!$C$4+1/3*(100-Leger1!$C$4)),"B",IF(Leger1!AA9&gt;=Leger1!$C$4,"C","D"))))</f>
        <v>C</v>
      </c>
      <c r="V9" s="252" t="str">
        <f>IF(Leger1!AB9="","",IF(Leger1!AB9&gt;=(Leger1!$C$4+2/3*(100-Leger1!$C$4)),"A",IF(Leger1!AB9&gt;=(Leger1!$C$4+1/3*(100-Leger1!$C$4)),"B",IF(Leger1!AB9&gt;=Leger1!$C$4,"C","D"))))</f>
        <v>C</v>
      </c>
      <c r="W9" s="249" t="str">
        <f>IF(Leger1!AD9="","",IF(Leger1!AD9&gt;=(Leger1!$C$4+2/3*(100-Leger1!$C$4)),"A",IF(Leger1!AD9&gt;=(Leger1!$C$4+1/3*(100-Leger1!$C$4)),"B",IF(Leger1!AD9&gt;=Leger1!$C$4,"C","D"))))</f>
        <v>C</v>
      </c>
      <c r="X9" s="252" t="str">
        <f>IF(Leger1!AE9="","",IF(Leger1!AE9&gt;=(Leger1!$C$4+2/3*(100-Leger1!$C$4)),"A",IF(Leger1!AE9&gt;=(Leger1!$C$4+1/3*(100-Leger1!$C$4)),"B",IF(Leger1!AE9&gt;=Leger1!$C$4,"C","D"))))</f>
        <v>C</v>
      </c>
      <c r="Y9" s="249" t="str">
        <f>IF(Leger1!AG9="","",IF(Leger1!AG9&gt;=(Leger1!$C$4+2/3*(100-Leger1!$C$4)),"A",IF(Leger1!AG9&gt;=(Leger1!$C$4+1/3*(100-Leger1!$C$4)),"B",IF(Leger1!AG9&gt;=Leger1!$C$4,"C","D"))))</f>
        <v>B</v>
      </c>
      <c r="Z9" s="252" t="str">
        <f>IF(Leger1!AH9="","",IF(Leger1!AH9&gt;=(Leger1!$C$4+2/3*(100-Leger1!$C$4)),"A",IF(Leger1!AH9&gt;=(Leger1!$C$4+1/3*(100-Leger1!$C$4)),"B",IF(Leger1!AH9&gt;=Leger1!$C$4,"C","D"))))</f>
        <v>B</v>
      </c>
      <c r="AA9" s="249" t="str">
        <f>IF(Leger1!AJ9="","",IF(Leger1!AJ9&gt;=(Leger1!$C$4+2/3*(100-Leger1!$C$4)),"A",IF(Leger1!AJ9&gt;=(Leger1!$C$4+1/3*(100-Leger1!$C$4)),"B",IF(Leger1!AJ9&gt;=Leger1!$C$4,"C","D"))))</f>
        <v>C</v>
      </c>
      <c r="AB9" s="252" t="str">
        <f>IF(Leger1!AK9="","",IF(Leger1!AK9&gt;=(Leger1!$C$4+2/3*(100-Leger1!$C$4)),"A",IF(Leger1!AK9&gt;=(Leger1!$C$4+1/3*(100-Leger1!$C$4)),"B",IF(Leger1!AK9&gt;=Leger1!$C$4,"C","D"))))</f>
        <v>B</v>
      </c>
      <c r="AC9" s="249" t="str">
        <f>IF(Leger1!AM9="","",IF(Leger1!AM9&gt;=(Leger1!$C$4+2/3*(100-Leger1!$C$4)),"A",IF(Leger1!AM9&gt;=(Leger1!$C$4+1/3*(100-Leger1!$C$4)),"B",IF(Leger1!AM9&gt;=Leger1!$C$4,"C","D"))))</f>
        <v>C</v>
      </c>
      <c r="AD9" s="252" t="str">
        <f>IF(Leger1!AN9="","",IF(Leger1!AN9&gt;=(Leger1!$C$4+2/3*(100-Leger1!$C$4)),"A",IF(Leger1!AN9&gt;=(Leger1!$C$4+1/3*(100-Leger1!$C$4)),"B",IF(Leger1!AN9&gt;=Leger1!$C$4,"C","D"))))</f>
        <v>C</v>
      </c>
      <c r="AE9" s="249" t="str">
        <f>IF(Leger1!AP9="","",IF(Leger1!AP9&gt;=(Leger1!$C$4+2/3*(100-Leger1!$C$4)),"A",IF(Leger1!AP9&gt;=(Leger1!$C$4+1/3*(100-Leger1!$C$4)),"B",IF(Leger1!AP9&gt;=Leger1!$C$4,"C","D"))))</f>
        <v>C</v>
      </c>
      <c r="AF9" s="252" t="str">
        <f>IF(Leger1!AQ9="","",IF(Leger1!AQ9&gt;=(Leger1!$C$4+2/3*(100-Leger1!$C$4)),"A",IF(Leger1!AQ9&gt;=(Leger1!$C$4+1/3*(100-Leger1!$C$4)),"B",IF(Leger1!AQ9&gt;=Leger1!$C$4,"C","D"))))</f>
        <v>C</v>
      </c>
      <c r="AG9" s="249" t="str">
        <f>IF(Leger1!AS9="","",IF(Leger1!AS9&gt;=(Leger1!$C$4+2/3*(100-Leger1!$C$4)),"A",IF(Leger1!AS9&gt;=(Leger1!$C$4+1/3*(100-Leger1!$C$4)),"B",IF(Leger1!AS9&gt;=Leger1!$C$4,"C","D"))))</f>
        <v>C</v>
      </c>
      <c r="AH9" s="252" t="str">
        <f>IF(Leger1!AT9="","",IF(Leger1!AT9&gt;=(Leger1!$C$4+2/3*(100-Leger1!$C$4)),"A",IF(Leger1!AT9&gt;=(Leger1!$C$4+1/3*(100-Leger1!$C$4)),"B",IF(Leger1!AT9&gt;=Leger1!$C$4,"C","D"))))</f>
        <v>C</v>
      </c>
      <c r="AI9" s="249" t="str">
        <f>IF(Leger1!AV9="","",IF(Leger1!AV9&gt;=(Leger1!$C$4+2/3*(100-Leger1!$C$4)),"A",IF(Leger1!AV9&gt;=(Leger1!$C$4+1/3*(100-Leger1!$C$4)),"B",IF(Leger1!AV9&gt;=Leger1!$C$4,"C","D"))))</f>
        <v>C</v>
      </c>
      <c r="AJ9" s="252" t="str">
        <f>IF(Leger1!AW9="","",IF(Leger1!AW9&gt;=(Leger1!$C$4+2/3*(100-Leger1!$C$4)),"A",IF(Leger1!AW9&gt;=(Leger1!$C$4+1/3*(100-Leger1!$C$4)),"B",IF(Leger1!AW9&gt;=Leger1!$C$4,"C","D"))))</f>
        <v>B</v>
      </c>
      <c r="AK9" s="249" t="str">
        <f>IF(Leger1!AY9="","",IF(Leger1!AY9&gt;=(Leger1!$C$4+2/3*(100-Leger1!$C$4)),"A",IF(Leger1!AY9&gt;=(Leger1!$C$4+1/3*(100-Leger1!$C$4)),"B",IF(Leger1!AY9&gt;=Leger1!$C$4,"C","D"))))</f>
        <v>C</v>
      </c>
      <c r="AL9" s="252" t="str">
        <f>IF(Leger1!AZ9="","",IF(Leger1!AZ9&gt;=(Leger1!$C$4+2/3*(100-Leger1!$C$4)),"A",IF(Leger1!AZ9&gt;=(Leger1!$C$4+1/3*(100-Leger1!$C$4)),"B",IF(Leger1!AZ9&gt;=Leger1!$C$4,"C","D"))))</f>
        <v>C</v>
      </c>
    </row>
    <row r="10" spans="2:38" ht="15.75">
      <c r="B10" s="66" t="s">
        <v>59</v>
      </c>
      <c r="C10" s="66" t="s">
        <v>113</v>
      </c>
      <c r="E10" s="211">
        <f>Biodata!B9</f>
        <v>4</v>
      </c>
      <c r="F10" s="212">
        <f>IF(Biodata!C9="","",VLOOKUP(E10,Biodata_Siswa,2,FALSE))</f>
        <v>7060</v>
      </c>
      <c r="G10" s="1015" t="str">
        <f>IF(Biodata!E9="","",PROPER(VLOOKUP(E10,Biodata_Siswa,4,FALSE)))</f>
        <v>Anggun Suci Rahmadani</v>
      </c>
      <c r="H10" s="1016"/>
      <c r="I10" s="249" t="str">
        <f>IF(Leger1!I10="","",IF(Leger1!I10&gt;=(Leger1!$C$4+2/3*(100-Leger1!$C$4)),"A",IF(Leger1!I10&gt;=(Leger1!$C$4+1/3*(100-Leger1!$C$4)),"B",IF(Leger1!I10&gt;=Leger1!$C$4,"C","D"))))</f>
        <v>C</v>
      </c>
      <c r="J10" s="252" t="str">
        <f>IF(Leger1!J10="","",IF(Leger1!J10&gt;=(Leger1!$C$4+2/3*(100-Leger1!$C$4)),"A",IF(Leger1!J10&gt;=(Leger1!$C$4+1/3*(100-Leger1!$C$4)),"B",IF(Leger1!J10&gt;=Leger1!$C$4,"C","D"))))</f>
        <v>C</v>
      </c>
      <c r="K10" s="249" t="str">
        <f>IF(Leger1!L10="","",IF(Leger1!L10&gt;=(Leger1!$C$4+2/3*(100-Leger1!$C$4)),"A",IF(Leger1!L10&gt;=(Leger1!$C$4+1/3*(100-Leger1!$C$4)),"B",IF(Leger1!L10&gt;=Leger1!$C$4,"C","D"))))</f>
        <v/>
      </c>
      <c r="L10" s="252" t="str">
        <f>IF(Leger1!M10="","",IF(Leger1!M10&gt;=(Leger1!$C$4+2/3*(100-Leger1!$C$4)),"A",IF(Leger1!M10&gt;=(Leger1!$C$4+1/3*(100-Leger1!$C$4)),"B",IF(Leger1!M10&gt;=Leger1!$C$4,"C","D"))))</f>
        <v/>
      </c>
      <c r="M10" s="249" t="str">
        <f>IF(Leger1!O10="","",IF(Leger1!O10&gt;=(Leger1!$C$4+2/3*(100-Leger1!$C$4)),"A",IF(Leger1!O10&gt;=(Leger1!$C$4+1/3*(100-Leger1!$C$4)),"B",IF(Leger1!O10&gt;=Leger1!$C$4,"C","D"))))</f>
        <v/>
      </c>
      <c r="N10" s="252" t="str">
        <f>IF(Leger1!P10="","",IF(Leger1!P10&gt;=(Leger1!$C$4+2/3*(100-Leger1!$C$4)),"A",IF(Leger1!P10&gt;=(Leger1!$C$4+1/3*(100-Leger1!$C$4)),"B",IF(Leger1!P10&gt;=Leger1!$C$4,"C","D"))))</f>
        <v/>
      </c>
      <c r="O10" s="249" t="str">
        <f>IF(Leger1!R10="","",IF(Leger1!R10&gt;=(Leger1!$C$4+2/3*(100-Leger1!$C$4)),"A",IF(Leger1!R10&gt;=(Leger1!$C$4+1/3*(100-Leger1!$C$4)),"B",IF(Leger1!R10&gt;=Leger1!$C$4,"C","D"))))</f>
        <v/>
      </c>
      <c r="P10" s="252" t="str">
        <f>IF(Leger1!S10="","",IF(Leger1!S10&gt;=(Leger1!$C$4+2/3*(100-Leger1!$C$4)),"A",IF(Leger1!S10&gt;=(Leger1!$C$4+1/3*(100-Leger1!$C$4)),"B",IF(Leger1!S10&gt;=Leger1!$C$4,"C","D"))))</f>
        <v/>
      </c>
      <c r="Q10" s="249" t="str">
        <f>IF(Leger1!U10="","",IF(Leger1!U10&gt;=(Leger1!$C$4+2/3*(100-Leger1!$C$4)),"A",IF(Leger1!U10&gt;=(Leger1!$C$4+1/3*(100-Leger1!$C$4)),"B",IF(Leger1!U10&gt;=Leger1!$C$4,"C","D"))))</f>
        <v/>
      </c>
      <c r="R10" s="252" t="str">
        <f>IF(Leger1!V10="","",IF(Leger1!V10&gt;=(Leger1!$C$4+2/3*(100-Leger1!$C$4)),"A",IF(Leger1!V10&gt;=(Leger1!$C$4+1/3*(100-Leger1!$C$4)),"B",IF(Leger1!V10&gt;=Leger1!$C$4,"C","D"))))</f>
        <v/>
      </c>
      <c r="S10" s="249" t="str">
        <f>IF(Leger1!X10="","",IF(Leger1!X10&gt;=(Leger1!$C$4+2/3*(100-Leger1!$C$4)),"A",IF(Leger1!X10&gt;=(Leger1!$C$4+1/3*(100-Leger1!$C$4)),"B",IF(Leger1!X10&gt;=Leger1!$C$4,"C","D"))))</f>
        <v>C</v>
      </c>
      <c r="T10" s="252" t="str">
        <f>IF(Leger1!Y10="","",IF(Leger1!Y10&gt;=(Leger1!$C$4+2/3*(100-Leger1!$C$4)),"A",IF(Leger1!Y10&gt;=(Leger1!$C$4+1/3*(100-Leger1!$C$4)),"B",IF(Leger1!Y10&gt;=Leger1!$C$4,"C","D"))))</f>
        <v>C</v>
      </c>
      <c r="U10" s="249" t="str">
        <f>IF(Leger1!AA10="","",IF(Leger1!AA10&gt;=(Leger1!$C$4+2/3*(100-Leger1!$C$4)),"A",IF(Leger1!AA10&gt;=(Leger1!$C$4+1/3*(100-Leger1!$C$4)),"B",IF(Leger1!AA10&gt;=Leger1!$C$4,"C","D"))))</f>
        <v>C</v>
      </c>
      <c r="V10" s="252" t="str">
        <f>IF(Leger1!AB10="","",IF(Leger1!AB10&gt;=(Leger1!$C$4+2/3*(100-Leger1!$C$4)),"A",IF(Leger1!AB10&gt;=(Leger1!$C$4+1/3*(100-Leger1!$C$4)),"B",IF(Leger1!AB10&gt;=Leger1!$C$4,"C","D"))))</f>
        <v>C</v>
      </c>
      <c r="W10" s="249" t="str">
        <f>IF(Leger1!AD10="","",IF(Leger1!AD10&gt;=(Leger1!$C$4+2/3*(100-Leger1!$C$4)),"A",IF(Leger1!AD10&gt;=(Leger1!$C$4+1/3*(100-Leger1!$C$4)),"B",IF(Leger1!AD10&gt;=Leger1!$C$4,"C","D"))))</f>
        <v>C</v>
      </c>
      <c r="X10" s="252" t="str">
        <f>IF(Leger1!AE10="","",IF(Leger1!AE10&gt;=(Leger1!$C$4+2/3*(100-Leger1!$C$4)),"A",IF(Leger1!AE10&gt;=(Leger1!$C$4+1/3*(100-Leger1!$C$4)),"B",IF(Leger1!AE10&gt;=Leger1!$C$4,"C","D"))))</f>
        <v>C</v>
      </c>
      <c r="Y10" s="249" t="str">
        <f>IF(Leger1!AG10="","",IF(Leger1!AG10&gt;=(Leger1!$C$4+2/3*(100-Leger1!$C$4)),"A",IF(Leger1!AG10&gt;=(Leger1!$C$4+1/3*(100-Leger1!$C$4)),"B",IF(Leger1!AG10&gt;=Leger1!$C$4,"C","D"))))</f>
        <v>C</v>
      </c>
      <c r="Z10" s="252" t="str">
        <f>IF(Leger1!AH10="","",IF(Leger1!AH10&gt;=(Leger1!$C$4+2/3*(100-Leger1!$C$4)),"A",IF(Leger1!AH10&gt;=(Leger1!$C$4+1/3*(100-Leger1!$C$4)),"B",IF(Leger1!AH10&gt;=Leger1!$C$4,"C","D"))))</f>
        <v>C</v>
      </c>
      <c r="AA10" s="249" t="str">
        <f>IF(Leger1!AJ10="","",IF(Leger1!AJ10&gt;=(Leger1!$C$4+2/3*(100-Leger1!$C$4)),"A",IF(Leger1!AJ10&gt;=(Leger1!$C$4+1/3*(100-Leger1!$C$4)),"B",IF(Leger1!AJ10&gt;=Leger1!$C$4,"C","D"))))</f>
        <v>C</v>
      </c>
      <c r="AB10" s="252" t="str">
        <f>IF(Leger1!AK10="","",IF(Leger1!AK10&gt;=(Leger1!$C$4+2/3*(100-Leger1!$C$4)),"A",IF(Leger1!AK10&gt;=(Leger1!$C$4+1/3*(100-Leger1!$C$4)),"B",IF(Leger1!AK10&gt;=Leger1!$C$4,"C","D"))))</f>
        <v>C</v>
      </c>
      <c r="AC10" s="249" t="str">
        <f>IF(Leger1!AM10="","",IF(Leger1!AM10&gt;=(Leger1!$C$4+2/3*(100-Leger1!$C$4)),"A",IF(Leger1!AM10&gt;=(Leger1!$C$4+1/3*(100-Leger1!$C$4)),"B",IF(Leger1!AM10&gt;=Leger1!$C$4,"C","D"))))</f>
        <v>C</v>
      </c>
      <c r="AD10" s="252" t="str">
        <f>IF(Leger1!AN10="","",IF(Leger1!AN10&gt;=(Leger1!$C$4+2/3*(100-Leger1!$C$4)),"A",IF(Leger1!AN10&gt;=(Leger1!$C$4+1/3*(100-Leger1!$C$4)),"B",IF(Leger1!AN10&gt;=Leger1!$C$4,"C","D"))))</f>
        <v>C</v>
      </c>
      <c r="AE10" s="249" t="str">
        <f>IF(Leger1!AP10="","",IF(Leger1!AP10&gt;=(Leger1!$C$4+2/3*(100-Leger1!$C$4)),"A",IF(Leger1!AP10&gt;=(Leger1!$C$4+1/3*(100-Leger1!$C$4)),"B",IF(Leger1!AP10&gt;=Leger1!$C$4,"C","D"))))</f>
        <v>C</v>
      </c>
      <c r="AF10" s="252" t="str">
        <f>IF(Leger1!AQ10="","",IF(Leger1!AQ10&gt;=(Leger1!$C$4+2/3*(100-Leger1!$C$4)),"A",IF(Leger1!AQ10&gt;=(Leger1!$C$4+1/3*(100-Leger1!$C$4)),"B",IF(Leger1!AQ10&gt;=Leger1!$C$4,"C","D"))))</f>
        <v>C</v>
      </c>
      <c r="AG10" s="249" t="str">
        <f>IF(Leger1!AS10="","",IF(Leger1!AS10&gt;=(Leger1!$C$4+2/3*(100-Leger1!$C$4)),"A",IF(Leger1!AS10&gt;=(Leger1!$C$4+1/3*(100-Leger1!$C$4)),"B",IF(Leger1!AS10&gt;=Leger1!$C$4,"C","D"))))</f>
        <v>C</v>
      </c>
      <c r="AH10" s="252" t="str">
        <f>IF(Leger1!AT10="","",IF(Leger1!AT10&gt;=(Leger1!$C$4+2/3*(100-Leger1!$C$4)),"A",IF(Leger1!AT10&gt;=(Leger1!$C$4+1/3*(100-Leger1!$C$4)),"B",IF(Leger1!AT10&gt;=Leger1!$C$4,"C","D"))))</f>
        <v>C</v>
      </c>
      <c r="AI10" s="249" t="str">
        <f>IF(Leger1!AV10="","",IF(Leger1!AV10&gt;=(Leger1!$C$4+2/3*(100-Leger1!$C$4)),"A",IF(Leger1!AV10&gt;=(Leger1!$C$4+1/3*(100-Leger1!$C$4)),"B",IF(Leger1!AV10&gt;=Leger1!$C$4,"C","D"))))</f>
        <v>C</v>
      </c>
      <c r="AJ10" s="252" t="str">
        <f>IF(Leger1!AW10="","",IF(Leger1!AW10&gt;=(Leger1!$C$4+2/3*(100-Leger1!$C$4)),"A",IF(Leger1!AW10&gt;=(Leger1!$C$4+1/3*(100-Leger1!$C$4)),"B",IF(Leger1!AW10&gt;=Leger1!$C$4,"C","D"))))</f>
        <v>B</v>
      </c>
      <c r="AK10" s="249" t="str">
        <f>IF(Leger1!AY10="","",IF(Leger1!AY10&gt;=(Leger1!$C$4+2/3*(100-Leger1!$C$4)),"A",IF(Leger1!AY10&gt;=(Leger1!$C$4+1/3*(100-Leger1!$C$4)),"B",IF(Leger1!AY10&gt;=Leger1!$C$4,"C","D"))))</f>
        <v>C</v>
      </c>
      <c r="AL10" s="252" t="str">
        <f>IF(Leger1!AZ10="","",IF(Leger1!AZ10&gt;=(Leger1!$C$4+2/3*(100-Leger1!$C$4)),"A",IF(Leger1!AZ10&gt;=(Leger1!$C$4+1/3*(100-Leger1!$C$4)),"B",IF(Leger1!AZ10&gt;=Leger1!$C$4,"C","D"))))</f>
        <v>C</v>
      </c>
    </row>
    <row r="11" spans="2:38" ht="15.75">
      <c r="B11" s="43" t="s">
        <v>126</v>
      </c>
      <c r="C11" s="43" t="s">
        <v>79</v>
      </c>
      <c r="E11" s="211">
        <f>Biodata!B10</f>
        <v>5</v>
      </c>
      <c r="F11" s="212">
        <f>IF(Biodata!C10="","",VLOOKUP(E11,Biodata_Siswa,2,FALSE))</f>
        <v>7061</v>
      </c>
      <c r="G11" s="1015" t="str">
        <f>IF(Biodata!E10="","",PROPER(VLOOKUP(E11,Biodata_Siswa,4,FALSE)))</f>
        <v>Anisa Julia Tasya</v>
      </c>
      <c r="H11" s="1016"/>
      <c r="I11" s="249" t="str">
        <f>IF(Leger1!I11="","",IF(Leger1!I11&gt;=(Leger1!$C$4+2/3*(100-Leger1!$C$4)),"A",IF(Leger1!I11&gt;=(Leger1!$C$4+1/3*(100-Leger1!$C$4)),"B",IF(Leger1!I11&gt;=Leger1!$C$4,"C","D"))))</f>
        <v>C</v>
      </c>
      <c r="J11" s="252" t="str">
        <f>IF(Leger1!J11="","",IF(Leger1!J11&gt;=(Leger1!$C$4+2/3*(100-Leger1!$C$4)),"A",IF(Leger1!J11&gt;=(Leger1!$C$4+1/3*(100-Leger1!$C$4)),"B",IF(Leger1!J11&gt;=Leger1!$C$4,"C","D"))))</f>
        <v>B</v>
      </c>
      <c r="K11" s="249" t="str">
        <f>IF(Leger1!L11="","",IF(Leger1!L11&gt;=(Leger1!$C$4+2/3*(100-Leger1!$C$4)),"A",IF(Leger1!L11&gt;=(Leger1!$C$4+1/3*(100-Leger1!$C$4)),"B",IF(Leger1!L11&gt;=Leger1!$C$4,"C","D"))))</f>
        <v/>
      </c>
      <c r="L11" s="252" t="str">
        <f>IF(Leger1!M11="","",IF(Leger1!M11&gt;=(Leger1!$C$4+2/3*(100-Leger1!$C$4)),"A",IF(Leger1!M11&gt;=(Leger1!$C$4+1/3*(100-Leger1!$C$4)),"B",IF(Leger1!M11&gt;=Leger1!$C$4,"C","D"))))</f>
        <v/>
      </c>
      <c r="M11" s="249" t="str">
        <f>IF(Leger1!O11="","",IF(Leger1!O11&gt;=(Leger1!$C$4+2/3*(100-Leger1!$C$4)),"A",IF(Leger1!O11&gt;=(Leger1!$C$4+1/3*(100-Leger1!$C$4)),"B",IF(Leger1!O11&gt;=Leger1!$C$4,"C","D"))))</f>
        <v/>
      </c>
      <c r="N11" s="252" t="str">
        <f>IF(Leger1!P11="","",IF(Leger1!P11&gt;=(Leger1!$C$4+2/3*(100-Leger1!$C$4)),"A",IF(Leger1!P11&gt;=(Leger1!$C$4+1/3*(100-Leger1!$C$4)),"B",IF(Leger1!P11&gt;=Leger1!$C$4,"C","D"))))</f>
        <v/>
      </c>
      <c r="O11" s="249" t="str">
        <f>IF(Leger1!R11="","",IF(Leger1!R11&gt;=(Leger1!$C$4+2/3*(100-Leger1!$C$4)),"A",IF(Leger1!R11&gt;=(Leger1!$C$4+1/3*(100-Leger1!$C$4)),"B",IF(Leger1!R11&gt;=Leger1!$C$4,"C","D"))))</f>
        <v/>
      </c>
      <c r="P11" s="252" t="str">
        <f>IF(Leger1!S11="","",IF(Leger1!S11&gt;=(Leger1!$C$4+2/3*(100-Leger1!$C$4)),"A",IF(Leger1!S11&gt;=(Leger1!$C$4+1/3*(100-Leger1!$C$4)),"B",IF(Leger1!S11&gt;=Leger1!$C$4,"C","D"))))</f>
        <v/>
      </c>
      <c r="Q11" s="249" t="str">
        <f>IF(Leger1!U11="","",IF(Leger1!U11&gt;=(Leger1!$C$4+2/3*(100-Leger1!$C$4)),"A",IF(Leger1!U11&gt;=(Leger1!$C$4+1/3*(100-Leger1!$C$4)),"B",IF(Leger1!U11&gt;=Leger1!$C$4,"C","D"))))</f>
        <v/>
      </c>
      <c r="R11" s="252" t="str">
        <f>IF(Leger1!V11="","",IF(Leger1!V11&gt;=(Leger1!$C$4+2/3*(100-Leger1!$C$4)),"A",IF(Leger1!V11&gt;=(Leger1!$C$4+1/3*(100-Leger1!$C$4)),"B",IF(Leger1!V11&gt;=Leger1!$C$4,"C","D"))))</f>
        <v/>
      </c>
      <c r="S11" s="249" t="str">
        <f>IF(Leger1!X11="","",IF(Leger1!X11&gt;=(Leger1!$C$4+2/3*(100-Leger1!$C$4)),"A",IF(Leger1!X11&gt;=(Leger1!$C$4+1/3*(100-Leger1!$C$4)),"B",IF(Leger1!X11&gt;=Leger1!$C$4,"C","D"))))</f>
        <v>C</v>
      </c>
      <c r="T11" s="252" t="str">
        <f>IF(Leger1!Y11="","",IF(Leger1!Y11&gt;=(Leger1!$C$4+2/3*(100-Leger1!$C$4)),"A",IF(Leger1!Y11&gt;=(Leger1!$C$4+1/3*(100-Leger1!$C$4)),"B",IF(Leger1!Y11&gt;=Leger1!$C$4,"C","D"))))</f>
        <v>C</v>
      </c>
      <c r="U11" s="249" t="str">
        <f>IF(Leger1!AA11="","",IF(Leger1!AA11&gt;=(Leger1!$C$4+2/3*(100-Leger1!$C$4)),"A",IF(Leger1!AA11&gt;=(Leger1!$C$4+1/3*(100-Leger1!$C$4)),"B",IF(Leger1!AA11&gt;=Leger1!$C$4,"C","D"))))</f>
        <v>C</v>
      </c>
      <c r="V11" s="252" t="str">
        <f>IF(Leger1!AB11="","",IF(Leger1!AB11&gt;=(Leger1!$C$4+2/3*(100-Leger1!$C$4)),"A",IF(Leger1!AB11&gt;=(Leger1!$C$4+1/3*(100-Leger1!$C$4)),"B",IF(Leger1!AB11&gt;=Leger1!$C$4,"C","D"))))</f>
        <v>C</v>
      </c>
      <c r="W11" s="249" t="str">
        <f>IF(Leger1!AD11="","",IF(Leger1!AD11&gt;=(Leger1!$C$4+2/3*(100-Leger1!$C$4)),"A",IF(Leger1!AD11&gt;=(Leger1!$C$4+1/3*(100-Leger1!$C$4)),"B",IF(Leger1!AD11&gt;=Leger1!$C$4,"C","D"))))</f>
        <v>C</v>
      </c>
      <c r="X11" s="252" t="str">
        <f>IF(Leger1!AE11="","",IF(Leger1!AE11&gt;=(Leger1!$C$4+2/3*(100-Leger1!$C$4)),"A",IF(Leger1!AE11&gt;=(Leger1!$C$4+1/3*(100-Leger1!$C$4)),"B",IF(Leger1!AE11&gt;=Leger1!$C$4,"C","D"))))</f>
        <v>C</v>
      </c>
      <c r="Y11" s="249" t="str">
        <f>IF(Leger1!AG11="","",IF(Leger1!AG11&gt;=(Leger1!$C$4+2/3*(100-Leger1!$C$4)),"A",IF(Leger1!AG11&gt;=(Leger1!$C$4+1/3*(100-Leger1!$C$4)),"B",IF(Leger1!AG11&gt;=Leger1!$C$4,"C","D"))))</f>
        <v>B</v>
      </c>
      <c r="Z11" s="252" t="str">
        <f>IF(Leger1!AH11="","",IF(Leger1!AH11&gt;=(Leger1!$C$4+2/3*(100-Leger1!$C$4)),"A",IF(Leger1!AH11&gt;=(Leger1!$C$4+1/3*(100-Leger1!$C$4)),"B",IF(Leger1!AH11&gt;=Leger1!$C$4,"C","D"))))</f>
        <v>B</v>
      </c>
      <c r="AA11" s="249" t="str">
        <f>IF(Leger1!AJ11="","",IF(Leger1!AJ11&gt;=(Leger1!$C$4+2/3*(100-Leger1!$C$4)),"A",IF(Leger1!AJ11&gt;=(Leger1!$C$4+1/3*(100-Leger1!$C$4)),"B",IF(Leger1!AJ11&gt;=Leger1!$C$4,"C","D"))))</f>
        <v>C</v>
      </c>
      <c r="AB11" s="252" t="str">
        <f>IF(Leger1!AK11="","",IF(Leger1!AK11&gt;=(Leger1!$C$4+2/3*(100-Leger1!$C$4)),"A",IF(Leger1!AK11&gt;=(Leger1!$C$4+1/3*(100-Leger1!$C$4)),"B",IF(Leger1!AK11&gt;=Leger1!$C$4,"C","D"))))</f>
        <v>B</v>
      </c>
      <c r="AC11" s="249" t="str">
        <f>IF(Leger1!AM11="","",IF(Leger1!AM11&gt;=(Leger1!$C$4+2/3*(100-Leger1!$C$4)),"A",IF(Leger1!AM11&gt;=(Leger1!$C$4+1/3*(100-Leger1!$C$4)),"B",IF(Leger1!AM11&gt;=Leger1!$C$4,"C","D"))))</f>
        <v>C</v>
      </c>
      <c r="AD11" s="252" t="str">
        <f>IF(Leger1!AN11="","",IF(Leger1!AN11&gt;=(Leger1!$C$4+2/3*(100-Leger1!$C$4)),"A",IF(Leger1!AN11&gt;=(Leger1!$C$4+1/3*(100-Leger1!$C$4)),"B",IF(Leger1!AN11&gt;=Leger1!$C$4,"C","D"))))</f>
        <v>C</v>
      </c>
      <c r="AE11" s="249" t="str">
        <f>IF(Leger1!AP11="","",IF(Leger1!AP11&gt;=(Leger1!$C$4+2/3*(100-Leger1!$C$4)),"A",IF(Leger1!AP11&gt;=(Leger1!$C$4+1/3*(100-Leger1!$C$4)),"B",IF(Leger1!AP11&gt;=Leger1!$C$4,"C","D"))))</f>
        <v>C</v>
      </c>
      <c r="AF11" s="252" t="str">
        <f>IF(Leger1!AQ11="","",IF(Leger1!AQ11&gt;=(Leger1!$C$4+2/3*(100-Leger1!$C$4)),"A",IF(Leger1!AQ11&gt;=(Leger1!$C$4+1/3*(100-Leger1!$C$4)),"B",IF(Leger1!AQ11&gt;=Leger1!$C$4,"C","D"))))</f>
        <v>C</v>
      </c>
      <c r="AG11" s="249" t="str">
        <f>IF(Leger1!AS11="","",IF(Leger1!AS11&gt;=(Leger1!$C$4+2/3*(100-Leger1!$C$4)),"A",IF(Leger1!AS11&gt;=(Leger1!$C$4+1/3*(100-Leger1!$C$4)),"B",IF(Leger1!AS11&gt;=Leger1!$C$4,"C","D"))))</f>
        <v>C</v>
      </c>
      <c r="AH11" s="252" t="str">
        <f>IF(Leger1!AT11="","",IF(Leger1!AT11&gt;=(Leger1!$C$4+2/3*(100-Leger1!$C$4)),"A",IF(Leger1!AT11&gt;=(Leger1!$C$4+1/3*(100-Leger1!$C$4)),"B",IF(Leger1!AT11&gt;=Leger1!$C$4,"C","D"))))</f>
        <v>C</v>
      </c>
      <c r="AI11" s="249" t="str">
        <f>IF(Leger1!AV11="","",IF(Leger1!AV11&gt;=(Leger1!$C$4+2/3*(100-Leger1!$C$4)),"A",IF(Leger1!AV11&gt;=(Leger1!$C$4+1/3*(100-Leger1!$C$4)),"B",IF(Leger1!AV11&gt;=Leger1!$C$4,"C","D"))))</f>
        <v>B</v>
      </c>
      <c r="AJ11" s="252" t="str">
        <f>IF(Leger1!AW11="","",IF(Leger1!AW11&gt;=(Leger1!$C$4+2/3*(100-Leger1!$C$4)),"A",IF(Leger1!AW11&gt;=(Leger1!$C$4+1/3*(100-Leger1!$C$4)),"B",IF(Leger1!AW11&gt;=Leger1!$C$4,"C","D"))))</f>
        <v>B</v>
      </c>
      <c r="AK11" s="249" t="str">
        <f>IF(Leger1!AY11="","",IF(Leger1!AY11&gt;=(Leger1!$C$4+2/3*(100-Leger1!$C$4)),"A",IF(Leger1!AY11&gt;=(Leger1!$C$4+1/3*(100-Leger1!$C$4)),"B",IF(Leger1!AY11&gt;=Leger1!$C$4,"C","D"))))</f>
        <v>C</v>
      </c>
      <c r="AL11" s="252" t="str">
        <f>IF(Leger1!AZ11="","",IF(Leger1!AZ11&gt;=(Leger1!$C$4+2/3*(100-Leger1!$C$4)),"A",IF(Leger1!AZ11&gt;=(Leger1!$C$4+1/3*(100-Leger1!$C$4)),"B",IF(Leger1!AZ11&gt;=Leger1!$C$4,"C","D"))))</f>
        <v>C</v>
      </c>
    </row>
    <row r="12" spans="2:38" ht="15.75">
      <c r="B12" s="43" t="s">
        <v>125</v>
      </c>
      <c r="C12" s="43" t="s">
        <v>83</v>
      </c>
      <c r="E12" s="211">
        <f>Biodata!B11</f>
        <v>6</v>
      </c>
      <c r="F12" s="212">
        <f>IF(Biodata!C11="","",VLOOKUP(E12,Biodata_Siswa,2,FALSE))</f>
        <v>7065</v>
      </c>
      <c r="G12" s="1015" t="str">
        <f>IF(Biodata!E11="","",PROPER(VLOOKUP(E12,Biodata_Siswa,4,FALSE)))</f>
        <v>Aulia Rahmawati</v>
      </c>
      <c r="H12" s="1016"/>
      <c r="I12" s="249" t="str">
        <f>IF(Leger1!I12="","",IF(Leger1!I12&gt;=(Leger1!$C$4+2/3*(100-Leger1!$C$4)),"A",IF(Leger1!I12&gt;=(Leger1!$C$4+1/3*(100-Leger1!$C$4)),"B",IF(Leger1!I12&gt;=Leger1!$C$4,"C","D"))))</f>
        <v>C</v>
      </c>
      <c r="J12" s="252" t="str">
        <f>IF(Leger1!J12="","",IF(Leger1!J12&gt;=(Leger1!$C$4+2/3*(100-Leger1!$C$4)),"A",IF(Leger1!J12&gt;=(Leger1!$C$4+1/3*(100-Leger1!$C$4)),"B",IF(Leger1!J12&gt;=Leger1!$C$4,"C","D"))))</f>
        <v>B</v>
      </c>
      <c r="K12" s="249" t="str">
        <f>IF(Leger1!L12="","",IF(Leger1!L12&gt;=(Leger1!$C$4+2/3*(100-Leger1!$C$4)),"A",IF(Leger1!L12&gt;=(Leger1!$C$4+1/3*(100-Leger1!$C$4)),"B",IF(Leger1!L12&gt;=Leger1!$C$4,"C","D"))))</f>
        <v/>
      </c>
      <c r="L12" s="252" t="str">
        <f>IF(Leger1!M12="","",IF(Leger1!M12&gt;=(Leger1!$C$4+2/3*(100-Leger1!$C$4)),"A",IF(Leger1!M12&gt;=(Leger1!$C$4+1/3*(100-Leger1!$C$4)),"B",IF(Leger1!M12&gt;=Leger1!$C$4,"C","D"))))</f>
        <v/>
      </c>
      <c r="M12" s="249" t="str">
        <f>IF(Leger1!O12="","",IF(Leger1!O12&gt;=(Leger1!$C$4+2/3*(100-Leger1!$C$4)),"A",IF(Leger1!O12&gt;=(Leger1!$C$4+1/3*(100-Leger1!$C$4)),"B",IF(Leger1!O12&gt;=Leger1!$C$4,"C","D"))))</f>
        <v/>
      </c>
      <c r="N12" s="252" t="str">
        <f>IF(Leger1!P12="","",IF(Leger1!P12&gt;=(Leger1!$C$4+2/3*(100-Leger1!$C$4)),"A",IF(Leger1!P12&gt;=(Leger1!$C$4+1/3*(100-Leger1!$C$4)),"B",IF(Leger1!P12&gt;=Leger1!$C$4,"C","D"))))</f>
        <v/>
      </c>
      <c r="O12" s="249" t="str">
        <f>IF(Leger1!R12="","",IF(Leger1!R12&gt;=(Leger1!$C$4+2/3*(100-Leger1!$C$4)),"A",IF(Leger1!R12&gt;=(Leger1!$C$4+1/3*(100-Leger1!$C$4)),"B",IF(Leger1!R12&gt;=Leger1!$C$4,"C","D"))))</f>
        <v/>
      </c>
      <c r="P12" s="252" t="str">
        <f>IF(Leger1!S12="","",IF(Leger1!S12&gt;=(Leger1!$C$4+2/3*(100-Leger1!$C$4)),"A",IF(Leger1!S12&gt;=(Leger1!$C$4+1/3*(100-Leger1!$C$4)),"B",IF(Leger1!S12&gt;=Leger1!$C$4,"C","D"))))</f>
        <v/>
      </c>
      <c r="Q12" s="249" t="str">
        <f>IF(Leger1!U12="","",IF(Leger1!U12&gt;=(Leger1!$C$4+2/3*(100-Leger1!$C$4)),"A",IF(Leger1!U12&gt;=(Leger1!$C$4+1/3*(100-Leger1!$C$4)),"B",IF(Leger1!U12&gt;=Leger1!$C$4,"C","D"))))</f>
        <v/>
      </c>
      <c r="R12" s="252" t="str">
        <f>IF(Leger1!V12="","",IF(Leger1!V12&gt;=(Leger1!$C$4+2/3*(100-Leger1!$C$4)),"A",IF(Leger1!V12&gt;=(Leger1!$C$4+1/3*(100-Leger1!$C$4)),"B",IF(Leger1!V12&gt;=Leger1!$C$4,"C","D"))))</f>
        <v/>
      </c>
      <c r="S12" s="249" t="str">
        <f>IF(Leger1!X12="","",IF(Leger1!X12&gt;=(Leger1!$C$4+2/3*(100-Leger1!$C$4)),"A",IF(Leger1!X12&gt;=(Leger1!$C$4+1/3*(100-Leger1!$C$4)),"B",IF(Leger1!X12&gt;=Leger1!$C$4,"C","D"))))</f>
        <v>C</v>
      </c>
      <c r="T12" s="252" t="str">
        <f>IF(Leger1!Y12="","",IF(Leger1!Y12&gt;=(Leger1!$C$4+2/3*(100-Leger1!$C$4)),"A",IF(Leger1!Y12&gt;=(Leger1!$C$4+1/3*(100-Leger1!$C$4)),"B",IF(Leger1!Y12&gt;=Leger1!$C$4,"C","D"))))</f>
        <v>C</v>
      </c>
      <c r="U12" s="249" t="str">
        <f>IF(Leger1!AA12="","",IF(Leger1!AA12&gt;=(Leger1!$C$4+2/3*(100-Leger1!$C$4)),"A",IF(Leger1!AA12&gt;=(Leger1!$C$4+1/3*(100-Leger1!$C$4)),"B",IF(Leger1!AA12&gt;=Leger1!$C$4,"C","D"))))</f>
        <v>C</v>
      </c>
      <c r="V12" s="252" t="str">
        <f>IF(Leger1!AB12="","",IF(Leger1!AB12&gt;=(Leger1!$C$4+2/3*(100-Leger1!$C$4)),"A",IF(Leger1!AB12&gt;=(Leger1!$C$4+1/3*(100-Leger1!$C$4)),"B",IF(Leger1!AB12&gt;=Leger1!$C$4,"C","D"))))</f>
        <v>C</v>
      </c>
      <c r="W12" s="249" t="str">
        <f>IF(Leger1!AD12="","",IF(Leger1!AD12&gt;=(Leger1!$C$4+2/3*(100-Leger1!$C$4)),"A",IF(Leger1!AD12&gt;=(Leger1!$C$4+1/3*(100-Leger1!$C$4)),"B",IF(Leger1!AD12&gt;=Leger1!$C$4,"C","D"))))</f>
        <v>C</v>
      </c>
      <c r="X12" s="252" t="str">
        <f>IF(Leger1!AE12="","",IF(Leger1!AE12&gt;=(Leger1!$C$4+2/3*(100-Leger1!$C$4)),"A",IF(Leger1!AE12&gt;=(Leger1!$C$4+1/3*(100-Leger1!$C$4)),"B",IF(Leger1!AE12&gt;=Leger1!$C$4,"C","D"))))</f>
        <v>C</v>
      </c>
      <c r="Y12" s="249" t="str">
        <f>IF(Leger1!AG12="","",IF(Leger1!AG12&gt;=(Leger1!$C$4+2/3*(100-Leger1!$C$4)),"A",IF(Leger1!AG12&gt;=(Leger1!$C$4+1/3*(100-Leger1!$C$4)),"B",IF(Leger1!AG12&gt;=Leger1!$C$4,"C","D"))))</f>
        <v>C</v>
      </c>
      <c r="Z12" s="252" t="str">
        <f>IF(Leger1!AH12="","",IF(Leger1!AH12&gt;=(Leger1!$C$4+2/3*(100-Leger1!$C$4)),"A",IF(Leger1!AH12&gt;=(Leger1!$C$4+1/3*(100-Leger1!$C$4)),"B",IF(Leger1!AH12&gt;=Leger1!$C$4,"C","D"))))</f>
        <v>C</v>
      </c>
      <c r="AA12" s="249" t="str">
        <f>IF(Leger1!AJ12="","",IF(Leger1!AJ12&gt;=(Leger1!$C$4+2/3*(100-Leger1!$C$4)),"A",IF(Leger1!AJ12&gt;=(Leger1!$C$4+1/3*(100-Leger1!$C$4)),"B",IF(Leger1!AJ12&gt;=Leger1!$C$4,"C","D"))))</f>
        <v>C</v>
      </c>
      <c r="AB12" s="252" t="str">
        <f>IF(Leger1!AK12="","",IF(Leger1!AK12&gt;=(Leger1!$C$4+2/3*(100-Leger1!$C$4)),"A",IF(Leger1!AK12&gt;=(Leger1!$C$4+1/3*(100-Leger1!$C$4)),"B",IF(Leger1!AK12&gt;=Leger1!$C$4,"C","D"))))</f>
        <v>B</v>
      </c>
      <c r="AC12" s="249" t="str">
        <f>IF(Leger1!AM12="","",IF(Leger1!AM12&gt;=(Leger1!$C$4+2/3*(100-Leger1!$C$4)),"A",IF(Leger1!AM12&gt;=(Leger1!$C$4+1/3*(100-Leger1!$C$4)),"B",IF(Leger1!AM12&gt;=Leger1!$C$4,"C","D"))))</f>
        <v>C</v>
      </c>
      <c r="AD12" s="252" t="str">
        <f>IF(Leger1!AN12="","",IF(Leger1!AN12&gt;=(Leger1!$C$4+2/3*(100-Leger1!$C$4)),"A",IF(Leger1!AN12&gt;=(Leger1!$C$4+1/3*(100-Leger1!$C$4)),"B",IF(Leger1!AN12&gt;=Leger1!$C$4,"C","D"))))</f>
        <v>C</v>
      </c>
      <c r="AE12" s="249" t="str">
        <f>IF(Leger1!AP12="","",IF(Leger1!AP12&gt;=(Leger1!$C$4+2/3*(100-Leger1!$C$4)),"A",IF(Leger1!AP12&gt;=(Leger1!$C$4+1/3*(100-Leger1!$C$4)),"B",IF(Leger1!AP12&gt;=Leger1!$C$4,"C","D"))))</f>
        <v>C</v>
      </c>
      <c r="AF12" s="252" t="str">
        <f>IF(Leger1!AQ12="","",IF(Leger1!AQ12&gt;=(Leger1!$C$4+2/3*(100-Leger1!$C$4)),"A",IF(Leger1!AQ12&gt;=(Leger1!$C$4+1/3*(100-Leger1!$C$4)),"B",IF(Leger1!AQ12&gt;=Leger1!$C$4,"C","D"))))</f>
        <v>C</v>
      </c>
      <c r="AG12" s="249" t="str">
        <f>IF(Leger1!AS12="","",IF(Leger1!AS12&gt;=(Leger1!$C$4+2/3*(100-Leger1!$C$4)),"A",IF(Leger1!AS12&gt;=(Leger1!$C$4+1/3*(100-Leger1!$C$4)),"B",IF(Leger1!AS12&gt;=Leger1!$C$4,"C","D"))))</f>
        <v>C</v>
      </c>
      <c r="AH12" s="252" t="str">
        <f>IF(Leger1!AT12="","",IF(Leger1!AT12&gt;=(Leger1!$C$4+2/3*(100-Leger1!$C$4)),"A",IF(Leger1!AT12&gt;=(Leger1!$C$4+1/3*(100-Leger1!$C$4)),"B",IF(Leger1!AT12&gt;=Leger1!$C$4,"C","D"))))</f>
        <v>C</v>
      </c>
      <c r="AI12" s="249" t="str">
        <f>IF(Leger1!AV12="","",IF(Leger1!AV12&gt;=(Leger1!$C$4+2/3*(100-Leger1!$C$4)),"A",IF(Leger1!AV12&gt;=(Leger1!$C$4+1/3*(100-Leger1!$C$4)),"B",IF(Leger1!AV12&gt;=Leger1!$C$4,"C","D"))))</f>
        <v>C</v>
      </c>
      <c r="AJ12" s="252" t="str">
        <f>IF(Leger1!AW12="","",IF(Leger1!AW12&gt;=(Leger1!$C$4+2/3*(100-Leger1!$C$4)),"A",IF(Leger1!AW12&gt;=(Leger1!$C$4+1/3*(100-Leger1!$C$4)),"B",IF(Leger1!AW12&gt;=Leger1!$C$4,"C","D"))))</f>
        <v>C</v>
      </c>
      <c r="AK12" s="249" t="str">
        <f>IF(Leger1!AY12="","",IF(Leger1!AY12&gt;=(Leger1!$C$4+2/3*(100-Leger1!$C$4)),"A",IF(Leger1!AY12&gt;=(Leger1!$C$4+1/3*(100-Leger1!$C$4)),"B",IF(Leger1!AY12&gt;=Leger1!$C$4,"C","D"))))</f>
        <v>C</v>
      </c>
      <c r="AL12" s="252" t="str">
        <f>IF(Leger1!AZ12="","",IF(Leger1!AZ12&gt;=(Leger1!$C$4+2/3*(100-Leger1!$C$4)),"A",IF(Leger1!AZ12&gt;=(Leger1!$C$4+1/3*(100-Leger1!$C$4)),"B",IF(Leger1!AZ12&gt;=Leger1!$C$4,"C","D"))))</f>
        <v>C</v>
      </c>
    </row>
    <row r="13" spans="2:38" ht="15.75">
      <c r="B13" s="43" t="s">
        <v>124</v>
      </c>
      <c r="C13" s="43" t="s">
        <v>82</v>
      </c>
      <c r="E13" s="211">
        <f>Biodata!B12</f>
        <v>7</v>
      </c>
      <c r="F13" s="212">
        <f>IF(Biodata!C12="","",VLOOKUP(E13,Biodata_Siswa,2,FALSE))</f>
        <v>7066</v>
      </c>
      <c r="G13" s="1015" t="str">
        <f>IF(Biodata!E12="","",PROPER(VLOOKUP(E13,Biodata_Siswa,4,FALSE)))</f>
        <v>Ayu Chumaira</v>
      </c>
      <c r="H13" s="1016"/>
      <c r="I13" s="249" t="str">
        <f>IF(Leger1!I13="","",IF(Leger1!I13&gt;=(Leger1!$C$4+2/3*(100-Leger1!$C$4)),"A",IF(Leger1!I13&gt;=(Leger1!$C$4+1/3*(100-Leger1!$C$4)),"B",IF(Leger1!I13&gt;=Leger1!$C$4,"C","D"))))</f>
        <v>C</v>
      </c>
      <c r="J13" s="252" t="str">
        <f>IF(Leger1!J13="","",IF(Leger1!J13&gt;=(Leger1!$C$4+2/3*(100-Leger1!$C$4)),"A",IF(Leger1!J13&gt;=(Leger1!$C$4+1/3*(100-Leger1!$C$4)),"B",IF(Leger1!J13&gt;=Leger1!$C$4,"C","D"))))</f>
        <v>B</v>
      </c>
      <c r="K13" s="249" t="str">
        <f>IF(Leger1!L13="","",IF(Leger1!L13&gt;=(Leger1!$C$4+2/3*(100-Leger1!$C$4)),"A",IF(Leger1!L13&gt;=(Leger1!$C$4+1/3*(100-Leger1!$C$4)),"B",IF(Leger1!L13&gt;=Leger1!$C$4,"C","D"))))</f>
        <v/>
      </c>
      <c r="L13" s="252" t="str">
        <f>IF(Leger1!M13="","",IF(Leger1!M13&gt;=(Leger1!$C$4+2/3*(100-Leger1!$C$4)),"A",IF(Leger1!M13&gt;=(Leger1!$C$4+1/3*(100-Leger1!$C$4)),"B",IF(Leger1!M13&gt;=Leger1!$C$4,"C","D"))))</f>
        <v/>
      </c>
      <c r="M13" s="249" t="str">
        <f>IF(Leger1!O13="","",IF(Leger1!O13&gt;=(Leger1!$C$4+2/3*(100-Leger1!$C$4)),"A",IF(Leger1!O13&gt;=(Leger1!$C$4+1/3*(100-Leger1!$C$4)),"B",IF(Leger1!O13&gt;=Leger1!$C$4,"C","D"))))</f>
        <v/>
      </c>
      <c r="N13" s="252" t="str">
        <f>IF(Leger1!P13="","",IF(Leger1!P13&gt;=(Leger1!$C$4+2/3*(100-Leger1!$C$4)),"A",IF(Leger1!P13&gt;=(Leger1!$C$4+1/3*(100-Leger1!$C$4)),"B",IF(Leger1!P13&gt;=Leger1!$C$4,"C","D"))))</f>
        <v/>
      </c>
      <c r="O13" s="249" t="str">
        <f>IF(Leger1!R13="","",IF(Leger1!R13&gt;=(Leger1!$C$4+2/3*(100-Leger1!$C$4)),"A",IF(Leger1!R13&gt;=(Leger1!$C$4+1/3*(100-Leger1!$C$4)),"B",IF(Leger1!R13&gt;=Leger1!$C$4,"C","D"))))</f>
        <v/>
      </c>
      <c r="P13" s="252" t="str">
        <f>IF(Leger1!S13="","",IF(Leger1!S13&gt;=(Leger1!$C$4+2/3*(100-Leger1!$C$4)),"A",IF(Leger1!S13&gt;=(Leger1!$C$4+1/3*(100-Leger1!$C$4)),"B",IF(Leger1!S13&gt;=Leger1!$C$4,"C","D"))))</f>
        <v/>
      </c>
      <c r="Q13" s="249" t="str">
        <f>IF(Leger1!U13="","",IF(Leger1!U13&gt;=(Leger1!$C$4+2/3*(100-Leger1!$C$4)),"A",IF(Leger1!U13&gt;=(Leger1!$C$4+1/3*(100-Leger1!$C$4)),"B",IF(Leger1!U13&gt;=Leger1!$C$4,"C","D"))))</f>
        <v/>
      </c>
      <c r="R13" s="252" t="str">
        <f>IF(Leger1!V13="","",IF(Leger1!V13&gt;=(Leger1!$C$4+2/3*(100-Leger1!$C$4)),"A",IF(Leger1!V13&gt;=(Leger1!$C$4+1/3*(100-Leger1!$C$4)),"B",IF(Leger1!V13&gt;=Leger1!$C$4,"C","D"))))</f>
        <v/>
      </c>
      <c r="S13" s="249" t="str">
        <f>IF(Leger1!X13="","",IF(Leger1!X13&gt;=(Leger1!$C$4+2/3*(100-Leger1!$C$4)),"A",IF(Leger1!X13&gt;=(Leger1!$C$4+1/3*(100-Leger1!$C$4)),"B",IF(Leger1!X13&gt;=Leger1!$C$4,"C","D"))))</f>
        <v>B</v>
      </c>
      <c r="T13" s="252" t="str">
        <f>IF(Leger1!Y13="","",IF(Leger1!Y13&gt;=(Leger1!$C$4+2/3*(100-Leger1!$C$4)),"A",IF(Leger1!Y13&gt;=(Leger1!$C$4+1/3*(100-Leger1!$C$4)),"B",IF(Leger1!Y13&gt;=Leger1!$C$4,"C","D"))))</f>
        <v>C</v>
      </c>
      <c r="U13" s="249" t="str">
        <f>IF(Leger1!AA13="","",IF(Leger1!AA13&gt;=(Leger1!$C$4+2/3*(100-Leger1!$C$4)),"A",IF(Leger1!AA13&gt;=(Leger1!$C$4+1/3*(100-Leger1!$C$4)),"B",IF(Leger1!AA13&gt;=Leger1!$C$4,"C","D"))))</f>
        <v>C</v>
      </c>
      <c r="V13" s="252" t="str">
        <f>IF(Leger1!AB13="","",IF(Leger1!AB13&gt;=(Leger1!$C$4+2/3*(100-Leger1!$C$4)),"A",IF(Leger1!AB13&gt;=(Leger1!$C$4+1/3*(100-Leger1!$C$4)),"B",IF(Leger1!AB13&gt;=Leger1!$C$4,"C","D"))))</f>
        <v>C</v>
      </c>
      <c r="W13" s="249" t="str">
        <f>IF(Leger1!AD13="","",IF(Leger1!AD13&gt;=(Leger1!$C$4+2/3*(100-Leger1!$C$4)),"A",IF(Leger1!AD13&gt;=(Leger1!$C$4+1/3*(100-Leger1!$C$4)),"B",IF(Leger1!AD13&gt;=Leger1!$C$4,"C","D"))))</f>
        <v>C</v>
      </c>
      <c r="X13" s="252" t="str">
        <f>IF(Leger1!AE13="","",IF(Leger1!AE13&gt;=(Leger1!$C$4+2/3*(100-Leger1!$C$4)),"A",IF(Leger1!AE13&gt;=(Leger1!$C$4+1/3*(100-Leger1!$C$4)),"B",IF(Leger1!AE13&gt;=Leger1!$C$4,"C","D"))))</f>
        <v>C</v>
      </c>
      <c r="Y13" s="249" t="str">
        <f>IF(Leger1!AG13="","",IF(Leger1!AG13&gt;=(Leger1!$C$4+2/3*(100-Leger1!$C$4)),"A",IF(Leger1!AG13&gt;=(Leger1!$C$4+1/3*(100-Leger1!$C$4)),"B",IF(Leger1!AG13&gt;=Leger1!$C$4,"C","D"))))</f>
        <v>B</v>
      </c>
      <c r="Z13" s="252" t="str">
        <f>IF(Leger1!AH13="","",IF(Leger1!AH13&gt;=(Leger1!$C$4+2/3*(100-Leger1!$C$4)),"A",IF(Leger1!AH13&gt;=(Leger1!$C$4+1/3*(100-Leger1!$C$4)),"B",IF(Leger1!AH13&gt;=Leger1!$C$4,"C","D"))))</f>
        <v>B</v>
      </c>
      <c r="AA13" s="249" t="str">
        <f>IF(Leger1!AJ13="","",IF(Leger1!AJ13&gt;=(Leger1!$C$4+2/3*(100-Leger1!$C$4)),"A",IF(Leger1!AJ13&gt;=(Leger1!$C$4+1/3*(100-Leger1!$C$4)),"B",IF(Leger1!AJ13&gt;=Leger1!$C$4,"C","D"))))</f>
        <v>C</v>
      </c>
      <c r="AB13" s="252" t="str">
        <f>IF(Leger1!AK13="","",IF(Leger1!AK13&gt;=(Leger1!$C$4+2/3*(100-Leger1!$C$4)),"A",IF(Leger1!AK13&gt;=(Leger1!$C$4+1/3*(100-Leger1!$C$4)),"B",IF(Leger1!AK13&gt;=Leger1!$C$4,"C","D"))))</f>
        <v>C</v>
      </c>
      <c r="AC13" s="249" t="str">
        <f>IF(Leger1!AM13="","",IF(Leger1!AM13&gt;=(Leger1!$C$4+2/3*(100-Leger1!$C$4)),"A",IF(Leger1!AM13&gt;=(Leger1!$C$4+1/3*(100-Leger1!$C$4)),"B",IF(Leger1!AM13&gt;=Leger1!$C$4,"C","D"))))</f>
        <v>C</v>
      </c>
      <c r="AD13" s="252" t="str">
        <f>IF(Leger1!AN13="","",IF(Leger1!AN13&gt;=(Leger1!$C$4+2/3*(100-Leger1!$C$4)),"A",IF(Leger1!AN13&gt;=(Leger1!$C$4+1/3*(100-Leger1!$C$4)),"B",IF(Leger1!AN13&gt;=Leger1!$C$4,"C","D"))))</f>
        <v>C</v>
      </c>
      <c r="AE13" s="249" t="str">
        <f>IF(Leger1!AP13="","",IF(Leger1!AP13&gt;=(Leger1!$C$4+2/3*(100-Leger1!$C$4)),"A",IF(Leger1!AP13&gt;=(Leger1!$C$4+1/3*(100-Leger1!$C$4)),"B",IF(Leger1!AP13&gt;=Leger1!$C$4,"C","D"))))</f>
        <v>C</v>
      </c>
      <c r="AF13" s="252" t="str">
        <f>IF(Leger1!AQ13="","",IF(Leger1!AQ13&gt;=(Leger1!$C$4+2/3*(100-Leger1!$C$4)),"A",IF(Leger1!AQ13&gt;=(Leger1!$C$4+1/3*(100-Leger1!$C$4)),"B",IF(Leger1!AQ13&gt;=Leger1!$C$4,"C","D"))))</f>
        <v>C</v>
      </c>
      <c r="AG13" s="249" t="str">
        <f>IF(Leger1!AS13="","",IF(Leger1!AS13&gt;=(Leger1!$C$4+2/3*(100-Leger1!$C$4)),"A",IF(Leger1!AS13&gt;=(Leger1!$C$4+1/3*(100-Leger1!$C$4)),"B",IF(Leger1!AS13&gt;=Leger1!$C$4,"C","D"))))</f>
        <v>C</v>
      </c>
      <c r="AH13" s="252" t="str">
        <f>IF(Leger1!AT13="","",IF(Leger1!AT13&gt;=(Leger1!$C$4+2/3*(100-Leger1!$C$4)),"A",IF(Leger1!AT13&gt;=(Leger1!$C$4+1/3*(100-Leger1!$C$4)),"B",IF(Leger1!AT13&gt;=Leger1!$C$4,"C","D"))))</f>
        <v>C</v>
      </c>
      <c r="AI13" s="249" t="str">
        <f>IF(Leger1!AV13="","",IF(Leger1!AV13&gt;=(Leger1!$C$4+2/3*(100-Leger1!$C$4)),"A",IF(Leger1!AV13&gt;=(Leger1!$C$4+1/3*(100-Leger1!$C$4)),"B",IF(Leger1!AV13&gt;=Leger1!$C$4,"C","D"))))</f>
        <v>B</v>
      </c>
      <c r="AJ13" s="252" t="str">
        <f>IF(Leger1!AW13="","",IF(Leger1!AW13&gt;=(Leger1!$C$4+2/3*(100-Leger1!$C$4)),"A",IF(Leger1!AW13&gt;=(Leger1!$C$4+1/3*(100-Leger1!$C$4)),"B",IF(Leger1!AW13&gt;=Leger1!$C$4,"C","D"))))</f>
        <v>B</v>
      </c>
      <c r="AK13" s="249" t="str">
        <f>IF(Leger1!AY13="","",IF(Leger1!AY13&gt;=(Leger1!$C$4+2/3*(100-Leger1!$C$4)),"A",IF(Leger1!AY13&gt;=(Leger1!$C$4+1/3*(100-Leger1!$C$4)),"B",IF(Leger1!AY13&gt;=Leger1!$C$4,"C","D"))))</f>
        <v>C</v>
      </c>
      <c r="AL13" s="252" t="str">
        <f>IF(Leger1!AZ13="","",IF(Leger1!AZ13&gt;=(Leger1!$C$4+2/3*(100-Leger1!$C$4)),"A",IF(Leger1!AZ13&gt;=(Leger1!$C$4+1/3*(100-Leger1!$C$4)),"B",IF(Leger1!AZ13&gt;=Leger1!$C$4,"C","D"))))</f>
        <v>C</v>
      </c>
    </row>
    <row r="14" spans="2:38" ht="15.75">
      <c r="B14" s="43" t="s">
        <v>123</v>
      </c>
      <c r="C14" s="43" t="s">
        <v>81</v>
      </c>
      <c r="E14" s="211">
        <f>Biodata!B13</f>
        <v>8</v>
      </c>
      <c r="F14" s="212">
        <f>IF(Biodata!C13="","",VLOOKUP(E14,Biodata_Siswa,2,FALSE))</f>
        <v>7067</v>
      </c>
      <c r="G14" s="1015" t="str">
        <f>IF(Biodata!E13="","",PROPER(VLOOKUP(E14,Biodata_Siswa,4,FALSE)))</f>
        <v>Ayu Emelia Putri</v>
      </c>
      <c r="H14" s="1016"/>
      <c r="I14" s="249" t="str">
        <f>IF(Leger1!I14="","",IF(Leger1!I14&gt;=(Leger1!$C$4+2/3*(100-Leger1!$C$4)),"A",IF(Leger1!I14&gt;=(Leger1!$C$4+1/3*(100-Leger1!$C$4)),"B",IF(Leger1!I14&gt;=Leger1!$C$4,"C","D"))))</f>
        <v>B</v>
      </c>
      <c r="J14" s="252" t="str">
        <f>IF(Leger1!J14="","",IF(Leger1!J14&gt;=(Leger1!$C$4+2/3*(100-Leger1!$C$4)),"A",IF(Leger1!J14&gt;=(Leger1!$C$4+1/3*(100-Leger1!$C$4)),"B",IF(Leger1!J14&gt;=Leger1!$C$4,"C","D"))))</f>
        <v>B</v>
      </c>
      <c r="K14" s="249" t="str">
        <f>IF(Leger1!L14="","",IF(Leger1!L14&gt;=(Leger1!$C$4+2/3*(100-Leger1!$C$4)),"A",IF(Leger1!L14&gt;=(Leger1!$C$4+1/3*(100-Leger1!$C$4)),"B",IF(Leger1!L14&gt;=Leger1!$C$4,"C","D"))))</f>
        <v/>
      </c>
      <c r="L14" s="252" t="str">
        <f>IF(Leger1!M14="","",IF(Leger1!M14&gt;=(Leger1!$C$4+2/3*(100-Leger1!$C$4)),"A",IF(Leger1!M14&gt;=(Leger1!$C$4+1/3*(100-Leger1!$C$4)),"B",IF(Leger1!M14&gt;=Leger1!$C$4,"C","D"))))</f>
        <v/>
      </c>
      <c r="M14" s="249" t="str">
        <f>IF(Leger1!O14="","",IF(Leger1!O14&gt;=(Leger1!$C$4+2/3*(100-Leger1!$C$4)),"A",IF(Leger1!O14&gt;=(Leger1!$C$4+1/3*(100-Leger1!$C$4)),"B",IF(Leger1!O14&gt;=Leger1!$C$4,"C","D"))))</f>
        <v/>
      </c>
      <c r="N14" s="252" t="str">
        <f>IF(Leger1!P14="","",IF(Leger1!P14&gt;=(Leger1!$C$4+2/3*(100-Leger1!$C$4)),"A",IF(Leger1!P14&gt;=(Leger1!$C$4+1/3*(100-Leger1!$C$4)),"B",IF(Leger1!P14&gt;=Leger1!$C$4,"C","D"))))</f>
        <v/>
      </c>
      <c r="O14" s="249" t="str">
        <f>IF(Leger1!R14="","",IF(Leger1!R14&gt;=(Leger1!$C$4+2/3*(100-Leger1!$C$4)),"A",IF(Leger1!R14&gt;=(Leger1!$C$4+1/3*(100-Leger1!$C$4)),"B",IF(Leger1!R14&gt;=Leger1!$C$4,"C","D"))))</f>
        <v/>
      </c>
      <c r="P14" s="252" t="str">
        <f>IF(Leger1!S14="","",IF(Leger1!S14&gt;=(Leger1!$C$4+2/3*(100-Leger1!$C$4)),"A",IF(Leger1!S14&gt;=(Leger1!$C$4+1/3*(100-Leger1!$C$4)),"B",IF(Leger1!S14&gt;=Leger1!$C$4,"C","D"))))</f>
        <v/>
      </c>
      <c r="Q14" s="249" t="str">
        <f>IF(Leger1!U14="","",IF(Leger1!U14&gt;=(Leger1!$C$4+2/3*(100-Leger1!$C$4)),"A",IF(Leger1!U14&gt;=(Leger1!$C$4+1/3*(100-Leger1!$C$4)),"B",IF(Leger1!U14&gt;=Leger1!$C$4,"C","D"))))</f>
        <v/>
      </c>
      <c r="R14" s="252" t="str">
        <f>IF(Leger1!V14="","",IF(Leger1!V14&gt;=(Leger1!$C$4+2/3*(100-Leger1!$C$4)),"A",IF(Leger1!V14&gt;=(Leger1!$C$4+1/3*(100-Leger1!$C$4)),"B",IF(Leger1!V14&gt;=Leger1!$C$4,"C","D"))))</f>
        <v/>
      </c>
      <c r="S14" s="249" t="str">
        <f>IF(Leger1!X14="","",IF(Leger1!X14&gt;=(Leger1!$C$4+2/3*(100-Leger1!$C$4)),"A",IF(Leger1!X14&gt;=(Leger1!$C$4+1/3*(100-Leger1!$C$4)),"B",IF(Leger1!X14&gt;=Leger1!$C$4,"C","D"))))</f>
        <v>B</v>
      </c>
      <c r="T14" s="252" t="str">
        <f>IF(Leger1!Y14="","",IF(Leger1!Y14&gt;=(Leger1!$C$4+2/3*(100-Leger1!$C$4)),"A",IF(Leger1!Y14&gt;=(Leger1!$C$4+1/3*(100-Leger1!$C$4)),"B",IF(Leger1!Y14&gt;=Leger1!$C$4,"C","D"))))</f>
        <v>C</v>
      </c>
      <c r="U14" s="249" t="str">
        <f>IF(Leger1!AA14="","",IF(Leger1!AA14&gt;=(Leger1!$C$4+2/3*(100-Leger1!$C$4)),"A",IF(Leger1!AA14&gt;=(Leger1!$C$4+1/3*(100-Leger1!$C$4)),"B",IF(Leger1!AA14&gt;=Leger1!$C$4,"C","D"))))</f>
        <v>C</v>
      </c>
      <c r="V14" s="252" t="str">
        <f>IF(Leger1!AB14="","",IF(Leger1!AB14&gt;=(Leger1!$C$4+2/3*(100-Leger1!$C$4)),"A",IF(Leger1!AB14&gt;=(Leger1!$C$4+1/3*(100-Leger1!$C$4)),"B",IF(Leger1!AB14&gt;=Leger1!$C$4,"C","D"))))</f>
        <v>C</v>
      </c>
      <c r="W14" s="249" t="str">
        <f>IF(Leger1!AD14="","",IF(Leger1!AD14&gt;=(Leger1!$C$4+2/3*(100-Leger1!$C$4)),"A",IF(Leger1!AD14&gt;=(Leger1!$C$4+1/3*(100-Leger1!$C$4)),"B",IF(Leger1!AD14&gt;=Leger1!$C$4,"C","D"))))</f>
        <v>C</v>
      </c>
      <c r="X14" s="252" t="str">
        <f>IF(Leger1!AE14="","",IF(Leger1!AE14&gt;=(Leger1!$C$4+2/3*(100-Leger1!$C$4)),"A",IF(Leger1!AE14&gt;=(Leger1!$C$4+1/3*(100-Leger1!$C$4)),"B",IF(Leger1!AE14&gt;=Leger1!$C$4,"C","D"))))</f>
        <v>C</v>
      </c>
      <c r="Y14" s="249" t="str">
        <f>IF(Leger1!AG14="","",IF(Leger1!AG14&gt;=(Leger1!$C$4+2/3*(100-Leger1!$C$4)),"A",IF(Leger1!AG14&gt;=(Leger1!$C$4+1/3*(100-Leger1!$C$4)),"B",IF(Leger1!AG14&gt;=Leger1!$C$4,"C","D"))))</f>
        <v>B</v>
      </c>
      <c r="Z14" s="252" t="str">
        <f>IF(Leger1!AH14="","",IF(Leger1!AH14&gt;=(Leger1!$C$4+2/3*(100-Leger1!$C$4)),"A",IF(Leger1!AH14&gt;=(Leger1!$C$4+1/3*(100-Leger1!$C$4)),"B",IF(Leger1!AH14&gt;=Leger1!$C$4,"C","D"))))</f>
        <v>B</v>
      </c>
      <c r="AA14" s="249" t="str">
        <f>IF(Leger1!AJ14="","",IF(Leger1!AJ14&gt;=(Leger1!$C$4+2/3*(100-Leger1!$C$4)),"A",IF(Leger1!AJ14&gt;=(Leger1!$C$4+1/3*(100-Leger1!$C$4)),"B",IF(Leger1!AJ14&gt;=Leger1!$C$4,"C","D"))))</f>
        <v>B</v>
      </c>
      <c r="AB14" s="252" t="str">
        <f>IF(Leger1!AK14="","",IF(Leger1!AK14&gt;=(Leger1!$C$4+2/3*(100-Leger1!$C$4)),"A",IF(Leger1!AK14&gt;=(Leger1!$C$4+1/3*(100-Leger1!$C$4)),"B",IF(Leger1!AK14&gt;=Leger1!$C$4,"C","D"))))</f>
        <v>B</v>
      </c>
      <c r="AC14" s="249" t="str">
        <f>IF(Leger1!AM14="","",IF(Leger1!AM14&gt;=(Leger1!$C$4+2/3*(100-Leger1!$C$4)),"A",IF(Leger1!AM14&gt;=(Leger1!$C$4+1/3*(100-Leger1!$C$4)),"B",IF(Leger1!AM14&gt;=Leger1!$C$4,"C","D"))))</f>
        <v>C</v>
      </c>
      <c r="AD14" s="252" t="str">
        <f>IF(Leger1!AN14="","",IF(Leger1!AN14&gt;=(Leger1!$C$4+2/3*(100-Leger1!$C$4)),"A",IF(Leger1!AN14&gt;=(Leger1!$C$4+1/3*(100-Leger1!$C$4)),"B",IF(Leger1!AN14&gt;=Leger1!$C$4,"C","D"))))</f>
        <v>C</v>
      </c>
      <c r="AE14" s="249" t="str">
        <f>IF(Leger1!AP14="","",IF(Leger1!AP14&gt;=(Leger1!$C$4+2/3*(100-Leger1!$C$4)),"A",IF(Leger1!AP14&gt;=(Leger1!$C$4+1/3*(100-Leger1!$C$4)),"B",IF(Leger1!AP14&gt;=Leger1!$C$4,"C","D"))))</f>
        <v>C</v>
      </c>
      <c r="AF14" s="252" t="str">
        <f>IF(Leger1!AQ14="","",IF(Leger1!AQ14&gt;=(Leger1!$C$4+2/3*(100-Leger1!$C$4)),"A",IF(Leger1!AQ14&gt;=(Leger1!$C$4+1/3*(100-Leger1!$C$4)),"B",IF(Leger1!AQ14&gt;=Leger1!$C$4,"C","D"))))</f>
        <v>C</v>
      </c>
      <c r="AG14" s="249" t="str">
        <f>IF(Leger1!AS14="","",IF(Leger1!AS14&gt;=(Leger1!$C$4+2/3*(100-Leger1!$C$4)),"A",IF(Leger1!AS14&gt;=(Leger1!$C$4+1/3*(100-Leger1!$C$4)),"B",IF(Leger1!AS14&gt;=Leger1!$C$4,"C","D"))))</f>
        <v>C</v>
      </c>
      <c r="AH14" s="252" t="str">
        <f>IF(Leger1!AT14="","",IF(Leger1!AT14&gt;=(Leger1!$C$4+2/3*(100-Leger1!$C$4)),"A",IF(Leger1!AT14&gt;=(Leger1!$C$4+1/3*(100-Leger1!$C$4)),"B",IF(Leger1!AT14&gt;=Leger1!$C$4,"C","D"))))</f>
        <v>C</v>
      </c>
      <c r="AI14" s="249" t="str">
        <f>IF(Leger1!AV14="","",IF(Leger1!AV14&gt;=(Leger1!$C$4+2/3*(100-Leger1!$C$4)),"A",IF(Leger1!AV14&gt;=(Leger1!$C$4+1/3*(100-Leger1!$C$4)),"B",IF(Leger1!AV14&gt;=Leger1!$C$4,"C","D"))))</f>
        <v>B</v>
      </c>
      <c r="AJ14" s="252" t="str">
        <f>IF(Leger1!AW14="","",IF(Leger1!AW14&gt;=(Leger1!$C$4+2/3*(100-Leger1!$C$4)),"A",IF(Leger1!AW14&gt;=(Leger1!$C$4+1/3*(100-Leger1!$C$4)),"B",IF(Leger1!AW14&gt;=Leger1!$C$4,"C","D"))))</f>
        <v>B</v>
      </c>
      <c r="AK14" s="249" t="str">
        <f>IF(Leger1!AY14="","",IF(Leger1!AY14&gt;=(Leger1!$C$4+2/3*(100-Leger1!$C$4)),"A",IF(Leger1!AY14&gt;=(Leger1!$C$4+1/3*(100-Leger1!$C$4)),"B",IF(Leger1!AY14&gt;=Leger1!$C$4,"C","D"))))</f>
        <v>C</v>
      </c>
      <c r="AL14" s="252" t="str">
        <f>IF(Leger1!AZ14="","",IF(Leger1!AZ14&gt;=(Leger1!$C$4+2/3*(100-Leger1!$C$4)),"A",IF(Leger1!AZ14&gt;=(Leger1!$C$4+1/3*(100-Leger1!$C$4)),"B",IF(Leger1!AZ14&gt;=Leger1!$C$4,"C","D"))))</f>
        <v>C</v>
      </c>
    </row>
    <row r="15" spans="2:38">
      <c r="E15" s="211">
        <f>Biodata!B14</f>
        <v>9</v>
      </c>
      <c r="F15" s="212">
        <f>IF(Biodata!C14="","",VLOOKUP(E15,Biodata_Siswa,2,FALSE))</f>
        <v>7068</v>
      </c>
      <c r="G15" s="1015" t="str">
        <f>IF(Biodata!E14="","",PROPER(VLOOKUP(E15,Biodata_Siswa,4,FALSE)))</f>
        <v>Bayu Anggoro</v>
      </c>
      <c r="H15" s="1016"/>
      <c r="I15" s="249" t="str">
        <f>IF(Leger1!I15="","",IF(Leger1!I15&gt;=(Leger1!$C$4+2/3*(100-Leger1!$C$4)),"A",IF(Leger1!I15&gt;=(Leger1!$C$4+1/3*(100-Leger1!$C$4)),"B",IF(Leger1!I15&gt;=Leger1!$C$4,"C","D"))))</f>
        <v>B</v>
      </c>
      <c r="J15" s="252" t="str">
        <f>IF(Leger1!J15="","",IF(Leger1!J15&gt;=(Leger1!$C$4+2/3*(100-Leger1!$C$4)),"A",IF(Leger1!J15&gt;=(Leger1!$C$4+1/3*(100-Leger1!$C$4)),"B",IF(Leger1!J15&gt;=Leger1!$C$4,"C","D"))))</f>
        <v>B</v>
      </c>
      <c r="K15" s="249" t="str">
        <f>IF(Leger1!L15="","",IF(Leger1!L15&gt;=(Leger1!$C$4+2/3*(100-Leger1!$C$4)),"A",IF(Leger1!L15&gt;=(Leger1!$C$4+1/3*(100-Leger1!$C$4)),"B",IF(Leger1!L15&gt;=Leger1!$C$4,"C","D"))))</f>
        <v/>
      </c>
      <c r="L15" s="252" t="str">
        <f>IF(Leger1!M15="","",IF(Leger1!M15&gt;=(Leger1!$C$4+2/3*(100-Leger1!$C$4)),"A",IF(Leger1!M15&gt;=(Leger1!$C$4+1/3*(100-Leger1!$C$4)),"B",IF(Leger1!M15&gt;=Leger1!$C$4,"C","D"))))</f>
        <v/>
      </c>
      <c r="M15" s="249" t="str">
        <f>IF(Leger1!O15="","",IF(Leger1!O15&gt;=(Leger1!$C$4+2/3*(100-Leger1!$C$4)),"A",IF(Leger1!O15&gt;=(Leger1!$C$4+1/3*(100-Leger1!$C$4)),"B",IF(Leger1!O15&gt;=Leger1!$C$4,"C","D"))))</f>
        <v/>
      </c>
      <c r="N15" s="252" t="str">
        <f>IF(Leger1!P15="","",IF(Leger1!P15&gt;=(Leger1!$C$4+2/3*(100-Leger1!$C$4)),"A",IF(Leger1!P15&gt;=(Leger1!$C$4+1/3*(100-Leger1!$C$4)),"B",IF(Leger1!P15&gt;=Leger1!$C$4,"C","D"))))</f>
        <v/>
      </c>
      <c r="O15" s="249" t="str">
        <f>IF(Leger1!R15="","",IF(Leger1!R15&gt;=(Leger1!$C$4+2/3*(100-Leger1!$C$4)),"A",IF(Leger1!R15&gt;=(Leger1!$C$4+1/3*(100-Leger1!$C$4)),"B",IF(Leger1!R15&gt;=Leger1!$C$4,"C","D"))))</f>
        <v/>
      </c>
      <c r="P15" s="252" t="str">
        <f>IF(Leger1!S15="","",IF(Leger1!S15&gt;=(Leger1!$C$4+2/3*(100-Leger1!$C$4)),"A",IF(Leger1!S15&gt;=(Leger1!$C$4+1/3*(100-Leger1!$C$4)),"B",IF(Leger1!S15&gt;=Leger1!$C$4,"C","D"))))</f>
        <v/>
      </c>
      <c r="Q15" s="249" t="str">
        <f>IF(Leger1!U15="","",IF(Leger1!U15&gt;=(Leger1!$C$4+2/3*(100-Leger1!$C$4)),"A",IF(Leger1!U15&gt;=(Leger1!$C$4+1/3*(100-Leger1!$C$4)),"B",IF(Leger1!U15&gt;=Leger1!$C$4,"C","D"))))</f>
        <v/>
      </c>
      <c r="R15" s="252" t="str">
        <f>IF(Leger1!V15="","",IF(Leger1!V15&gt;=(Leger1!$C$4+2/3*(100-Leger1!$C$4)),"A",IF(Leger1!V15&gt;=(Leger1!$C$4+1/3*(100-Leger1!$C$4)),"B",IF(Leger1!V15&gt;=Leger1!$C$4,"C","D"))))</f>
        <v/>
      </c>
      <c r="S15" s="249" t="str">
        <f>IF(Leger1!X15="","",IF(Leger1!X15&gt;=(Leger1!$C$4+2/3*(100-Leger1!$C$4)),"A",IF(Leger1!X15&gt;=(Leger1!$C$4+1/3*(100-Leger1!$C$4)),"B",IF(Leger1!X15&gt;=Leger1!$C$4,"C","D"))))</f>
        <v>C</v>
      </c>
      <c r="T15" s="252" t="str">
        <f>IF(Leger1!Y15="","",IF(Leger1!Y15&gt;=(Leger1!$C$4+2/3*(100-Leger1!$C$4)),"A",IF(Leger1!Y15&gt;=(Leger1!$C$4+1/3*(100-Leger1!$C$4)),"B",IF(Leger1!Y15&gt;=Leger1!$C$4,"C","D"))))</f>
        <v>C</v>
      </c>
      <c r="U15" s="249" t="str">
        <f>IF(Leger1!AA15="","",IF(Leger1!AA15&gt;=(Leger1!$C$4+2/3*(100-Leger1!$C$4)),"A",IF(Leger1!AA15&gt;=(Leger1!$C$4+1/3*(100-Leger1!$C$4)),"B",IF(Leger1!AA15&gt;=Leger1!$C$4,"C","D"))))</f>
        <v>C</v>
      </c>
      <c r="V15" s="252" t="str">
        <f>IF(Leger1!AB15="","",IF(Leger1!AB15&gt;=(Leger1!$C$4+2/3*(100-Leger1!$C$4)),"A",IF(Leger1!AB15&gt;=(Leger1!$C$4+1/3*(100-Leger1!$C$4)),"B",IF(Leger1!AB15&gt;=Leger1!$C$4,"C","D"))))</f>
        <v>C</v>
      </c>
      <c r="W15" s="249" t="str">
        <f>IF(Leger1!AD15="","",IF(Leger1!AD15&gt;=(Leger1!$C$4+2/3*(100-Leger1!$C$4)),"A",IF(Leger1!AD15&gt;=(Leger1!$C$4+1/3*(100-Leger1!$C$4)),"B",IF(Leger1!AD15&gt;=Leger1!$C$4,"C","D"))))</f>
        <v>C</v>
      </c>
      <c r="X15" s="252" t="str">
        <f>IF(Leger1!AE15="","",IF(Leger1!AE15&gt;=(Leger1!$C$4+2/3*(100-Leger1!$C$4)),"A",IF(Leger1!AE15&gt;=(Leger1!$C$4+1/3*(100-Leger1!$C$4)),"B",IF(Leger1!AE15&gt;=Leger1!$C$4,"C","D"))))</f>
        <v>C</v>
      </c>
      <c r="Y15" s="249" t="str">
        <f>IF(Leger1!AG15="","",IF(Leger1!AG15&gt;=(Leger1!$C$4+2/3*(100-Leger1!$C$4)),"A",IF(Leger1!AG15&gt;=(Leger1!$C$4+1/3*(100-Leger1!$C$4)),"B",IF(Leger1!AG15&gt;=Leger1!$C$4,"C","D"))))</f>
        <v>B</v>
      </c>
      <c r="Z15" s="252" t="str">
        <f>IF(Leger1!AH15="","",IF(Leger1!AH15&gt;=(Leger1!$C$4+2/3*(100-Leger1!$C$4)),"A",IF(Leger1!AH15&gt;=(Leger1!$C$4+1/3*(100-Leger1!$C$4)),"B",IF(Leger1!AH15&gt;=Leger1!$C$4,"C","D"))))</f>
        <v>B</v>
      </c>
      <c r="AA15" s="249" t="str">
        <f>IF(Leger1!AJ15="","",IF(Leger1!AJ15&gt;=(Leger1!$C$4+2/3*(100-Leger1!$C$4)),"A",IF(Leger1!AJ15&gt;=(Leger1!$C$4+1/3*(100-Leger1!$C$4)),"B",IF(Leger1!AJ15&gt;=Leger1!$C$4,"C","D"))))</f>
        <v>B</v>
      </c>
      <c r="AB15" s="252" t="str">
        <f>IF(Leger1!AK15="","",IF(Leger1!AK15&gt;=(Leger1!$C$4+2/3*(100-Leger1!$C$4)),"A",IF(Leger1!AK15&gt;=(Leger1!$C$4+1/3*(100-Leger1!$C$4)),"B",IF(Leger1!AK15&gt;=Leger1!$C$4,"C","D"))))</f>
        <v>C</v>
      </c>
      <c r="AC15" s="249" t="str">
        <f>IF(Leger1!AM15="","",IF(Leger1!AM15&gt;=(Leger1!$C$4+2/3*(100-Leger1!$C$4)),"A",IF(Leger1!AM15&gt;=(Leger1!$C$4+1/3*(100-Leger1!$C$4)),"B",IF(Leger1!AM15&gt;=Leger1!$C$4,"C","D"))))</f>
        <v>B</v>
      </c>
      <c r="AD15" s="252" t="str">
        <f>IF(Leger1!AN15="","",IF(Leger1!AN15&gt;=(Leger1!$C$4+2/3*(100-Leger1!$C$4)),"A",IF(Leger1!AN15&gt;=(Leger1!$C$4+1/3*(100-Leger1!$C$4)),"B",IF(Leger1!AN15&gt;=Leger1!$C$4,"C","D"))))</f>
        <v>B</v>
      </c>
      <c r="AE15" s="249" t="str">
        <f>IF(Leger1!AP15="","",IF(Leger1!AP15&gt;=(Leger1!$C$4+2/3*(100-Leger1!$C$4)),"A",IF(Leger1!AP15&gt;=(Leger1!$C$4+1/3*(100-Leger1!$C$4)),"B",IF(Leger1!AP15&gt;=Leger1!$C$4,"C","D"))))</f>
        <v>C</v>
      </c>
      <c r="AF15" s="252" t="str">
        <f>IF(Leger1!AQ15="","",IF(Leger1!AQ15&gt;=(Leger1!$C$4+2/3*(100-Leger1!$C$4)),"A",IF(Leger1!AQ15&gt;=(Leger1!$C$4+1/3*(100-Leger1!$C$4)),"B",IF(Leger1!AQ15&gt;=Leger1!$C$4,"C","D"))))</f>
        <v>C</v>
      </c>
      <c r="AG15" s="249" t="str">
        <f>IF(Leger1!AS15="","",IF(Leger1!AS15&gt;=(Leger1!$C$4+2/3*(100-Leger1!$C$4)),"A",IF(Leger1!AS15&gt;=(Leger1!$C$4+1/3*(100-Leger1!$C$4)),"B",IF(Leger1!AS15&gt;=Leger1!$C$4,"C","D"))))</f>
        <v>C</v>
      </c>
      <c r="AH15" s="252" t="str">
        <f>IF(Leger1!AT15="","",IF(Leger1!AT15&gt;=(Leger1!$C$4+2/3*(100-Leger1!$C$4)),"A",IF(Leger1!AT15&gt;=(Leger1!$C$4+1/3*(100-Leger1!$C$4)),"B",IF(Leger1!AT15&gt;=Leger1!$C$4,"C","D"))))</f>
        <v>C</v>
      </c>
      <c r="AI15" s="249" t="str">
        <f>IF(Leger1!AV15="","",IF(Leger1!AV15&gt;=(Leger1!$C$4+2/3*(100-Leger1!$C$4)),"A",IF(Leger1!AV15&gt;=(Leger1!$C$4+1/3*(100-Leger1!$C$4)),"B",IF(Leger1!AV15&gt;=Leger1!$C$4,"C","D"))))</f>
        <v>C</v>
      </c>
      <c r="AJ15" s="252" t="str">
        <f>IF(Leger1!AW15="","",IF(Leger1!AW15&gt;=(Leger1!$C$4+2/3*(100-Leger1!$C$4)),"A",IF(Leger1!AW15&gt;=(Leger1!$C$4+1/3*(100-Leger1!$C$4)),"B",IF(Leger1!AW15&gt;=Leger1!$C$4,"C","D"))))</f>
        <v>B</v>
      </c>
      <c r="AK15" s="249" t="str">
        <f>IF(Leger1!AY15="","",IF(Leger1!AY15&gt;=(Leger1!$C$4+2/3*(100-Leger1!$C$4)),"A",IF(Leger1!AY15&gt;=(Leger1!$C$4+1/3*(100-Leger1!$C$4)),"B",IF(Leger1!AY15&gt;=Leger1!$C$4,"C","D"))))</f>
        <v>C</v>
      </c>
      <c r="AL15" s="252" t="str">
        <f>IF(Leger1!AZ15="","",IF(Leger1!AZ15&gt;=(Leger1!$C$4+2/3*(100-Leger1!$C$4)),"A",IF(Leger1!AZ15&gt;=(Leger1!$C$4+1/3*(100-Leger1!$C$4)),"B",IF(Leger1!AZ15&gt;=Leger1!$C$4,"C","D"))))</f>
        <v>C</v>
      </c>
    </row>
    <row r="16" spans="2:38">
      <c r="E16" s="211">
        <f>Biodata!B15</f>
        <v>10</v>
      </c>
      <c r="F16" s="212">
        <f>IF(Biodata!C15="","",VLOOKUP(E16,Biodata_Siswa,2,FALSE))</f>
        <v>7069</v>
      </c>
      <c r="G16" s="1015" t="str">
        <f>IF(Biodata!E15="","",PROPER(VLOOKUP(E16,Biodata_Siswa,4,FALSE)))</f>
        <v>Calissta Sabrina Salwa Aurelia</v>
      </c>
      <c r="H16" s="1016"/>
      <c r="I16" s="249" t="str">
        <f>IF(Leger1!I16="","",IF(Leger1!I16&gt;=(Leger1!$C$4+2/3*(100-Leger1!$C$4)),"A",IF(Leger1!I16&gt;=(Leger1!$C$4+1/3*(100-Leger1!$C$4)),"B",IF(Leger1!I16&gt;=Leger1!$C$4,"C","D"))))</f>
        <v>C</v>
      </c>
      <c r="J16" s="252" t="str">
        <f>IF(Leger1!J16="","",IF(Leger1!J16&gt;=(Leger1!$C$4+2/3*(100-Leger1!$C$4)),"A",IF(Leger1!J16&gt;=(Leger1!$C$4+1/3*(100-Leger1!$C$4)),"B",IF(Leger1!J16&gt;=Leger1!$C$4,"C","D"))))</f>
        <v>B</v>
      </c>
      <c r="K16" s="249" t="str">
        <f>IF(Leger1!L16="","",IF(Leger1!L16&gt;=(Leger1!$C$4+2/3*(100-Leger1!$C$4)),"A",IF(Leger1!L16&gt;=(Leger1!$C$4+1/3*(100-Leger1!$C$4)),"B",IF(Leger1!L16&gt;=Leger1!$C$4,"C","D"))))</f>
        <v/>
      </c>
      <c r="L16" s="252" t="str">
        <f>IF(Leger1!M16="","",IF(Leger1!M16&gt;=(Leger1!$C$4+2/3*(100-Leger1!$C$4)),"A",IF(Leger1!M16&gt;=(Leger1!$C$4+1/3*(100-Leger1!$C$4)),"B",IF(Leger1!M16&gt;=Leger1!$C$4,"C","D"))))</f>
        <v/>
      </c>
      <c r="M16" s="249" t="str">
        <f>IF(Leger1!O16="","",IF(Leger1!O16&gt;=(Leger1!$C$4+2/3*(100-Leger1!$C$4)),"A",IF(Leger1!O16&gt;=(Leger1!$C$4+1/3*(100-Leger1!$C$4)),"B",IF(Leger1!O16&gt;=Leger1!$C$4,"C","D"))))</f>
        <v/>
      </c>
      <c r="N16" s="252" t="str">
        <f>IF(Leger1!P16="","",IF(Leger1!P16&gt;=(Leger1!$C$4+2/3*(100-Leger1!$C$4)),"A",IF(Leger1!P16&gt;=(Leger1!$C$4+1/3*(100-Leger1!$C$4)),"B",IF(Leger1!P16&gt;=Leger1!$C$4,"C","D"))))</f>
        <v/>
      </c>
      <c r="O16" s="249" t="str">
        <f>IF(Leger1!R16="","",IF(Leger1!R16&gt;=(Leger1!$C$4+2/3*(100-Leger1!$C$4)),"A",IF(Leger1!R16&gt;=(Leger1!$C$4+1/3*(100-Leger1!$C$4)),"B",IF(Leger1!R16&gt;=Leger1!$C$4,"C","D"))))</f>
        <v/>
      </c>
      <c r="P16" s="252" t="str">
        <f>IF(Leger1!S16="","",IF(Leger1!S16&gt;=(Leger1!$C$4+2/3*(100-Leger1!$C$4)),"A",IF(Leger1!S16&gt;=(Leger1!$C$4+1/3*(100-Leger1!$C$4)),"B",IF(Leger1!S16&gt;=Leger1!$C$4,"C","D"))))</f>
        <v/>
      </c>
      <c r="Q16" s="249" t="str">
        <f>IF(Leger1!U16="","",IF(Leger1!U16&gt;=(Leger1!$C$4+2/3*(100-Leger1!$C$4)),"A",IF(Leger1!U16&gt;=(Leger1!$C$4+1/3*(100-Leger1!$C$4)),"B",IF(Leger1!U16&gt;=Leger1!$C$4,"C","D"))))</f>
        <v/>
      </c>
      <c r="R16" s="252" t="str">
        <f>IF(Leger1!V16="","",IF(Leger1!V16&gt;=(Leger1!$C$4+2/3*(100-Leger1!$C$4)),"A",IF(Leger1!V16&gt;=(Leger1!$C$4+1/3*(100-Leger1!$C$4)),"B",IF(Leger1!V16&gt;=Leger1!$C$4,"C","D"))))</f>
        <v/>
      </c>
      <c r="S16" s="249" t="str">
        <f>IF(Leger1!X16="","",IF(Leger1!X16&gt;=(Leger1!$C$4+2/3*(100-Leger1!$C$4)),"A",IF(Leger1!X16&gt;=(Leger1!$C$4+1/3*(100-Leger1!$C$4)),"B",IF(Leger1!X16&gt;=Leger1!$C$4,"C","D"))))</f>
        <v>B</v>
      </c>
      <c r="T16" s="252" t="str">
        <f>IF(Leger1!Y16="","",IF(Leger1!Y16&gt;=(Leger1!$C$4+2/3*(100-Leger1!$C$4)),"A",IF(Leger1!Y16&gt;=(Leger1!$C$4+1/3*(100-Leger1!$C$4)),"B",IF(Leger1!Y16&gt;=Leger1!$C$4,"C","D"))))</f>
        <v>C</v>
      </c>
      <c r="U16" s="249" t="str">
        <f>IF(Leger1!AA16="","",IF(Leger1!AA16&gt;=(Leger1!$C$4+2/3*(100-Leger1!$C$4)),"A",IF(Leger1!AA16&gt;=(Leger1!$C$4+1/3*(100-Leger1!$C$4)),"B",IF(Leger1!AA16&gt;=Leger1!$C$4,"C","D"))))</f>
        <v>C</v>
      </c>
      <c r="V16" s="252" t="str">
        <f>IF(Leger1!AB16="","",IF(Leger1!AB16&gt;=(Leger1!$C$4+2/3*(100-Leger1!$C$4)),"A",IF(Leger1!AB16&gt;=(Leger1!$C$4+1/3*(100-Leger1!$C$4)),"B",IF(Leger1!AB16&gt;=Leger1!$C$4,"C","D"))))</f>
        <v>C</v>
      </c>
      <c r="W16" s="249" t="str">
        <f>IF(Leger1!AD16="","",IF(Leger1!AD16&gt;=(Leger1!$C$4+2/3*(100-Leger1!$C$4)),"A",IF(Leger1!AD16&gt;=(Leger1!$C$4+1/3*(100-Leger1!$C$4)),"B",IF(Leger1!AD16&gt;=Leger1!$C$4,"C","D"))))</f>
        <v>C</v>
      </c>
      <c r="X16" s="252" t="str">
        <f>IF(Leger1!AE16="","",IF(Leger1!AE16&gt;=(Leger1!$C$4+2/3*(100-Leger1!$C$4)),"A",IF(Leger1!AE16&gt;=(Leger1!$C$4+1/3*(100-Leger1!$C$4)),"B",IF(Leger1!AE16&gt;=Leger1!$C$4,"C","D"))))</f>
        <v>B</v>
      </c>
      <c r="Y16" s="249" t="str">
        <f>IF(Leger1!AG16="","",IF(Leger1!AG16&gt;=(Leger1!$C$4+2/3*(100-Leger1!$C$4)),"A",IF(Leger1!AG16&gt;=(Leger1!$C$4+1/3*(100-Leger1!$C$4)),"B",IF(Leger1!AG16&gt;=Leger1!$C$4,"C","D"))))</f>
        <v>C</v>
      </c>
      <c r="Z16" s="252" t="str">
        <f>IF(Leger1!AH16="","",IF(Leger1!AH16&gt;=(Leger1!$C$4+2/3*(100-Leger1!$C$4)),"A",IF(Leger1!AH16&gt;=(Leger1!$C$4+1/3*(100-Leger1!$C$4)),"B",IF(Leger1!AH16&gt;=Leger1!$C$4,"C","D"))))</f>
        <v>C</v>
      </c>
      <c r="AA16" s="249" t="str">
        <f>IF(Leger1!AJ16="","",IF(Leger1!AJ16&gt;=(Leger1!$C$4+2/3*(100-Leger1!$C$4)),"A",IF(Leger1!AJ16&gt;=(Leger1!$C$4+1/3*(100-Leger1!$C$4)),"B",IF(Leger1!AJ16&gt;=Leger1!$C$4,"C","D"))))</f>
        <v>B</v>
      </c>
      <c r="AB16" s="252" t="str">
        <f>IF(Leger1!AK16="","",IF(Leger1!AK16&gt;=(Leger1!$C$4+2/3*(100-Leger1!$C$4)),"A",IF(Leger1!AK16&gt;=(Leger1!$C$4+1/3*(100-Leger1!$C$4)),"B",IF(Leger1!AK16&gt;=Leger1!$C$4,"C","D"))))</f>
        <v>B</v>
      </c>
      <c r="AC16" s="249" t="str">
        <f>IF(Leger1!AM16="","",IF(Leger1!AM16&gt;=(Leger1!$C$4+2/3*(100-Leger1!$C$4)),"A",IF(Leger1!AM16&gt;=(Leger1!$C$4+1/3*(100-Leger1!$C$4)),"B",IF(Leger1!AM16&gt;=Leger1!$C$4,"C","D"))))</f>
        <v>C</v>
      </c>
      <c r="AD16" s="252" t="str">
        <f>IF(Leger1!AN16="","",IF(Leger1!AN16&gt;=(Leger1!$C$4+2/3*(100-Leger1!$C$4)),"A",IF(Leger1!AN16&gt;=(Leger1!$C$4+1/3*(100-Leger1!$C$4)),"B",IF(Leger1!AN16&gt;=Leger1!$C$4,"C","D"))))</f>
        <v>C</v>
      </c>
      <c r="AE16" s="249" t="str">
        <f>IF(Leger1!AP16="","",IF(Leger1!AP16&gt;=(Leger1!$C$4+2/3*(100-Leger1!$C$4)),"A",IF(Leger1!AP16&gt;=(Leger1!$C$4+1/3*(100-Leger1!$C$4)),"B",IF(Leger1!AP16&gt;=Leger1!$C$4,"C","D"))))</f>
        <v>C</v>
      </c>
      <c r="AF16" s="252" t="str">
        <f>IF(Leger1!AQ16="","",IF(Leger1!AQ16&gt;=(Leger1!$C$4+2/3*(100-Leger1!$C$4)),"A",IF(Leger1!AQ16&gt;=(Leger1!$C$4+1/3*(100-Leger1!$C$4)),"B",IF(Leger1!AQ16&gt;=Leger1!$C$4,"C","D"))))</f>
        <v>C</v>
      </c>
      <c r="AG16" s="249" t="str">
        <f>IF(Leger1!AS16="","",IF(Leger1!AS16&gt;=(Leger1!$C$4+2/3*(100-Leger1!$C$4)),"A",IF(Leger1!AS16&gt;=(Leger1!$C$4+1/3*(100-Leger1!$C$4)),"B",IF(Leger1!AS16&gt;=Leger1!$C$4,"C","D"))))</f>
        <v>C</v>
      </c>
      <c r="AH16" s="252" t="str">
        <f>IF(Leger1!AT16="","",IF(Leger1!AT16&gt;=(Leger1!$C$4+2/3*(100-Leger1!$C$4)),"A",IF(Leger1!AT16&gt;=(Leger1!$C$4+1/3*(100-Leger1!$C$4)),"B",IF(Leger1!AT16&gt;=Leger1!$C$4,"C","D"))))</f>
        <v>C</v>
      </c>
      <c r="AI16" s="249" t="str">
        <f>IF(Leger1!AV16="","",IF(Leger1!AV16&gt;=(Leger1!$C$4+2/3*(100-Leger1!$C$4)),"A",IF(Leger1!AV16&gt;=(Leger1!$C$4+1/3*(100-Leger1!$C$4)),"B",IF(Leger1!AV16&gt;=Leger1!$C$4,"C","D"))))</f>
        <v>B</v>
      </c>
      <c r="AJ16" s="252" t="str">
        <f>IF(Leger1!AW16="","",IF(Leger1!AW16&gt;=(Leger1!$C$4+2/3*(100-Leger1!$C$4)),"A",IF(Leger1!AW16&gt;=(Leger1!$C$4+1/3*(100-Leger1!$C$4)),"B",IF(Leger1!AW16&gt;=Leger1!$C$4,"C","D"))))</f>
        <v>B</v>
      </c>
      <c r="AK16" s="249" t="str">
        <f>IF(Leger1!AY16="","",IF(Leger1!AY16&gt;=(Leger1!$C$4+2/3*(100-Leger1!$C$4)),"A",IF(Leger1!AY16&gt;=(Leger1!$C$4+1/3*(100-Leger1!$C$4)),"B",IF(Leger1!AY16&gt;=Leger1!$C$4,"C","D"))))</f>
        <v>C</v>
      </c>
      <c r="AL16" s="252" t="str">
        <f>IF(Leger1!AZ16="","",IF(Leger1!AZ16&gt;=(Leger1!$C$4+2/3*(100-Leger1!$C$4)),"A",IF(Leger1!AZ16&gt;=(Leger1!$C$4+1/3*(100-Leger1!$C$4)),"B",IF(Leger1!AZ16&gt;=Leger1!$C$4,"C","D"))))</f>
        <v>C</v>
      </c>
    </row>
    <row r="17" spans="2:38">
      <c r="E17" s="211">
        <f>Biodata!B16</f>
        <v>11</v>
      </c>
      <c r="F17" s="212">
        <f>IF(Biodata!C16="","",VLOOKUP(E17,Biodata_Siswa,2,FALSE))</f>
        <v>7074</v>
      </c>
      <c r="G17" s="1015" t="str">
        <f>IF(Biodata!E16="","",PROPER(VLOOKUP(E17,Biodata_Siswa,4,FALSE)))</f>
        <v>Dea Safitri</v>
      </c>
      <c r="H17" s="1016"/>
      <c r="I17" s="249" t="str">
        <f>IF(Leger1!I17="","",IF(Leger1!I17&gt;=(Leger1!$C$4+2/3*(100-Leger1!$C$4)),"A",IF(Leger1!I17&gt;=(Leger1!$C$4+1/3*(100-Leger1!$C$4)),"B",IF(Leger1!I17&gt;=Leger1!$C$4,"C","D"))))</f>
        <v>C</v>
      </c>
      <c r="J17" s="252" t="str">
        <f>IF(Leger1!J17="","",IF(Leger1!J17&gt;=(Leger1!$C$4+2/3*(100-Leger1!$C$4)),"A",IF(Leger1!J17&gt;=(Leger1!$C$4+1/3*(100-Leger1!$C$4)),"B",IF(Leger1!J17&gt;=Leger1!$C$4,"C","D"))))</f>
        <v>C</v>
      </c>
      <c r="K17" s="249" t="str">
        <f>IF(Leger1!L17="","",IF(Leger1!L17&gt;=(Leger1!$C$4+2/3*(100-Leger1!$C$4)),"A",IF(Leger1!L17&gt;=(Leger1!$C$4+1/3*(100-Leger1!$C$4)),"B",IF(Leger1!L17&gt;=Leger1!$C$4,"C","D"))))</f>
        <v/>
      </c>
      <c r="L17" s="252" t="str">
        <f>IF(Leger1!M17="","",IF(Leger1!M17&gt;=(Leger1!$C$4+2/3*(100-Leger1!$C$4)),"A",IF(Leger1!M17&gt;=(Leger1!$C$4+1/3*(100-Leger1!$C$4)),"B",IF(Leger1!M17&gt;=Leger1!$C$4,"C","D"))))</f>
        <v/>
      </c>
      <c r="M17" s="249" t="str">
        <f>IF(Leger1!O17="","",IF(Leger1!O17&gt;=(Leger1!$C$4+2/3*(100-Leger1!$C$4)),"A",IF(Leger1!O17&gt;=(Leger1!$C$4+1/3*(100-Leger1!$C$4)),"B",IF(Leger1!O17&gt;=Leger1!$C$4,"C","D"))))</f>
        <v/>
      </c>
      <c r="N17" s="252" t="str">
        <f>IF(Leger1!P17="","",IF(Leger1!P17&gt;=(Leger1!$C$4+2/3*(100-Leger1!$C$4)),"A",IF(Leger1!P17&gt;=(Leger1!$C$4+1/3*(100-Leger1!$C$4)),"B",IF(Leger1!P17&gt;=Leger1!$C$4,"C","D"))))</f>
        <v/>
      </c>
      <c r="O17" s="249" t="str">
        <f>IF(Leger1!R17="","",IF(Leger1!R17&gt;=(Leger1!$C$4+2/3*(100-Leger1!$C$4)),"A",IF(Leger1!R17&gt;=(Leger1!$C$4+1/3*(100-Leger1!$C$4)),"B",IF(Leger1!R17&gt;=Leger1!$C$4,"C","D"))))</f>
        <v/>
      </c>
      <c r="P17" s="252" t="str">
        <f>IF(Leger1!S17="","",IF(Leger1!S17&gt;=(Leger1!$C$4+2/3*(100-Leger1!$C$4)),"A",IF(Leger1!S17&gt;=(Leger1!$C$4+1/3*(100-Leger1!$C$4)),"B",IF(Leger1!S17&gt;=Leger1!$C$4,"C","D"))))</f>
        <v/>
      </c>
      <c r="Q17" s="249" t="str">
        <f>IF(Leger1!U17="","",IF(Leger1!U17&gt;=(Leger1!$C$4+2/3*(100-Leger1!$C$4)),"A",IF(Leger1!U17&gt;=(Leger1!$C$4+1/3*(100-Leger1!$C$4)),"B",IF(Leger1!U17&gt;=Leger1!$C$4,"C","D"))))</f>
        <v/>
      </c>
      <c r="R17" s="252" t="str">
        <f>IF(Leger1!V17="","",IF(Leger1!V17&gt;=(Leger1!$C$4+2/3*(100-Leger1!$C$4)),"A",IF(Leger1!V17&gt;=(Leger1!$C$4+1/3*(100-Leger1!$C$4)),"B",IF(Leger1!V17&gt;=Leger1!$C$4,"C","D"))))</f>
        <v/>
      </c>
      <c r="S17" s="249" t="str">
        <f>IF(Leger1!X17="","",IF(Leger1!X17&gt;=(Leger1!$C$4+2/3*(100-Leger1!$C$4)),"A",IF(Leger1!X17&gt;=(Leger1!$C$4+1/3*(100-Leger1!$C$4)),"B",IF(Leger1!X17&gt;=Leger1!$C$4,"C","D"))))</f>
        <v>C</v>
      </c>
      <c r="T17" s="252" t="str">
        <f>IF(Leger1!Y17="","",IF(Leger1!Y17&gt;=(Leger1!$C$4+2/3*(100-Leger1!$C$4)),"A",IF(Leger1!Y17&gt;=(Leger1!$C$4+1/3*(100-Leger1!$C$4)),"B",IF(Leger1!Y17&gt;=Leger1!$C$4,"C","D"))))</f>
        <v>C</v>
      </c>
      <c r="U17" s="249" t="str">
        <f>IF(Leger1!AA17="","",IF(Leger1!AA17&gt;=(Leger1!$C$4+2/3*(100-Leger1!$C$4)),"A",IF(Leger1!AA17&gt;=(Leger1!$C$4+1/3*(100-Leger1!$C$4)),"B",IF(Leger1!AA17&gt;=Leger1!$C$4,"C","D"))))</f>
        <v>C</v>
      </c>
      <c r="V17" s="252" t="str">
        <f>IF(Leger1!AB17="","",IF(Leger1!AB17&gt;=(Leger1!$C$4+2/3*(100-Leger1!$C$4)),"A",IF(Leger1!AB17&gt;=(Leger1!$C$4+1/3*(100-Leger1!$C$4)),"B",IF(Leger1!AB17&gt;=Leger1!$C$4,"C","D"))))</f>
        <v>C</v>
      </c>
      <c r="W17" s="249" t="str">
        <f>IF(Leger1!AD17="","",IF(Leger1!AD17&gt;=(Leger1!$C$4+2/3*(100-Leger1!$C$4)),"A",IF(Leger1!AD17&gt;=(Leger1!$C$4+1/3*(100-Leger1!$C$4)),"B",IF(Leger1!AD17&gt;=Leger1!$C$4,"C","D"))))</f>
        <v>C</v>
      </c>
      <c r="X17" s="252" t="str">
        <f>IF(Leger1!AE17="","",IF(Leger1!AE17&gt;=(Leger1!$C$4+2/3*(100-Leger1!$C$4)),"A",IF(Leger1!AE17&gt;=(Leger1!$C$4+1/3*(100-Leger1!$C$4)),"B",IF(Leger1!AE17&gt;=Leger1!$C$4,"C","D"))))</f>
        <v>C</v>
      </c>
      <c r="Y17" s="249" t="str">
        <f>IF(Leger1!AG17="","",IF(Leger1!AG17&gt;=(Leger1!$C$4+2/3*(100-Leger1!$C$4)),"A",IF(Leger1!AG17&gt;=(Leger1!$C$4+1/3*(100-Leger1!$C$4)),"B",IF(Leger1!AG17&gt;=Leger1!$C$4,"C","D"))))</f>
        <v>C</v>
      </c>
      <c r="Z17" s="252" t="str">
        <f>IF(Leger1!AH17="","",IF(Leger1!AH17&gt;=(Leger1!$C$4+2/3*(100-Leger1!$C$4)),"A",IF(Leger1!AH17&gt;=(Leger1!$C$4+1/3*(100-Leger1!$C$4)),"B",IF(Leger1!AH17&gt;=Leger1!$C$4,"C","D"))))</f>
        <v>C</v>
      </c>
      <c r="AA17" s="249" t="str">
        <f>IF(Leger1!AJ17="","",IF(Leger1!AJ17&gt;=(Leger1!$C$4+2/3*(100-Leger1!$C$4)),"A",IF(Leger1!AJ17&gt;=(Leger1!$C$4+1/3*(100-Leger1!$C$4)),"B",IF(Leger1!AJ17&gt;=Leger1!$C$4,"C","D"))))</f>
        <v>C</v>
      </c>
      <c r="AB17" s="252" t="str">
        <f>IF(Leger1!AK17="","",IF(Leger1!AK17&gt;=(Leger1!$C$4+2/3*(100-Leger1!$C$4)),"A",IF(Leger1!AK17&gt;=(Leger1!$C$4+1/3*(100-Leger1!$C$4)),"B",IF(Leger1!AK17&gt;=Leger1!$C$4,"C","D"))))</f>
        <v>B</v>
      </c>
      <c r="AC17" s="249" t="str">
        <f>IF(Leger1!AM17="","",IF(Leger1!AM17&gt;=(Leger1!$C$4+2/3*(100-Leger1!$C$4)),"A",IF(Leger1!AM17&gt;=(Leger1!$C$4+1/3*(100-Leger1!$C$4)),"B",IF(Leger1!AM17&gt;=Leger1!$C$4,"C","D"))))</f>
        <v>C</v>
      </c>
      <c r="AD17" s="252" t="str">
        <f>IF(Leger1!AN17="","",IF(Leger1!AN17&gt;=(Leger1!$C$4+2/3*(100-Leger1!$C$4)),"A",IF(Leger1!AN17&gt;=(Leger1!$C$4+1/3*(100-Leger1!$C$4)),"B",IF(Leger1!AN17&gt;=Leger1!$C$4,"C","D"))))</f>
        <v>C</v>
      </c>
      <c r="AE17" s="249" t="str">
        <f>IF(Leger1!AP17="","",IF(Leger1!AP17&gt;=(Leger1!$C$4+2/3*(100-Leger1!$C$4)),"A",IF(Leger1!AP17&gt;=(Leger1!$C$4+1/3*(100-Leger1!$C$4)),"B",IF(Leger1!AP17&gt;=Leger1!$C$4,"C","D"))))</f>
        <v>C</v>
      </c>
      <c r="AF17" s="252" t="str">
        <f>IF(Leger1!AQ17="","",IF(Leger1!AQ17&gt;=(Leger1!$C$4+2/3*(100-Leger1!$C$4)),"A",IF(Leger1!AQ17&gt;=(Leger1!$C$4+1/3*(100-Leger1!$C$4)),"B",IF(Leger1!AQ17&gt;=Leger1!$C$4,"C","D"))))</f>
        <v>C</v>
      </c>
      <c r="AG17" s="249" t="str">
        <f>IF(Leger1!AS17="","",IF(Leger1!AS17&gt;=(Leger1!$C$4+2/3*(100-Leger1!$C$4)),"A",IF(Leger1!AS17&gt;=(Leger1!$C$4+1/3*(100-Leger1!$C$4)),"B",IF(Leger1!AS17&gt;=Leger1!$C$4,"C","D"))))</f>
        <v>C</v>
      </c>
      <c r="AH17" s="252" t="str">
        <f>IF(Leger1!AT17="","",IF(Leger1!AT17&gt;=(Leger1!$C$4+2/3*(100-Leger1!$C$4)),"A",IF(Leger1!AT17&gt;=(Leger1!$C$4+1/3*(100-Leger1!$C$4)),"B",IF(Leger1!AT17&gt;=Leger1!$C$4,"C","D"))))</f>
        <v>C</v>
      </c>
      <c r="AI17" s="249" t="str">
        <f>IF(Leger1!AV17="","",IF(Leger1!AV17&gt;=(Leger1!$C$4+2/3*(100-Leger1!$C$4)),"A",IF(Leger1!AV17&gt;=(Leger1!$C$4+1/3*(100-Leger1!$C$4)),"B",IF(Leger1!AV17&gt;=Leger1!$C$4,"C","D"))))</f>
        <v>C</v>
      </c>
      <c r="AJ17" s="252" t="str">
        <f>IF(Leger1!AW17="","",IF(Leger1!AW17&gt;=(Leger1!$C$4+2/3*(100-Leger1!$C$4)),"A",IF(Leger1!AW17&gt;=(Leger1!$C$4+1/3*(100-Leger1!$C$4)),"B",IF(Leger1!AW17&gt;=Leger1!$C$4,"C","D"))))</f>
        <v>C</v>
      </c>
      <c r="AK17" s="249" t="str">
        <f>IF(Leger1!AY17="","",IF(Leger1!AY17&gt;=(Leger1!$C$4+2/3*(100-Leger1!$C$4)),"A",IF(Leger1!AY17&gt;=(Leger1!$C$4+1/3*(100-Leger1!$C$4)),"B",IF(Leger1!AY17&gt;=Leger1!$C$4,"C","D"))))</f>
        <v>C</v>
      </c>
      <c r="AL17" s="252" t="str">
        <f>IF(Leger1!AZ17="","",IF(Leger1!AZ17&gt;=(Leger1!$C$4+2/3*(100-Leger1!$C$4)),"A",IF(Leger1!AZ17&gt;=(Leger1!$C$4+1/3*(100-Leger1!$C$4)),"B",IF(Leger1!AZ17&gt;=Leger1!$C$4,"C","D"))))</f>
        <v>C</v>
      </c>
    </row>
    <row r="18" spans="2:38">
      <c r="E18" s="211">
        <f>Biodata!B17</f>
        <v>12</v>
      </c>
      <c r="F18" s="212">
        <f>IF(Biodata!C17="","",VLOOKUP(E18,Biodata_Siswa,2,FALSE))</f>
        <v>7080</v>
      </c>
      <c r="G18" s="1015" t="str">
        <f>IF(Biodata!E17="","",PROPER(VLOOKUP(E18,Biodata_Siswa,4,FALSE)))</f>
        <v>Dewi Wulandari</v>
      </c>
      <c r="H18" s="1016"/>
      <c r="I18" s="249" t="str">
        <f>IF(Leger1!I18="","",IF(Leger1!I18&gt;=(Leger1!$C$4+2/3*(100-Leger1!$C$4)),"A",IF(Leger1!I18&gt;=(Leger1!$C$4+1/3*(100-Leger1!$C$4)),"B",IF(Leger1!I18&gt;=Leger1!$C$4,"C","D"))))</f>
        <v>C</v>
      </c>
      <c r="J18" s="252" t="str">
        <f>IF(Leger1!J18="","",IF(Leger1!J18&gt;=(Leger1!$C$4+2/3*(100-Leger1!$C$4)),"A",IF(Leger1!J18&gt;=(Leger1!$C$4+1/3*(100-Leger1!$C$4)),"B",IF(Leger1!J18&gt;=Leger1!$C$4,"C","D"))))</f>
        <v>B</v>
      </c>
      <c r="K18" s="249" t="str">
        <f>IF(Leger1!L18="","",IF(Leger1!L18&gt;=(Leger1!$C$4+2/3*(100-Leger1!$C$4)),"A",IF(Leger1!L18&gt;=(Leger1!$C$4+1/3*(100-Leger1!$C$4)),"B",IF(Leger1!L18&gt;=Leger1!$C$4,"C","D"))))</f>
        <v/>
      </c>
      <c r="L18" s="252" t="str">
        <f>IF(Leger1!M18="","",IF(Leger1!M18&gt;=(Leger1!$C$4+2/3*(100-Leger1!$C$4)),"A",IF(Leger1!M18&gt;=(Leger1!$C$4+1/3*(100-Leger1!$C$4)),"B",IF(Leger1!M18&gt;=Leger1!$C$4,"C","D"))))</f>
        <v/>
      </c>
      <c r="M18" s="249" t="str">
        <f>IF(Leger1!O18="","",IF(Leger1!O18&gt;=(Leger1!$C$4+2/3*(100-Leger1!$C$4)),"A",IF(Leger1!O18&gt;=(Leger1!$C$4+1/3*(100-Leger1!$C$4)),"B",IF(Leger1!O18&gt;=Leger1!$C$4,"C","D"))))</f>
        <v/>
      </c>
      <c r="N18" s="252" t="str">
        <f>IF(Leger1!P18="","",IF(Leger1!P18&gt;=(Leger1!$C$4+2/3*(100-Leger1!$C$4)),"A",IF(Leger1!P18&gt;=(Leger1!$C$4+1/3*(100-Leger1!$C$4)),"B",IF(Leger1!P18&gt;=Leger1!$C$4,"C","D"))))</f>
        <v/>
      </c>
      <c r="O18" s="249" t="str">
        <f>IF(Leger1!R18="","",IF(Leger1!R18&gt;=(Leger1!$C$4+2/3*(100-Leger1!$C$4)),"A",IF(Leger1!R18&gt;=(Leger1!$C$4+1/3*(100-Leger1!$C$4)),"B",IF(Leger1!R18&gt;=Leger1!$C$4,"C","D"))))</f>
        <v/>
      </c>
      <c r="P18" s="252" t="str">
        <f>IF(Leger1!S18="","",IF(Leger1!S18&gt;=(Leger1!$C$4+2/3*(100-Leger1!$C$4)),"A",IF(Leger1!S18&gt;=(Leger1!$C$4+1/3*(100-Leger1!$C$4)),"B",IF(Leger1!S18&gt;=Leger1!$C$4,"C","D"))))</f>
        <v/>
      </c>
      <c r="Q18" s="249" t="str">
        <f>IF(Leger1!U18="","",IF(Leger1!U18&gt;=(Leger1!$C$4+2/3*(100-Leger1!$C$4)),"A",IF(Leger1!U18&gt;=(Leger1!$C$4+1/3*(100-Leger1!$C$4)),"B",IF(Leger1!U18&gt;=Leger1!$C$4,"C","D"))))</f>
        <v/>
      </c>
      <c r="R18" s="252" t="str">
        <f>IF(Leger1!V18="","",IF(Leger1!V18&gt;=(Leger1!$C$4+2/3*(100-Leger1!$C$4)),"A",IF(Leger1!V18&gt;=(Leger1!$C$4+1/3*(100-Leger1!$C$4)),"B",IF(Leger1!V18&gt;=Leger1!$C$4,"C","D"))))</f>
        <v/>
      </c>
      <c r="S18" s="249" t="str">
        <f>IF(Leger1!X18="","",IF(Leger1!X18&gt;=(Leger1!$C$4+2/3*(100-Leger1!$C$4)),"A",IF(Leger1!X18&gt;=(Leger1!$C$4+1/3*(100-Leger1!$C$4)),"B",IF(Leger1!X18&gt;=Leger1!$C$4,"C","D"))))</f>
        <v>C</v>
      </c>
      <c r="T18" s="252" t="str">
        <f>IF(Leger1!Y18="","",IF(Leger1!Y18&gt;=(Leger1!$C$4+2/3*(100-Leger1!$C$4)),"A",IF(Leger1!Y18&gt;=(Leger1!$C$4+1/3*(100-Leger1!$C$4)),"B",IF(Leger1!Y18&gt;=Leger1!$C$4,"C","D"))))</f>
        <v>C</v>
      </c>
      <c r="U18" s="249" t="str">
        <f>IF(Leger1!AA18="","",IF(Leger1!AA18&gt;=(Leger1!$C$4+2/3*(100-Leger1!$C$4)),"A",IF(Leger1!AA18&gt;=(Leger1!$C$4+1/3*(100-Leger1!$C$4)),"B",IF(Leger1!AA18&gt;=Leger1!$C$4,"C","D"))))</f>
        <v>C</v>
      </c>
      <c r="V18" s="252" t="str">
        <f>IF(Leger1!AB18="","",IF(Leger1!AB18&gt;=(Leger1!$C$4+2/3*(100-Leger1!$C$4)),"A",IF(Leger1!AB18&gt;=(Leger1!$C$4+1/3*(100-Leger1!$C$4)),"B",IF(Leger1!AB18&gt;=Leger1!$C$4,"C","D"))))</f>
        <v>C</v>
      </c>
      <c r="W18" s="249" t="str">
        <f>IF(Leger1!AD18="","",IF(Leger1!AD18&gt;=(Leger1!$C$4+2/3*(100-Leger1!$C$4)),"A",IF(Leger1!AD18&gt;=(Leger1!$C$4+1/3*(100-Leger1!$C$4)),"B",IF(Leger1!AD18&gt;=Leger1!$C$4,"C","D"))))</f>
        <v>C</v>
      </c>
      <c r="X18" s="252" t="str">
        <f>IF(Leger1!AE18="","",IF(Leger1!AE18&gt;=(Leger1!$C$4+2/3*(100-Leger1!$C$4)),"A",IF(Leger1!AE18&gt;=(Leger1!$C$4+1/3*(100-Leger1!$C$4)),"B",IF(Leger1!AE18&gt;=Leger1!$C$4,"C","D"))))</f>
        <v>C</v>
      </c>
      <c r="Y18" s="249" t="str">
        <f>IF(Leger1!AG18="","",IF(Leger1!AG18&gt;=(Leger1!$C$4+2/3*(100-Leger1!$C$4)),"A",IF(Leger1!AG18&gt;=(Leger1!$C$4+1/3*(100-Leger1!$C$4)),"B",IF(Leger1!AG18&gt;=Leger1!$C$4,"C","D"))))</f>
        <v>C</v>
      </c>
      <c r="Z18" s="252" t="str">
        <f>IF(Leger1!AH18="","",IF(Leger1!AH18&gt;=(Leger1!$C$4+2/3*(100-Leger1!$C$4)),"A",IF(Leger1!AH18&gt;=(Leger1!$C$4+1/3*(100-Leger1!$C$4)),"B",IF(Leger1!AH18&gt;=Leger1!$C$4,"C","D"))))</f>
        <v>C</v>
      </c>
      <c r="AA18" s="249" t="str">
        <f>IF(Leger1!AJ18="","",IF(Leger1!AJ18&gt;=(Leger1!$C$4+2/3*(100-Leger1!$C$4)),"A",IF(Leger1!AJ18&gt;=(Leger1!$C$4+1/3*(100-Leger1!$C$4)),"B",IF(Leger1!AJ18&gt;=Leger1!$C$4,"C","D"))))</f>
        <v>B</v>
      </c>
      <c r="AB18" s="252" t="str">
        <f>IF(Leger1!AK18="","",IF(Leger1!AK18&gt;=(Leger1!$C$4+2/3*(100-Leger1!$C$4)),"A",IF(Leger1!AK18&gt;=(Leger1!$C$4+1/3*(100-Leger1!$C$4)),"B",IF(Leger1!AK18&gt;=Leger1!$C$4,"C","D"))))</f>
        <v>B</v>
      </c>
      <c r="AC18" s="249" t="str">
        <f>IF(Leger1!AM18="","",IF(Leger1!AM18&gt;=(Leger1!$C$4+2/3*(100-Leger1!$C$4)),"A",IF(Leger1!AM18&gt;=(Leger1!$C$4+1/3*(100-Leger1!$C$4)),"B",IF(Leger1!AM18&gt;=Leger1!$C$4,"C","D"))))</f>
        <v>C</v>
      </c>
      <c r="AD18" s="252" t="str">
        <f>IF(Leger1!AN18="","",IF(Leger1!AN18&gt;=(Leger1!$C$4+2/3*(100-Leger1!$C$4)),"A",IF(Leger1!AN18&gt;=(Leger1!$C$4+1/3*(100-Leger1!$C$4)),"B",IF(Leger1!AN18&gt;=Leger1!$C$4,"C","D"))))</f>
        <v>C</v>
      </c>
      <c r="AE18" s="249" t="str">
        <f>IF(Leger1!AP18="","",IF(Leger1!AP18&gt;=(Leger1!$C$4+2/3*(100-Leger1!$C$4)),"A",IF(Leger1!AP18&gt;=(Leger1!$C$4+1/3*(100-Leger1!$C$4)),"B",IF(Leger1!AP18&gt;=Leger1!$C$4,"C","D"))))</f>
        <v>C</v>
      </c>
      <c r="AF18" s="252" t="str">
        <f>IF(Leger1!AQ18="","",IF(Leger1!AQ18&gt;=(Leger1!$C$4+2/3*(100-Leger1!$C$4)),"A",IF(Leger1!AQ18&gt;=(Leger1!$C$4+1/3*(100-Leger1!$C$4)),"B",IF(Leger1!AQ18&gt;=Leger1!$C$4,"C","D"))))</f>
        <v>C</v>
      </c>
      <c r="AG18" s="249" t="str">
        <f>IF(Leger1!AS18="","",IF(Leger1!AS18&gt;=(Leger1!$C$4+2/3*(100-Leger1!$C$4)),"A",IF(Leger1!AS18&gt;=(Leger1!$C$4+1/3*(100-Leger1!$C$4)),"B",IF(Leger1!AS18&gt;=Leger1!$C$4,"C","D"))))</f>
        <v>C</v>
      </c>
      <c r="AH18" s="252" t="str">
        <f>IF(Leger1!AT18="","",IF(Leger1!AT18&gt;=(Leger1!$C$4+2/3*(100-Leger1!$C$4)),"A",IF(Leger1!AT18&gt;=(Leger1!$C$4+1/3*(100-Leger1!$C$4)),"B",IF(Leger1!AT18&gt;=Leger1!$C$4,"C","D"))))</f>
        <v>C</v>
      </c>
      <c r="AI18" s="249" t="str">
        <f>IF(Leger1!AV18="","",IF(Leger1!AV18&gt;=(Leger1!$C$4+2/3*(100-Leger1!$C$4)),"A",IF(Leger1!AV18&gt;=(Leger1!$C$4+1/3*(100-Leger1!$C$4)),"B",IF(Leger1!AV18&gt;=Leger1!$C$4,"C","D"))))</f>
        <v>C</v>
      </c>
      <c r="AJ18" s="252" t="str">
        <f>IF(Leger1!AW18="","",IF(Leger1!AW18&gt;=(Leger1!$C$4+2/3*(100-Leger1!$C$4)),"A",IF(Leger1!AW18&gt;=(Leger1!$C$4+1/3*(100-Leger1!$C$4)),"B",IF(Leger1!AW18&gt;=Leger1!$C$4,"C","D"))))</f>
        <v>B</v>
      </c>
      <c r="AK18" s="249" t="str">
        <f>IF(Leger1!AY18="","",IF(Leger1!AY18&gt;=(Leger1!$C$4+2/3*(100-Leger1!$C$4)),"A",IF(Leger1!AY18&gt;=(Leger1!$C$4+1/3*(100-Leger1!$C$4)),"B",IF(Leger1!AY18&gt;=Leger1!$C$4,"C","D"))))</f>
        <v>C</v>
      </c>
      <c r="AL18" s="252" t="str">
        <f>IF(Leger1!AZ18="","",IF(Leger1!AZ18&gt;=(Leger1!$C$4+2/3*(100-Leger1!$C$4)),"A",IF(Leger1!AZ18&gt;=(Leger1!$C$4+1/3*(100-Leger1!$C$4)),"B",IF(Leger1!AZ18&gt;=Leger1!$C$4,"C","D"))))</f>
        <v>C</v>
      </c>
    </row>
    <row r="19" spans="2:38">
      <c r="E19" s="211">
        <f>Biodata!B18</f>
        <v>13</v>
      </c>
      <c r="F19" s="212">
        <f>IF(Biodata!C18="","",VLOOKUP(E19,Biodata_Siswa,2,FALSE))</f>
        <v>7084</v>
      </c>
      <c r="G19" s="1015" t="str">
        <f>IF(Biodata!E18="","",PROPER(VLOOKUP(E19,Biodata_Siswa,4,FALSE)))</f>
        <v>Dony Pratama</v>
      </c>
      <c r="H19" s="1016"/>
      <c r="I19" s="249" t="str">
        <f>IF(Leger1!I19="","",IF(Leger1!I19&gt;=(Leger1!$C$4+2/3*(100-Leger1!$C$4)),"A",IF(Leger1!I19&gt;=(Leger1!$C$4+1/3*(100-Leger1!$C$4)),"B",IF(Leger1!I19&gt;=Leger1!$C$4,"C","D"))))</f>
        <v>C</v>
      </c>
      <c r="J19" s="252" t="str">
        <f>IF(Leger1!J19="","",IF(Leger1!J19&gt;=(Leger1!$C$4+2/3*(100-Leger1!$C$4)),"A",IF(Leger1!J19&gt;=(Leger1!$C$4+1/3*(100-Leger1!$C$4)),"B",IF(Leger1!J19&gt;=Leger1!$C$4,"C","D"))))</f>
        <v>C</v>
      </c>
      <c r="K19" s="249" t="str">
        <f>IF(Leger1!L19="","",IF(Leger1!L19&gt;=(Leger1!$C$4+2/3*(100-Leger1!$C$4)),"A",IF(Leger1!L19&gt;=(Leger1!$C$4+1/3*(100-Leger1!$C$4)),"B",IF(Leger1!L19&gt;=Leger1!$C$4,"C","D"))))</f>
        <v/>
      </c>
      <c r="L19" s="252" t="str">
        <f>IF(Leger1!M19="","",IF(Leger1!M19&gt;=(Leger1!$C$4+2/3*(100-Leger1!$C$4)),"A",IF(Leger1!M19&gt;=(Leger1!$C$4+1/3*(100-Leger1!$C$4)),"B",IF(Leger1!M19&gt;=Leger1!$C$4,"C","D"))))</f>
        <v/>
      </c>
      <c r="M19" s="249" t="str">
        <f>IF(Leger1!O19="","",IF(Leger1!O19&gt;=(Leger1!$C$4+2/3*(100-Leger1!$C$4)),"A",IF(Leger1!O19&gt;=(Leger1!$C$4+1/3*(100-Leger1!$C$4)),"B",IF(Leger1!O19&gt;=Leger1!$C$4,"C","D"))))</f>
        <v/>
      </c>
      <c r="N19" s="252" t="str">
        <f>IF(Leger1!P19="","",IF(Leger1!P19&gt;=(Leger1!$C$4+2/3*(100-Leger1!$C$4)),"A",IF(Leger1!P19&gt;=(Leger1!$C$4+1/3*(100-Leger1!$C$4)),"B",IF(Leger1!P19&gt;=Leger1!$C$4,"C","D"))))</f>
        <v/>
      </c>
      <c r="O19" s="249" t="str">
        <f>IF(Leger1!R19="","",IF(Leger1!R19&gt;=(Leger1!$C$4+2/3*(100-Leger1!$C$4)),"A",IF(Leger1!R19&gt;=(Leger1!$C$4+1/3*(100-Leger1!$C$4)),"B",IF(Leger1!R19&gt;=Leger1!$C$4,"C","D"))))</f>
        <v/>
      </c>
      <c r="P19" s="252" t="str">
        <f>IF(Leger1!S19="","",IF(Leger1!S19&gt;=(Leger1!$C$4+2/3*(100-Leger1!$C$4)),"A",IF(Leger1!S19&gt;=(Leger1!$C$4+1/3*(100-Leger1!$C$4)),"B",IF(Leger1!S19&gt;=Leger1!$C$4,"C","D"))))</f>
        <v/>
      </c>
      <c r="Q19" s="249" t="str">
        <f>IF(Leger1!U19="","",IF(Leger1!U19&gt;=(Leger1!$C$4+2/3*(100-Leger1!$C$4)),"A",IF(Leger1!U19&gt;=(Leger1!$C$4+1/3*(100-Leger1!$C$4)),"B",IF(Leger1!U19&gt;=Leger1!$C$4,"C","D"))))</f>
        <v/>
      </c>
      <c r="R19" s="252" t="str">
        <f>IF(Leger1!V19="","",IF(Leger1!V19&gt;=(Leger1!$C$4+2/3*(100-Leger1!$C$4)),"A",IF(Leger1!V19&gt;=(Leger1!$C$4+1/3*(100-Leger1!$C$4)),"B",IF(Leger1!V19&gt;=Leger1!$C$4,"C","D"))))</f>
        <v/>
      </c>
      <c r="S19" s="249" t="str">
        <f>IF(Leger1!X19="","",IF(Leger1!X19&gt;=(Leger1!$C$4+2/3*(100-Leger1!$C$4)),"A",IF(Leger1!X19&gt;=(Leger1!$C$4+1/3*(100-Leger1!$C$4)),"B",IF(Leger1!X19&gt;=Leger1!$C$4,"C","D"))))</f>
        <v>C</v>
      </c>
      <c r="T19" s="252" t="str">
        <f>IF(Leger1!Y19="","",IF(Leger1!Y19&gt;=(Leger1!$C$4+2/3*(100-Leger1!$C$4)),"A",IF(Leger1!Y19&gt;=(Leger1!$C$4+1/3*(100-Leger1!$C$4)),"B",IF(Leger1!Y19&gt;=Leger1!$C$4,"C","D"))))</f>
        <v>C</v>
      </c>
      <c r="U19" s="249" t="str">
        <f>IF(Leger1!AA19="","",IF(Leger1!AA19&gt;=(Leger1!$C$4+2/3*(100-Leger1!$C$4)),"A",IF(Leger1!AA19&gt;=(Leger1!$C$4+1/3*(100-Leger1!$C$4)),"B",IF(Leger1!AA19&gt;=Leger1!$C$4,"C","D"))))</f>
        <v>C</v>
      </c>
      <c r="V19" s="252" t="str">
        <f>IF(Leger1!AB19="","",IF(Leger1!AB19&gt;=(Leger1!$C$4+2/3*(100-Leger1!$C$4)),"A",IF(Leger1!AB19&gt;=(Leger1!$C$4+1/3*(100-Leger1!$C$4)),"B",IF(Leger1!AB19&gt;=Leger1!$C$4,"C","D"))))</f>
        <v>C</v>
      </c>
      <c r="W19" s="249" t="str">
        <f>IF(Leger1!AD19="","",IF(Leger1!AD19&gt;=(Leger1!$C$4+2/3*(100-Leger1!$C$4)),"A",IF(Leger1!AD19&gt;=(Leger1!$C$4+1/3*(100-Leger1!$C$4)),"B",IF(Leger1!AD19&gt;=Leger1!$C$4,"C","D"))))</f>
        <v>C</v>
      </c>
      <c r="X19" s="252" t="str">
        <f>IF(Leger1!AE19="","",IF(Leger1!AE19&gt;=(Leger1!$C$4+2/3*(100-Leger1!$C$4)),"A",IF(Leger1!AE19&gt;=(Leger1!$C$4+1/3*(100-Leger1!$C$4)),"B",IF(Leger1!AE19&gt;=Leger1!$C$4,"C","D"))))</f>
        <v>C</v>
      </c>
      <c r="Y19" s="249" t="str">
        <f>IF(Leger1!AG19="","",IF(Leger1!AG19&gt;=(Leger1!$C$4+2/3*(100-Leger1!$C$4)),"A",IF(Leger1!AG19&gt;=(Leger1!$C$4+1/3*(100-Leger1!$C$4)),"B",IF(Leger1!AG19&gt;=Leger1!$C$4,"C","D"))))</f>
        <v>C</v>
      </c>
      <c r="Z19" s="252" t="str">
        <f>IF(Leger1!AH19="","",IF(Leger1!AH19&gt;=(Leger1!$C$4+2/3*(100-Leger1!$C$4)),"A",IF(Leger1!AH19&gt;=(Leger1!$C$4+1/3*(100-Leger1!$C$4)),"B",IF(Leger1!AH19&gt;=Leger1!$C$4,"C","D"))))</f>
        <v>C</v>
      </c>
      <c r="AA19" s="249" t="str">
        <f>IF(Leger1!AJ19="","",IF(Leger1!AJ19&gt;=(Leger1!$C$4+2/3*(100-Leger1!$C$4)),"A",IF(Leger1!AJ19&gt;=(Leger1!$C$4+1/3*(100-Leger1!$C$4)),"B",IF(Leger1!AJ19&gt;=Leger1!$C$4,"C","D"))))</f>
        <v>C</v>
      </c>
      <c r="AB19" s="252" t="str">
        <f>IF(Leger1!AK19="","",IF(Leger1!AK19&gt;=(Leger1!$C$4+2/3*(100-Leger1!$C$4)),"A",IF(Leger1!AK19&gt;=(Leger1!$C$4+1/3*(100-Leger1!$C$4)),"B",IF(Leger1!AK19&gt;=Leger1!$C$4,"C","D"))))</f>
        <v>C</v>
      </c>
      <c r="AC19" s="249" t="str">
        <f>IF(Leger1!AM19="","",IF(Leger1!AM19&gt;=(Leger1!$C$4+2/3*(100-Leger1!$C$4)),"A",IF(Leger1!AM19&gt;=(Leger1!$C$4+1/3*(100-Leger1!$C$4)),"B",IF(Leger1!AM19&gt;=Leger1!$C$4,"C","D"))))</f>
        <v>C</v>
      </c>
      <c r="AD19" s="252" t="str">
        <f>IF(Leger1!AN19="","",IF(Leger1!AN19&gt;=(Leger1!$C$4+2/3*(100-Leger1!$C$4)),"A",IF(Leger1!AN19&gt;=(Leger1!$C$4+1/3*(100-Leger1!$C$4)),"B",IF(Leger1!AN19&gt;=Leger1!$C$4,"C","D"))))</f>
        <v>C</v>
      </c>
      <c r="AE19" s="249" t="str">
        <f>IF(Leger1!AP19="","",IF(Leger1!AP19&gt;=(Leger1!$C$4+2/3*(100-Leger1!$C$4)),"A",IF(Leger1!AP19&gt;=(Leger1!$C$4+1/3*(100-Leger1!$C$4)),"B",IF(Leger1!AP19&gt;=Leger1!$C$4,"C","D"))))</f>
        <v>C</v>
      </c>
      <c r="AF19" s="252" t="str">
        <f>IF(Leger1!AQ19="","",IF(Leger1!AQ19&gt;=(Leger1!$C$4+2/3*(100-Leger1!$C$4)),"A",IF(Leger1!AQ19&gt;=(Leger1!$C$4+1/3*(100-Leger1!$C$4)),"B",IF(Leger1!AQ19&gt;=Leger1!$C$4,"C","D"))))</f>
        <v>C</v>
      </c>
      <c r="AG19" s="249" t="str">
        <f>IF(Leger1!AS19="","",IF(Leger1!AS19&gt;=(Leger1!$C$4+2/3*(100-Leger1!$C$4)),"A",IF(Leger1!AS19&gt;=(Leger1!$C$4+1/3*(100-Leger1!$C$4)),"B",IF(Leger1!AS19&gt;=Leger1!$C$4,"C","D"))))</f>
        <v>C</v>
      </c>
      <c r="AH19" s="252" t="str">
        <f>IF(Leger1!AT19="","",IF(Leger1!AT19&gt;=(Leger1!$C$4+2/3*(100-Leger1!$C$4)),"A",IF(Leger1!AT19&gt;=(Leger1!$C$4+1/3*(100-Leger1!$C$4)),"B",IF(Leger1!AT19&gt;=Leger1!$C$4,"C","D"))))</f>
        <v>C</v>
      </c>
      <c r="AI19" s="249" t="str">
        <f>IF(Leger1!AV19="","",IF(Leger1!AV19&gt;=(Leger1!$C$4+2/3*(100-Leger1!$C$4)),"A",IF(Leger1!AV19&gt;=(Leger1!$C$4+1/3*(100-Leger1!$C$4)),"B",IF(Leger1!AV19&gt;=Leger1!$C$4,"C","D"))))</f>
        <v>C</v>
      </c>
      <c r="AJ19" s="252" t="str">
        <f>IF(Leger1!AW19="","",IF(Leger1!AW19&gt;=(Leger1!$C$4+2/3*(100-Leger1!$C$4)),"A",IF(Leger1!AW19&gt;=(Leger1!$C$4+1/3*(100-Leger1!$C$4)),"B",IF(Leger1!AW19&gt;=Leger1!$C$4,"C","D"))))</f>
        <v>C</v>
      </c>
      <c r="AK19" s="249" t="str">
        <f>IF(Leger1!AY19="","",IF(Leger1!AY19&gt;=(Leger1!$C$4+2/3*(100-Leger1!$C$4)),"A",IF(Leger1!AY19&gt;=(Leger1!$C$4+1/3*(100-Leger1!$C$4)),"B",IF(Leger1!AY19&gt;=Leger1!$C$4,"C","D"))))</f>
        <v>C</v>
      </c>
      <c r="AL19" s="252" t="str">
        <f>IF(Leger1!AZ19="","",IF(Leger1!AZ19&gt;=(Leger1!$C$4+2/3*(100-Leger1!$C$4)),"A",IF(Leger1!AZ19&gt;=(Leger1!$C$4+1/3*(100-Leger1!$C$4)),"B",IF(Leger1!AZ19&gt;=Leger1!$C$4,"C","D"))))</f>
        <v>C</v>
      </c>
    </row>
    <row r="20" spans="2:38">
      <c r="E20" s="211">
        <f>Biodata!B19</f>
        <v>14</v>
      </c>
      <c r="F20" s="212">
        <f>IF(Biodata!C19="","",VLOOKUP(E20,Biodata_Siswa,2,FALSE))</f>
        <v>7089</v>
      </c>
      <c r="G20" s="1015" t="str">
        <f>IF(Biodata!E19="","",PROPER(VLOOKUP(E20,Biodata_Siswa,4,FALSE)))</f>
        <v>Faris Febram</v>
      </c>
      <c r="H20" s="1016"/>
      <c r="I20" s="249" t="str">
        <f>IF(Leger1!I20="","",IF(Leger1!I20&gt;=(Leger1!$C$4+2/3*(100-Leger1!$C$4)),"A",IF(Leger1!I20&gt;=(Leger1!$C$4+1/3*(100-Leger1!$C$4)),"B",IF(Leger1!I20&gt;=Leger1!$C$4,"C","D"))))</f>
        <v>C</v>
      </c>
      <c r="J20" s="252" t="str">
        <f>IF(Leger1!J20="","",IF(Leger1!J20&gt;=(Leger1!$C$4+2/3*(100-Leger1!$C$4)),"A",IF(Leger1!J20&gt;=(Leger1!$C$4+1/3*(100-Leger1!$C$4)),"B",IF(Leger1!J20&gt;=Leger1!$C$4,"C","D"))))</f>
        <v>C</v>
      </c>
      <c r="K20" s="249" t="str">
        <f>IF(Leger1!L20="","",IF(Leger1!L20&gt;=(Leger1!$C$4+2/3*(100-Leger1!$C$4)),"A",IF(Leger1!L20&gt;=(Leger1!$C$4+1/3*(100-Leger1!$C$4)),"B",IF(Leger1!L20&gt;=Leger1!$C$4,"C","D"))))</f>
        <v/>
      </c>
      <c r="L20" s="252" t="str">
        <f>IF(Leger1!M20="","",IF(Leger1!M20&gt;=(Leger1!$C$4+2/3*(100-Leger1!$C$4)),"A",IF(Leger1!M20&gt;=(Leger1!$C$4+1/3*(100-Leger1!$C$4)),"B",IF(Leger1!M20&gt;=Leger1!$C$4,"C","D"))))</f>
        <v/>
      </c>
      <c r="M20" s="249" t="str">
        <f>IF(Leger1!O20="","",IF(Leger1!O20&gt;=(Leger1!$C$4+2/3*(100-Leger1!$C$4)),"A",IF(Leger1!O20&gt;=(Leger1!$C$4+1/3*(100-Leger1!$C$4)),"B",IF(Leger1!O20&gt;=Leger1!$C$4,"C","D"))))</f>
        <v/>
      </c>
      <c r="N20" s="252" t="str">
        <f>IF(Leger1!P20="","",IF(Leger1!P20&gt;=(Leger1!$C$4+2/3*(100-Leger1!$C$4)),"A",IF(Leger1!P20&gt;=(Leger1!$C$4+1/3*(100-Leger1!$C$4)),"B",IF(Leger1!P20&gt;=Leger1!$C$4,"C","D"))))</f>
        <v/>
      </c>
      <c r="O20" s="249" t="str">
        <f>IF(Leger1!R20="","",IF(Leger1!R20&gt;=(Leger1!$C$4+2/3*(100-Leger1!$C$4)),"A",IF(Leger1!R20&gt;=(Leger1!$C$4+1/3*(100-Leger1!$C$4)),"B",IF(Leger1!R20&gt;=Leger1!$C$4,"C","D"))))</f>
        <v/>
      </c>
      <c r="P20" s="252" t="str">
        <f>IF(Leger1!S20="","",IF(Leger1!S20&gt;=(Leger1!$C$4+2/3*(100-Leger1!$C$4)),"A",IF(Leger1!S20&gt;=(Leger1!$C$4+1/3*(100-Leger1!$C$4)),"B",IF(Leger1!S20&gt;=Leger1!$C$4,"C","D"))))</f>
        <v/>
      </c>
      <c r="Q20" s="249" t="str">
        <f>IF(Leger1!U20="","",IF(Leger1!U20&gt;=(Leger1!$C$4+2/3*(100-Leger1!$C$4)),"A",IF(Leger1!U20&gt;=(Leger1!$C$4+1/3*(100-Leger1!$C$4)),"B",IF(Leger1!U20&gt;=Leger1!$C$4,"C","D"))))</f>
        <v/>
      </c>
      <c r="R20" s="252" t="str">
        <f>IF(Leger1!V20="","",IF(Leger1!V20&gt;=(Leger1!$C$4+2/3*(100-Leger1!$C$4)),"A",IF(Leger1!V20&gt;=(Leger1!$C$4+1/3*(100-Leger1!$C$4)),"B",IF(Leger1!V20&gt;=Leger1!$C$4,"C","D"))))</f>
        <v/>
      </c>
      <c r="S20" s="249" t="str">
        <f>IF(Leger1!X20="","",IF(Leger1!X20&gt;=(Leger1!$C$4+2/3*(100-Leger1!$C$4)),"A",IF(Leger1!X20&gt;=(Leger1!$C$4+1/3*(100-Leger1!$C$4)),"B",IF(Leger1!X20&gt;=Leger1!$C$4,"C","D"))))</f>
        <v>C</v>
      </c>
      <c r="T20" s="252" t="str">
        <f>IF(Leger1!Y20="","",IF(Leger1!Y20&gt;=(Leger1!$C$4+2/3*(100-Leger1!$C$4)),"A",IF(Leger1!Y20&gt;=(Leger1!$C$4+1/3*(100-Leger1!$C$4)),"B",IF(Leger1!Y20&gt;=Leger1!$C$4,"C","D"))))</f>
        <v>C</v>
      </c>
      <c r="U20" s="249" t="str">
        <f>IF(Leger1!AA20="","",IF(Leger1!AA20&gt;=(Leger1!$C$4+2/3*(100-Leger1!$C$4)),"A",IF(Leger1!AA20&gt;=(Leger1!$C$4+1/3*(100-Leger1!$C$4)),"B",IF(Leger1!AA20&gt;=Leger1!$C$4,"C","D"))))</f>
        <v>C</v>
      </c>
      <c r="V20" s="252" t="str">
        <f>IF(Leger1!AB20="","",IF(Leger1!AB20&gt;=(Leger1!$C$4+2/3*(100-Leger1!$C$4)),"A",IF(Leger1!AB20&gt;=(Leger1!$C$4+1/3*(100-Leger1!$C$4)),"B",IF(Leger1!AB20&gt;=Leger1!$C$4,"C","D"))))</f>
        <v>C</v>
      </c>
      <c r="W20" s="249" t="str">
        <f>IF(Leger1!AD20="","",IF(Leger1!AD20&gt;=(Leger1!$C$4+2/3*(100-Leger1!$C$4)),"A",IF(Leger1!AD20&gt;=(Leger1!$C$4+1/3*(100-Leger1!$C$4)),"B",IF(Leger1!AD20&gt;=Leger1!$C$4,"C","D"))))</f>
        <v>C</v>
      </c>
      <c r="X20" s="252" t="str">
        <f>IF(Leger1!AE20="","",IF(Leger1!AE20&gt;=(Leger1!$C$4+2/3*(100-Leger1!$C$4)),"A",IF(Leger1!AE20&gt;=(Leger1!$C$4+1/3*(100-Leger1!$C$4)),"B",IF(Leger1!AE20&gt;=Leger1!$C$4,"C","D"))))</f>
        <v>C</v>
      </c>
      <c r="Y20" s="249" t="str">
        <f>IF(Leger1!AG20="","",IF(Leger1!AG20&gt;=(Leger1!$C$4+2/3*(100-Leger1!$C$4)),"A",IF(Leger1!AG20&gt;=(Leger1!$C$4+1/3*(100-Leger1!$C$4)),"B",IF(Leger1!AG20&gt;=Leger1!$C$4,"C","D"))))</f>
        <v>C</v>
      </c>
      <c r="Z20" s="252" t="str">
        <f>IF(Leger1!AH20="","",IF(Leger1!AH20&gt;=(Leger1!$C$4+2/3*(100-Leger1!$C$4)),"A",IF(Leger1!AH20&gt;=(Leger1!$C$4+1/3*(100-Leger1!$C$4)),"B",IF(Leger1!AH20&gt;=Leger1!$C$4,"C","D"))))</f>
        <v>C</v>
      </c>
      <c r="AA20" s="249" t="str">
        <f>IF(Leger1!AJ20="","",IF(Leger1!AJ20&gt;=(Leger1!$C$4+2/3*(100-Leger1!$C$4)),"A",IF(Leger1!AJ20&gt;=(Leger1!$C$4+1/3*(100-Leger1!$C$4)),"B",IF(Leger1!AJ20&gt;=Leger1!$C$4,"C","D"))))</f>
        <v>C</v>
      </c>
      <c r="AB20" s="252" t="str">
        <f>IF(Leger1!AK20="","",IF(Leger1!AK20&gt;=(Leger1!$C$4+2/3*(100-Leger1!$C$4)),"A",IF(Leger1!AK20&gt;=(Leger1!$C$4+1/3*(100-Leger1!$C$4)),"B",IF(Leger1!AK20&gt;=Leger1!$C$4,"C","D"))))</f>
        <v>B</v>
      </c>
      <c r="AC20" s="249" t="str">
        <f>IF(Leger1!AM20="","",IF(Leger1!AM20&gt;=(Leger1!$C$4+2/3*(100-Leger1!$C$4)),"A",IF(Leger1!AM20&gt;=(Leger1!$C$4+1/3*(100-Leger1!$C$4)),"B",IF(Leger1!AM20&gt;=Leger1!$C$4,"C","D"))))</f>
        <v>C</v>
      </c>
      <c r="AD20" s="252" t="str">
        <f>IF(Leger1!AN20="","",IF(Leger1!AN20&gt;=(Leger1!$C$4+2/3*(100-Leger1!$C$4)),"A",IF(Leger1!AN20&gt;=(Leger1!$C$4+1/3*(100-Leger1!$C$4)),"B",IF(Leger1!AN20&gt;=Leger1!$C$4,"C","D"))))</f>
        <v>C</v>
      </c>
      <c r="AE20" s="249" t="str">
        <f>IF(Leger1!AP20="","",IF(Leger1!AP20&gt;=(Leger1!$C$4+2/3*(100-Leger1!$C$4)),"A",IF(Leger1!AP20&gt;=(Leger1!$C$4+1/3*(100-Leger1!$C$4)),"B",IF(Leger1!AP20&gt;=Leger1!$C$4,"C","D"))))</f>
        <v>C</v>
      </c>
      <c r="AF20" s="252" t="str">
        <f>IF(Leger1!AQ20="","",IF(Leger1!AQ20&gt;=(Leger1!$C$4+2/3*(100-Leger1!$C$4)),"A",IF(Leger1!AQ20&gt;=(Leger1!$C$4+1/3*(100-Leger1!$C$4)),"B",IF(Leger1!AQ20&gt;=Leger1!$C$4,"C","D"))))</f>
        <v>C</v>
      </c>
      <c r="AG20" s="249" t="str">
        <f>IF(Leger1!AS20="","",IF(Leger1!AS20&gt;=(Leger1!$C$4+2/3*(100-Leger1!$C$4)),"A",IF(Leger1!AS20&gt;=(Leger1!$C$4+1/3*(100-Leger1!$C$4)),"B",IF(Leger1!AS20&gt;=Leger1!$C$4,"C","D"))))</f>
        <v>C</v>
      </c>
      <c r="AH20" s="252" t="str">
        <f>IF(Leger1!AT20="","",IF(Leger1!AT20&gt;=(Leger1!$C$4+2/3*(100-Leger1!$C$4)),"A",IF(Leger1!AT20&gt;=(Leger1!$C$4+1/3*(100-Leger1!$C$4)),"B",IF(Leger1!AT20&gt;=Leger1!$C$4,"C","D"))))</f>
        <v>C</v>
      </c>
      <c r="AI20" s="249" t="str">
        <f>IF(Leger1!AV20="","",IF(Leger1!AV20&gt;=(Leger1!$C$4+2/3*(100-Leger1!$C$4)),"A",IF(Leger1!AV20&gt;=(Leger1!$C$4+1/3*(100-Leger1!$C$4)),"B",IF(Leger1!AV20&gt;=Leger1!$C$4,"C","D"))))</f>
        <v>C</v>
      </c>
      <c r="AJ20" s="252" t="str">
        <f>IF(Leger1!AW20="","",IF(Leger1!AW20&gt;=(Leger1!$C$4+2/3*(100-Leger1!$C$4)),"A",IF(Leger1!AW20&gt;=(Leger1!$C$4+1/3*(100-Leger1!$C$4)),"B",IF(Leger1!AW20&gt;=Leger1!$C$4,"C","D"))))</f>
        <v>C</v>
      </c>
      <c r="AK20" s="249" t="str">
        <f>IF(Leger1!AY20="","",IF(Leger1!AY20&gt;=(Leger1!$C$4+2/3*(100-Leger1!$C$4)),"A",IF(Leger1!AY20&gt;=(Leger1!$C$4+1/3*(100-Leger1!$C$4)),"B",IF(Leger1!AY20&gt;=Leger1!$C$4,"C","D"))))</f>
        <v>C</v>
      </c>
      <c r="AL20" s="252" t="str">
        <f>IF(Leger1!AZ20="","",IF(Leger1!AZ20&gt;=(Leger1!$C$4+2/3*(100-Leger1!$C$4)),"A",IF(Leger1!AZ20&gt;=(Leger1!$C$4+1/3*(100-Leger1!$C$4)),"B",IF(Leger1!AZ20&gt;=Leger1!$C$4,"C","D"))))</f>
        <v>C</v>
      </c>
    </row>
    <row r="21" spans="2:38">
      <c r="E21" s="211">
        <f>Biodata!B20</f>
        <v>15</v>
      </c>
      <c r="F21" s="212">
        <f>IF(Biodata!C20="","",VLOOKUP(E21,Biodata_Siswa,2,FALSE))</f>
        <v>7095</v>
      </c>
      <c r="G21" s="1015" t="str">
        <f>IF(Biodata!E20="","",PROPER(VLOOKUP(E21,Biodata_Siswa,4,FALSE)))</f>
        <v>Hikmatullah Umar Malik Abdul Aziz</v>
      </c>
      <c r="H21" s="1016"/>
      <c r="I21" s="249" t="str">
        <f>IF(Leger1!I21="","",IF(Leger1!I21&gt;=(Leger1!$C$4+2/3*(100-Leger1!$C$4)),"A",IF(Leger1!I21&gt;=(Leger1!$C$4+1/3*(100-Leger1!$C$4)),"B",IF(Leger1!I21&gt;=Leger1!$C$4,"C","D"))))</f>
        <v>C</v>
      </c>
      <c r="J21" s="252" t="str">
        <f>IF(Leger1!J21="","",IF(Leger1!J21&gt;=(Leger1!$C$4+2/3*(100-Leger1!$C$4)),"A",IF(Leger1!J21&gt;=(Leger1!$C$4+1/3*(100-Leger1!$C$4)),"B",IF(Leger1!J21&gt;=Leger1!$C$4,"C","D"))))</f>
        <v>C</v>
      </c>
      <c r="K21" s="249" t="str">
        <f>IF(Leger1!L21="","",IF(Leger1!L21&gt;=(Leger1!$C$4+2/3*(100-Leger1!$C$4)),"A",IF(Leger1!L21&gt;=(Leger1!$C$4+1/3*(100-Leger1!$C$4)),"B",IF(Leger1!L21&gt;=Leger1!$C$4,"C","D"))))</f>
        <v/>
      </c>
      <c r="L21" s="252" t="str">
        <f>IF(Leger1!M21="","",IF(Leger1!M21&gt;=(Leger1!$C$4+2/3*(100-Leger1!$C$4)),"A",IF(Leger1!M21&gt;=(Leger1!$C$4+1/3*(100-Leger1!$C$4)),"B",IF(Leger1!M21&gt;=Leger1!$C$4,"C","D"))))</f>
        <v/>
      </c>
      <c r="M21" s="249" t="str">
        <f>IF(Leger1!O21="","",IF(Leger1!O21&gt;=(Leger1!$C$4+2/3*(100-Leger1!$C$4)),"A",IF(Leger1!O21&gt;=(Leger1!$C$4+1/3*(100-Leger1!$C$4)),"B",IF(Leger1!O21&gt;=Leger1!$C$4,"C","D"))))</f>
        <v/>
      </c>
      <c r="N21" s="252" t="str">
        <f>IF(Leger1!P21="","",IF(Leger1!P21&gt;=(Leger1!$C$4+2/3*(100-Leger1!$C$4)),"A",IF(Leger1!P21&gt;=(Leger1!$C$4+1/3*(100-Leger1!$C$4)),"B",IF(Leger1!P21&gt;=Leger1!$C$4,"C","D"))))</f>
        <v/>
      </c>
      <c r="O21" s="249" t="str">
        <f>IF(Leger1!R21="","",IF(Leger1!R21&gt;=(Leger1!$C$4+2/3*(100-Leger1!$C$4)),"A",IF(Leger1!R21&gt;=(Leger1!$C$4+1/3*(100-Leger1!$C$4)),"B",IF(Leger1!R21&gt;=Leger1!$C$4,"C","D"))))</f>
        <v/>
      </c>
      <c r="P21" s="252" t="str">
        <f>IF(Leger1!S21="","",IF(Leger1!S21&gt;=(Leger1!$C$4+2/3*(100-Leger1!$C$4)),"A",IF(Leger1!S21&gt;=(Leger1!$C$4+1/3*(100-Leger1!$C$4)),"B",IF(Leger1!S21&gt;=Leger1!$C$4,"C","D"))))</f>
        <v/>
      </c>
      <c r="Q21" s="249" t="str">
        <f>IF(Leger1!U21="","",IF(Leger1!U21&gt;=(Leger1!$C$4+2/3*(100-Leger1!$C$4)),"A",IF(Leger1!U21&gt;=(Leger1!$C$4+1/3*(100-Leger1!$C$4)),"B",IF(Leger1!U21&gt;=Leger1!$C$4,"C","D"))))</f>
        <v/>
      </c>
      <c r="R21" s="252" t="str">
        <f>IF(Leger1!V21="","",IF(Leger1!V21&gt;=(Leger1!$C$4+2/3*(100-Leger1!$C$4)),"A",IF(Leger1!V21&gt;=(Leger1!$C$4+1/3*(100-Leger1!$C$4)),"B",IF(Leger1!V21&gt;=Leger1!$C$4,"C","D"))))</f>
        <v/>
      </c>
      <c r="S21" s="249" t="str">
        <f>IF(Leger1!X21="","",IF(Leger1!X21&gt;=(Leger1!$C$4+2/3*(100-Leger1!$C$4)),"A",IF(Leger1!X21&gt;=(Leger1!$C$4+1/3*(100-Leger1!$C$4)),"B",IF(Leger1!X21&gt;=Leger1!$C$4,"C","D"))))</f>
        <v>C</v>
      </c>
      <c r="T21" s="252" t="str">
        <f>IF(Leger1!Y21="","",IF(Leger1!Y21&gt;=(Leger1!$C$4+2/3*(100-Leger1!$C$4)),"A",IF(Leger1!Y21&gt;=(Leger1!$C$4+1/3*(100-Leger1!$C$4)),"B",IF(Leger1!Y21&gt;=Leger1!$C$4,"C","D"))))</f>
        <v>C</v>
      </c>
      <c r="U21" s="249" t="str">
        <f>IF(Leger1!AA21="","",IF(Leger1!AA21&gt;=(Leger1!$C$4+2/3*(100-Leger1!$C$4)),"A",IF(Leger1!AA21&gt;=(Leger1!$C$4+1/3*(100-Leger1!$C$4)),"B",IF(Leger1!AA21&gt;=Leger1!$C$4,"C","D"))))</f>
        <v>C</v>
      </c>
      <c r="V21" s="252" t="str">
        <f>IF(Leger1!AB21="","",IF(Leger1!AB21&gt;=(Leger1!$C$4+2/3*(100-Leger1!$C$4)),"A",IF(Leger1!AB21&gt;=(Leger1!$C$4+1/3*(100-Leger1!$C$4)),"B",IF(Leger1!AB21&gt;=Leger1!$C$4,"C","D"))))</f>
        <v>C</v>
      </c>
      <c r="W21" s="249" t="str">
        <f>IF(Leger1!AD21="","",IF(Leger1!AD21&gt;=(Leger1!$C$4+2/3*(100-Leger1!$C$4)),"A",IF(Leger1!AD21&gt;=(Leger1!$C$4+1/3*(100-Leger1!$C$4)),"B",IF(Leger1!AD21&gt;=Leger1!$C$4,"C","D"))))</f>
        <v>C</v>
      </c>
      <c r="X21" s="252" t="str">
        <f>IF(Leger1!AE21="","",IF(Leger1!AE21&gt;=(Leger1!$C$4+2/3*(100-Leger1!$C$4)),"A",IF(Leger1!AE21&gt;=(Leger1!$C$4+1/3*(100-Leger1!$C$4)),"B",IF(Leger1!AE21&gt;=Leger1!$C$4,"C","D"))))</f>
        <v>C</v>
      </c>
      <c r="Y21" s="249" t="str">
        <f>IF(Leger1!AG21="","",IF(Leger1!AG21&gt;=(Leger1!$C$4+2/3*(100-Leger1!$C$4)),"A",IF(Leger1!AG21&gt;=(Leger1!$C$4+1/3*(100-Leger1!$C$4)),"B",IF(Leger1!AG21&gt;=Leger1!$C$4,"C","D"))))</f>
        <v>C</v>
      </c>
      <c r="Z21" s="252" t="str">
        <f>IF(Leger1!AH21="","",IF(Leger1!AH21&gt;=(Leger1!$C$4+2/3*(100-Leger1!$C$4)),"A",IF(Leger1!AH21&gt;=(Leger1!$C$4+1/3*(100-Leger1!$C$4)),"B",IF(Leger1!AH21&gt;=Leger1!$C$4,"C","D"))))</f>
        <v>C</v>
      </c>
      <c r="AA21" s="249" t="str">
        <f>IF(Leger1!AJ21="","",IF(Leger1!AJ21&gt;=(Leger1!$C$4+2/3*(100-Leger1!$C$4)),"A",IF(Leger1!AJ21&gt;=(Leger1!$C$4+1/3*(100-Leger1!$C$4)),"B",IF(Leger1!AJ21&gt;=Leger1!$C$4,"C","D"))))</f>
        <v>C</v>
      </c>
      <c r="AB21" s="252" t="str">
        <f>IF(Leger1!AK21="","",IF(Leger1!AK21&gt;=(Leger1!$C$4+2/3*(100-Leger1!$C$4)),"A",IF(Leger1!AK21&gt;=(Leger1!$C$4+1/3*(100-Leger1!$C$4)),"B",IF(Leger1!AK21&gt;=Leger1!$C$4,"C","D"))))</f>
        <v>C</v>
      </c>
      <c r="AC21" s="249" t="str">
        <f>IF(Leger1!AM21="","",IF(Leger1!AM21&gt;=(Leger1!$C$4+2/3*(100-Leger1!$C$4)),"A",IF(Leger1!AM21&gt;=(Leger1!$C$4+1/3*(100-Leger1!$C$4)),"B",IF(Leger1!AM21&gt;=Leger1!$C$4,"C","D"))))</f>
        <v>C</v>
      </c>
      <c r="AD21" s="252" t="str">
        <f>IF(Leger1!AN21="","",IF(Leger1!AN21&gt;=(Leger1!$C$4+2/3*(100-Leger1!$C$4)),"A",IF(Leger1!AN21&gt;=(Leger1!$C$4+1/3*(100-Leger1!$C$4)),"B",IF(Leger1!AN21&gt;=Leger1!$C$4,"C","D"))))</f>
        <v>C</v>
      </c>
      <c r="AE21" s="249" t="str">
        <f>IF(Leger1!AP21="","",IF(Leger1!AP21&gt;=(Leger1!$C$4+2/3*(100-Leger1!$C$4)),"A",IF(Leger1!AP21&gt;=(Leger1!$C$4+1/3*(100-Leger1!$C$4)),"B",IF(Leger1!AP21&gt;=Leger1!$C$4,"C","D"))))</f>
        <v>C</v>
      </c>
      <c r="AF21" s="252" t="str">
        <f>IF(Leger1!AQ21="","",IF(Leger1!AQ21&gt;=(Leger1!$C$4+2/3*(100-Leger1!$C$4)),"A",IF(Leger1!AQ21&gt;=(Leger1!$C$4+1/3*(100-Leger1!$C$4)),"B",IF(Leger1!AQ21&gt;=Leger1!$C$4,"C","D"))))</f>
        <v>C</v>
      </c>
      <c r="AG21" s="249" t="str">
        <f>IF(Leger1!AS21="","",IF(Leger1!AS21&gt;=(Leger1!$C$4+2/3*(100-Leger1!$C$4)),"A",IF(Leger1!AS21&gt;=(Leger1!$C$4+1/3*(100-Leger1!$C$4)),"B",IF(Leger1!AS21&gt;=Leger1!$C$4,"C","D"))))</f>
        <v>C</v>
      </c>
      <c r="AH21" s="252" t="str">
        <f>IF(Leger1!AT21="","",IF(Leger1!AT21&gt;=(Leger1!$C$4+2/3*(100-Leger1!$C$4)),"A",IF(Leger1!AT21&gt;=(Leger1!$C$4+1/3*(100-Leger1!$C$4)),"B",IF(Leger1!AT21&gt;=Leger1!$C$4,"C","D"))))</f>
        <v>C</v>
      </c>
      <c r="AI21" s="249" t="str">
        <f>IF(Leger1!AV21="","",IF(Leger1!AV21&gt;=(Leger1!$C$4+2/3*(100-Leger1!$C$4)),"A",IF(Leger1!AV21&gt;=(Leger1!$C$4+1/3*(100-Leger1!$C$4)),"B",IF(Leger1!AV21&gt;=Leger1!$C$4,"C","D"))))</f>
        <v>C</v>
      </c>
      <c r="AJ21" s="252" t="str">
        <f>IF(Leger1!AW21="","",IF(Leger1!AW21&gt;=(Leger1!$C$4+2/3*(100-Leger1!$C$4)),"A",IF(Leger1!AW21&gt;=(Leger1!$C$4+1/3*(100-Leger1!$C$4)),"B",IF(Leger1!AW21&gt;=Leger1!$C$4,"C","D"))))</f>
        <v>C</v>
      </c>
      <c r="AK21" s="249" t="str">
        <f>IF(Leger1!AY21="","",IF(Leger1!AY21&gt;=(Leger1!$C$4+2/3*(100-Leger1!$C$4)),"A",IF(Leger1!AY21&gt;=(Leger1!$C$4+1/3*(100-Leger1!$C$4)),"B",IF(Leger1!AY21&gt;=Leger1!$C$4,"C","D"))))</f>
        <v>C</v>
      </c>
      <c r="AL21" s="252" t="str">
        <f>IF(Leger1!AZ21="","",IF(Leger1!AZ21&gt;=(Leger1!$C$4+2/3*(100-Leger1!$C$4)),"A",IF(Leger1!AZ21&gt;=(Leger1!$C$4+1/3*(100-Leger1!$C$4)),"B",IF(Leger1!AZ21&gt;=Leger1!$C$4,"C","D"))))</f>
        <v>C</v>
      </c>
    </row>
    <row r="22" spans="2:38">
      <c r="E22" s="211">
        <f>Biodata!B21</f>
        <v>16</v>
      </c>
      <c r="F22" s="212">
        <f>IF(Biodata!C21="","",VLOOKUP(E22,Biodata_Siswa,2,FALSE))</f>
        <v>7096</v>
      </c>
      <c r="G22" s="1015" t="str">
        <f>IF(Biodata!E21="","",PROPER(VLOOKUP(E22,Biodata_Siswa,4,FALSE)))</f>
        <v>Indah Purnama Ningsih</v>
      </c>
      <c r="H22" s="1016"/>
      <c r="I22" s="249" t="str">
        <f>IF(Leger1!I22="","",IF(Leger1!I22&gt;=(Leger1!$C$4+2/3*(100-Leger1!$C$4)),"A",IF(Leger1!I22&gt;=(Leger1!$C$4+1/3*(100-Leger1!$C$4)),"B",IF(Leger1!I22&gt;=Leger1!$C$4,"C","D"))))</f>
        <v>B</v>
      </c>
      <c r="J22" s="252" t="str">
        <f>IF(Leger1!J22="","",IF(Leger1!J22&gt;=(Leger1!$C$4+2/3*(100-Leger1!$C$4)),"A",IF(Leger1!J22&gt;=(Leger1!$C$4+1/3*(100-Leger1!$C$4)),"B",IF(Leger1!J22&gt;=Leger1!$C$4,"C","D"))))</f>
        <v>B</v>
      </c>
      <c r="K22" s="249" t="str">
        <f>IF(Leger1!L22="","",IF(Leger1!L22&gt;=(Leger1!$C$4+2/3*(100-Leger1!$C$4)),"A",IF(Leger1!L22&gt;=(Leger1!$C$4+1/3*(100-Leger1!$C$4)),"B",IF(Leger1!L22&gt;=Leger1!$C$4,"C","D"))))</f>
        <v/>
      </c>
      <c r="L22" s="252" t="str">
        <f>IF(Leger1!M22="","",IF(Leger1!M22&gt;=(Leger1!$C$4+2/3*(100-Leger1!$C$4)),"A",IF(Leger1!M22&gt;=(Leger1!$C$4+1/3*(100-Leger1!$C$4)),"B",IF(Leger1!M22&gt;=Leger1!$C$4,"C","D"))))</f>
        <v/>
      </c>
      <c r="M22" s="249" t="str">
        <f>IF(Leger1!O22="","",IF(Leger1!O22&gt;=(Leger1!$C$4+2/3*(100-Leger1!$C$4)),"A",IF(Leger1!O22&gt;=(Leger1!$C$4+1/3*(100-Leger1!$C$4)),"B",IF(Leger1!O22&gt;=Leger1!$C$4,"C","D"))))</f>
        <v/>
      </c>
      <c r="N22" s="252" t="str">
        <f>IF(Leger1!P22="","",IF(Leger1!P22&gt;=(Leger1!$C$4+2/3*(100-Leger1!$C$4)),"A",IF(Leger1!P22&gt;=(Leger1!$C$4+1/3*(100-Leger1!$C$4)),"B",IF(Leger1!P22&gt;=Leger1!$C$4,"C","D"))))</f>
        <v/>
      </c>
      <c r="O22" s="249" t="str">
        <f>IF(Leger1!R22="","",IF(Leger1!R22&gt;=(Leger1!$C$4+2/3*(100-Leger1!$C$4)),"A",IF(Leger1!R22&gt;=(Leger1!$C$4+1/3*(100-Leger1!$C$4)),"B",IF(Leger1!R22&gt;=Leger1!$C$4,"C","D"))))</f>
        <v/>
      </c>
      <c r="P22" s="252" t="str">
        <f>IF(Leger1!S22="","",IF(Leger1!S22&gt;=(Leger1!$C$4+2/3*(100-Leger1!$C$4)),"A",IF(Leger1!S22&gt;=(Leger1!$C$4+1/3*(100-Leger1!$C$4)),"B",IF(Leger1!S22&gt;=Leger1!$C$4,"C","D"))))</f>
        <v/>
      </c>
      <c r="Q22" s="249" t="str">
        <f>IF(Leger1!U22="","",IF(Leger1!U22&gt;=(Leger1!$C$4+2/3*(100-Leger1!$C$4)),"A",IF(Leger1!U22&gt;=(Leger1!$C$4+1/3*(100-Leger1!$C$4)),"B",IF(Leger1!U22&gt;=Leger1!$C$4,"C","D"))))</f>
        <v/>
      </c>
      <c r="R22" s="252" t="str">
        <f>IF(Leger1!V22="","",IF(Leger1!V22&gt;=(Leger1!$C$4+2/3*(100-Leger1!$C$4)),"A",IF(Leger1!V22&gt;=(Leger1!$C$4+1/3*(100-Leger1!$C$4)),"B",IF(Leger1!V22&gt;=Leger1!$C$4,"C","D"))))</f>
        <v/>
      </c>
      <c r="S22" s="249" t="str">
        <f>IF(Leger1!X22="","",IF(Leger1!X22&gt;=(Leger1!$C$4+2/3*(100-Leger1!$C$4)),"A",IF(Leger1!X22&gt;=(Leger1!$C$4+1/3*(100-Leger1!$C$4)),"B",IF(Leger1!X22&gt;=Leger1!$C$4,"C","D"))))</f>
        <v>B</v>
      </c>
      <c r="T22" s="252" t="str">
        <f>IF(Leger1!Y22="","",IF(Leger1!Y22&gt;=(Leger1!$C$4+2/3*(100-Leger1!$C$4)),"A",IF(Leger1!Y22&gt;=(Leger1!$C$4+1/3*(100-Leger1!$C$4)),"B",IF(Leger1!Y22&gt;=Leger1!$C$4,"C","D"))))</f>
        <v>C</v>
      </c>
      <c r="U22" s="249" t="str">
        <f>IF(Leger1!AA22="","",IF(Leger1!AA22&gt;=(Leger1!$C$4+2/3*(100-Leger1!$C$4)),"A",IF(Leger1!AA22&gt;=(Leger1!$C$4+1/3*(100-Leger1!$C$4)),"B",IF(Leger1!AA22&gt;=Leger1!$C$4,"C","D"))))</f>
        <v>C</v>
      </c>
      <c r="V22" s="252" t="str">
        <f>IF(Leger1!AB22="","",IF(Leger1!AB22&gt;=(Leger1!$C$4+2/3*(100-Leger1!$C$4)),"A",IF(Leger1!AB22&gt;=(Leger1!$C$4+1/3*(100-Leger1!$C$4)),"B",IF(Leger1!AB22&gt;=Leger1!$C$4,"C","D"))))</f>
        <v>C</v>
      </c>
      <c r="W22" s="249" t="str">
        <f>IF(Leger1!AD22="","",IF(Leger1!AD22&gt;=(Leger1!$C$4+2/3*(100-Leger1!$C$4)),"A",IF(Leger1!AD22&gt;=(Leger1!$C$4+1/3*(100-Leger1!$C$4)),"B",IF(Leger1!AD22&gt;=Leger1!$C$4,"C","D"))))</f>
        <v>C</v>
      </c>
      <c r="X22" s="252" t="str">
        <f>IF(Leger1!AE22="","",IF(Leger1!AE22&gt;=(Leger1!$C$4+2/3*(100-Leger1!$C$4)),"A",IF(Leger1!AE22&gt;=(Leger1!$C$4+1/3*(100-Leger1!$C$4)),"B",IF(Leger1!AE22&gt;=Leger1!$C$4,"C","D"))))</f>
        <v>B</v>
      </c>
      <c r="Y22" s="249" t="str">
        <f>IF(Leger1!AG22="","",IF(Leger1!AG22&gt;=(Leger1!$C$4+2/3*(100-Leger1!$C$4)),"A",IF(Leger1!AG22&gt;=(Leger1!$C$4+1/3*(100-Leger1!$C$4)),"B",IF(Leger1!AG22&gt;=Leger1!$C$4,"C","D"))))</f>
        <v>B</v>
      </c>
      <c r="Z22" s="252" t="str">
        <f>IF(Leger1!AH22="","",IF(Leger1!AH22&gt;=(Leger1!$C$4+2/3*(100-Leger1!$C$4)),"A",IF(Leger1!AH22&gt;=(Leger1!$C$4+1/3*(100-Leger1!$C$4)),"B",IF(Leger1!AH22&gt;=Leger1!$C$4,"C","D"))))</f>
        <v>B</v>
      </c>
      <c r="AA22" s="249" t="str">
        <f>IF(Leger1!AJ22="","",IF(Leger1!AJ22&gt;=(Leger1!$C$4+2/3*(100-Leger1!$C$4)),"A",IF(Leger1!AJ22&gt;=(Leger1!$C$4+1/3*(100-Leger1!$C$4)),"B",IF(Leger1!AJ22&gt;=Leger1!$C$4,"C","D"))))</f>
        <v>B</v>
      </c>
      <c r="AB22" s="252" t="str">
        <f>IF(Leger1!AK22="","",IF(Leger1!AK22&gt;=(Leger1!$C$4+2/3*(100-Leger1!$C$4)),"A",IF(Leger1!AK22&gt;=(Leger1!$C$4+1/3*(100-Leger1!$C$4)),"B",IF(Leger1!AK22&gt;=Leger1!$C$4,"C","D"))))</f>
        <v>B</v>
      </c>
      <c r="AC22" s="249" t="str">
        <f>IF(Leger1!AM22="","",IF(Leger1!AM22&gt;=(Leger1!$C$4+2/3*(100-Leger1!$C$4)),"A",IF(Leger1!AM22&gt;=(Leger1!$C$4+1/3*(100-Leger1!$C$4)),"B",IF(Leger1!AM22&gt;=Leger1!$C$4,"C","D"))))</f>
        <v>B</v>
      </c>
      <c r="AD22" s="252" t="str">
        <f>IF(Leger1!AN22="","",IF(Leger1!AN22&gt;=(Leger1!$C$4+2/3*(100-Leger1!$C$4)),"A",IF(Leger1!AN22&gt;=(Leger1!$C$4+1/3*(100-Leger1!$C$4)),"B",IF(Leger1!AN22&gt;=Leger1!$C$4,"C","D"))))</f>
        <v>B</v>
      </c>
      <c r="AE22" s="249" t="str">
        <f>IF(Leger1!AP22="","",IF(Leger1!AP22&gt;=(Leger1!$C$4+2/3*(100-Leger1!$C$4)),"A",IF(Leger1!AP22&gt;=(Leger1!$C$4+1/3*(100-Leger1!$C$4)),"B",IF(Leger1!AP22&gt;=Leger1!$C$4,"C","D"))))</f>
        <v>C</v>
      </c>
      <c r="AF22" s="252" t="str">
        <f>IF(Leger1!AQ22="","",IF(Leger1!AQ22&gt;=(Leger1!$C$4+2/3*(100-Leger1!$C$4)),"A",IF(Leger1!AQ22&gt;=(Leger1!$C$4+1/3*(100-Leger1!$C$4)),"B",IF(Leger1!AQ22&gt;=Leger1!$C$4,"C","D"))))</f>
        <v>C</v>
      </c>
      <c r="AG22" s="249" t="str">
        <f>IF(Leger1!AS22="","",IF(Leger1!AS22&gt;=(Leger1!$C$4+2/3*(100-Leger1!$C$4)),"A",IF(Leger1!AS22&gt;=(Leger1!$C$4+1/3*(100-Leger1!$C$4)),"B",IF(Leger1!AS22&gt;=Leger1!$C$4,"C","D"))))</f>
        <v>C</v>
      </c>
      <c r="AH22" s="252" t="str">
        <f>IF(Leger1!AT22="","",IF(Leger1!AT22&gt;=(Leger1!$C$4+2/3*(100-Leger1!$C$4)),"A",IF(Leger1!AT22&gt;=(Leger1!$C$4+1/3*(100-Leger1!$C$4)),"B",IF(Leger1!AT22&gt;=Leger1!$C$4,"C","D"))))</f>
        <v>C</v>
      </c>
      <c r="AI22" s="249" t="str">
        <f>IF(Leger1!AV22="","",IF(Leger1!AV22&gt;=(Leger1!$C$4+2/3*(100-Leger1!$C$4)),"A",IF(Leger1!AV22&gt;=(Leger1!$C$4+1/3*(100-Leger1!$C$4)),"B",IF(Leger1!AV22&gt;=Leger1!$C$4,"C","D"))))</f>
        <v>B</v>
      </c>
      <c r="AJ22" s="252" t="str">
        <f>IF(Leger1!AW22="","",IF(Leger1!AW22&gt;=(Leger1!$C$4+2/3*(100-Leger1!$C$4)),"A",IF(Leger1!AW22&gt;=(Leger1!$C$4+1/3*(100-Leger1!$C$4)),"B",IF(Leger1!AW22&gt;=Leger1!$C$4,"C","D"))))</f>
        <v>B</v>
      </c>
      <c r="AK22" s="249" t="str">
        <f>IF(Leger1!AY22="","",IF(Leger1!AY22&gt;=(Leger1!$C$4+2/3*(100-Leger1!$C$4)),"A",IF(Leger1!AY22&gt;=(Leger1!$C$4+1/3*(100-Leger1!$C$4)),"B",IF(Leger1!AY22&gt;=Leger1!$C$4,"C","D"))))</f>
        <v>C</v>
      </c>
      <c r="AL22" s="252" t="str">
        <f>IF(Leger1!AZ22="","",IF(Leger1!AZ22&gt;=(Leger1!$C$4+2/3*(100-Leger1!$C$4)),"A",IF(Leger1!AZ22&gt;=(Leger1!$C$4+1/3*(100-Leger1!$C$4)),"B",IF(Leger1!AZ22&gt;=Leger1!$C$4,"C","D"))))</f>
        <v>C</v>
      </c>
    </row>
    <row r="23" spans="2:38">
      <c r="B23" s="1017"/>
      <c r="C23" s="1017"/>
      <c r="E23" s="211">
        <f>Biodata!B22</f>
        <v>17</v>
      </c>
      <c r="F23" s="212">
        <f>IF(Biodata!C22="","",VLOOKUP(E23,Biodata_Siswa,2,FALSE))</f>
        <v>7098</v>
      </c>
      <c r="G23" s="1015" t="str">
        <f>IF(Biodata!E22="","",PROPER(VLOOKUP(E23,Biodata_Siswa,4,FALSE)))</f>
        <v>Ladiva Nurrosa Laila</v>
      </c>
      <c r="H23" s="1016"/>
      <c r="I23" s="249" t="str">
        <f>IF(Leger1!I23="","",IF(Leger1!I23&gt;=(Leger1!$C$4+2/3*(100-Leger1!$C$4)),"A",IF(Leger1!I23&gt;=(Leger1!$C$4+1/3*(100-Leger1!$C$4)),"B",IF(Leger1!I23&gt;=Leger1!$C$4,"C","D"))))</f>
        <v>C</v>
      </c>
      <c r="J23" s="252" t="str">
        <f>IF(Leger1!J23="","",IF(Leger1!J23&gt;=(Leger1!$C$4+2/3*(100-Leger1!$C$4)),"A",IF(Leger1!J23&gt;=(Leger1!$C$4+1/3*(100-Leger1!$C$4)),"B",IF(Leger1!J23&gt;=Leger1!$C$4,"C","D"))))</f>
        <v>B</v>
      </c>
      <c r="K23" s="249" t="str">
        <f>IF(Leger1!L23="","",IF(Leger1!L23&gt;=(Leger1!$C$4+2/3*(100-Leger1!$C$4)),"A",IF(Leger1!L23&gt;=(Leger1!$C$4+1/3*(100-Leger1!$C$4)),"B",IF(Leger1!L23&gt;=Leger1!$C$4,"C","D"))))</f>
        <v/>
      </c>
      <c r="L23" s="252" t="str">
        <f>IF(Leger1!M23="","",IF(Leger1!M23&gt;=(Leger1!$C$4+2/3*(100-Leger1!$C$4)),"A",IF(Leger1!M23&gt;=(Leger1!$C$4+1/3*(100-Leger1!$C$4)),"B",IF(Leger1!M23&gt;=Leger1!$C$4,"C","D"))))</f>
        <v/>
      </c>
      <c r="M23" s="249" t="str">
        <f>IF(Leger1!O23="","",IF(Leger1!O23&gt;=(Leger1!$C$4+2/3*(100-Leger1!$C$4)),"A",IF(Leger1!O23&gt;=(Leger1!$C$4+1/3*(100-Leger1!$C$4)),"B",IF(Leger1!O23&gt;=Leger1!$C$4,"C","D"))))</f>
        <v/>
      </c>
      <c r="N23" s="252" t="str">
        <f>IF(Leger1!P23="","",IF(Leger1!P23&gt;=(Leger1!$C$4+2/3*(100-Leger1!$C$4)),"A",IF(Leger1!P23&gt;=(Leger1!$C$4+1/3*(100-Leger1!$C$4)),"B",IF(Leger1!P23&gt;=Leger1!$C$4,"C","D"))))</f>
        <v/>
      </c>
      <c r="O23" s="249" t="str">
        <f>IF(Leger1!R23="","",IF(Leger1!R23&gt;=(Leger1!$C$4+2/3*(100-Leger1!$C$4)),"A",IF(Leger1!R23&gt;=(Leger1!$C$4+1/3*(100-Leger1!$C$4)),"B",IF(Leger1!R23&gt;=Leger1!$C$4,"C","D"))))</f>
        <v/>
      </c>
      <c r="P23" s="252" t="str">
        <f>IF(Leger1!S23="","",IF(Leger1!S23&gt;=(Leger1!$C$4+2/3*(100-Leger1!$C$4)),"A",IF(Leger1!S23&gt;=(Leger1!$C$4+1/3*(100-Leger1!$C$4)),"B",IF(Leger1!S23&gt;=Leger1!$C$4,"C","D"))))</f>
        <v/>
      </c>
      <c r="Q23" s="249" t="str">
        <f>IF(Leger1!U23="","",IF(Leger1!U23&gt;=(Leger1!$C$4+2/3*(100-Leger1!$C$4)),"A",IF(Leger1!U23&gt;=(Leger1!$C$4+1/3*(100-Leger1!$C$4)),"B",IF(Leger1!U23&gt;=Leger1!$C$4,"C","D"))))</f>
        <v/>
      </c>
      <c r="R23" s="252" t="str">
        <f>IF(Leger1!V23="","",IF(Leger1!V23&gt;=(Leger1!$C$4+2/3*(100-Leger1!$C$4)),"A",IF(Leger1!V23&gt;=(Leger1!$C$4+1/3*(100-Leger1!$C$4)),"B",IF(Leger1!V23&gt;=Leger1!$C$4,"C","D"))))</f>
        <v/>
      </c>
      <c r="S23" s="249" t="str">
        <f>IF(Leger1!X23="","",IF(Leger1!X23&gt;=(Leger1!$C$4+2/3*(100-Leger1!$C$4)),"A",IF(Leger1!X23&gt;=(Leger1!$C$4+1/3*(100-Leger1!$C$4)),"B",IF(Leger1!X23&gt;=Leger1!$C$4,"C","D"))))</f>
        <v>C</v>
      </c>
      <c r="T23" s="252" t="str">
        <f>IF(Leger1!Y23="","",IF(Leger1!Y23&gt;=(Leger1!$C$4+2/3*(100-Leger1!$C$4)),"A",IF(Leger1!Y23&gt;=(Leger1!$C$4+1/3*(100-Leger1!$C$4)),"B",IF(Leger1!Y23&gt;=Leger1!$C$4,"C","D"))))</f>
        <v>C</v>
      </c>
      <c r="U23" s="249" t="str">
        <f>IF(Leger1!AA23="","",IF(Leger1!AA23&gt;=(Leger1!$C$4+2/3*(100-Leger1!$C$4)),"A",IF(Leger1!AA23&gt;=(Leger1!$C$4+1/3*(100-Leger1!$C$4)),"B",IF(Leger1!AA23&gt;=Leger1!$C$4,"C","D"))))</f>
        <v>C</v>
      </c>
      <c r="V23" s="252" t="str">
        <f>IF(Leger1!AB23="","",IF(Leger1!AB23&gt;=(Leger1!$C$4+2/3*(100-Leger1!$C$4)),"A",IF(Leger1!AB23&gt;=(Leger1!$C$4+1/3*(100-Leger1!$C$4)),"B",IF(Leger1!AB23&gt;=Leger1!$C$4,"C","D"))))</f>
        <v>C</v>
      </c>
      <c r="W23" s="249" t="str">
        <f>IF(Leger1!AD23="","",IF(Leger1!AD23&gt;=(Leger1!$C$4+2/3*(100-Leger1!$C$4)),"A",IF(Leger1!AD23&gt;=(Leger1!$C$4+1/3*(100-Leger1!$C$4)),"B",IF(Leger1!AD23&gt;=Leger1!$C$4,"C","D"))))</f>
        <v>C</v>
      </c>
      <c r="X23" s="252" t="str">
        <f>IF(Leger1!AE23="","",IF(Leger1!AE23&gt;=(Leger1!$C$4+2/3*(100-Leger1!$C$4)),"A",IF(Leger1!AE23&gt;=(Leger1!$C$4+1/3*(100-Leger1!$C$4)),"B",IF(Leger1!AE23&gt;=Leger1!$C$4,"C","D"))))</f>
        <v>C</v>
      </c>
      <c r="Y23" s="249" t="str">
        <f>IF(Leger1!AG23="","",IF(Leger1!AG23&gt;=(Leger1!$C$4+2/3*(100-Leger1!$C$4)),"A",IF(Leger1!AG23&gt;=(Leger1!$C$4+1/3*(100-Leger1!$C$4)),"B",IF(Leger1!AG23&gt;=Leger1!$C$4,"C","D"))))</f>
        <v>C</v>
      </c>
      <c r="Z23" s="252" t="str">
        <f>IF(Leger1!AH23="","",IF(Leger1!AH23&gt;=(Leger1!$C$4+2/3*(100-Leger1!$C$4)),"A",IF(Leger1!AH23&gt;=(Leger1!$C$4+1/3*(100-Leger1!$C$4)),"B",IF(Leger1!AH23&gt;=Leger1!$C$4,"C","D"))))</f>
        <v>B</v>
      </c>
      <c r="AA23" s="249" t="str">
        <f>IF(Leger1!AJ23="","",IF(Leger1!AJ23&gt;=(Leger1!$C$4+2/3*(100-Leger1!$C$4)),"A",IF(Leger1!AJ23&gt;=(Leger1!$C$4+1/3*(100-Leger1!$C$4)),"B",IF(Leger1!AJ23&gt;=Leger1!$C$4,"C","D"))))</f>
        <v>C</v>
      </c>
      <c r="AB23" s="252" t="str">
        <f>IF(Leger1!AK23="","",IF(Leger1!AK23&gt;=(Leger1!$C$4+2/3*(100-Leger1!$C$4)),"A",IF(Leger1!AK23&gt;=(Leger1!$C$4+1/3*(100-Leger1!$C$4)),"B",IF(Leger1!AK23&gt;=Leger1!$C$4,"C","D"))))</f>
        <v>B</v>
      </c>
      <c r="AC23" s="249" t="str">
        <f>IF(Leger1!AM23="","",IF(Leger1!AM23&gt;=(Leger1!$C$4+2/3*(100-Leger1!$C$4)),"A",IF(Leger1!AM23&gt;=(Leger1!$C$4+1/3*(100-Leger1!$C$4)),"B",IF(Leger1!AM23&gt;=Leger1!$C$4,"C","D"))))</f>
        <v>C</v>
      </c>
      <c r="AD23" s="252" t="str">
        <f>IF(Leger1!AN23="","",IF(Leger1!AN23&gt;=(Leger1!$C$4+2/3*(100-Leger1!$C$4)),"A",IF(Leger1!AN23&gt;=(Leger1!$C$4+1/3*(100-Leger1!$C$4)),"B",IF(Leger1!AN23&gt;=Leger1!$C$4,"C","D"))))</f>
        <v>C</v>
      </c>
      <c r="AE23" s="249" t="str">
        <f>IF(Leger1!AP23="","",IF(Leger1!AP23&gt;=(Leger1!$C$4+2/3*(100-Leger1!$C$4)),"A",IF(Leger1!AP23&gt;=(Leger1!$C$4+1/3*(100-Leger1!$C$4)),"B",IF(Leger1!AP23&gt;=Leger1!$C$4,"C","D"))))</f>
        <v>C</v>
      </c>
      <c r="AF23" s="252" t="str">
        <f>IF(Leger1!AQ23="","",IF(Leger1!AQ23&gt;=(Leger1!$C$4+2/3*(100-Leger1!$C$4)),"A",IF(Leger1!AQ23&gt;=(Leger1!$C$4+1/3*(100-Leger1!$C$4)),"B",IF(Leger1!AQ23&gt;=Leger1!$C$4,"C","D"))))</f>
        <v>C</v>
      </c>
      <c r="AG23" s="249" t="str">
        <f>IF(Leger1!AS23="","",IF(Leger1!AS23&gt;=(Leger1!$C$4+2/3*(100-Leger1!$C$4)),"A",IF(Leger1!AS23&gt;=(Leger1!$C$4+1/3*(100-Leger1!$C$4)),"B",IF(Leger1!AS23&gt;=Leger1!$C$4,"C","D"))))</f>
        <v>C</v>
      </c>
      <c r="AH23" s="252" t="str">
        <f>IF(Leger1!AT23="","",IF(Leger1!AT23&gt;=(Leger1!$C$4+2/3*(100-Leger1!$C$4)),"A",IF(Leger1!AT23&gt;=(Leger1!$C$4+1/3*(100-Leger1!$C$4)),"B",IF(Leger1!AT23&gt;=Leger1!$C$4,"C","D"))))</f>
        <v>C</v>
      </c>
      <c r="AI23" s="249" t="str">
        <f>IF(Leger1!AV23="","",IF(Leger1!AV23&gt;=(Leger1!$C$4+2/3*(100-Leger1!$C$4)),"A",IF(Leger1!AV23&gt;=(Leger1!$C$4+1/3*(100-Leger1!$C$4)),"B",IF(Leger1!AV23&gt;=Leger1!$C$4,"C","D"))))</f>
        <v>C</v>
      </c>
      <c r="AJ23" s="252" t="str">
        <f>IF(Leger1!AW23="","",IF(Leger1!AW23&gt;=(Leger1!$C$4+2/3*(100-Leger1!$C$4)),"A",IF(Leger1!AW23&gt;=(Leger1!$C$4+1/3*(100-Leger1!$C$4)),"B",IF(Leger1!AW23&gt;=Leger1!$C$4,"C","D"))))</f>
        <v>C</v>
      </c>
      <c r="AK23" s="249" t="str">
        <f>IF(Leger1!AY23="","",IF(Leger1!AY23&gt;=(Leger1!$C$4+2/3*(100-Leger1!$C$4)),"A",IF(Leger1!AY23&gt;=(Leger1!$C$4+1/3*(100-Leger1!$C$4)),"B",IF(Leger1!AY23&gt;=Leger1!$C$4,"C","D"))))</f>
        <v>C</v>
      </c>
      <c r="AL23" s="252" t="str">
        <f>IF(Leger1!AZ23="","",IF(Leger1!AZ23&gt;=(Leger1!$C$4+2/3*(100-Leger1!$C$4)),"A",IF(Leger1!AZ23&gt;=(Leger1!$C$4+1/3*(100-Leger1!$C$4)),"B",IF(Leger1!AZ23&gt;=Leger1!$C$4,"C","D"))))</f>
        <v>C</v>
      </c>
    </row>
    <row r="24" spans="2:38">
      <c r="E24" s="211">
        <f>Biodata!B23</f>
        <v>18</v>
      </c>
      <c r="F24" s="212">
        <f>IF(Biodata!C23="","",VLOOKUP(E24,Biodata_Siswa,2,FALSE))</f>
        <v>7101</v>
      </c>
      <c r="G24" s="1015" t="str">
        <f>IF(Biodata!E23="","",PROPER(VLOOKUP(E24,Biodata_Siswa,4,FALSE)))</f>
        <v>Mefa Novita Putri</v>
      </c>
      <c r="H24" s="1016"/>
      <c r="I24" s="249" t="str">
        <f>IF(Leger1!I24="","",IF(Leger1!I24&gt;=(Leger1!$C$4+2/3*(100-Leger1!$C$4)),"A",IF(Leger1!I24&gt;=(Leger1!$C$4+1/3*(100-Leger1!$C$4)),"B",IF(Leger1!I24&gt;=Leger1!$C$4,"C","D"))))</f>
        <v>B</v>
      </c>
      <c r="J24" s="252" t="str">
        <f>IF(Leger1!J24="","",IF(Leger1!J24&gt;=(Leger1!$C$4+2/3*(100-Leger1!$C$4)),"A",IF(Leger1!J24&gt;=(Leger1!$C$4+1/3*(100-Leger1!$C$4)),"B",IF(Leger1!J24&gt;=Leger1!$C$4,"C","D"))))</f>
        <v>B</v>
      </c>
      <c r="K24" s="249" t="str">
        <f>IF(Leger1!L24="","",IF(Leger1!L24&gt;=(Leger1!$C$4+2/3*(100-Leger1!$C$4)),"A",IF(Leger1!L24&gt;=(Leger1!$C$4+1/3*(100-Leger1!$C$4)),"B",IF(Leger1!L24&gt;=Leger1!$C$4,"C","D"))))</f>
        <v/>
      </c>
      <c r="L24" s="252" t="str">
        <f>IF(Leger1!M24="","",IF(Leger1!M24&gt;=(Leger1!$C$4+2/3*(100-Leger1!$C$4)),"A",IF(Leger1!M24&gt;=(Leger1!$C$4+1/3*(100-Leger1!$C$4)),"B",IF(Leger1!M24&gt;=Leger1!$C$4,"C","D"))))</f>
        <v/>
      </c>
      <c r="M24" s="249" t="str">
        <f>IF(Leger1!O24="","",IF(Leger1!O24&gt;=(Leger1!$C$4+2/3*(100-Leger1!$C$4)),"A",IF(Leger1!O24&gt;=(Leger1!$C$4+1/3*(100-Leger1!$C$4)),"B",IF(Leger1!O24&gt;=Leger1!$C$4,"C","D"))))</f>
        <v/>
      </c>
      <c r="N24" s="252" t="str">
        <f>IF(Leger1!P24="","",IF(Leger1!P24&gt;=(Leger1!$C$4+2/3*(100-Leger1!$C$4)),"A",IF(Leger1!P24&gt;=(Leger1!$C$4+1/3*(100-Leger1!$C$4)),"B",IF(Leger1!P24&gt;=Leger1!$C$4,"C","D"))))</f>
        <v/>
      </c>
      <c r="O24" s="249" t="str">
        <f>IF(Leger1!R24="","",IF(Leger1!R24&gt;=(Leger1!$C$4+2/3*(100-Leger1!$C$4)),"A",IF(Leger1!R24&gt;=(Leger1!$C$4+1/3*(100-Leger1!$C$4)),"B",IF(Leger1!R24&gt;=Leger1!$C$4,"C","D"))))</f>
        <v/>
      </c>
      <c r="P24" s="252" t="str">
        <f>IF(Leger1!S24="","",IF(Leger1!S24&gt;=(Leger1!$C$4+2/3*(100-Leger1!$C$4)),"A",IF(Leger1!S24&gt;=(Leger1!$C$4+1/3*(100-Leger1!$C$4)),"B",IF(Leger1!S24&gt;=Leger1!$C$4,"C","D"))))</f>
        <v/>
      </c>
      <c r="Q24" s="249" t="str">
        <f>IF(Leger1!U24="","",IF(Leger1!U24&gt;=(Leger1!$C$4+2/3*(100-Leger1!$C$4)),"A",IF(Leger1!U24&gt;=(Leger1!$C$4+1/3*(100-Leger1!$C$4)),"B",IF(Leger1!U24&gt;=Leger1!$C$4,"C","D"))))</f>
        <v/>
      </c>
      <c r="R24" s="252" t="str">
        <f>IF(Leger1!V24="","",IF(Leger1!V24&gt;=(Leger1!$C$4+2/3*(100-Leger1!$C$4)),"A",IF(Leger1!V24&gt;=(Leger1!$C$4+1/3*(100-Leger1!$C$4)),"B",IF(Leger1!V24&gt;=Leger1!$C$4,"C","D"))))</f>
        <v/>
      </c>
      <c r="S24" s="249" t="str">
        <f>IF(Leger1!X24="","",IF(Leger1!X24&gt;=(Leger1!$C$4+2/3*(100-Leger1!$C$4)),"A",IF(Leger1!X24&gt;=(Leger1!$C$4+1/3*(100-Leger1!$C$4)),"B",IF(Leger1!X24&gt;=Leger1!$C$4,"C","D"))))</f>
        <v>B</v>
      </c>
      <c r="T24" s="252" t="str">
        <f>IF(Leger1!Y24="","",IF(Leger1!Y24&gt;=(Leger1!$C$4+2/3*(100-Leger1!$C$4)),"A",IF(Leger1!Y24&gt;=(Leger1!$C$4+1/3*(100-Leger1!$C$4)),"B",IF(Leger1!Y24&gt;=Leger1!$C$4,"C","D"))))</f>
        <v>C</v>
      </c>
      <c r="U24" s="249" t="str">
        <f>IF(Leger1!AA24="","",IF(Leger1!AA24&gt;=(Leger1!$C$4+2/3*(100-Leger1!$C$4)),"A",IF(Leger1!AA24&gt;=(Leger1!$C$4+1/3*(100-Leger1!$C$4)),"B",IF(Leger1!AA24&gt;=Leger1!$C$4,"C","D"))))</f>
        <v>C</v>
      </c>
      <c r="V24" s="252" t="str">
        <f>IF(Leger1!AB24="","",IF(Leger1!AB24&gt;=(Leger1!$C$4+2/3*(100-Leger1!$C$4)),"A",IF(Leger1!AB24&gt;=(Leger1!$C$4+1/3*(100-Leger1!$C$4)),"B",IF(Leger1!AB24&gt;=Leger1!$C$4,"C","D"))))</f>
        <v>C</v>
      </c>
      <c r="W24" s="249" t="str">
        <f>IF(Leger1!AD24="","",IF(Leger1!AD24&gt;=(Leger1!$C$4+2/3*(100-Leger1!$C$4)),"A",IF(Leger1!AD24&gt;=(Leger1!$C$4+1/3*(100-Leger1!$C$4)),"B",IF(Leger1!AD24&gt;=Leger1!$C$4,"C","D"))))</f>
        <v>B</v>
      </c>
      <c r="X24" s="252" t="str">
        <f>IF(Leger1!AE24="","",IF(Leger1!AE24&gt;=(Leger1!$C$4+2/3*(100-Leger1!$C$4)),"A",IF(Leger1!AE24&gt;=(Leger1!$C$4+1/3*(100-Leger1!$C$4)),"B",IF(Leger1!AE24&gt;=Leger1!$C$4,"C","D"))))</f>
        <v>B</v>
      </c>
      <c r="Y24" s="249" t="str">
        <f>IF(Leger1!AG24="","",IF(Leger1!AG24&gt;=(Leger1!$C$4+2/3*(100-Leger1!$C$4)),"A",IF(Leger1!AG24&gt;=(Leger1!$C$4+1/3*(100-Leger1!$C$4)),"B",IF(Leger1!AG24&gt;=Leger1!$C$4,"C","D"))))</f>
        <v>B</v>
      </c>
      <c r="Z24" s="252" t="str">
        <f>IF(Leger1!AH24="","",IF(Leger1!AH24&gt;=(Leger1!$C$4+2/3*(100-Leger1!$C$4)),"A",IF(Leger1!AH24&gt;=(Leger1!$C$4+1/3*(100-Leger1!$C$4)),"B",IF(Leger1!AH24&gt;=Leger1!$C$4,"C","D"))))</f>
        <v>B</v>
      </c>
      <c r="AA24" s="249" t="str">
        <f>IF(Leger1!AJ24="","",IF(Leger1!AJ24&gt;=(Leger1!$C$4+2/3*(100-Leger1!$C$4)),"A",IF(Leger1!AJ24&gt;=(Leger1!$C$4+1/3*(100-Leger1!$C$4)),"B",IF(Leger1!AJ24&gt;=Leger1!$C$4,"C","D"))))</f>
        <v>B</v>
      </c>
      <c r="AB24" s="252" t="str">
        <f>IF(Leger1!AK24="","",IF(Leger1!AK24&gt;=(Leger1!$C$4+2/3*(100-Leger1!$C$4)),"A",IF(Leger1!AK24&gt;=(Leger1!$C$4+1/3*(100-Leger1!$C$4)),"B",IF(Leger1!AK24&gt;=Leger1!$C$4,"C","D"))))</f>
        <v>B</v>
      </c>
      <c r="AC24" s="249" t="str">
        <f>IF(Leger1!AM24="","",IF(Leger1!AM24&gt;=(Leger1!$C$4+2/3*(100-Leger1!$C$4)),"A",IF(Leger1!AM24&gt;=(Leger1!$C$4+1/3*(100-Leger1!$C$4)),"B",IF(Leger1!AM24&gt;=Leger1!$C$4,"C","D"))))</f>
        <v>B</v>
      </c>
      <c r="AD24" s="252" t="str">
        <f>IF(Leger1!AN24="","",IF(Leger1!AN24&gt;=(Leger1!$C$4+2/3*(100-Leger1!$C$4)),"A",IF(Leger1!AN24&gt;=(Leger1!$C$4+1/3*(100-Leger1!$C$4)),"B",IF(Leger1!AN24&gt;=Leger1!$C$4,"C","D"))))</f>
        <v>C</v>
      </c>
      <c r="AE24" s="249" t="str">
        <f>IF(Leger1!AP24="","",IF(Leger1!AP24&gt;=(Leger1!$C$4+2/3*(100-Leger1!$C$4)),"A",IF(Leger1!AP24&gt;=(Leger1!$C$4+1/3*(100-Leger1!$C$4)),"B",IF(Leger1!AP24&gt;=Leger1!$C$4,"C","D"))))</f>
        <v>B</v>
      </c>
      <c r="AF24" s="252" t="str">
        <f>IF(Leger1!AQ24="","",IF(Leger1!AQ24&gt;=(Leger1!$C$4+2/3*(100-Leger1!$C$4)),"A",IF(Leger1!AQ24&gt;=(Leger1!$C$4+1/3*(100-Leger1!$C$4)),"B",IF(Leger1!AQ24&gt;=Leger1!$C$4,"C","D"))))</f>
        <v>C</v>
      </c>
      <c r="AG24" s="249" t="str">
        <f>IF(Leger1!AS24="","",IF(Leger1!AS24&gt;=(Leger1!$C$4+2/3*(100-Leger1!$C$4)),"A",IF(Leger1!AS24&gt;=(Leger1!$C$4+1/3*(100-Leger1!$C$4)),"B",IF(Leger1!AS24&gt;=Leger1!$C$4,"C","D"))))</f>
        <v>C</v>
      </c>
      <c r="AH24" s="252" t="str">
        <f>IF(Leger1!AT24="","",IF(Leger1!AT24&gt;=(Leger1!$C$4+2/3*(100-Leger1!$C$4)),"A",IF(Leger1!AT24&gt;=(Leger1!$C$4+1/3*(100-Leger1!$C$4)),"B",IF(Leger1!AT24&gt;=Leger1!$C$4,"C","D"))))</f>
        <v>C</v>
      </c>
      <c r="AI24" s="249" t="str">
        <f>IF(Leger1!AV24="","",IF(Leger1!AV24&gt;=(Leger1!$C$4+2/3*(100-Leger1!$C$4)),"A",IF(Leger1!AV24&gt;=(Leger1!$C$4+1/3*(100-Leger1!$C$4)),"B",IF(Leger1!AV24&gt;=Leger1!$C$4,"C","D"))))</f>
        <v>B</v>
      </c>
      <c r="AJ24" s="252" t="str">
        <f>IF(Leger1!AW24="","",IF(Leger1!AW24&gt;=(Leger1!$C$4+2/3*(100-Leger1!$C$4)),"A",IF(Leger1!AW24&gt;=(Leger1!$C$4+1/3*(100-Leger1!$C$4)),"B",IF(Leger1!AW24&gt;=Leger1!$C$4,"C","D"))))</f>
        <v>B</v>
      </c>
      <c r="AK24" s="249" t="str">
        <f>IF(Leger1!AY24="","",IF(Leger1!AY24&gt;=(Leger1!$C$4+2/3*(100-Leger1!$C$4)),"A",IF(Leger1!AY24&gt;=(Leger1!$C$4+1/3*(100-Leger1!$C$4)),"B",IF(Leger1!AY24&gt;=Leger1!$C$4,"C","D"))))</f>
        <v>C</v>
      </c>
      <c r="AL24" s="252" t="str">
        <f>IF(Leger1!AZ24="","",IF(Leger1!AZ24&gt;=(Leger1!$C$4+2/3*(100-Leger1!$C$4)),"A",IF(Leger1!AZ24&gt;=(Leger1!$C$4+1/3*(100-Leger1!$C$4)),"B",IF(Leger1!AZ24&gt;=Leger1!$C$4,"C","D"))))</f>
        <v>C</v>
      </c>
    </row>
    <row r="25" spans="2:38">
      <c r="E25" s="211">
        <f>Biodata!B24</f>
        <v>19</v>
      </c>
      <c r="F25" s="212">
        <f>IF(Biodata!C24="","",VLOOKUP(E25,Biodata_Siswa,2,FALSE))</f>
        <v>7104</v>
      </c>
      <c r="G25" s="1015" t="str">
        <f>IF(Biodata!E24="","",PROPER(VLOOKUP(E25,Biodata_Siswa,4,FALSE)))</f>
        <v>Mellanie Bunga Aprilia</v>
      </c>
      <c r="H25" s="1016"/>
      <c r="I25" s="249" t="str">
        <f>IF(Leger1!I25="","",IF(Leger1!I25&gt;=(Leger1!$C$4+2/3*(100-Leger1!$C$4)),"A",IF(Leger1!I25&gt;=(Leger1!$C$4+1/3*(100-Leger1!$C$4)),"B",IF(Leger1!I25&gt;=Leger1!$C$4,"C","D"))))</f>
        <v>B</v>
      </c>
      <c r="J25" s="252" t="str">
        <f>IF(Leger1!J25="","",IF(Leger1!J25&gt;=(Leger1!$C$4+2/3*(100-Leger1!$C$4)),"A",IF(Leger1!J25&gt;=(Leger1!$C$4+1/3*(100-Leger1!$C$4)),"B",IF(Leger1!J25&gt;=Leger1!$C$4,"C","D"))))</f>
        <v>B</v>
      </c>
      <c r="K25" s="249" t="str">
        <f>IF(Leger1!L25="","",IF(Leger1!L25&gt;=(Leger1!$C$4+2/3*(100-Leger1!$C$4)),"A",IF(Leger1!L25&gt;=(Leger1!$C$4+1/3*(100-Leger1!$C$4)),"B",IF(Leger1!L25&gt;=Leger1!$C$4,"C","D"))))</f>
        <v/>
      </c>
      <c r="L25" s="252" t="str">
        <f>IF(Leger1!M25="","",IF(Leger1!M25&gt;=(Leger1!$C$4+2/3*(100-Leger1!$C$4)),"A",IF(Leger1!M25&gt;=(Leger1!$C$4+1/3*(100-Leger1!$C$4)),"B",IF(Leger1!M25&gt;=Leger1!$C$4,"C","D"))))</f>
        <v/>
      </c>
      <c r="M25" s="249" t="str">
        <f>IF(Leger1!O25="","",IF(Leger1!O25&gt;=(Leger1!$C$4+2/3*(100-Leger1!$C$4)),"A",IF(Leger1!O25&gt;=(Leger1!$C$4+1/3*(100-Leger1!$C$4)),"B",IF(Leger1!O25&gt;=Leger1!$C$4,"C","D"))))</f>
        <v/>
      </c>
      <c r="N25" s="252" t="str">
        <f>IF(Leger1!P25="","",IF(Leger1!P25&gt;=(Leger1!$C$4+2/3*(100-Leger1!$C$4)),"A",IF(Leger1!P25&gt;=(Leger1!$C$4+1/3*(100-Leger1!$C$4)),"B",IF(Leger1!P25&gt;=Leger1!$C$4,"C","D"))))</f>
        <v/>
      </c>
      <c r="O25" s="249" t="str">
        <f>IF(Leger1!R25="","",IF(Leger1!R25&gt;=(Leger1!$C$4+2/3*(100-Leger1!$C$4)),"A",IF(Leger1!R25&gt;=(Leger1!$C$4+1/3*(100-Leger1!$C$4)),"B",IF(Leger1!R25&gt;=Leger1!$C$4,"C","D"))))</f>
        <v/>
      </c>
      <c r="P25" s="252" t="str">
        <f>IF(Leger1!S25="","",IF(Leger1!S25&gt;=(Leger1!$C$4+2/3*(100-Leger1!$C$4)),"A",IF(Leger1!S25&gt;=(Leger1!$C$4+1/3*(100-Leger1!$C$4)),"B",IF(Leger1!S25&gt;=Leger1!$C$4,"C","D"))))</f>
        <v/>
      </c>
      <c r="Q25" s="249" t="str">
        <f>IF(Leger1!U25="","",IF(Leger1!U25&gt;=(Leger1!$C$4+2/3*(100-Leger1!$C$4)),"A",IF(Leger1!U25&gt;=(Leger1!$C$4+1/3*(100-Leger1!$C$4)),"B",IF(Leger1!U25&gt;=Leger1!$C$4,"C","D"))))</f>
        <v/>
      </c>
      <c r="R25" s="252" t="str">
        <f>IF(Leger1!V25="","",IF(Leger1!V25&gt;=(Leger1!$C$4+2/3*(100-Leger1!$C$4)),"A",IF(Leger1!V25&gt;=(Leger1!$C$4+1/3*(100-Leger1!$C$4)),"B",IF(Leger1!V25&gt;=Leger1!$C$4,"C","D"))))</f>
        <v/>
      </c>
      <c r="S25" s="249" t="str">
        <f>IF(Leger1!X25="","",IF(Leger1!X25&gt;=(Leger1!$C$4+2/3*(100-Leger1!$C$4)),"A",IF(Leger1!X25&gt;=(Leger1!$C$4+1/3*(100-Leger1!$C$4)),"B",IF(Leger1!X25&gt;=Leger1!$C$4,"C","D"))))</f>
        <v>B</v>
      </c>
      <c r="T25" s="252" t="str">
        <f>IF(Leger1!Y25="","",IF(Leger1!Y25&gt;=(Leger1!$C$4+2/3*(100-Leger1!$C$4)),"A",IF(Leger1!Y25&gt;=(Leger1!$C$4+1/3*(100-Leger1!$C$4)),"B",IF(Leger1!Y25&gt;=Leger1!$C$4,"C","D"))))</f>
        <v>C</v>
      </c>
      <c r="U25" s="249" t="str">
        <f>IF(Leger1!AA25="","",IF(Leger1!AA25&gt;=(Leger1!$C$4+2/3*(100-Leger1!$C$4)),"A",IF(Leger1!AA25&gt;=(Leger1!$C$4+1/3*(100-Leger1!$C$4)),"B",IF(Leger1!AA25&gt;=Leger1!$C$4,"C","D"))))</f>
        <v>C</v>
      </c>
      <c r="V25" s="252" t="str">
        <f>IF(Leger1!AB25="","",IF(Leger1!AB25&gt;=(Leger1!$C$4+2/3*(100-Leger1!$C$4)),"A",IF(Leger1!AB25&gt;=(Leger1!$C$4+1/3*(100-Leger1!$C$4)),"B",IF(Leger1!AB25&gt;=Leger1!$C$4,"C","D"))))</f>
        <v>C</v>
      </c>
      <c r="W25" s="249" t="str">
        <f>IF(Leger1!AD25="","",IF(Leger1!AD25&gt;=(Leger1!$C$4+2/3*(100-Leger1!$C$4)),"A",IF(Leger1!AD25&gt;=(Leger1!$C$4+1/3*(100-Leger1!$C$4)),"B",IF(Leger1!AD25&gt;=Leger1!$C$4,"C","D"))))</f>
        <v>C</v>
      </c>
      <c r="X25" s="252" t="str">
        <f>IF(Leger1!AE25="","",IF(Leger1!AE25&gt;=(Leger1!$C$4+2/3*(100-Leger1!$C$4)),"A",IF(Leger1!AE25&gt;=(Leger1!$C$4+1/3*(100-Leger1!$C$4)),"B",IF(Leger1!AE25&gt;=Leger1!$C$4,"C","D"))))</f>
        <v>C</v>
      </c>
      <c r="Y25" s="249" t="str">
        <f>IF(Leger1!AG25="","",IF(Leger1!AG25&gt;=(Leger1!$C$4+2/3*(100-Leger1!$C$4)),"A",IF(Leger1!AG25&gt;=(Leger1!$C$4+1/3*(100-Leger1!$C$4)),"B",IF(Leger1!AG25&gt;=Leger1!$C$4,"C","D"))))</f>
        <v>B</v>
      </c>
      <c r="Z25" s="252" t="str">
        <f>IF(Leger1!AH25="","",IF(Leger1!AH25&gt;=(Leger1!$C$4+2/3*(100-Leger1!$C$4)),"A",IF(Leger1!AH25&gt;=(Leger1!$C$4+1/3*(100-Leger1!$C$4)),"B",IF(Leger1!AH25&gt;=Leger1!$C$4,"C","D"))))</f>
        <v>B</v>
      </c>
      <c r="AA25" s="249" t="str">
        <f>IF(Leger1!AJ25="","",IF(Leger1!AJ25&gt;=(Leger1!$C$4+2/3*(100-Leger1!$C$4)),"A",IF(Leger1!AJ25&gt;=(Leger1!$C$4+1/3*(100-Leger1!$C$4)),"B",IF(Leger1!AJ25&gt;=Leger1!$C$4,"C","D"))))</f>
        <v>B</v>
      </c>
      <c r="AB25" s="252" t="str">
        <f>IF(Leger1!AK25="","",IF(Leger1!AK25&gt;=(Leger1!$C$4+2/3*(100-Leger1!$C$4)),"A",IF(Leger1!AK25&gt;=(Leger1!$C$4+1/3*(100-Leger1!$C$4)),"B",IF(Leger1!AK25&gt;=Leger1!$C$4,"C","D"))))</f>
        <v>B</v>
      </c>
      <c r="AC25" s="249" t="str">
        <f>IF(Leger1!AM25="","",IF(Leger1!AM25&gt;=(Leger1!$C$4+2/3*(100-Leger1!$C$4)),"A",IF(Leger1!AM25&gt;=(Leger1!$C$4+1/3*(100-Leger1!$C$4)),"B",IF(Leger1!AM25&gt;=Leger1!$C$4,"C","D"))))</f>
        <v>C</v>
      </c>
      <c r="AD25" s="252" t="str">
        <f>IF(Leger1!AN25="","",IF(Leger1!AN25&gt;=(Leger1!$C$4+2/3*(100-Leger1!$C$4)),"A",IF(Leger1!AN25&gt;=(Leger1!$C$4+1/3*(100-Leger1!$C$4)),"B",IF(Leger1!AN25&gt;=Leger1!$C$4,"C","D"))))</f>
        <v>C</v>
      </c>
      <c r="AE25" s="249" t="str">
        <f>IF(Leger1!AP25="","",IF(Leger1!AP25&gt;=(Leger1!$C$4+2/3*(100-Leger1!$C$4)),"A",IF(Leger1!AP25&gt;=(Leger1!$C$4+1/3*(100-Leger1!$C$4)),"B",IF(Leger1!AP25&gt;=Leger1!$C$4,"C","D"))))</f>
        <v>B</v>
      </c>
      <c r="AF25" s="252" t="str">
        <f>IF(Leger1!AQ25="","",IF(Leger1!AQ25&gt;=(Leger1!$C$4+2/3*(100-Leger1!$C$4)),"A",IF(Leger1!AQ25&gt;=(Leger1!$C$4+1/3*(100-Leger1!$C$4)),"B",IF(Leger1!AQ25&gt;=Leger1!$C$4,"C","D"))))</f>
        <v>C</v>
      </c>
      <c r="AG25" s="249" t="str">
        <f>IF(Leger1!AS25="","",IF(Leger1!AS25&gt;=(Leger1!$C$4+2/3*(100-Leger1!$C$4)),"A",IF(Leger1!AS25&gt;=(Leger1!$C$4+1/3*(100-Leger1!$C$4)),"B",IF(Leger1!AS25&gt;=Leger1!$C$4,"C","D"))))</f>
        <v>C</v>
      </c>
      <c r="AH25" s="252" t="str">
        <f>IF(Leger1!AT25="","",IF(Leger1!AT25&gt;=(Leger1!$C$4+2/3*(100-Leger1!$C$4)),"A",IF(Leger1!AT25&gt;=(Leger1!$C$4+1/3*(100-Leger1!$C$4)),"B",IF(Leger1!AT25&gt;=Leger1!$C$4,"C","D"))))</f>
        <v>C</v>
      </c>
      <c r="AI25" s="249" t="str">
        <f>IF(Leger1!AV25="","",IF(Leger1!AV25&gt;=(Leger1!$C$4+2/3*(100-Leger1!$C$4)),"A",IF(Leger1!AV25&gt;=(Leger1!$C$4+1/3*(100-Leger1!$C$4)),"B",IF(Leger1!AV25&gt;=Leger1!$C$4,"C","D"))))</f>
        <v>B</v>
      </c>
      <c r="AJ25" s="252" t="str">
        <f>IF(Leger1!AW25="","",IF(Leger1!AW25&gt;=(Leger1!$C$4+2/3*(100-Leger1!$C$4)),"A",IF(Leger1!AW25&gt;=(Leger1!$C$4+1/3*(100-Leger1!$C$4)),"B",IF(Leger1!AW25&gt;=Leger1!$C$4,"C","D"))))</f>
        <v>B</v>
      </c>
      <c r="AK25" s="249" t="str">
        <f>IF(Leger1!AY25="","",IF(Leger1!AY25&gt;=(Leger1!$C$4+2/3*(100-Leger1!$C$4)),"A",IF(Leger1!AY25&gt;=(Leger1!$C$4+1/3*(100-Leger1!$C$4)),"B",IF(Leger1!AY25&gt;=Leger1!$C$4,"C","D"))))</f>
        <v>C</v>
      </c>
      <c r="AL25" s="252" t="str">
        <f>IF(Leger1!AZ25="","",IF(Leger1!AZ25&gt;=(Leger1!$C$4+2/3*(100-Leger1!$C$4)),"A",IF(Leger1!AZ25&gt;=(Leger1!$C$4+1/3*(100-Leger1!$C$4)),"B",IF(Leger1!AZ25&gt;=Leger1!$C$4,"C","D"))))</f>
        <v>C</v>
      </c>
    </row>
    <row r="26" spans="2:38">
      <c r="E26" s="211">
        <f>Biodata!B25</f>
        <v>20</v>
      </c>
      <c r="F26" s="212">
        <f>IF(Biodata!C25="","",VLOOKUP(E26,Biodata_Siswa,2,FALSE))</f>
        <v>7105</v>
      </c>
      <c r="G26" s="1015" t="str">
        <f>IF(Biodata!E25="","",PROPER(VLOOKUP(E26,Biodata_Siswa,4,FALSE)))</f>
        <v>Mirra Tusolickak</v>
      </c>
      <c r="H26" s="1016"/>
      <c r="I26" s="249" t="str">
        <f>IF(Leger1!I26="","",IF(Leger1!I26&gt;=(Leger1!$C$4+2/3*(100-Leger1!$C$4)),"A",IF(Leger1!I26&gt;=(Leger1!$C$4+1/3*(100-Leger1!$C$4)),"B",IF(Leger1!I26&gt;=Leger1!$C$4,"C","D"))))</f>
        <v>C</v>
      </c>
      <c r="J26" s="252" t="str">
        <f>IF(Leger1!J26="","",IF(Leger1!J26&gt;=(Leger1!$C$4+2/3*(100-Leger1!$C$4)),"A",IF(Leger1!J26&gt;=(Leger1!$C$4+1/3*(100-Leger1!$C$4)),"B",IF(Leger1!J26&gt;=Leger1!$C$4,"C","D"))))</f>
        <v>B</v>
      </c>
      <c r="K26" s="249" t="str">
        <f>IF(Leger1!L26="","",IF(Leger1!L26&gt;=(Leger1!$C$4+2/3*(100-Leger1!$C$4)),"A",IF(Leger1!L26&gt;=(Leger1!$C$4+1/3*(100-Leger1!$C$4)),"B",IF(Leger1!L26&gt;=Leger1!$C$4,"C","D"))))</f>
        <v/>
      </c>
      <c r="L26" s="252" t="str">
        <f>IF(Leger1!M26="","",IF(Leger1!M26&gt;=(Leger1!$C$4+2/3*(100-Leger1!$C$4)),"A",IF(Leger1!M26&gt;=(Leger1!$C$4+1/3*(100-Leger1!$C$4)),"B",IF(Leger1!M26&gt;=Leger1!$C$4,"C","D"))))</f>
        <v/>
      </c>
      <c r="M26" s="249" t="str">
        <f>IF(Leger1!O26="","",IF(Leger1!O26&gt;=(Leger1!$C$4+2/3*(100-Leger1!$C$4)),"A",IF(Leger1!O26&gt;=(Leger1!$C$4+1/3*(100-Leger1!$C$4)),"B",IF(Leger1!O26&gt;=Leger1!$C$4,"C","D"))))</f>
        <v/>
      </c>
      <c r="N26" s="252" t="str">
        <f>IF(Leger1!P26="","",IF(Leger1!P26&gt;=(Leger1!$C$4+2/3*(100-Leger1!$C$4)),"A",IF(Leger1!P26&gt;=(Leger1!$C$4+1/3*(100-Leger1!$C$4)),"B",IF(Leger1!P26&gt;=Leger1!$C$4,"C","D"))))</f>
        <v/>
      </c>
      <c r="O26" s="249" t="str">
        <f>IF(Leger1!R26="","",IF(Leger1!R26&gt;=(Leger1!$C$4+2/3*(100-Leger1!$C$4)),"A",IF(Leger1!R26&gt;=(Leger1!$C$4+1/3*(100-Leger1!$C$4)),"B",IF(Leger1!R26&gt;=Leger1!$C$4,"C","D"))))</f>
        <v/>
      </c>
      <c r="P26" s="252" t="str">
        <f>IF(Leger1!S26="","",IF(Leger1!S26&gt;=(Leger1!$C$4+2/3*(100-Leger1!$C$4)),"A",IF(Leger1!S26&gt;=(Leger1!$C$4+1/3*(100-Leger1!$C$4)),"B",IF(Leger1!S26&gt;=Leger1!$C$4,"C","D"))))</f>
        <v/>
      </c>
      <c r="Q26" s="249" t="str">
        <f>IF(Leger1!U26="","",IF(Leger1!U26&gt;=(Leger1!$C$4+2/3*(100-Leger1!$C$4)),"A",IF(Leger1!U26&gt;=(Leger1!$C$4+1/3*(100-Leger1!$C$4)),"B",IF(Leger1!U26&gt;=Leger1!$C$4,"C","D"))))</f>
        <v/>
      </c>
      <c r="R26" s="252" t="str">
        <f>IF(Leger1!V26="","",IF(Leger1!V26&gt;=(Leger1!$C$4+2/3*(100-Leger1!$C$4)),"A",IF(Leger1!V26&gt;=(Leger1!$C$4+1/3*(100-Leger1!$C$4)),"B",IF(Leger1!V26&gt;=Leger1!$C$4,"C","D"))))</f>
        <v/>
      </c>
      <c r="S26" s="249" t="str">
        <f>IF(Leger1!X26="","",IF(Leger1!X26&gt;=(Leger1!$C$4+2/3*(100-Leger1!$C$4)),"A",IF(Leger1!X26&gt;=(Leger1!$C$4+1/3*(100-Leger1!$C$4)),"B",IF(Leger1!X26&gt;=Leger1!$C$4,"C","D"))))</f>
        <v>B</v>
      </c>
      <c r="T26" s="252" t="str">
        <f>IF(Leger1!Y26="","",IF(Leger1!Y26&gt;=(Leger1!$C$4+2/3*(100-Leger1!$C$4)),"A",IF(Leger1!Y26&gt;=(Leger1!$C$4+1/3*(100-Leger1!$C$4)),"B",IF(Leger1!Y26&gt;=Leger1!$C$4,"C","D"))))</f>
        <v>B</v>
      </c>
      <c r="U26" s="249" t="str">
        <f>IF(Leger1!AA26="","",IF(Leger1!AA26&gt;=(Leger1!$C$4+2/3*(100-Leger1!$C$4)),"A",IF(Leger1!AA26&gt;=(Leger1!$C$4+1/3*(100-Leger1!$C$4)),"B",IF(Leger1!AA26&gt;=Leger1!$C$4,"C","D"))))</f>
        <v>C</v>
      </c>
      <c r="V26" s="252" t="str">
        <f>IF(Leger1!AB26="","",IF(Leger1!AB26&gt;=(Leger1!$C$4+2/3*(100-Leger1!$C$4)),"A",IF(Leger1!AB26&gt;=(Leger1!$C$4+1/3*(100-Leger1!$C$4)),"B",IF(Leger1!AB26&gt;=Leger1!$C$4,"C","D"))))</f>
        <v>C</v>
      </c>
      <c r="W26" s="249" t="str">
        <f>IF(Leger1!AD26="","",IF(Leger1!AD26&gt;=(Leger1!$C$4+2/3*(100-Leger1!$C$4)),"A",IF(Leger1!AD26&gt;=(Leger1!$C$4+1/3*(100-Leger1!$C$4)),"B",IF(Leger1!AD26&gt;=Leger1!$C$4,"C","D"))))</f>
        <v>B</v>
      </c>
      <c r="X26" s="252" t="str">
        <f>IF(Leger1!AE26="","",IF(Leger1!AE26&gt;=(Leger1!$C$4+2/3*(100-Leger1!$C$4)),"A",IF(Leger1!AE26&gt;=(Leger1!$C$4+1/3*(100-Leger1!$C$4)),"B",IF(Leger1!AE26&gt;=Leger1!$C$4,"C","D"))))</f>
        <v>B</v>
      </c>
      <c r="Y26" s="249" t="str">
        <f>IF(Leger1!AG26="","",IF(Leger1!AG26&gt;=(Leger1!$C$4+2/3*(100-Leger1!$C$4)),"A",IF(Leger1!AG26&gt;=(Leger1!$C$4+1/3*(100-Leger1!$C$4)),"B",IF(Leger1!AG26&gt;=Leger1!$C$4,"C","D"))))</f>
        <v>B</v>
      </c>
      <c r="Z26" s="252" t="str">
        <f>IF(Leger1!AH26="","",IF(Leger1!AH26&gt;=(Leger1!$C$4+2/3*(100-Leger1!$C$4)),"A",IF(Leger1!AH26&gt;=(Leger1!$C$4+1/3*(100-Leger1!$C$4)),"B",IF(Leger1!AH26&gt;=Leger1!$C$4,"C","D"))))</f>
        <v>B</v>
      </c>
      <c r="AA26" s="249" t="str">
        <f>IF(Leger1!AJ26="","",IF(Leger1!AJ26&gt;=(Leger1!$C$4+2/3*(100-Leger1!$C$4)),"A",IF(Leger1!AJ26&gt;=(Leger1!$C$4+1/3*(100-Leger1!$C$4)),"B",IF(Leger1!AJ26&gt;=Leger1!$C$4,"C","D"))))</f>
        <v>B</v>
      </c>
      <c r="AB26" s="252" t="str">
        <f>IF(Leger1!AK26="","",IF(Leger1!AK26&gt;=(Leger1!$C$4+2/3*(100-Leger1!$C$4)),"A",IF(Leger1!AK26&gt;=(Leger1!$C$4+1/3*(100-Leger1!$C$4)),"B",IF(Leger1!AK26&gt;=Leger1!$C$4,"C","D"))))</f>
        <v>B</v>
      </c>
      <c r="AC26" s="249" t="str">
        <f>IF(Leger1!AM26="","",IF(Leger1!AM26&gt;=(Leger1!$C$4+2/3*(100-Leger1!$C$4)),"A",IF(Leger1!AM26&gt;=(Leger1!$C$4+1/3*(100-Leger1!$C$4)),"B",IF(Leger1!AM26&gt;=Leger1!$C$4,"C","D"))))</f>
        <v>C</v>
      </c>
      <c r="AD26" s="252" t="str">
        <f>IF(Leger1!AN26="","",IF(Leger1!AN26&gt;=(Leger1!$C$4+2/3*(100-Leger1!$C$4)),"A",IF(Leger1!AN26&gt;=(Leger1!$C$4+1/3*(100-Leger1!$C$4)),"B",IF(Leger1!AN26&gt;=Leger1!$C$4,"C","D"))))</f>
        <v>C</v>
      </c>
      <c r="AE26" s="249" t="str">
        <f>IF(Leger1!AP26="","",IF(Leger1!AP26&gt;=(Leger1!$C$4+2/3*(100-Leger1!$C$4)),"A",IF(Leger1!AP26&gt;=(Leger1!$C$4+1/3*(100-Leger1!$C$4)),"B",IF(Leger1!AP26&gt;=Leger1!$C$4,"C","D"))))</f>
        <v>C</v>
      </c>
      <c r="AF26" s="252" t="str">
        <f>IF(Leger1!AQ26="","",IF(Leger1!AQ26&gt;=(Leger1!$C$4+2/3*(100-Leger1!$C$4)),"A",IF(Leger1!AQ26&gt;=(Leger1!$C$4+1/3*(100-Leger1!$C$4)),"B",IF(Leger1!AQ26&gt;=Leger1!$C$4,"C","D"))))</f>
        <v>C</v>
      </c>
      <c r="AG26" s="249" t="str">
        <f>IF(Leger1!AS26="","",IF(Leger1!AS26&gt;=(Leger1!$C$4+2/3*(100-Leger1!$C$4)),"A",IF(Leger1!AS26&gt;=(Leger1!$C$4+1/3*(100-Leger1!$C$4)),"B",IF(Leger1!AS26&gt;=Leger1!$C$4,"C","D"))))</f>
        <v>C</v>
      </c>
      <c r="AH26" s="252" t="str">
        <f>IF(Leger1!AT26="","",IF(Leger1!AT26&gt;=(Leger1!$C$4+2/3*(100-Leger1!$C$4)),"A",IF(Leger1!AT26&gt;=(Leger1!$C$4+1/3*(100-Leger1!$C$4)),"B",IF(Leger1!AT26&gt;=Leger1!$C$4,"C","D"))))</f>
        <v>C</v>
      </c>
      <c r="AI26" s="249" t="str">
        <f>IF(Leger1!AV26="","",IF(Leger1!AV26&gt;=(Leger1!$C$4+2/3*(100-Leger1!$C$4)),"A",IF(Leger1!AV26&gt;=(Leger1!$C$4+1/3*(100-Leger1!$C$4)),"B",IF(Leger1!AV26&gt;=Leger1!$C$4,"C","D"))))</f>
        <v>B</v>
      </c>
      <c r="AJ26" s="252" t="str">
        <f>IF(Leger1!AW26="","",IF(Leger1!AW26&gt;=(Leger1!$C$4+2/3*(100-Leger1!$C$4)),"A",IF(Leger1!AW26&gt;=(Leger1!$C$4+1/3*(100-Leger1!$C$4)),"B",IF(Leger1!AW26&gt;=Leger1!$C$4,"C","D"))))</f>
        <v>B</v>
      </c>
      <c r="AK26" s="249" t="str">
        <f>IF(Leger1!AY26="","",IF(Leger1!AY26&gt;=(Leger1!$C$4+2/3*(100-Leger1!$C$4)),"A",IF(Leger1!AY26&gt;=(Leger1!$C$4+1/3*(100-Leger1!$C$4)),"B",IF(Leger1!AY26&gt;=Leger1!$C$4,"C","D"))))</f>
        <v>C</v>
      </c>
      <c r="AL26" s="252" t="str">
        <f>IF(Leger1!AZ26="","",IF(Leger1!AZ26&gt;=(Leger1!$C$4+2/3*(100-Leger1!$C$4)),"A",IF(Leger1!AZ26&gt;=(Leger1!$C$4+1/3*(100-Leger1!$C$4)),"B",IF(Leger1!AZ26&gt;=Leger1!$C$4,"C","D"))))</f>
        <v>C</v>
      </c>
    </row>
    <row r="27" spans="2:38">
      <c r="E27" s="211">
        <f>Biodata!B26</f>
        <v>21</v>
      </c>
      <c r="F27" s="212">
        <f>IF(Biodata!C26="","",VLOOKUP(E27,Biodata_Siswa,2,FALSE))</f>
        <v>7107</v>
      </c>
      <c r="G27" s="1015" t="str">
        <f>IF(Biodata!E26="","",PROPER(VLOOKUP(E27,Biodata_Siswa,4,FALSE)))</f>
        <v>Muhammad Daffa Rifa'I</v>
      </c>
      <c r="H27" s="1016"/>
      <c r="I27" s="249" t="str">
        <f>IF(Leger1!I27="","",IF(Leger1!I27&gt;=(Leger1!$C$4+2/3*(100-Leger1!$C$4)),"A",IF(Leger1!I27&gt;=(Leger1!$C$4+1/3*(100-Leger1!$C$4)),"B",IF(Leger1!I27&gt;=Leger1!$C$4,"C","D"))))</f>
        <v>B</v>
      </c>
      <c r="J27" s="252" t="str">
        <f>IF(Leger1!J27="","",IF(Leger1!J27&gt;=(Leger1!$C$4+2/3*(100-Leger1!$C$4)),"A",IF(Leger1!J27&gt;=(Leger1!$C$4+1/3*(100-Leger1!$C$4)),"B",IF(Leger1!J27&gt;=Leger1!$C$4,"C","D"))))</f>
        <v>B</v>
      </c>
      <c r="K27" s="249" t="str">
        <f>IF(Leger1!L27="","",IF(Leger1!L27&gt;=(Leger1!$C$4+2/3*(100-Leger1!$C$4)),"A",IF(Leger1!L27&gt;=(Leger1!$C$4+1/3*(100-Leger1!$C$4)),"B",IF(Leger1!L27&gt;=Leger1!$C$4,"C","D"))))</f>
        <v/>
      </c>
      <c r="L27" s="252" t="str">
        <f>IF(Leger1!M27="","",IF(Leger1!M27&gt;=(Leger1!$C$4+2/3*(100-Leger1!$C$4)),"A",IF(Leger1!M27&gt;=(Leger1!$C$4+1/3*(100-Leger1!$C$4)),"B",IF(Leger1!M27&gt;=Leger1!$C$4,"C","D"))))</f>
        <v/>
      </c>
      <c r="M27" s="249" t="str">
        <f>IF(Leger1!O27="","",IF(Leger1!O27&gt;=(Leger1!$C$4+2/3*(100-Leger1!$C$4)),"A",IF(Leger1!O27&gt;=(Leger1!$C$4+1/3*(100-Leger1!$C$4)),"B",IF(Leger1!O27&gt;=Leger1!$C$4,"C","D"))))</f>
        <v/>
      </c>
      <c r="N27" s="252" t="str">
        <f>IF(Leger1!P27="","",IF(Leger1!P27&gt;=(Leger1!$C$4+2/3*(100-Leger1!$C$4)),"A",IF(Leger1!P27&gt;=(Leger1!$C$4+1/3*(100-Leger1!$C$4)),"B",IF(Leger1!P27&gt;=Leger1!$C$4,"C","D"))))</f>
        <v/>
      </c>
      <c r="O27" s="249" t="str">
        <f>IF(Leger1!R27="","",IF(Leger1!R27&gt;=(Leger1!$C$4+2/3*(100-Leger1!$C$4)),"A",IF(Leger1!R27&gt;=(Leger1!$C$4+1/3*(100-Leger1!$C$4)),"B",IF(Leger1!R27&gt;=Leger1!$C$4,"C","D"))))</f>
        <v/>
      </c>
      <c r="P27" s="252" t="str">
        <f>IF(Leger1!S27="","",IF(Leger1!S27&gt;=(Leger1!$C$4+2/3*(100-Leger1!$C$4)),"A",IF(Leger1!S27&gt;=(Leger1!$C$4+1/3*(100-Leger1!$C$4)),"B",IF(Leger1!S27&gt;=Leger1!$C$4,"C","D"))))</f>
        <v/>
      </c>
      <c r="Q27" s="249" t="str">
        <f>IF(Leger1!U27="","",IF(Leger1!U27&gt;=(Leger1!$C$4+2/3*(100-Leger1!$C$4)),"A",IF(Leger1!U27&gt;=(Leger1!$C$4+1/3*(100-Leger1!$C$4)),"B",IF(Leger1!U27&gt;=Leger1!$C$4,"C","D"))))</f>
        <v/>
      </c>
      <c r="R27" s="252" t="str">
        <f>IF(Leger1!V27="","",IF(Leger1!V27&gt;=(Leger1!$C$4+2/3*(100-Leger1!$C$4)),"A",IF(Leger1!V27&gt;=(Leger1!$C$4+1/3*(100-Leger1!$C$4)),"B",IF(Leger1!V27&gt;=Leger1!$C$4,"C","D"))))</f>
        <v/>
      </c>
      <c r="S27" s="249" t="str">
        <f>IF(Leger1!X27="","",IF(Leger1!X27&gt;=(Leger1!$C$4+2/3*(100-Leger1!$C$4)),"A",IF(Leger1!X27&gt;=(Leger1!$C$4+1/3*(100-Leger1!$C$4)),"B",IF(Leger1!X27&gt;=Leger1!$C$4,"C","D"))))</f>
        <v>B</v>
      </c>
      <c r="T27" s="252" t="str">
        <f>IF(Leger1!Y27="","",IF(Leger1!Y27&gt;=(Leger1!$C$4+2/3*(100-Leger1!$C$4)),"A",IF(Leger1!Y27&gt;=(Leger1!$C$4+1/3*(100-Leger1!$C$4)),"B",IF(Leger1!Y27&gt;=Leger1!$C$4,"C","D"))))</f>
        <v>B</v>
      </c>
      <c r="U27" s="249" t="str">
        <f>IF(Leger1!AA27="","",IF(Leger1!AA27&gt;=(Leger1!$C$4+2/3*(100-Leger1!$C$4)),"A",IF(Leger1!AA27&gt;=(Leger1!$C$4+1/3*(100-Leger1!$C$4)),"B",IF(Leger1!AA27&gt;=Leger1!$C$4,"C","D"))))</f>
        <v>C</v>
      </c>
      <c r="V27" s="252" t="str">
        <f>IF(Leger1!AB27="","",IF(Leger1!AB27&gt;=(Leger1!$C$4+2/3*(100-Leger1!$C$4)),"A",IF(Leger1!AB27&gt;=(Leger1!$C$4+1/3*(100-Leger1!$C$4)),"B",IF(Leger1!AB27&gt;=Leger1!$C$4,"C","D"))))</f>
        <v>C</v>
      </c>
      <c r="W27" s="249" t="str">
        <f>IF(Leger1!AD27="","",IF(Leger1!AD27&gt;=(Leger1!$C$4+2/3*(100-Leger1!$C$4)),"A",IF(Leger1!AD27&gt;=(Leger1!$C$4+1/3*(100-Leger1!$C$4)),"B",IF(Leger1!AD27&gt;=Leger1!$C$4,"C","D"))))</f>
        <v>C</v>
      </c>
      <c r="X27" s="252" t="str">
        <f>IF(Leger1!AE27="","",IF(Leger1!AE27&gt;=(Leger1!$C$4+2/3*(100-Leger1!$C$4)),"A",IF(Leger1!AE27&gt;=(Leger1!$C$4+1/3*(100-Leger1!$C$4)),"B",IF(Leger1!AE27&gt;=Leger1!$C$4,"C","D"))))</f>
        <v>C</v>
      </c>
      <c r="Y27" s="249" t="str">
        <f>IF(Leger1!AG27="","",IF(Leger1!AG27&gt;=(Leger1!$C$4+2/3*(100-Leger1!$C$4)),"A",IF(Leger1!AG27&gt;=(Leger1!$C$4+1/3*(100-Leger1!$C$4)),"B",IF(Leger1!AG27&gt;=Leger1!$C$4,"C","D"))))</f>
        <v>B</v>
      </c>
      <c r="Z27" s="252" t="str">
        <f>IF(Leger1!AH27="","",IF(Leger1!AH27&gt;=(Leger1!$C$4+2/3*(100-Leger1!$C$4)),"A",IF(Leger1!AH27&gt;=(Leger1!$C$4+1/3*(100-Leger1!$C$4)),"B",IF(Leger1!AH27&gt;=Leger1!$C$4,"C","D"))))</f>
        <v>B</v>
      </c>
      <c r="AA27" s="249" t="str">
        <f>IF(Leger1!AJ27="","",IF(Leger1!AJ27&gt;=(Leger1!$C$4+2/3*(100-Leger1!$C$4)),"A",IF(Leger1!AJ27&gt;=(Leger1!$C$4+1/3*(100-Leger1!$C$4)),"B",IF(Leger1!AJ27&gt;=Leger1!$C$4,"C","D"))))</f>
        <v>C</v>
      </c>
      <c r="AB27" s="252" t="str">
        <f>IF(Leger1!AK27="","",IF(Leger1!AK27&gt;=(Leger1!$C$4+2/3*(100-Leger1!$C$4)),"A",IF(Leger1!AK27&gt;=(Leger1!$C$4+1/3*(100-Leger1!$C$4)),"B",IF(Leger1!AK27&gt;=Leger1!$C$4,"C","D"))))</f>
        <v>C</v>
      </c>
      <c r="AC27" s="249" t="str">
        <f>IF(Leger1!AM27="","",IF(Leger1!AM27&gt;=(Leger1!$C$4+2/3*(100-Leger1!$C$4)),"A",IF(Leger1!AM27&gt;=(Leger1!$C$4+1/3*(100-Leger1!$C$4)),"B",IF(Leger1!AM27&gt;=Leger1!$C$4,"C","D"))))</f>
        <v>B</v>
      </c>
      <c r="AD27" s="252" t="str">
        <f>IF(Leger1!AN27="","",IF(Leger1!AN27&gt;=(Leger1!$C$4+2/3*(100-Leger1!$C$4)),"A",IF(Leger1!AN27&gt;=(Leger1!$C$4+1/3*(100-Leger1!$C$4)),"B",IF(Leger1!AN27&gt;=Leger1!$C$4,"C","D"))))</f>
        <v>C</v>
      </c>
      <c r="AE27" s="249" t="str">
        <f>IF(Leger1!AP27="","",IF(Leger1!AP27&gt;=(Leger1!$C$4+2/3*(100-Leger1!$C$4)),"A",IF(Leger1!AP27&gt;=(Leger1!$C$4+1/3*(100-Leger1!$C$4)),"B",IF(Leger1!AP27&gt;=Leger1!$C$4,"C","D"))))</f>
        <v>C</v>
      </c>
      <c r="AF27" s="252" t="str">
        <f>IF(Leger1!AQ27="","",IF(Leger1!AQ27&gt;=(Leger1!$C$4+2/3*(100-Leger1!$C$4)),"A",IF(Leger1!AQ27&gt;=(Leger1!$C$4+1/3*(100-Leger1!$C$4)),"B",IF(Leger1!AQ27&gt;=Leger1!$C$4,"C","D"))))</f>
        <v>C</v>
      </c>
      <c r="AG27" s="249" t="str">
        <f>IF(Leger1!AS27="","",IF(Leger1!AS27&gt;=(Leger1!$C$4+2/3*(100-Leger1!$C$4)),"A",IF(Leger1!AS27&gt;=(Leger1!$C$4+1/3*(100-Leger1!$C$4)),"B",IF(Leger1!AS27&gt;=Leger1!$C$4,"C","D"))))</f>
        <v>C</v>
      </c>
      <c r="AH27" s="252" t="str">
        <f>IF(Leger1!AT27="","",IF(Leger1!AT27&gt;=(Leger1!$C$4+2/3*(100-Leger1!$C$4)),"A",IF(Leger1!AT27&gt;=(Leger1!$C$4+1/3*(100-Leger1!$C$4)),"B",IF(Leger1!AT27&gt;=Leger1!$C$4,"C","D"))))</f>
        <v>C</v>
      </c>
      <c r="AI27" s="249" t="str">
        <f>IF(Leger1!AV27="","",IF(Leger1!AV27&gt;=(Leger1!$C$4+2/3*(100-Leger1!$C$4)),"A",IF(Leger1!AV27&gt;=(Leger1!$C$4+1/3*(100-Leger1!$C$4)),"B",IF(Leger1!AV27&gt;=Leger1!$C$4,"C","D"))))</f>
        <v>B</v>
      </c>
      <c r="AJ27" s="252" t="str">
        <f>IF(Leger1!AW27="","",IF(Leger1!AW27&gt;=(Leger1!$C$4+2/3*(100-Leger1!$C$4)),"A",IF(Leger1!AW27&gt;=(Leger1!$C$4+1/3*(100-Leger1!$C$4)),"B",IF(Leger1!AW27&gt;=Leger1!$C$4,"C","D"))))</f>
        <v>C</v>
      </c>
      <c r="AK27" s="249" t="str">
        <f>IF(Leger1!AY27="","",IF(Leger1!AY27&gt;=(Leger1!$C$4+2/3*(100-Leger1!$C$4)),"A",IF(Leger1!AY27&gt;=(Leger1!$C$4+1/3*(100-Leger1!$C$4)),"B",IF(Leger1!AY27&gt;=Leger1!$C$4,"C","D"))))</f>
        <v>C</v>
      </c>
      <c r="AL27" s="252" t="str">
        <f>IF(Leger1!AZ27="","",IF(Leger1!AZ27&gt;=(Leger1!$C$4+2/3*(100-Leger1!$C$4)),"A",IF(Leger1!AZ27&gt;=(Leger1!$C$4+1/3*(100-Leger1!$C$4)),"B",IF(Leger1!AZ27&gt;=Leger1!$C$4,"C","D"))))</f>
        <v>C</v>
      </c>
    </row>
    <row r="28" spans="2:38">
      <c r="E28" s="211">
        <f>Biodata!B27</f>
        <v>22</v>
      </c>
      <c r="F28" s="212">
        <f>IF(Biodata!C27="","",VLOOKUP(E28,Biodata_Siswa,2,FALSE))</f>
        <v>7108</v>
      </c>
      <c r="G28" s="1015" t="str">
        <f>IF(Biodata!E27="","",PROPER(VLOOKUP(E28,Biodata_Siswa,4,FALSE)))</f>
        <v>Muhammad Jaupanto</v>
      </c>
      <c r="H28" s="1016"/>
      <c r="I28" s="249" t="str">
        <f>IF(Leger1!I28="","",IF(Leger1!I28&gt;=(Leger1!$C$4+2/3*(100-Leger1!$C$4)),"A",IF(Leger1!I28&gt;=(Leger1!$C$4+1/3*(100-Leger1!$C$4)),"B",IF(Leger1!I28&gt;=Leger1!$C$4,"C","D"))))</f>
        <v>C</v>
      </c>
      <c r="J28" s="252" t="str">
        <f>IF(Leger1!J28="","",IF(Leger1!J28&gt;=(Leger1!$C$4+2/3*(100-Leger1!$C$4)),"A",IF(Leger1!J28&gt;=(Leger1!$C$4+1/3*(100-Leger1!$C$4)),"B",IF(Leger1!J28&gt;=Leger1!$C$4,"C","D"))))</f>
        <v>C</v>
      </c>
      <c r="K28" s="249" t="str">
        <f>IF(Leger1!L28="","",IF(Leger1!L28&gt;=(Leger1!$C$4+2/3*(100-Leger1!$C$4)),"A",IF(Leger1!L28&gt;=(Leger1!$C$4+1/3*(100-Leger1!$C$4)),"B",IF(Leger1!L28&gt;=Leger1!$C$4,"C","D"))))</f>
        <v/>
      </c>
      <c r="L28" s="252" t="str">
        <f>IF(Leger1!M28="","",IF(Leger1!M28&gt;=(Leger1!$C$4+2/3*(100-Leger1!$C$4)),"A",IF(Leger1!M28&gt;=(Leger1!$C$4+1/3*(100-Leger1!$C$4)),"B",IF(Leger1!M28&gt;=Leger1!$C$4,"C","D"))))</f>
        <v/>
      </c>
      <c r="M28" s="249" t="str">
        <f>IF(Leger1!O28="","",IF(Leger1!O28&gt;=(Leger1!$C$4+2/3*(100-Leger1!$C$4)),"A",IF(Leger1!O28&gt;=(Leger1!$C$4+1/3*(100-Leger1!$C$4)),"B",IF(Leger1!O28&gt;=Leger1!$C$4,"C","D"))))</f>
        <v/>
      </c>
      <c r="N28" s="252" t="str">
        <f>IF(Leger1!P28="","",IF(Leger1!P28&gt;=(Leger1!$C$4+2/3*(100-Leger1!$C$4)),"A",IF(Leger1!P28&gt;=(Leger1!$C$4+1/3*(100-Leger1!$C$4)),"B",IF(Leger1!P28&gt;=Leger1!$C$4,"C","D"))))</f>
        <v/>
      </c>
      <c r="O28" s="249" t="str">
        <f>IF(Leger1!R28="","",IF(Leger1!R28&gt;=(Leger1!$C$4+2/3*(100-Leger1!$C$4)),"A",IF(Leger1!R28&gt;=(Leger1!$C$4+1/3*(100-Leger1!$C$4)),"B",IF(Leger1!R28&gt;=Leger1!$C$4,"C","D"))))</f>
        <v/>
      </c>
      <c r="P28" s="252" t="str">
        <f>IF(Leger1!S28="","",IF(Leger1!S28&gt;=(Leger1!$C$4+2/3*(100-Leger1!$C$4)),"A",IF(Leger1!S28&gt;=(Leger1!$C$4+1/3*(100-Leger1!$C$4)),"B",IF(Leger1!S28&gt;=Leger1!$C$4,"C","D"))))</f>
        <v/>
      </c>
      <c r="Q28" s="249" t="str">
        <f>IF(Leger1!U28="","",IF(Leger1!U28&gt;=(Leger1!$C$4+2/3*(100-Leger1!$C$4)),"A",IF(Leger1!U28&gt;=(Leger1!$C$4+1/3*(100-Leger1!$C$4)),"B",IF(Leger1!U28&gt;=Leger1!$C$4,"C","D"))))</f>
        <v/>
      </c>
      <c r="R28" s="252" t="str">
        <f>IF(Leger1!V28="","",IF(Leger1!V28&gt;=(Leger1!$C$4+2/3*(100-Leger1!$C$4)),"A",IF(Leger1!V28&gt;=(Leger1!$C$4+1/3*(100-Leger1!$C$4)),"B",IF(Leger1!V28&gt;=Leger1!$C$4,"C","D"))))</f>
        <v/>
      </c>
      <c r="S28" s="249" t="str">
        <f>IF(Leger1!X28="","",IF(Leger1!X28&gt;=(Leger1!$C$4+2/3*(100-Leger1!$C$4)),"A",IF(Leger1!X28&gt;=(Leger1!$C$4+1/3*(100-Leger1!$C$4)),"B",IF(Leger1!X28&gt;=Leger1!$C$4,"C","D"))))</f>
        <v>C</v>
      </c>
      <c r="T28" s="252" t="str">
        <f>IF(Leger1!Y28="","",IF(Leger1!Y28&gt;=(Leger1!$C$4+2/3*(100-Leger1!$C$4)),"A",IF(Leger1!Y28&gt;=(Leger1!$C$4+1/3*(100-Leger1!$C$4)),"B",IF(Leger1!Y28&gt;=Leger1!$C$4,"C","D"))))</f>
        <v>C</v>
      </c>
      <c r="U28" s="249" t="str">
        <f>IF(Leger1!AA28="","",IF(Leger1!AA28&gt;=(Leger1!$C$4+2/3*(100-Leger1!$C$4)),"A",IF(Leger1!AA28&gt;=(Leger1!$C$4+1/3*(100-Leger1!$C$4)),"B",IF(Leger1!AA28&gt;=Leger1!$C$4,"C","D"))))</f>
        <v>C</v>
      </c>
      <c r="V28" s="252" t="str">
        <f>IF(Leger1!AB28="","",IF(Leger1!AB28&gt;=(Leger1!$C$4+2/3*(100-Leger1!$C$4)),"A",IF(Leger1!AB28&gt;=(Leger1!$C$4+1/3*(100-Leger1!$C$4)),"B",IF(Leger1!AB28&gt;=Leger1!$C$4,"C","D"))))</f>
        <v>C</v>
      </c>
      <c r="W28" s="249" t="str">
        <f>IF(Leger1!AD28="","",IF(Leger1!AD28&gt;=(Leger1!$C$4+2/3*(100-Leger1!$C$4)),"A",IF(Leger1!AD28&gt;=(Leger1!$C$4+1/3*(100-Leger1!$C$4)),"B",IF(Leger1!AD28&gt;=Leger1!$C$4,"C","D"))))</f>
        <v>C</v>
      </c>
      <c r="X28" s="252" t="str">
        <f>IF(Leger1!AE28="","",IF(Leger1!AE28&gt;=(Leger1!$C$4+2/3*(100-Leger1!$C$4)),"A",IF(Leger1!AE28&gt;=(Leger1!$C$4+1/3*(100-Leger1!$C$4)),"B",IF(Leger1!AE28&gt;=Leger1!$C$4,"C","D"))))</f>
        <v>C</v>
      </c>
      <c r="Y28" s="249" t="str">
        <f>IF(Leger1!AG28="","",IF(Leger1!AG28&gt;=(Leger1!$C$4+2/3*(100-Leger1!$C$4)),"A",IF(Leger1!AG28&gt;=(Leger1!$C$4+1/3*(100-Leger1!$C$4)),"B",IF(Leger1!AG28&gt;=Leger1!$C$4,"C","D"))))</f>
        <v>C</v>
      </c>
      <c r="Z28" s="252" t="str">
        <f>IF(Leger1!AH28="","",IF(Leger1!AH28&gt;=(Leger1!$C$4+2/3*(100-Leger1!$C$4)),"A",IF(Leger1!AH28&gt;=(Leger1!$C$4+1/3*(100-Leger1!$C$4)),"B",IF(Leger1!AH28&gt;=Leger1!$C$4,"C","D"))))</f>
        <v>C</v>
      </c>
      <c r="AA28" s="249" t="str">
        <f>IF(Leger1!AJ28="","",IF(Leger1!AJ28&gt;=(Leger1!$C$4+2/3*(100-Leger1!$C$4)),"A",IF(Leger1!AJ28&gt;=(Leger1!$C$4+1/3*(100-Leger1!$C$4)),"B",IF(Leger1!AJ28&gt;=Leger1!$C$4,"C","D"))))</f>
        <v>C</v>
      </c>
      <c r="AB28" s="252" t="str">
        <f>IF(Leger1!AK28="","",IF(Leger1!AK28&gt;=(Leger1!$C$4+2/3*(100-Leger1!$C$4)),"A",IF(Leger1!AK28&gt;=(Leger1!$C$4+1/3*(100-Leger1!$C$4)),"B",IF(Leger1!AK28&gt;=Leger1!$C$4,"C","D"))))</f>
        <v>C</v>
      </c>
      <c r="AC28" s="249" t="str">
        <f>IF(Leger1!AM28="","",IF(Leger1!AM28&gt;=(Leger1!$C$4+2/3*(100-Leger1!$C$4)),"A",IF(Leger1!AM28&gt;=(Leger1!$C$4+1/3*(100-Leger1!$C$4)),"B",IF(Leger1!AM28&gt;=Leger1!$C$4,"C","D"))))</f>
        <v>C</v>
      </c>
      <c r="AD28" s="252" t="str">
        <f>IF(Leger1!AN28="","",IF(Leger1!AN28&gt;=(Leger1!$C$4+2/3*(100-Leger1!$C$4)),"A",IF(Leger1!AN28&gt;=(Leger1!$C$4+1/3*(100-Leger1!$C$4)),"B",IF(Leger1!AN28&gt;=Leger1!$C$4,"C","D"))))</f>
        <v>C</v>
      </c>
      <c r="AE28" s="249" t="str">
        <f>IF(Leger1!AP28="","",IF(Leger1!AP28&gt;=(Leger1!$C$4+2/3*(100-Leger1!$C$4)),"A",IF(Leger1!AP28&gt;=(Leger1!$C$4+1/3*(100-Leger1!$C$4)),"B",IF(Leger1!AP28&gt;=Leger1!$C$4,"C","D"))))</f>
        <v>C</v>
      </c>
      <c r="AF28" s="252" t="str">
        <f>IF(Leger1!AQ28="","",IF(Leger1!AQ28&gt;=(Leger1!$C$4+2/3*(100-Leger1!$C$4)),"A",IF(Leger1!AQ28&gt;=(Leger1!$C$4+1/3*(100-Leger1!$C$4)),"B",IF(Leger1!AQ28&gt;=Leger1!$C$4,"C","D"))))</f>
        <v>C</v>
      </c>
      <c r="AG28" s="249" t="str">
        <f>IF(Leger1!AS28="","",IF(Leger1!AS28&gt;=(Leger1!$C$4+2/3*(100-Leger1!$C$4)),"A",IF(Leger1!AS28&gt;=(Leger1!$C$4+1/3*(100-Leger1!$C$4)),"B",IF(Leger1!AS28&gt;=Leger1!$C$4,"C","D"))))</f>
        <v>C</v>
      </c>
      <c r="AH28" s="252" t="str">
        <f>IF(Leger1!AT28="","",IF(Leger1!AT28&gt;=(Leger1!$C$4+2/3*(100-Leger1!$C$4)),"A",IF(Leger1!AT28&gt;=(Leger1!$C$4+1/3*(100-Leger1!$C$4)),"B",IF(Leger1!AT28&gt;=Leger1!$C$4,"C","D"))))</f>
        <v>C</v>
      </c>
      <c r="AI28" s="249" t="str">
        <f>IF(Leger1!AV28="","",IF(Leger1!AV28&gt;=(Leger1!$C$4+2/3*(100-Leger1!$C$4)),"A",IF(Leger1!AV28&gt;=(Leger1!$C$4+1/3*(100-Leger1!$C$4)),"B",IF(Leger1!AV28&gt;=Leger1!$C$4,"C","D"))))</f>
        <v>C</v>
      </c>
      <c r="AJ28" s="252" t="str">
        <f>IF(Leger1!AW28="","",IF(Leger1!AW28&gt;=(Leger1!$C$4+2/3*(100-Leger1!$C$4)),"A",IF(Leger1!AW28&gt;=(Leger1!$C$4+1/3*(100-Leger1!$C$4)),"B",IF(Leger1!AW28&gt;=Leger1!$C$4,"C","D"))))</f>
        <v>C</v>
      </c>
      <c r="AK28" s="249" t="str">
        <f>IF(Leger1!AY28="","",IF(Leger1!AY28&gt;=(Leger1!$C$4+2/3*(100-Leger1!$C$4)),"A",IF(Leger1!AY28&gt;=(Leger1!$C$4+1/3*(100-Leger1!$C$4)),"B",IF(Leger1!AY28&gt;=Leger1!$C$4,"C","D"))))</f>
        <v>C</v>
      </c>
      <c r="AL28" s="252" t="str">
        <f>IF(Leger1!AZ28="","",IF(Leger1!AZ28&gt;=(Leger1!$C$4+2/3*(100-Leger1!$C$4)),"A",IF(Leger1!AZ28&gt;=(Leger1!$C$4+1/3*(100-Leger1!$C$4)),"B",IF(Leger1!AZ28&gt;=Leger1!$C$4,"C","D"))))</f>
        <v>C</v>
      </c>
    </row>
    <row r="29" spans="2:38">
      <c r="E29" s="211">
        <f>Biodata!B28</f>
        <v>23</v>
      </c>
      <c r="F29" s="212">
        <f>IF(Biodata!C28="","",VLOOKUP(E29,Biodata_Siswa,2,FALSE))</f>
        <v>7111</v>
      </c>
      <c r="G29" s="1015" t="str">
        <f>IF(Biodata!E28="","",PROPER(VLOOKUP(E29,Biodata_Siswa,4,FALSE)))</f>
        <v>Nova Laila Khusna</v>
      </c>
      <c r="H29" s="1016"/>
      <c r="I29" s="249" t="str">
        <f>IF(Leger1!I29="","",IF(Leger1!I29&gt;=(Leger1!$C$4+2/3*(100-Leger1!$C$4)),"A",IF(Leger1!I29&gt;=(Leger1!$C$4+1/3*(100-Leger1!$C$4)),"B",IF(Leger1!I29&gt;=Leger1!$C$4,"C","D"))))</f>
        <v>B</v>
      </c>
      <c r="J29" s="252" t="str">
        <f>IF(Leger1!J29="","",IF(Leger1!J29&gt;=(Leger1!$C$4+2/3*(100-Leger1!$C$4)),"A",IF(Leger1!J29&gt;=(Leger1!$C$4+1/3*(100-Leger1!$C$4)),"B",IF(Leger1!J29&gt;=Leger1!$C$4,"C","D"))))</f>
        <v>B</v>
      </c>
      <c r="K29" s="249" t="str">
        <f>IF(Leger1!L29="","",IF(Leger1!L29&gt;=(Leger1!$C$4+2/3*(100-Leger1!$C$4)),"A",IF(Leger1!L29&gt;=(Leger1!$C$4+1/3*(100-Leger1!$C$4)),"B",IF(Leger1!L29&gt;=Leger1!$C$4,"C","D"))))</f>
        <v/>
      </c>
      <c r="L29" s="252" t="str">
        <f>IF(Leger1!M29="","",IF(Leger1!M29&gt;=(Leger1!$C$4+2/3*(100-Leger1!$C$4)),"A",IF(Leger1!M29&gt;=(Leger1!$C$4+1/3*(100-Leger1!$C$4)),"B",IF(Leger1!M29&gt;=Leger1!$C$4,"C","D"))))</f>
        <v/>
      </c>
      <c r="M29" s="249" t="str">
        <f>IF(Leger1!O29="","",IF(Leger1!O29&gt;=(Leger1!$C$4+2/3*(100-Leger1!$C$4)),"A",IF(Leger1!O29&gt;=(Leger1!$C$4+1/3*(100-Leger1!$C$4)),"B",IF(Leger1!O29&gt;=Leger1!$C$4,"C","D"))))</f>
        <v/>
      </c>
      <c r="N29" s="252" t="str">
        <f>IF(Leger1!P29="","",IF(Leger1!P29&gt;=(Leger1!$C$4+2/3*(100-Leger1!$C$4)),"A",IF(Leger1!P29&gt;=(Leger1!$C$4+1/3*(100-Leger1!$C$4)),"B",IF(Leger1!P29&gt;=Leger1!$C$4,"C","D"))))</f>
        <v/>
      </c>
      <c r="O29" s="249" t="str">
        <f>IF(Leger1!R29="","",IF(Leger1!R29&gt;=(Leger1!$C$4+2/3*(100-Leger1!$C$4)),"A",IF(Leger1!R29&gt;=(Leger1!$C$4+1/3*(100-Leger1!$C$4)),"B",IF(Leger1!R29&gt;=Leger1!$C$4,"C","D"))))</f>
        <v/>
      </c>
      <c r="P29" s="252" t="str">
        <f>IF(Leger1!S29="","",IF(Leger1!S29&gt;=(Leger1!$C$4+2/3*(100-Leger1!$C$4)),"A",IF(Leger1!S29&gt;=(Leger1!$C$4+1/3*(100-Leger1!$C$4)),"B",IF(Leger1!S29&gt;=Leger1!$C$4,"C","D"))))</f>
        <v/>
      </c>
      <c r="Q29" s="249" t="str">
        <f>IF(Leger1!U29="","",IF(Leger1!U29&gt;=(Leger1!$C$4+2/3*(100-Leger1!$C$4)),"A",IF(Leger1!U29&gt;=(Leger1!$C$4+1/3*(100-Leger1!$C$4)),"B",IF(Leger1!U29&gt;=Leger1!$C$4,"C","D"))))</f>
        <v/>
      </c>
      <c r="R29" s="252" t="str">
        <f>IF(Leger1!V29="","",IF(Leger1!V29&gt;=(Leger1!$C$4+2/3*(100-Leger1!$C$4)),"A",IF(Leger1!V29&gt;=(Leger1!$C$4+1/3*(100-Leger1!$C$4)),"B",IF(Leger1!V29&gt;=Leger1!$C$4,"C","D"))))</f>
        <v/>
      </c>
      <c r="S29" s="249" t="str">
        <f>IF(Leger1!X29="","",IF(Leger1!X29&gt;=(Leger1!$C$4+2/3*(100-Leger1!$C$4)),"A",IF(Leger1!X29&gt;=(Leger1!$C$4+1/3*(100-Leger1!$C$4)),"B",IF(Leger1!X29&gt;=Leger1!$C$4,"C","D"))))</f>
        <v>B</v>
      </c>
      <c r="T29" s="252" t="str">
        <f>IF(Leger1!Y29="","",IF(Leger1!Y29&gt;=(Leger1!$C$4+2/3*(100-Leger1!$C$4)),"A",IF(Leger1!Y29&gt;=(Leger1!$C$4+1/3*(100-Leger1!$C$4)),"B",IF(Leger1!Y29&gt;=Leger1!$C$4,"C","D"))))</f>
        <v>C</v>
      </c>
      <c r="U29" s="249" t="str">
        <f>IF(Leger1!AA29="","",IF(Leger1!AA29&gt;=(Leger1!$C$4+2/3*(100-Leger1!$C$4)),"A",IF(Leger1!AA29&gt;=(Leger1!$C$4+1/3*(100-Leger1!$C$4)),"B",IF(Leger1!AA29&gt;=Leger1!$C$4,"C","D"))))</f>
        <v>C</v>
      </c>
      <c r="V29" s="252" t="str">
        <f>IF(Leger1!AB29="","",IF(Leger1!AB29&gt;=(Leger1!$C$4+2/3*(100-Leger1!$C$4)),"A",IF(Leger1!AB29&gt;=(Leger1!$C$4+1/3*(100-Leger1!$C$4)),"B",IF(Leger1!AB29&gt;=Leger1!$C$4,"C","D"))))</f>
        <v>C</v>
      </c>
      <c r="W29" s="249" t="str">
        <f>IF(Leger1!AD29="","",IF(Leger1!AD29&gt;=(Leger1!$C$4+2/3*(100-Leger1!$C$4)),"A",IF(Leger1!AD29&gt;=(Leger1!$C$4+1/3*(100-Leger1!$C$4)),"B",IF(Leger1!AD29&gt;=Leger1!$C$4,"C","D"))))</f>
        <v>C</v>
      </c>
      <c r="X29" s="252" t="str">
        <f>IF(Leger1!AE29="","",IF(Leger1!AE29&gt;=(Leger1!$C$4+2/3*(100-Leger1!$C$4)),"A",IF(Leger1!AE29&gt;=(Leger1!$C$4+1/3*(100-Leger1!$C$4)),"B",IF(Leger1!AE29&gt;=Leger1!$C$4,"C","D"))))</f>
        <v>C</v>
      </c>
      <c r="Y29" s="249" t="str">
        <f>IF(Leger1!AG29="","",IF(Leger1!AG29&gt;=(Leger1!$C$4+2/3*(100-Leger1!$C$4)),"A",IF(Leger1!AG29&gt;=(Leger1!$C$4+1/3*(100-Leger1!$C$4)),"B",IF(Leger1!AG29&gt;=Leger1!$C$4,"C","D"))))</f>
        <v>B</v>
      </c>
      <c r="Z29" s="252" t="str">
        <f>IF(Leger1!AH29="","",IF(Leger1!AH29&gt;=(Leger1!$C$4+2/3*(100-Leger1!$C$4)),"A",IF(Leger1!AH29&gt;=(Leger1!$C$4+1/3*(100-Leger1!$C$4)),"B",IF(Leger1!AH29&gt;=Leger1!$C$4,"C","D"))))</f>
        <v>B</v>
      </c>
      <c r="AA29" s="249" t="str">
        <f>IF(Leger1!AJ29="","",IF(Leger1!AJ29&gt;=(Leger1!$C$4+2/3*(100-Leger1!$C$4)),"A",IF(Leger1!AJ29&gt;=(Leger1!$C$4+1/3*(100-Leger1!$C$4)),"B",IF(Leger1!AJ29&gt;=Leger1!$C$4,"C","D"))))</f>
        <v>B</v>
      </c>
      <c r="AB29" s="252" t="str">
        <f>IF(Leger1!AK29="","",IF(Leger1!AK29&gt;=(Leger1!$C$4+2/3*(100-Leger1!$C$4)),"A",IF(Leger1!AK29&gt;=(Leger1!$C$4+1/3*(100-Leger1!$C$4)),"B",IF(Leger1!AK29&gt;=Leger1!$C$4,"C","D"))))</f>
        <v>B</v>
      </c>
      <c r="AC29" s="249" t="str">
        <f>IF(Leger1!AM29="","",IF(Leger1!AM29&gt;=(Leger1!$C$4+2/3*(100-Leger1!$C$4)),"A",IF(Leger1!AM29&gt;=(Leger1!$C$4+1/3*(100-Leger1!$C$4)),"B",IF(Leger1!AM29&gt;=Leger1!$C$4,"C","D"))))</f>
        <v>C</v>
      </c>
      <c r="AD29" s="252" t="str">
        <f>IF(Leger1!AN29="","",IF(Leger1!AN29&gt;=(Leger1!$C$4+2/3*(100-Leger1!$C$4)),"A",IF(Leger1!AN29&gt;=(Leger1!$C$4+1/3*(100-Leger1!$C$4)),"B",IF(Leger1!AN29&gt;=Leger1!$C$4,"C","D"))))</f>
        <v>C</v>
      </c>
      <c r="AE29" s="249" t="str">
        <f>IF(Leger1!AP29="","",IF(Leger1!AP29&gt;=(Leger1!$C$4+2/3*(100-Leger1!$C$4)),"A",IF(Leger1!AP29&gt;=(Leger1!$C$4+1/3*(100-Leger1!$C$4)),"B",IF(Leger1!AP29&gt;=Leger1!$C$4,"C","D"))))</f>
        <v>C</v>
      </c>
      <c r="AF29" s="252" t="str">
        <f>IF(Leger1!AQ29="","",IF(Leger1!AQ29&gt;=(Leger1!$C$4+2/3*(100-Leger1!$C$4)),"A",IF(Leger1!AQ29&gt;=(Leger1!$C$4+1/3*(100-Leger1!$C$4)),"B",IF(Leger1!AQ29&gt;=Leger1!$C$4,"C","D"))))</f>
        <v>C</v>
      </c>
      <c r="AG29" s="249" t="str">
        <f>IF(Leger1!AS29="","",IF(Leger1!AS29&gt;=(Leger1!$C$4+2/3*(100-Leger1!$C$4)),"A",IF(Leger1!AS29&gt;=(Leger1!$C$4+1/3*(100-Leger1!$C$4)),"B",IF(Leger1!AS29&gt;=Leger1!$C$4,"C","D"))))</f>
        <v>C</v>
      </c>
      <c r="AH29" s="252" t="str">
        <f>IF(Leger1!AT29="","",IF(Leger1!AT29&gt;=(Leger1!$C$4+2/3*(100-Leger1!$C$4)),"A",IF(Leger1!AT29&gt;=(Leger1!$C$4+1/3*(100-Leger1!$C$4)),"B",IF(Leger1!AT29&gt;=Leger1!$C$4,"C","D"))))</f>
        <v>C</v>
      </c>
      <c r="AI29" s="249" t="str">
        <f>IF(Leger1!AV29="","",IF(Leger1!AV29&gt;=(Leger1!$C$4+2/3*(100-Leger1!$C$4)),"A",IF(Leger1!AV29&gt;=(Leger1!$C$4+1/3*(100-Leger1!$C$4)),"B",IF(Leger1!AV29&gt;=Leger1!$C$4,"C","D"))))</f>
        <v>C</v>
      </c>
      <c r="AJ29" s="252" t="str">
        <f>IF(Leger1!AW29="","",IF(Leger1!AW29&gt;=(Leger1!$C$4+2/3*(100-Leger1!$C$4)),"A",IF(Leger1!AW29&gt;=(Leger1!$C$4+1/3*(100-Leger1!$C$4)),"B",IF(Leger1!AW29&gt;=Leger1!$C$4,"C","D"))))</f>
        <v>B</v>
      </c>
      <c r="AK29" s="249" t="str">
        <f>IF(Leger1!AY29="","",IF(Leger1!AY29&gt;=(Leger1!$C$4+2/3*(100-Leger1!$C$4)),"A",IF(Leger1!AY29&gt;=(Leger1!$C$4+1/3*(100-Leger1!$C$4)),"B",IF(Leger1!AY29&gt;=Leger1!$C$4,"C","D"))))</f>
        <v>C</v>
      </c>
      <c r="AL29" s="252" t="str">
        <f>IF(Leger1!AZ29="","",IF(Leger1!AZ29&gt;=(Leger1!$C$4+2/3*(100-Leger1!$C$4)),"A",IF(Leger1!AZ29&gt;=(Leger1!$C$4+1/3*(100-Leger1!$C$4)),"B",IF(Leger1!AZ29&gt;=Leger1!$C$4,"C","D"))))</f>
        <v>C</v>
      </c>
    </row>
    <row r="30" spans="2:38">
      <c r="E30" s="211">
        <f>Biodata!B29</f>
        <v>24</v>
      </c>
      <c r="F30" s="212">
        <f>IF(Biodata!C29="","",VLOOKUP(E30,Biodata_Siswa,2,FALSE))</f>
        <v>7126</v>
      </c>
      <c r="G30" s="1015" t="str">
        <f>IF(Biodata!E29="","",PROPER(VLOOKUP(E30,Biodata_Siswa,4,FALSE)))</f>
        <v>Sawal Ramadian</v>
      </c>
      <c r="H30" s="1016"/>
      <c r="I30" s="249" t="str">
        <f>IF(Leger1!I30="","",IF(Leger1!I30&gt;=(Leger1!$C$4+2/3*(100-Leger1!$C$4)),"A",IF(Leger1!I30&gt;=(Leger1!$C$4+1/3*(100-Leger1!$C$4)),"B",IF(Leger1!I30&gt;=Leger1!$C$4,"C","D"))))</f>
        <v>B</v>
      </c>
      <c r="J30" s="252" t="str">
        <f>IF(Leger1!J30="","",IF(Leger1!J30&gt;=(Leger1!$C$4+2/3*(100-Leger1!$C$4)),"A",IF(Leger1!J30&gt;=(Leger1!$C$4+1/3*(100-Leger1!$C$4)),"B",IF(Leger1!J30&gt;=Leger1!$C$4,"C","D"))))</f>
        <v>C</v>
      </c>
      <c r="K30" s="249" t="str">
        <f>IF(Leger1!L30="","",IF(Leger1!L30&gt;=(Leger1!$C$4+2/3*(100-Leger1!$C$4)),"A",IF(Leger1!L30&gt;=(Leger1!$C$4+1/3*(100-Leger1!$C$4)),"B",IF(Leger1!L30&gt;=Leger1!$C$4,"C","D"))))</f>
        <v/>
      </c>
      <c r="L30" s="252" t="str">
        <f>IF(Leger1!M30="","",IF(Leger1!M30&gt;=(Leger1!$C$4+2/3*(100-Leger1!$C$4)),"A",IF(Leger1!M30&gt;=(Leger1!$C$4+1/3*(100-Leger1!$C$4)),"B",IF(Leger1!M30&gt;=Leger1!$C$4,"C","D"))))</f>
        <v/>
      </c>
      <c r="M30" s="249" t="str">
        <f>IF(Leger1!O30="","",IF(Leger1!O30&gt;=(Leger1!$C$4+2/3*(100-Leger1!$C$4)),"A",IF(Leger1!O30&gt;=(Leger1!$C$4+1/3*(100-Leger1!$C$4)),"B",IF(Leger1!O30&gt;=Leger1!$C$4,"C","D"))))</f>
        <v/>
      </c>
      <c r="N30" s="252" t="str">
        <f>IF(Leger1!P30="","",IF(Leger1!P30&gt;=(Leger1!$C$4+2/3*(100-Leger1!$C$4)),"A",IF(Leger1!P30&gt;=(Leger1!$C$4+1/3*(100-Leger1!$C$4)),"B",IF(Leger1!P30&gt;=Leger1!$C$4,"C","D"))))</f>
        <v/>
      </c>
      <c r="O30" s="249" t="str">
        <f>IF(Leger1!R30="","",IF(Leger1!R30&gt;=(Leger1!$C$4+2/3*(100-Leger1!$C$4)),"A",IF(Leger1!R30&gt;=(Leger1!$C$4+1/3*(100-Leger1!$C$4)),"B",IF(Leger1!R30&gt;=Leger1!$C$4,"C","D"))))</f>
        <v/>
      </c>
      <c r="P30" s="252" t="str">
        <f>IF(Leger1!S30="","",IF(Leger1!S30&gt;=(Leger1!$C$4+2/3*(100-Leger1!$C$4)),"A",IF(Leger1!S30&gt;=(Leger1!$C$4+1/3*(100-Leger1!$C$4)),"B",IF(Leger1!S30&gt;=Leger1!$C$4,"C","D"))))</f>
        <v/>
      </c>
      <c r="Q30" s="249" t="str">
        <f>IF(Leger1!U30="","",IF(Leger1!U30&gt;=(Leger1!$C$4+2/3*(100-Leger1!$C$4)),"A",IF(Leger1!U30&gt;=(Leger1!$C$4+1/3*(100-Leger1!$C$4)),"B",IF(Leger1!U30&gt;=Leger1!$C$4,"C","D"))))</f>
        <v/>
      </c>
      <c r="R30" s="252" t="str">
        <f>IF(Leger1!V30="","",IF(Leger1!V30&gt;=(Leger1!$C$4+2/3*(100-Leger1!$C$4)),"A",IF(Leger1!V30&gt;=(Leger1!$C$4+1/3*(100-Leger1!$C$4)),"B",IF(Leger1!V30&gt;=Leger1!$C$4,"C","D"))))</f>
        <v/>
      </c>
      <c r="S30" s="249" t="str">
        <f>IF(Leger1!X30="","",IF(Leger1!X30&gt;=(Leger1!$C$4+2/3*(100-Leger1!$C$4)),"A",IF(Leger1!X30&gt;=(Leger1!$C$4+1/3*(100-Leger1!$C$4)),"B",IF(Leger1!X30&gt;=Leger1!$C$4,"C","D"))))</f>
        <v>C</v>
      </c>
      <c r="T30" s="252" t="str">
        <f>IF(Leger1!Y30="","",IF(Leger1!Y30&gt;=(Leger1!$C$4+2/3*(100-Leger1!$C$4)),"A",IF(Leger1!Y30&gt;=(Leger1!$C$4+1/3*(100-Leger1!$C$4)),"B",IF(Leger1!Y30&gt;=Leger1!$C$4,"C","D"))))</f>
        <v>C</v>
      </c>
      <c r="U30" s="249" t="str">
        <f>IF(Leger1!AA30="","",IF(Leger1!AA30&gt;=(Leger1!$C$4+2/3*(100-Leger1!$C$4)),"A",IF(Leger1!AA30&gt;=(Leger1!$C$4+1/3*(100-Leger1!$C$4)),"B",IF(Leger1!AA30&gt;=Leger1!$C$4,"C","D"))))</f>
        <v>C</v>
      </c>
      <c r="V30" s="252" t="str">
        <f>IF(Leger1!AB30="","",IF(Leger1!AB30&gt;=(Leger1!$C$4+2/3*(100-Leger1!$C$4)),"A",IF(Leger1!AB30&gt;=(Leger1!$C$4+1/3*(100-Leger1!$C$4)),"B",IF(Leger1!AB30&gt;=Leger1!$C$4,"C","D"))))</f>
        <v>C</v>
      </c>
      <c r="W30" s="249" t="str">
        <f>IF(Leger1!AD30="","",IF(Leger1!AD30&gt;=(Leger1!$C$4+2/3*(100-Leger1!$C$4)),"A",IF(Leger1!AD30&gt;=(Leger1!$C$4+1/3*(100-Leger1!$C$4)),"B",IF(Leger1!AD30&gt;=Leger1!$C$4,"C","D"))))</f>
        <v>B</v>
      </c>
      <c r="X30" s="252" t="str">
        <f>IF(Leger1!AE30="","",IF(Leger1!AE30&gt;=(Leger1!$C$4+2/3*(100-Leger1!$C$4)),"A",IF(Leger1!AE30&gt;=(Leger1!$C$4+1/3*(100-Leger1!$C$4)),"B",IF(Leger1!AE30&gt;=Leger1!$C$4,"C","D"))))</f>
        <v>B</v>
      </c>
      <c r="Y30" s="249" t="str">
        <f>IF(Leger1!AG30="","",IF(Leger1!AG30&gt;=(Leger1!$C$4+2/3*(100-Leger1!$C$4)),"A",IF(Leger1!AG30&gt;=(Leger1!$C$4+1/3*(100-Leger1!$C$4)),"B",IF(Leger1!AG30&gt;=Leger1!$C$4,"C","D"))))</f>
        <v>B</v>
      </c>
      <c r="Z30" s="252" t="str">
        <f>IF(Leger1!AH30="","",IF(Leger1!AH30&gt;=(Leger1!$C$4+2/3*(100-Leger1!$C$4)),"A",IF(Leger1!AH30&gt;=(Leger1!$C$4+1/3*(100-Leger1!$C$4)),"B",IF(Leger1!AH30&gt;=Leger1!$C$4,"C","D"))))</f>
        <v>B</v>
      </c>
      <c r="AA30" s="249" t="str">
        <f>IF(Leger1!AJ30="","",IF(Leger1!AJ30&gt;=(Leger1!$C$4+2/3*(100-Leger1!$C$4)),"A",IF(Leger1!AJ30&gt;=(Leger1!$C$4+1/3*(100-Leger1!$C$4)),"B",IF(Leger1!AJ30&gt;=Leger1!$C$4,"C","D"))))</f>
        <v>B</v>
      </c>
      <c r="AB30" s="252" t="str">
        <f>IF(Leger1!AK30="","",IF(Leger1!AK30&gt;=(Leger1!$C$4+2/3*(100-Leger1!$C$4)),"A",IF(Leger1!AK30&gt;=(Leger1!$C$4+1/3*(100-Leger1!$C$4)),"B",IF(Leger1!AK30&gt;=Leger1!$C$4,"C","D"))))</f>
        <v>C</v>
      </c>
      <c r="AC30" s="249" t="str">
        <f>IF(Leger1!AM30="","",IF(Leger1!AM30&gt;=(Leger1!$C$4+2/3*(100-Leger1!$C$4)),"A",IF(Leger1!AM30&gt;=(Leger1!$C$4+1/3*(100-Leger1!$C$4)),"B",IF(Leger1!AM30&gt;=Leger1!$C$4,"C","D"))))</f>
        <v>C</v>
      </c>
      <c r="AD30" s="252" t="str">
        <f>IF(Leger1!AN30="","",IF(Leger1!AN30&gt;=(Leger1!$C$4+2/3*(100-Leger1!$C$4)),"A",IF(Leger1!AN30&gt;=(Leger1!$C$4+1/3*(100-Leger1!$C$4)),"B",IF(Leger1!AN30&gt;=Leger1!$C$4,"C","D"))))</f>
        <v>C</v>
      </c>
      <c r="AE30" s="249" t="str">
        <f>IF(Leger1!AP30="","",IF(Leger1!AP30&gt;=(Leger1!$C$4+2/3*(100-Leger1!$C$4)),"A",IF(Leger1!AP30&gt;=(Leger1!$C$4+1/3*(100-Leger1!$C$4)),"B",IF(Leger1!AP30&gt;=Leger1!$C$4,"C","D"))))</f>
        <v>C</v>
      </c>
      <c r="AF30" s="252" t="str">
        <f>IF(Leger1!AQ30="","",IF(Leger1!AQ30&gt;=(Leger1!$C$4+2/3*(100-Leger1!$C$4)),"A",IF(Leger1!AQ30&gt;=(Leger1!$C$4+1/3*(100-Leger1!$C$4)),"B",IF(Leger1!AQ30&gt;=Leger1!$C$4,"C","D"))))</f>
        <v>C</v>
      </c>
      <c r="AG30" s="249" t="str">
        <f>IF(Leger1!AS30="","",IF(Leger1!AS30&gt;=(Leger1!$C$4+2/3*(100-Leger1!$C$4)),"A",IF(Leger1!AS30&gt;=(Leger1!$C$4+1/3*(100-Leger1!$C$4)),"B",IF(Leger1!AS30&gt;=Leger1!$C$4,"C","D"))))</f>
        <v>C</v>
      </c>
      <c r="AH30" s="252" t="str">
        <f>IF(Leger1!AT30="","",IF(Leger1!AT30&gt;=(Leger1!$C$4+2/3*(100-Leger1!$C$4)),"A",IF(Leger1!AT30&gt;=(Leger1!$C$4+1/3*(100-Leger1!$C$4)),"B",IF(Leger1!AT30&gt;=Leger1!$C$4,"C","D"))))</f>
        <v>C</v>
      </c>
      <c r="AI30" s="249" t="str">
        <f>IF(Leger1!AV30="","",IF(Leger1!AV30&gt;=(Leger1!$C$4+2/3*(100-Leger1!$C$4)),"A",IF(Leger1!AV30&gt;=(Leger1!$C$4+1/3*(100-Leger1!$C$4)),"B",IF(Leger1!AV30&gt;=Leger1!$C$4,"C","D"))))</f>
        <v>C</v>
      </c>
      <c r="AJ30" s="252" t="str">
        <f>IF(Leger1!AW30="","",IF(Leger1!AW30&gt;=(Leger1!$C$4+2/3*(100-Leger1!$C$4)),"A",IF(Leger1!AW30&gt;=(Leger1!$C$4+1/3*(100-Leger1!$C$4)),"B",IF(Leger1!AW30&gt;=Leger1!$C$4,"C","D"))))</f>
        <v>C</v>
      </c>
      <c r="AK30" s="249" t="str">
        <f>IF(Leger1!AY30="","",IF(Leger1!AY30&gt;=(Leger1!$C$4+2/3*(100-Leger1!$C$4)),"A",IF(Leger1!AY30&gt;=(Leger1!$C$4+1/3*(100-Leger1!$C$4)),"B",IF(Leger1!AY30&gt;=Leger1!$C$4,"C","D"))))</f>
        <v>C</v>
      </c>
      <c r="AL30" s="252" t="str">
        <f>IF(Leger1!AZ30="","",IF(Leger1!AZ30&gt;=(Leger1!$C$4+2/3*(100-Leger1!$C$4)),"A",IF(Leger1!AZ30&gt;=(Leger1!$C$4+1/3*(100-Leger1!$C$4)),"B",IF(Leger1!AZ30&gt;=Leger1!$C$4,"C","D"))))</f>
        <v>C</v>
      </c>
    </row>
    <row r="31" spans="2:38">
      <c r="E31" s="211">
        <f>Biodata!B30</f>
        <v>25</v>
      </c>
      <c r="F31" s="212">
        <f>IF(Biodata!C30="","",VLOOKUP(E31,Biodata_Siswa,2,FALSE))</f>
        <v>7130</v>
      </c>
      <c r="G31" s="1015" t="str">
        <f>IF(Biodata!E30="","",PROPER(VLOOKUP(E31,Biodata_Siswa,4,FALSE)))</f>
        <v>Sofyan Romansyah</v>
      </c>
      <c r="H31" s="1016"/>
      <c r="I31" s="249" t="str">
        <f>IF(Leger1!I31="","",IF(Leger1!I31&gt;=(Leger1!$C$4+2/3*(100-Leger1!$C$4)),"A",IF(Leger1!I31&gt;=(Leger1!$C$4+1/3*(100-Leger1!$C$4)),"B",IF(Leger1!I31&gt;=Leger1!$C$4,"C","D"))))</f>
        <v>C</v>
      </c>
      <c r="J31" s="252" t="str">
        <f>IF(Leger1!J31="","",IF(Leger1!J31&gt;=(Leger1!$C$4+2/3*(100-Leger1!$C$4)),"A",IF(Leger1!J31&gt;=(Leger1!$C$4+1/3*(100-Leger1!$C$4)),"B",IF(Leger1!J31&gt;=Leger1!$C$4,"C","D"))))</f>
        <v>C</v>
      </c>
      <c r="K31" s="249" t="str">
        <f>IF(Leger1!L31="","",IF(Leger1!L31&gt;=(Leger1!$C$4+2/3*(100-Leger1!$C$4)),"A",IF(Leger1!L31&gt;=(Leger1!$C$4+1/3*(100-Leger1!$C$4)),"B",IF(Leger1!L31&gt;=Leger1!$C$4,"C","D"))))</f>
        <v/>
      </c>
      <c r="L31" s="252" t="str">
        <f>IF(Leger1!M31="","",IF(Leger1!M31&gt;=(Leger1!$C$4+2/3*(100-Leger1!$C$4)),"A",IF(Leger1!M31&gt;=(Leger1!$C$4+1/3*(100-Leger1!$C$4)),"B",IF(Leger1!M31&gt;=Leger1!$C$4,"C","D"))))</f>
        <v/>
      </c>
      <c r="M31" s="249" t="str">
        <f>IF(Leger1!O31="","",IF(Leger1!O31&gt;=(Leger1!$C$4+2/3*(100-Leger1!$C$4)),"A",IF(Leger1!O31&gt;=(Leger1!$C$4+1/3*(100-Leger1!$C$4)),"B",IF(Leger1!O31&gt;=Leger1!$C$4,"C","D"))))</f>
        <v/>
      </c>
      <c r="N31" s="252" t="str">
        <f>IF(Leger1!P31="","",IF(Leger1!P31&gt;=(Leger1!$C$4+2/3*(100-Leger1!$C$4)),"A",IF(Leger1!P31&gt;=(Leger1!$C$4+1/3*(100-Leger1!$C$4)),"B",IF(Leger1!P31&gt;=Leger1!$C$4,"C","D"))))</f>
        <v/>
      </c>
      <c r="O31" s="249" t="str">
        <f>IF(Leger1!R31="","",IF(Leger1!R31&gt;=(Leger1!$C$4+2/3*(100-Leger1!$C$4)),"A",IF(Leger1!R31&gt;=(Leger1!$C$4+1/3*(100-Leger1!$C$4)),"B",IF(Leger1!R31&gt;=Leger1!$C$4,"C","D"))))</f>
        <v/>
      </c>
      <c r="P31" s="252" t="str">
        <f>IF(Leger1!S31="","",IF(Leger1!S31&gt;=(Leger1!$C$4+2/3*(100-Leger1!$C$4)),"A",IF(Leger1!S31&gt;=(Leger1!$C$4+1/3*(100-Leger1!$C$4)),"B",IF(Leger1!S31&gt;=Leger1!$C$4,"C","D"))))</f>
        <v/>
      </c>
      <c r="Q31" s="249" t="str">
        <f>IF(Leger1!U31="","",IF(Leger1!U31&gt;=(Leger1!$C$4+2/3*(100-Leger1!$C$4)),"A",IF(Leger1!U31&gt;=(Leger1!$C$4+1/3*(100-Leger1!$C$4)),"B",IF(Leger1!U31&gt;=Leger1!$C$4,"C","D"))))</f>
        <v/>
      </c>
      <c r="R31" s="252" t="str">
        <f>IF(Leger1!V31="","",IF(Leger1!V31&gt;=(Leger1!$C$4+2/3*(100-Leger1!$C$4)),"A",IF(Leger1!V31&gt;=(Leger1!$C$4+1/3*(100-Leger1!$C$4)),"B",IF(Leger1!V31&gt;=Leger1!$C$4,"C","D"))))</f>
        <v/>
      </c>
      <c r="S31" s="249" t="str">
        <f>IF(Leger1!X31="","",IF(Leger1!X31&gt;=(Leger1!$C$4+2/3*(100-Leger1!$C$4)),"A",IF(Leger1!X31&gt;=(Leger1!$C$4+1/3*(100-Leger1!$C$4)),"B",IF(Leger1!X31&gt;=Leger1!$C$4,"C","D"))))</f>
        <v>C</v>
      </c>
      <c r="T31" s="252" t="str">
        <f>IF(Leger1!Y31="","",IF(Leger1!Y31&gt;=(Leger1!$C$4+2/3*(100-Leger1!$C$4)),"A",IF(Leger1!Y31&gt;=(Leger1!$C$4+1/3*(100-Leger1!$C$4)),"B",IF(Leger1!Y31&gt;=Leger1!$C$4,"C","D"))))</f>
        <v>C</v>
      </c>
      <c r="U31" s="249" t="str">
        <f>IF(Leger1!AA31="","",IF(Leger1!AA31&gt;=(Leger1!$C$4+2/3*(100-Leger1!$C$4)),"A",IF(Leger1!AA31&gt;=(Leger1!$C$4+1/3*(100-Leger1!$C$4)),"B",IF(Leger1!AA31&gt;=Leger1!$C$4,"C","D"))))</f>
        <v>C</v>
      </c>
      <c r="V31" s="252" t="str">
        <f>IF(Leger1!AB31="","",IF(Leger1!AB31&gt;=(Leger1!$C$4+2/3*(100-Leger1!$C$4)),"A",IF(Leger1!AB31&gt;=(Leger1!$C$4+1/3*(100-Leger1!$C$4)),"B",IF(Leger1!AB31&gt;=Leger1!$C$4,"C","D"))))</f>
        <v>C</v>
      </c>
      <c r="W31" s="249" t="str">
        <f>IF(Leger1!AD31="","",IF(Leger1!AD31&gt;=(Leger1!$C$4+2/3*(100-Leger1!$C$4)),"A",IF(Leger1!AD31&gt;=(Leger1!$C$4+1/3*(100-Leger1!$C$4)),"B",IF(Leger1!AD31&gt;=Leger1!$C$4,"C","D"))))</f>
        <v>C</v>
      </c>
      <c r="X31" s="252" t="str">
        <f>IF(Leger1!AE31="","",IF(Leger1!AE31&gt;=(Leger1!$C$4+2/3*(100-Leger1!$C$4)),"A",IF(Leger1!AE31&gt;=(Leger1!$C$4+1/3*(100-Leger1!$C$4)),"B",IF(Leger1!AE31&gt;=Leger1!$C$4,"C","D"))))</f>
        <v>C</v>
      </c>
      <c r="Y31" s="249" t="str">
        <f>IF(Leger1!AG31="","",IF(Leger1!AG31&gt;=(Leger1!$C$4+2/3*(100-Leger1!$C$4)),"A",IF(Leger1!AG31&gt;=(Leger1!$C$4+1/3*(100-Leger1!$C$4)),"B",IF(Leger1!AG31&gt;=Leger1!$C$4,"C","D"))))</f>
        <v>C</v>
      </c>
      <c r="Z31" s="252" t="str">
        <f>IF(Leger1!AH31="","",IF(Leger1!AH31&gt;=(Leger1!$C$4+2/3*(100-Leger1!$C$4)),"A",IF(Leger1!AH31&gt;=(Leger1!$C$4+1/3*(100-Leger1!$C$4)),"B",IF(Leger1!AH31&gt;=Leger1!$C$4,"C","D"))))</f>
        <v>C</v>
      </c>
      <c r="AA31" s="249" t="str">
        <f>IF(Leger1!AJ31="","",IF(Leger1!AJ31&gt;=(Leger1!$C$4+2/3*(100-Leger1!$C$4)),"A",IF(Leger1!AJ31&gt;=(Leger1!$C$4+1/3*(100-Leger1!$C$4)),"B",IF(Leger1!AJ31&gt;=Leger1!$C$4,"C","D"))))</f>
        <v>C</v>
      </c>
      <c r="AB31" s="252" t="str">
        <f>IF(Leger1!AK31="","",IF(Leger1!AK31&gt;=(Leger1!$C$4+2/3*(100-Leger1!$C$4)),"A",IF(Leger1!AK31&gt;=(Leger1!$C$4+1/3*(100-Leger1!$C$4)),"B",IF(Leger1!AK31&gt;=Leger1!$C$4,"C","D"))))</f>
        <v>C</v>
      </c>
      <c r="AC31" s="249" t="str">
        <f>IF(Leger1!AM31="","",IF(Leger1!AM31&gt;=(Leger1!$C$4+2/3*(100-Leger1!$C$4)),"A",IF(Leger1!AM31&gt;=(Leger1!$C$4+1/3*(100-Leger1!$C$4)),"B",IF(Leger1!AM31&gt;=Leger1!$C$4,"C","D"))))</f>
        <v>C</v>
      </c>
      <c r="AD31" s="252" t="str">
        <f>IF(Leger1!AN31="","",IF(Leger1!AN31&gt;=(Leger1!$C$4+2/3*(100-Leger1!$C$4)),"A",IF(Leger1!AN31&gt;=(Leger1!$C$4+1/3*(100-Leger1!$C$4)),"B",IF(Leger1!AN31&gt;=Leger1!$C$4,"C","D"))))</f>
        <v>C</v>
      </c>
      <c r="AE31" s="249" t="str">
        <f>IF(Leger1!AP31="","",IF(Leger1!AP31&gt;=(Leger1!$C$4+2/3*(100-Leger1!$C$4)),"A",IF(Leger1!AP31&gt;=(Leger1!$C$4+1/3*(100-Leger1!$C$4)),"B",IF(Leger1!AP31&gt;=Leger1!$C$4,"C","D"))))</f>
        <v>C</v>
      </c>
      <c r="AF31" s="252" t="str">
        <f>IF(Leger1!AQ31="","",IF(Leger1!AQ31&gt;=(Leger1!$C$4+2/3*(100-Leger1!$C$4)),"A",IF(Leger1!AQ31&gt;=(Leger1!$C$4+1/3*(100-Leger1!$C$4)),"B",IF(Leger1!AQ31&gt;=Leger1!$C$4,"C","D"))))</f>
        <v>C</v>
      </c>
      <c r="AG31" s="249" t="str">
        <f>IF(Leger1!AS31="","",IF(Leger1!AS31&gt;=(Leger1!$C$4+2/3*(100-Leger1!$C$4)),"A",IF(Leger1!AS31&gt;=(Leger1!$C$4+1/3*(100-Leger1!$C$4)),"B",IF(Leger1!AS31&gt;=Leger1!$C$4,"C","D"))))</f>
        <v>C</v>
      </c>
      <c r="AH31" s="252" t="str">
        <f>IF(Leger1!AT31="","",IF(Leger1!AT31&gt;=(Leger1!$C$4+2/3*(100-Leger1!$C$4)),"A",IF(Leger1!AT31&gt;=(Leger1!$C$4+1/3*(100-Leger1!$C$4)),"B",IF(Leger1!AT31&gt;=Leger1!$C$4,"C","D"))))</f>
        <v>C</v>
      </c>
      <c r="AI31" s="249" t="str">
        <f>IF(Leger1!AV31="","",IF(Leger1!AV31&gt;=(Leger1!$C$4+2/3*(100-Leger1!$C$4)),"A",IF(Leger1!AV31&gt;=(Leger1!$C$4+1/3*(100-Leger1!$C$4)),"B",IF(Leger1!AV31&gt;=Leger1!$C$4,"C","D"))))</f>
        <v>C</v>
      </c>
      <c r="AJ31" s="252" t="str">
        <f>IF(Leger1!AW31="","",IF(Leger1!AW31&gt;=(Leger1!$C$4+2/3*(100-Leger1!$C$4)),"A",IF(Leger1!AW31&gt;=(Leger1!$C$4+1/3*(100-Leger1!$C$4)),"B",IF(Leger1!AW31&gt;=Leger1!$C$4,"C","D"))))</f>
        <v>C</v>
      </c>
      <c r="AK31" s="249" t="str">
        <f>IF(Leger1!AY31="","",IF(Leger1!AY31&gt;=(Leger1!$C$4+2/3*(100-Leger1!$C$4)),"A",IF(Leger1!AY31&gt;=(Leger1!$C$4+1/3*(100-Leger1!$C$4)),"B",IF(Leger1!AY31&gt;=Leger1!$C$4,"C","D"))))</f>
        <v>C</v>
      </c>
      <c r="AL31" s="252" t="str">
        <f>IF(Leger1!AZ31="","",IF(Leger1!AZ31&gt;=(Leger1!$C$4+2/3*(100-Leger1!$C$4)),"A",IF(Leger1!AZ31&gt;=(Leger1!$C$4+1/3*(100-Leger1!$C$4)),"B",IF(Leger1!AZ31&gt;=Leger1!$C$4,"C","D"))))</f>
        <v>C</v>
      </c>
    </row>
    <row r="32" spans="2:38">
      <c r="E32" s="211">
        <f>Biodata!B31</f>
        <v>26</v>
      </c>
      <c r="F32" s="212">
        <f>IF(Biodata!C31="","",VLOOKUP(E32,Biodata_Siswa,2,FALSE))</f>
        <v>7132</v>
      </c>
      <c r="G32" s="1015" t="str">
        <f>IF(Biodata!E31="","",PROPER(VLOOKUP(E32,Biodata_Siswa,4,FALSE)))</f>
        <v>Tio Ardinata</v>
      </c>
      <c r="H32" s="1016"/>
      <c r="I32" s="249" t="str">
        <f>IF(Leger1!I32="","",IF(Leger1!I32&gt;=(Leger1!$C$4+2/3*(100-Leger1!$C$4)),"A",IF(Leger1!I32&gt;=(Leger1!$C$4+1/3*(100-Leger1!$C$4)),"B",IF(Leger1!I32&gt;=Leger1!$C$4,"C","D"))))</f>
        <v>C</v>
      </c>
      <c r="J32" s="252" t="str">
        <f>IF(Leger1!J32="","",IF(Leger1!J32&gt;=(Leger1!$C$4+2/3*(100-Leger1!$C$4)),"A",IF(Leger1!J32&gt;=(Leger1!$C$4+1/3*(100-Leger1!$C$4)),"B",IF(Leger1!J32&gt;=Leger1!$C$4,"C","D"))))</f>
        <v>C</v>
      </c>
      <c r="K32" s="249" t="str">
        <f>IF(Leger1!L32="","",IF(Leger1!L32&gt;=(Leger1!$C$4+2/3*(100-Leger1!$C$4)),"A",IF(Leger1!L32&gt;=(Leger1!$C$4+1/3*(100-Leger1!$C$4)),"B",IF(Leger1!L32&gt;=Leger1!$C$4,"C","D"))))</f>
        <v/>
      </c>
      <c r="L32" s="252" t="str">
        <f>IF(Leger1!M32="","",IF(Leger1!M32&gt;=(Leger1!$C$4+2/3*(100-Leger1!$C$4)),"A",IF(Leger1!M32&gt;=(Leger1!$C$4+1/3*(100-Leger1!$C$4)),"B",IF(Leger1!M32&gt;=Leger1!$C$4,"C","D"))))</f>
        <v/>
      </c>
      <c r="M32" s="249" t="str">
        <f>IF(Leger1!O32="","",IF(Leger1!O32&gt;=(Leger1!$C$4+2/3*(100-Leger1!$C$4)),"A",IF(Leger1!O32&gt;=(Leger1!$C$4+1/3*(100-Leger1!$C$4)),"B",IF(Leger1!O32&gt;=Leger1!$C$4,"C","D"))))</f>
        <v/>
      </c>
      <c r="N32" s="252" t="str">
        <f>IF(Leger1!P32="","",IF(Leger1!P32&gt;=(Leger1!$C$4+2/3*(100-Leger1!$C$4)),"A",IF(Leger1!P32&gt;=(Leger1!$C$4+1/3*(100-Leger1!$C$4)),"B",IF(Leger1!P32&gt;=Leger1!$C$4,"C","D"))))</f>
        <v/>
      </c>
      <c r="O32" s="249" t="str">
        <f>IF(Leger1!R32="","",IF(Leger1!R32&gt;=(Leger1!$C$4+2/3*(100-Leger1!$C$4)),"A",IF(Leger1!R32&gt;=(Leger1!$C$4+1/3*(100-Leger1!$C$4)),"B",IF(Leger1!R32&gt;=Leger1!$C$4,"C","D"))))</f>
        <v/>
      </c>
      <c r="P32" s="252" t="str">
        <f>IF(Leger1!S32="","",IF(Leger1!S32&gt;=(Leger1!$C$4+2/3*(100-Leger1!$C$4)),"A",IF(Leger1!S32&gt;=(Leger1!$C$4+1/3*(100-Leger1!$C$4)),"B",IF(Leger1!S32&gt;=Leger1!$C$4,"C","D"))))</f>
        <v/>
      </c>
      <c r="Q32" s="249" t="str">
        <f>IF(Leger1!U32="","",IF(Leger1!U32&gt;=(Leger1!$C$4+2/3*(100-Leger1!$C$4)),"A",IF(Leger1!U32&gt;=(Leger1!$C$4+1/3*(100-Leger1!$C$4)),"B",IF(Leger1!U32&gt;=Leger1!$C$4,"C","D"))))</f>
        <v/>
      </c>
      <c r="R32" s="252" t="str">
        <f>IF(Leger1!V32="","",IF(Leger1!V32&gt;=(Leger1!$C$4+2/3*(100-Leger1!$C$4)),"A",IF(Leger1!V32&gt;=(Leger1!$C$4+1/3*(100-Leger1!$C$4)),"B",IF(Leger1!V32&gt;=Leger1!$C$4,"C","D"))))</f>
        <v/>
      </c>
      <c r="S32" s="249" t="str">
        <f>IF(Leger1!X32="","",IF(Leger1!X32&gt;=(Leger1!$C$4+2/3*(100-Leger1!$C$4)),"A",IF(Leger1!X32&gt;=(Leger1!$C$4+1/3*(100-Leger1!$C$4)),"B",IF(Leger1!X32&gt;=Leger1!$C$4,"C","D"))))</f>
        <v>C</v>
      </c>
      <c r="T32" s="252" t="str">
        <f>IF(Leger1!Y32="","",IF(Leger1!Y32&gt;=(Leger1!$C$4+2/3*(100-Leger1!$C$4)),"A",IF(Leger1!Y32&gt;=(Leger1!$C$4+1/3*(100-Leger1!$C$4)),"B",IF(Leger1!Y32&gt;=Leger1!$C$4,"C","D"))))</f>
        <v>C</v>
      </c>
      <c r="U32" s="249" t="str">
        <f>IF(Leger1!AA32="","",IF(Leger1!AA32&gt;=(Leger1!$C$4+2/3*(100-Leger1!$C$4)),"A",IF(Leger1!AA32&gt;=(Leger1!$C$4+1/3*(100-Leger1!$C$4)),"B",IF(Leger1!AA32&gt;=Leger1!$C$4,"C","D"))))</f>
        <v>C</v>
      </c>
      <c r="V32" s="252" t="str">
        <f>IF(Leger1!AB32="","",IF(Leger1!AB32&gt;=(Leger1!$C$4+2/3*(100-Leger1!$C$4)),"A",IF(Leger1!AB32&gt;=(Leger1!$C$4+1/3*(100-Leger1!$C$4)),"B",IF(Leger1!AB32&gt;=Leger1!$C$4,"C","D"))))</f>
        <v>C</v>
      </c>
      <c r="W32" s="249" t="str">
        <f>IF(Leger1!AD32="","",IF(Leger1!AD32&gt;=(Leger1!$C$4+2/3*(100-Leger1!$C$4)),"A",IF(Leger1!AD32&gt;=(Leger1!$C$4+1/3*(100-Leger1!$C$4)),"B",IF(Leger1!AD32&gt;=Leger1!$C$4,"C","D"))))</f>
        <v>C</v>
      </c>
      <c r="X32" s="252" t="str">
        <f>IF(Leger1!AE32="","",IF(Leger1!AE32&gt;=(Leger1!$C$4+2/3*(100-Leger1!$C$4)),"A",IF(Leger1!AE32&gt;=(Leger1!$C$4+1/3*(100-Leger1!$C$4)),"B",IF(Leger1!AE32&gt;=Leger1!$C$4,"C","D"))))</f>
        <v>C</v>
      </c>
      <c r="Y32" s="249" t="str">
        <f>IF(Leger1!AG32="","",IF(Leger1!AG32&gt;=(Leger1!$C$4+2/3*(100-Leger1!$C$4)),"A",IF(Leger1!AG32&gt;=(Leger1!$C$4+1/3*(100-Leger1!$C$4)),"B",IF(Leger1!AG32&gt;=Leger1!$C$4,"C","D"))))</f>
        <v>C</v>
      </c>
      <c r="Z32" s="252" t="str">
        <f>IF(Leger1!AH32="","",IF(Leger1!AH32&gt;=(Leger1!$C$4+2/3*(100-Leger1!$C$4)),"A",IF(Leger1!AH32&gt;=(Leger1!$C$4+1/3*(100-Leger1!$C$4)),"B",IF(Leger1!AH32&gt;=Leger1!$C$4,"C","D"))))</f>
        <v>C</v>
      </c>
      <c r="AA32" s="249" t="str">
        <f>IF(Leger1!AJ32="","",IF(Leger1!AJ32&gt;=(Leger1!$C$4+2/3*(100-Leger1!$C$4)),"A",IF(Leger1!AJ32&gt;=(Leger1!$C$4+1/3*(100-Leger1!$C$4)),"B",IF(Leger1!AJ32&gt;=Leger1!$C$4,"C","D"))))</f>
        <v>C</v>
      </c>
      <c r="AB32" s="252" t="str">
        <f>IF(Leger1!AK32="","",IF(Leger1!AK32&gt;=(Leger1!$C$4+2/3*(100-Leger1!$C$4)),"A",IF(Leger1!AK32&gt;=(Leger1!$C$4+1/3*(100-Leger1!$C$4)),"B",IF(Leger1!AK32&gt;=Leger1!$C$4,"C","D"))))</f>
        <v>C</v>
      </c>
      <c r="AC32" s="249" t="str">
        <f>IF(Leger1!AM32="","",IF(Leger1!AM32&gt;=(Leger1!$C$4+2/3*(100-Leger1!$C$4)),"A",IF(Leger1!AM32&gt;=(Leger1!$C$4+1/3*(100-Leger1!$C$4)),"B",IF(Leger1!AM32&gt;=Leger1!$C$4,"C","D"))))</f>
        <v>C</v>
      </c>
      <c r="AD32" s="252" t="str">
        <f>IF(Leger1!AN32="","",IF(Leger1!AN32&gt;=(Leger1!$C$4+2/3*(100-Leger1!$C$4)),"A",IF(Leger1!AN32&gt;=(Leger1!$C$4+1/3*(100-Leger1!$C$4)),"B",IF(Leger1!AN32&gt;=Leger1!$C$4,"C","D"))))</f>
        <v>C</v>
      </c>
      <c r="AE32" s="249" t="str">
        <f>IF(Leger1!AP32="","",IF(Leger1!AP32&gt;=(Leger1!$C$4+2/3*(100-Leger1!$C$4)),"A",IF(Leger1!AP32&gt;=(Leger1!$C$4+1/3*(100-Leger1!$C$4)),"B",IF(Leger1!AP32&gt;=Leger1!$C$4,"C","D"))))</f>
        <v>C</v>
      </c>
      <c r="AF32" s="252" t="str">
        <f>IF(Leger1!AQ32="","",IF(Leger1!AQ32&gt;=(Leger1!$C$4+2/3*(100-Leger1!$C$4)),"A",IF(Leger1!AQ32&gt;=(Leger1!$C$4+1/3*(100-Leger1!$C$4)),"B",IF(Leger1!AQ32&gt;=Leger1!$C$4,"C","D"))))</f>
        <v>C</v>
      </c>
      <c r="AG32" s="249" t="str">
        <f>IF(Leger1!AS32="","",IF(Leger1!AS32&gt;=(Leger1!$C$4+2/3*(100-Leger1!$C$4)),"A",IF(Leger1!AS32&gt;=(Leger1!$C$4+1/3*(100-Leger1!$C$4)),"B",IF(Leger1!AS32&gt;=Leger1!$C$4,"C","D"))))</f>
        <v>C</v>
      </c>
      <c r="AH32" s="252" t="str">
        <f>IF(Leger1!AT32="","",IF(Leger1!AT32&gt;=(Leger1!$C$4+2/3*(100-Leger1!$C$4)),"A",IF(Leger1!AT32&gt;=(Leger1!$C$4+1/3*(100-Leger1!$C$4)),"B",IF(Leger1!AT32&gt;=Leger1!$C$4,"C","D"))))</f>
        <v>C</v>
      </c>
      <c r="AI32" s="249" t="str">
        <f>IF(Leger1!AV32="","",IF(Leger1!AV32&gt;=(Leger1!$C$4+2/3*(100-Leger1!$C$4)),"A",IF(Leger1!AV32&gt;=(Leger1!$C$4+1/3*(100-Leger1!$C$4)),"B",IF(Leger1!AV32&gt;=Leger1!$C$4,"C","D"))))</f>
        <v>C</v>
      </c>
      <c r="AJ32" s="252" t="str">
        <f>IF(Leger1!AW32="","",IF(Leger1!AW32&gt;=(Leger1!$C$4+2/3*(100-Leger1!$C$4)),"A",IF(Leger1!AW32&gt;=(Leger1!$C$4+1/3*(100-Leger1!$C$4)),"B",IF(Leger1!AW32&gt;=Leger1!$C$4,"C","D"))))</f>
        <v>C</v>
      </c>
      <c r="AK32" s="249" t="str">
        <f>IF(Leger1!AY32="","",IF(Leger1!AY32&gt;=(Leger1!$C$4+2/3*(100-Leger1!$C$4)),"A",IF(Leger1!AY32&gt;=(Leger1!$C$4+1/3*(100-Leger1!$C$4)),"B",IF(Leger1!AY32&gt;=Leger1!$C$4,"C","D"))))</f>
        <v>C</v>
      </c>
      <c r="AL32" s="252" t="str">
        <f>IF(Leger1!AZ32="","",IF(Leger1!AZ32&gt;=(Leger1!$C$4+2/3*(100-Leger1!$C$4)),"A",IF(Leger1!AZ32&gt;=(Leger1!$C$4+1/3*(100-Leger1!$C$4)),"B",IF(Leger1!AZ32&gt;=Leger1!$C$4,"C","D"))))</f>
        <v>C</v>
      </c>
    </row>
    <row r="33" spans="5:38">
      <c r="E33" s="211">
        <f>Biodata!B32</f>
        <v>27</v>
      </c>
      <c r="F33" s="212">
        <f>IF(Biodata!C32="","",VLOOKUP(E33,Biodata_Siswa,2,FALSE))</f>
        <v>7133</v>
      </c>
      <c r="G33" s="1015" t="str">
        <f>IF(Biodata!E32="","",PROPER(VLOOKUP(E33,Biodata_Siswa,4,FALSE)))</f>
        <v>Tutik Dillayanti</v>
      </c>
      <c r="H33" s="1016"/>
      <c r="I33" s="249" t="str">
        <f>IF(Leger1!I33="","",IF(Leger1!I33&gt;=(Leger1!$C$4+2/3*(100-Leger1!$C$4)),"A",IF(Leger1!I33&gt;=(Leger1!$C$4+1/3*(100-Leger1!$C$4)),"B",IF(Leger1!I33&gt;=Leger1!$C$4,"C","D"))))</f>
        <v>C</v>
      </c>
      <c r="J33" s="252" t="str">
        <f>IF(Leger1!J33="","",IF(Leger1!J33&gt;=(Leger1!$C$4+2/3*(100-Leger1!$C$4)),"A",IF(Leger1!J33&gt;=(Leger1!$C$4+1/3*(100-Leger1!$C$4)),"B",IF(Leger1!J33&gt;=Leger1!$C$4,"C","D"))))</f>
        <v>B</v>
      </c>
      <c r="K33" s="249" t="str">
        <f>IF(Leger1!L33="","",IF(Leger1!L33&gt;=(Leger1!$C$4+2/3*(100-Leger1!$C$4)),"A",IF(Leger1!L33&gt;=(Leger1!$C$4+1/3*(100-Leger1!$C$4)),"B",IF(Leger1!L33&gt;=Leger1!$C$4,"C","D"))))</f>
        <v/>
      </c>
      <c r="L33" s="252" t="str">
        <f>IF(Leger1!M33="","",IF(Leger1!M33&gt;=(Leger1!$C$4+2/3*(100-Leger1!$C$4)),"A",IF(Leger1!M33&gt;=(Leger1!$C$4+1/3*(100-Leger1!$C$4)),"B",IF(Leger1!M33&gt;=Leger1!$C$4,"C","D"))))</f>
        <v/>
      </c>
      <c r="M33" s="249" t="str">
        <f>IF(Leger1!O33="","",IF(Leger1!O33&gt;=(Leger1!$C$4+2/3*(100-Leger1!$C$4)),"A",IF(Leger1!O33&gt;=(Leger1!$C$4+1/3*(100-Leger1!$C$4)),"B",IF(Leger1!O33&gt;=Leger1!$C$4,"C","D"))))</f>
        <v/>
      </c>
      <c r="N33" s="252" t="str">
        <f>IF(Leger1!P33="","",IF(Leger1!P33&gt;=(Leger1!$C$4+2/3*(100-Leger1!$C$4)),"A",IF(Leger1!P33&gt;=(Leger1!$C$4+1/3*(100-Leger1!$C$4)),"B",IF(Leger1!P33&gt;=Leger1!$C$4,"C","D"))))</f>
        <v/>
      </c>
      <c r="O33" s="249" t="str">
        <f>IF(Leger1!R33="","",IF(Leger1!R33&gt;=(Leger1!$C$4+2/3*(100-Leger1!$C$4)),"A",IF(Leger1!R33&gt;=(Leger1!$C$4+1/3*(100-Leger1!$C$4)),"B",IF(Leger1!R33&gt;=Leger1!$C$4,"C","D"))))</f>
        <v/>
      </c>
      <c r="P33" s="252" t="str">
        <f>IF(Leger1!S33="","",IF(Leger1!S33&gt;=(Leger1!$C$4+2/3*(100-Leger1!$C$4)),"A",IF(Leger1!S33&gt;=(Leger1!$C$4+1/3*(100-Leger1!$C$4)),"B",IF(Leger1!S33&gt;=Leger1!$C$4,"C","D"))))</f>
        <v/>
      </c>
      <c r="Q33" s="249" t="str">
        <f>IF(Leger1!U33="","",IF(Leger1!U33&gt;=(Leger1!$C$4+2/3*(100-Leger1!$C$4)),"A",IF(Leger1!U33&gt;=(Leger1!$C$4+1/3*(100-Leger1!$C$4)),"B",IF(Leger1!U33&gt;=Leger1!$C$4,"C","D"))))</f>
        <v/>
      </c>
      <c r="R33" s="252" t="str">
        <f>IF(Leger1!V33="","",IF(Leger1!V33&gt;=(Leger1!$C$4+2/3*(100-Leger1!$C$4)),"A",IF(Leger1!V33&gt;=(Leger1!$C$4+1/3*(100-Leger1!$C$4)),"B",IF(Leger1!V33&gt;=Leger1!$C$4,"C","D"))))</f>
        <v/>
      </c>
      <c r="S33" s="249" t="str">
        <f>IF(Leger1!X33="","",IF(Leger1!X33&gt;=(Leger1!$C$4+2/3*(100-Leger1!$C$4)),"A",IF(Leger1!X33&gt;=(Leger1!$C$4+1/3*(100-Leger1!$C$4)),"B",IF(Leger1!X33&gt;=Leger1!$C$4,"C","D"))))</f>
        <v>C</v>
      </c>
      <c r="T33" s="252" t="str">
        <f>IF(Leger1!Y33="","",IF(Leger1!Y33&gt;=(Leger1!$C$4+2/3*(100-Leger1!$C$4)),"A",IF(Leger1!Y33&gt;=(Leger1!$C$4+1/3*(100-Leger1!$C$4)),"B",IF(Leger1!Y33&gt;=Leger1!$C$4,"C","D"))))</f>
        <v>C</v>
      </c>
      <c r="U33" s="249" t="str">
        <f>IF(Leger1!AA33="","",IF(Leger1!AA33&gt;=(Leger1!$C$4+2/3*(100-Leger1!$C$4)),"A",IF(Leger1!AA33&gt;=(Leger1!$C$4+1/3*(100-Leger1!$C$4)),"B",IF(Leger1!AA33&gt;=Leger1!$C$4,"C","D"))))</f>
        <v>C</v>
      </c>
      <c r="V33" s="252" t="str">
        <f>IF(Leger1!AB33="","",IF(Leger1!AB33&gt;=(Leger1!$C$4+2/3*(100-Leger1!$C$4)),"A",IF(Leger1!AB33&gt;=(Leger1!$C$4+1/3*(100-Leger1!$C$4)),"B",IF(Leger1!AB33&gt;=Leger1!$C$4,"C","D"))))</f>
        <v>C</v>
      </c>
      <c r="W33" s="249" t="str">
        <f>IF(Leger1!AD33="","",IF(Leger1!AD33&gt;=(Leger1!$C$4+2/3*(100-Leger1!$C$4)),"A",IF(Leger1!AD33&gt;=(Leger1!$C$4+1/3*(100-Leger1!$C$4)),"B",IF(Leger1!AD33&gt;=Leger1!$C$4,"C","D"))))</f>
        <v>C</v>
      </c>
      <c r="X33" s="252" t="str">
        <f>IF(Leger1!AE33="","",IF(Leger1!AE33&gt;=(Leger1!$C$4+2/3*(100-Leger1!$C$4)),"A",IF(Leger1!AE33&gt;=(Leger1!$C$4+1/3*(100-Leger1!$C$4)),"B",IF(Leger1!AE33&gt;=Leger1!$C$4,"C","D"))))</f>
        <v>C</v>
      </c>
      <c r="Y33" s="249" t="str">
        <f>IF(Leger1!AG33="","",IF(Leger1!AG33&gt;=(Leger1!$C$4+2/3*(100-Leger1!$C$4)),"A",IF(Leger1!AG33&gt;=(Leger1!$C$4+1/3*(100-Leger1!$C$4)),"B",IF(Leger1!AG33&gt;=Leger1!$C$4,"C","D"))))</f>
        <v>C</v>
      </c>
      <c r="Z33" s="252" t="str">
        <f>IF(Leger1!AH33="","",IF(Leger1!AH33&gt;=(Leger1!$C$4+2/3*(100-Leger1!$C$4)),"A",IF(Leger1!AH33&gt;=(Leger1!$C$4+1/3*(100-Leger1!$C$4)),"B",IF(Leger1!AH33&gt;=Leger1!$C$4,"C","D"))))</f>
        <v>C</v>
      </c>
      <c r="AA33" s="249" t="str">
        <f>IF(Leger1!AJ33="","",IF(Leger1!AJ33&gt;=(Leger1!$C$4+2/3*(100-Leger1!$C$4)),"A",IF(Leger1!AJ33&gt;=(Leger1!$C$4+1/3*(100-Leger1!$C$4)),"B",IF(Leger1!AJ33&gt;=Leger1!$C$4,"C","D"))))</f>
        <v>C</v>
      </c>
      <c r="AB33" s="252" t="str">
        <f>IF(Leger1!AK33="","",IF(Leger1!AK33&gt;=(Leger1!$C$4+2/3*(100-Leger1!$C$4)),"A",IF(Leger1!AK33&gt;=(Leger1!$C$4+1/3*(100-Leger1!$C$4)),"B",IF(Leger1!AK33&gt;=Leger1!$C$4,"C","D"))))</f>
        <v>B</v>
      </c>
      <c r="AC33" s="249" t="str">
        <f>IF(Leger1!AM33="","",IF(Leger1!AM33&gt;=(Leger1!$C$4+2/3*(100-Leger1!$C$4)),"A",IF(Leger1!AM33&gt;=(Leger1!$C$4+1/3*(100-Leger1!$C$4)),"B",IF(Leger1!AM33&gt;=Leger1!$C$4,"C","D"))))</f>
        <v>C</v>
      </c>
      <c r="AD33" s="252" t="str">
        <f>IF(Leger1!AN33="","",IF(Leger1!AN33&gt;=(Leger1!$C$4+2/3*(100-Leger1!$C$4)),"A",IF(Leger1!AN33&gt;=(Leger1!$C$4+1/3*(100-Leger1!$C$4)),"B",IF(Leger1!AN33&gt;=Leger1!$C$4,"C","D"))))</f>
        <v>C</v>
      </c>
      <c r="AE33" s="249" t="str">
        <f>IF(Leger1!AP33="","",IF(Leger1!AP33&gt;=(Leger1!$C$4+2/3*(100-Leger1!$C$4)),"A",IF(Leger1!AP33&gt;=(Leger1!$C$4+1/3*(100-Leger1!$C$4)),"B",IF(Leger1!AP33&gt;=Leger1!$C$4,"C","D"))))</f>
        <v>C</v>
      </c>
      <c r="AF33" s="252" t="str">
        <f>IF(Leger1!AQ33="","",IF(Leger1!AQ33&gt;=(Leger1!$C$4+2/3*(100-Leger1!$C$4)),"A",IF(Leger1!AQ33&gt;=(Leger1!$C$4+1/3*(100-Leger1!$C$4)),"B",IF(Leger1!AQ33&gt;=Leger1!$C$4,"C","D"))))</f>
        <v>C</v>
      </c>
      <c r="AG33" s="249" t="str">
        <f>IF(Leger1!AS33="","",IF(Leger1!AS33&gt;=(Leger1!$C$4+2/3*(100-Leger1!$C$4)),"A",IF(Leger1!AS33&gt;=(Leger1!$C$4+1/3*(100-Leger1!$C$4)),"B",IF(Leger1!AS33&gt;=Leger1!$C$4,"C","D"))))</f>
        <v>C</v>
      </c>
      <c r="AH33" s="252" t="str">
        <f>IF(Leger1!AT33="","",IF(Leger1!AT33&gt;=(Leger1!$C$4+2/3*(100-Leger1!$C$4)),"A",IF(Leger1!AT33&gt;=(Leger1!$C$4+1/3*(100-Leger1!$C$4)),"B",IF(Leger1!AT33&gt;=Leger1!$C$4,"C","D"))))</f>
        <v>C</v>
      </c>
      <c r="AI33" s="249" t="str">
        <f>IF(Leger1!AV33="","",IF(Leger1!AV33&gt;=(Leger1!$C$4+2/3*(100-Leger1!$C$4)),"A",IF(Leger1!AV33&gt;=(Leger1!$C$4+1/3*(100-Leger1!$C$4)),"B",IF(Leger1!AV33&gt;=Leger1!$C$4,"C","D"))))</f>
        <v>C</v>
      </c>
      <c r="AJ33" s="252" t="str">
        <f>IF(Leger1!AW33="","",IF(Leger1!AW33&gt;=(Leger1!$C$4+2/3*(100-Leger1!$C$4)),"A",IF(Leger1!AW33&gt;=(Leger1!$C$4+1/3*(100-Leger1!$C$4)),"B",IF(Leger1!AW33&gt;=Leger1!$C$4,"C","D"))))</f>
        <v>B</v>
      </c>
      <c r="AK33" s="249" t="str">
        <f>IF(Leger1!AY33="","",IF(Leger1!AY33&gt;=(Leger1!$C$4+2/3*(100-Leger1!$C$4)),"A",IF(Leger1!AY33&gt;=(Leger1!$C$4+1/3*(100-Leger1!$C$4)),"B",IF(Leger1!AY33&gt;=Leger1!$C$4,"C","D"))))</f>
        <v>C</v>
      </c>
      <c r="AL33" s="252" t="str">
        <f>IF(Leger1!AZ33="","",IF(Leger1!AZ33&gt;=(Leger1!$C$4+2/3*(100-Leger1!$C$4)),"A",IF(Leger1!AZ33&gt;=(Leger1!$C$4+1/3*(100-Leger1!$C$4)),"B",IF(Leger1!AZ33&gt;=Leger1!$C$4,"C","D"))))</f>
        <v>C</v>
      </c>
    </row>
    <row r="34" spans="5:38">
      <c r="E34" s="211">
        <f>Biodata!B33</f>
        <v>28</v>
      </c>
      <c r="F34" s="212">
        <f>IF(Biodata!C33="","",VLOOKUP(E34,Biodata_Siswa,2,FALSE))</f>
        <v>7142</v>
      </c>
      <c r="G34" s="1015" t="str">
        <f>IF(Biodata!E33="","",PROPER(VLOOKUP(E34,Biodata_Siswa,4,FALSE)))</f>
        <v>I Gede Nyoman Bagiyasa</v>
      </c>
      <c r="H34" s="1016"/>
      <c r="I34" s="249" t="str">
        <f>IF(Leger1!I34="","",IF(Leger1!I34&gt;=(Leger1!$C$4+2/3*(100-Leger1!$C$4)),"A",IF(Leger1!I34&gt;=(Leger1!$C$4+1/3*(100-Leger1!$C$4)),"B",IF(Leger1!I34&gt;=Leger1!$C$4,"C","D"))))</f>
        <v/>
      </c>
      <c r="J34" s="252" t="str">
        <f>IF(Leger1!J34="","",IF(Leger1!J34&gt;=(Leger1!$C$4+2/3*(100-Leger1!$C$4)),"A",IF(Leger1!J34&gt;=(Leger1!$C$4+1/3*(100-Leger1!$C$4)),"B",IF(Leger1!J34&gt;=Leger1!$C$4,"C","D"))))</f>
        <v/>
      </c>
      <c r="K34" s="249" t="str">
        <f>IF(Leger1!L34="","",IF(Leger1!L34&gt;=(Leger1!$C$4+2/3*(100-Leger1!$C$4)),"A",IF(Leger1!L34&gt;=(Leger1!$C$4+1/3*(100-Leger1!$C$4)),"B",IF(Leger1!L34&gt;=Leger1!$C$4,"C","D"))))</f>
        <v/>
      </c>
      <c r="L34" s="252" t="str">
        <f>IF(Leger1!M34="","",IF(Leger1!M34&gt;=(Leger1!$C$4+2/3*(100-Leger1!$C$4)),"A",IF(Leger1!M34&gt;=(Leger1!$C$4+1/3*(100-Leger1!$C$4)),"B",IF(Leger1!M34&gt;=Leger1!$C$4,"C","D"))))</f>
        <v/>
      </c>
      <c r="M34" s="249" t="str">
        <f>IF(Leger1!O34="","",IF(Leger1!O34&gt;=(Leger1!$C$4+2/3*(100-Leger1!$C$4)),"A",IF(Leger1!O34&gt;=(Leger1!$C$4+1/3*(100-Leger1!$C$4)),"B",IF(Leger1!O34&gt;=Leger1!$C$4,"C","D"))))</f>
        <v/>
      </c>
      <c r="N34" s="252" t="str">
        <f>IF(Leger1!P34="","",IF(Leger1!P34&gt;=(Leger1!$C$4+2/3*(100-Leger1!$C$4)),"A",IF(Leger1!P34&gt;=(Leger1!$C$4+1/3*(100-Leger1!$C$4)),"B",IF(Leger1!P34&gt;=Leger1!$C$4,"C","D"))))</f>
        <v/>
      </c>
      <c r="O34" s="249" t="str">
        <f>IF(Leger1!R34="","",IF(Leger1!R34&gt;=(Leger1!$C$4+2/3*(100-Leger1!$C$4)),"A",IF(Leger1!R34&gt;=(Leger1!$C$4+1/3*(100-Leger1!$C$4)),"B",IF(Leger1!R34&gt;=Leger1!$C$4,"C","D"))))</f>
        <v>C</v>
      </c>
      <c r="P34" s="252" t="str">
        <f>IF(Leger1!S34="","",IF(Leger1!S34&gt;=(Leger1!$C$4+2/3*(100-Leger1!$C$4)),"A",IF(Leger1!S34&gt;=(Leger1!$C$4+1/3*(100-Leger1!$C$4)),"B",IF(Leger1!S34&gt;=Leger1!$C$4,"C","D"))))</f>
        <v>C</v>
      </c>
      <c r="Q34" s="249" t="str">
        <f>IF(Leger1!U34="","",IF(Leger1!U34&gt;=(Leger1!$C$4+2/3*(100-Leger1!$C$4)),"A",IF(Leger1!U34&gt;=(Leger1!$C$4+1/3*(100-Leger1!$C$4)),"B",IF(Leger1!U34&gt;=Leger1!$C$4,"C","D"))))</f>
        <v/>
      </c>
      <c r="R34" s="252" t="str">
        <f>IF(Leger1!V34="","",IF(Leger1!V34&gt;=(Leger1!$C$4+2/3*(100-Leger1!$C$4)),"A",IF(Leger1!V34&gt;=(Leger1!$C$4+1/3*(100-Leger1!$C$4)),"B",IF(Leger1!V34&gt;=Leger1!$C$4,"C","D"))))</f>
        <v/>
      </c>
      <c r="S34" s="249" t="str">
        <f>IF(Leger1!X34="","",IF(Leger1!X34&gt;=(Leger1!$C$4+2/3*(100-Leger1!$C$4)),"A",IF(Leger1!X34&gt;=(Leger1!$C$4+1/3*(100-Leger1!$C$4)),"B",IF(Leger1!X34&gt;=Leger1!$C$4,"C","D"))))</f>
        <v>C</v>
      </c>
      <c r="T34" s="252" t="str">
        <f>IF(Leger1!Y34="","",IF(Leger1!Y34&gt;=(Leger1!$C$4+2/3*(100-Leger1!$C$4)),"A",IF(Leger1!Y34&gt;=(Leger1!$C$4+1/3*(100-Leger1!$C$4)),"B",IF(Leger1!Y34&gt;=Leger1!$C$4,"C","D"))))</f>
        <v>C</v>
      </c>
      <c r="U34" s="249" t="str">
        <f>IF(Leger1!AA34="","",IF(Leger1!AA34&gt;=(Leger1!$C$4+2/3*(100-Leger1!$C$4)),"A",IF(Leger1!AA34&gt;=(Leger1!$C$4+1/3*(100-Leger1!$C$4)),"B",IF(Leger1!AA34&gt;=Leger1!$C$4,"C","D"))))</f>
        <v>C</v>
      </c>
      <c r="V34" s="252" t="str">
        <f>IF(Leger1!AB34="","",IF(Leger1!AB34&gt;=(Leger1!$C$4+2/3*(100-Leger1!$C$4)),"A",IF(Leger1!AB34&gt;=(Leger1!$C$4+1/3*(100-Leger1!$C$4)),"B",IF(Leger1!AB34&gt;=Leger1!$C$4,"C","D"))))</f>
        <v>C</v>
      </c>
      <c r="W34" s="249" t="str">
        <f>IF(Leger1!AD34="","",IF(Leger1!AD34&gt;=(Leger1!$C$4+2/3*(100-Leger1!$C$4)),"A",IF(Leger1!AD34&gt;=(Leger1!$C$4+1/3*(100-Leger1!$C$4)),"B",IF(Leger1!AD34&gt;=Leger1!$C$4,"C","D"))))</f>
        <v>C</v>
      </c>
      <c r="X34" s="252" t="str">
        <f>IF(Leger1!AE34="","",IF(Leger1!AE34&gt;=(Leger1!$C$4+2/3*(100-Leger1!$C$4)),"A",IF(Leger1!AE34&gt;=(Leger1!$C$4+1/3*(100-Leger1!$C$4)),"B",IF(Leger1!AE34&gt;=Leger1!$C$4,"C","D"))))</f>
        <v>C</v>
      </c>
      <c r="Y34" s="249" t="str">
        <f>IF(Leger1!AG34="","",IF(Leger1!AG34&gt;=(Leger1!$C$4+2/3*(100-Leger1!$C$4)),"A",IF(Leger1!AG34&gt;=(Leger1!$C$4+1/3*(100-Leger1!$C$4)),"B",IF(Leger1!AG34&gt;=Leger1!$C$4,"C","D"))))</f>
        <v>C</v>
      </c>
      <c r="Z34" s="252" t="str">
        <f>IF(Leger1!AH34="","",IF(Leger1!AH34&gt;=(Leger1!$C$4+2/3*(100-Leger1!$C$4)),"A",IF(Leger1!AH34&gt;=(Leger1!$C$4+1/3*(100-Leger1!$C$4)),"B",IF(Leger1!AH34&gt;=Leger1!$C$4,"C","D"))))</f>
        <v>C</v>
      </c>
      <c r="AA34" s="249" t="str">
        <f>IF(Leger1!AJ34="","",IF(Leger1!AJ34&gt;=(Leger1!$C$4+2/3*(100-Leger1!$C$4)),"A",IF(Leger1!AJ34&gt;=(Leger1!$C$4+1/3*(100-Leger1!$C$4)),"B",IF(Leger1!AJ34&gt;=Leger1!$C$4,"C","D"))))</f>
        <v>C</v>
      </c>
      <c r="AB34" s="252" t="str">
        <f>IF(Leger1!AK34="","",IF(Leger1!AK34&gt;=(Leger1!$C$4+2/3*(100-Leger1!$C$4)),"A",IF(Leger1!AK34&gt;=(Leger1!$C$4+1/3*(100-Leger1!$C$4)),"B",IF(Leger1!AK34&gt;=Leger1!$C$4,"C","D"))))</f>
        <v>C</v>
      </c>
      <c r="AC34" s="249" t="str">
        <f>IF(Leger1!AM34="","",IF(Leger1!AM34&gt;=(Leger1!$C$4+2/3*(100-Leger1!$C$4)),"A",IF(Leger1!AM34&gt;=(Leger1!$C$4+1/3*(100-Leger1!$C$4)),"B",IF(Leger1!AM34&gt;=Leger1!$C$4,"C","D"))))</f>
        <v>C</v>
      </c>
      <c r="AD34" s="252" t="str">
        <f>IF(Leger1!AN34="","",IF(Leger1!AN34&gt;=(Leger1!$C$4+2/3*(100-Leger1!$C$4)),"A",IF(Leger1!AN34&gt;=(Leger1!$C$4+1/3*(100-Leger1!$C$4)),"B",IF(Leger1!AN34&gt;=Leger1!$C$4,"C","D"))))</f>
        <v>C</v>
      </c>
      <c r="AE34" s="249" t="str">
        <f>IF(Leger1!AP34="","",IF(Leger1!AP34&gt;=(Leger1!$C$4+2/3*(100-Leger1!$C$4)),"A",IF(Leger1!AP34&gt;=(Leger1!$C$4+1/3*(100-Leger1!$C$4)),"B",IF(Leger1!AP34&gt;=Leger1!$C$4,"C","D"))))</f>
        <v>C</v>
      </c>
      <c r="AF34" s="252" t="str">
        <f>IF(Leger1!AQ34="","",IF(Leger1!AQ34&gt;=(Leger1!$C$4+2/3*(100-Leger1!$C$4)),"A",IF(Leger1!AQ34&gt;=(Leger1!$C$4+1/3*(100-Leger1!$C$4)),"B",IF(Leger1!AQ34&gt;=Leger1!$C$4,"C","D"))))</f>
        <v>C</v>
      </c>
      <c r="AG34" s="249" t="str">
        <f>IF(Leger1!AS34="","",IF(Leger1!AS34&gt;=(Leger1!$C$4+2/3*(100-Leger1!$C$4)),"A",IF(Leger1!AS34&gt;=(Leger1!$C$4+1/3*(100-Leger1!$C$4)),"B",IF(Leger1!AS34&gt;=Leger1!$C$4,"C","D"))))</f>
        <v>C</v>
      </c>
      <c r="AH34" s="252" t="str">
        <f>IF(Leger1!AT34="","",IF(Leger1!AT34&gt;=(Leger1!$C$4+2/3*(100-Leger1!$C$4)),"A",IF(Leger1!AT34&gt;=(Leger1!$C$4+1/3*(100-Leger1!$C$4)),"B",IF(Leger1!AT34&gt;=Leger1!$C$4,"C","D"))))</f>
        <v>C</v>
      </c>
      <c r="AI34" s="249" t="str">
        <f>IF(Leger1!AV34="","",IF(Leger1!AV34&gt;=(Leger1!$C$4+2/3*(100-Leger1!$C$4)),"A",IF(Leger1!AV34&gt;=(Leger1!$C$4+1/3*(100-Leger1!$C$4)),"B",IF(Leger1!AV34&gt;=Leger1!$C$4,"C","D"))))</f>
        <v>C</v>
      </c>
      <c r="AJ34" s="252" t="str">
        <f>IF(Leger1!AW34="","",IF(Leger1!AW34&gt;=(Leger1!$C$4+2/3*(100-Leger1!$C$4)),"A",IF(Leger1!AW34&gt;=(Leger1!$C$4+1/3*(100-Leger1!$C$4)),"B",IF(Leger1!AW34&gt;=Leger1!$C$4,"C","D"))))</f>
        <v>C</v>
      </c>
      <c r="AK34" s="249" t="str">
        <f>IF(Leger1!AY34="","",IF(Leger1!AY34&gt;=(Leger1!$C$4+2/3*(100-Leger1!$C$4)),"A",IF(Leger1!AY34&gt;=(Leger1!$C$4+1/3*(100-Leger1!$C$4)),"B",IF(Leger1!AY34&gt;=Leger1!$C$4,"C","D"))))</f>
        <v>C</v>
      </c>
      <c r="AL34" s="252" t="str">
        <f>IF(Leger1!AZ34="","",IF(Leger1!AZ34&gt;=(Leger1!$C$4+2/3*(100-Leger1!$C$4)),"A",IF(Leger1!AZ34&gt;=(Leger1!$C$4+1/3*(100-Leger1!$C$4)),"B",IF(Leger1!AZ34&gt;=Leger1!$C$4,"C","D"))))</f>
        <v>C</v>
      </c>
    </row>
    <row r="35" spans="5:38">
      <c r="E35" s="211">
        <f>Biodata!B34</f>
        <v>29</v>
      </c>
      <c r="F35" s="212" t="str">
        <f>IF(Biodata!C34="","",VLOOKUP(E35,Biodata_Siswa,2,FALSE))</f>
        <v/>
      </c>
      <c r="G35" s="1015" t="str">
        <f>IF(Biodata!E34="","",PROPER(VLOOKUP(E35,Biodata_Siswa,4,FALSE)))</f>
        <v>Melati Sabilla Rochmah</v>
      </c>
      <c r="H35" s="1016"/>
      <c r="I35" s="249" t="str">
        <f>IF(Leger1!I35="","",IF(Leger1!I35&gt;=(Leger1!$C$4+2/3*(100-Leger1!$C$4)),"A",IF(Leger1!I35&gt;=(Leger1!$C$4+1/3*(100-Leger1!$C$4)),"B",IF(Leger1!I35&gt;=Leger1!$C$4,"C","D"))))</f>
        <v/>
      </c>
      <c r="J35" s="252" t="str">
        <f>IF(Leger1!J35="","",IF(Leger1!J35&gt;=(Leger1!$C$4+2/3*(100-Leger1!$C$4)),"A",IF(Leger1!J35&gt;=(Leger1!$C$4+1/3*(100-Leger1!$C$4)),"B",IF(Leger1!J35&gt;=Leger1!$C$4,"C","D"))))</f>
        <v/>
      </c>
      <c r="K35" s="249" t="str">
        <f>IF(Leger1!L35="","",IF(Leger1!L35&gt;=(Leger1!$C$4+2/3*(100-Leger1!$C$4)),"A",IF(Leger1!L35&gt;=(Leger1!$C$4+1/3*(100-Leger1!$C$4)),"B",IF(Leger1!L35&gt;=Leger1!$C$4,"C","D"))))</f>
        <v/>
      </c>
      <c r="L35" s="252" t="str">
        <f>IF(Leger1!M35="","",IF(Leger1!M35&gt;=(Leger1!$C$4+2/3*(100-Leger1!$C$4)),"A",IF(Leger1!M35&gt;=(Leger1!$C$4+1/3*(100-Leger1!$C$4)),"B",IF(Leger1!M35&gt;=Leger1!$C$4,"C","D"))))</f>
        <v/>
      </c>
      <c r="M35" s="249" t="str">
        <f>IF(Leger1!O35="","",IF(Leger1!O35&gt;=(Leger1!$C$4+2/3*(100-Leger1!$C$4)),"A",IF(Leger1!O35&gt;=(Leger1!$C$4+1/3*(100-Leger1!$C$4)),"B",IF(Leger1!O35&gt;=Leger1!$C$4,"C","D"))))</f>
        <v/>
      </c>
      <c r="N35" s="252" t="str">
        <f>IF(Leger1!P35="","",IF(Leger1!P35&gt;=(Leger1!$C$4+2/3*(100-Leger1!$C$4)),"A",IF(Leger1!P35&gt;=(Leger1!$C$4+1/3*(100-Leger1!$C$4)),"B",IF(Leger1!P35&gt;=Leger1!$C$4,"C","D"))))</f>
        <v/>
      </c>
      <c r="O35" s="249" t="str">
        <f>IF(Leger1!R35="","",IF(Leger1!R35&gt;=(Leger1!$C$4+2/3*(100-Leger1!$C$4)),"A",IF(Leger1!R35&gt;=(Leger1!$C$4+1/3*(100-Leger1!$C$4)),"B",IF(Leger1!R35&gt;=Leger1!$C$4,"C","D"))))</f>
        <v/>
      </c>
      <c r="P35" s="252" t="str">
        <f>IF(Leger1!S35="","",IF(Leger1!S35&gt;=(Leger1!$C$4+2/3*(100-Leger1!$C$4)),"A",IF(Leger1!S35&gt;=(Leger1!$C$4+1/3*(100-Leger1!$C$4)),"B",IF(Leger1!S35&gt;=Leger1!$C$4,"C","D"))))</f>
        <v/>
      </c>
      <c r="Q35" s="249" t="str">
        <f>IF(Leger1!U35="","",IF(Leger1!U35&gt;=(Leger1!$C$4+2/3*(100-Leger1!$C$4)),"A",IF(Leger1!U35&gt;=(Leger1!$C$4+1/3*(100-Leger1!$C$4)),"B",IF(Leger1!U35&gt;=Leger1!$C$4,"C","D"))))</f>
        <v/>
      </c>
      <c r="R35" s="252" t="str">
        <f>IF(Leger1!V35="","",IF(Leger1!V35&gt;=(Leger1!$C$4+2/3*(100-Leger1!$C$4)),"A",IF(Leger1!V35&gt;=(Leger1!$C$4+1/3*(100-Leger1!$C$4)),"B",IF(Leger1!V35&gt;=Leger1!$C$4,"C","D"))))</f>
        <v/>
      </c>
      <c r="S35" s="249" t="str">
        <f>IF(Leger1!X35="","",IF(Leger1!X35&gt;=(Leger1!$C$4+2/3*(100-Leger1!$C$4)),"A",IF(Leger1!X35&gt;=(Leger1!$C$4+1/3*(100-Leger1!$C$4)),"B",IF(Leger1!X35&gt;=Leger1!$C$4,"C","D"))))</f>
        <v/>
      </c>
      <c r="T35" s="252" t="str">
        <f>IF(Leger1!Y35="","",IF(Leger1!Y35&gt;=(Leger1!$C$4+2/3*(100-Leger1!$C$4)),"A",IF(Leger1!Y35&gt;=(Leger1!$C$4+1/3*(100-Leger1!$C$4)),"B",IF(Leger1!Y35&gt;=Leger1!$C$4,"C","D"))))</f>
        <v/>
      </c>
      <c r="U35" s="249" t="str">
        <f>IF(Leger1!AA35="","",IF(Leger1!AA35&gt;=(Leger1!$C$4+2/3*(100-Leger1!$C$4)),"A",IF(Leger1!AA35&gt;=(Leger1!$C$4+1/3*(100-Leger1!$C$4)),"B",IF(Leger1!AA35&gt;=Leger1!$C$4,"C","D"))))</f>
        <v/>
      </c>
      <c r="V35" s="252" t="str">
        <f>IF(Leger1!AB35="","",IF(Leger1!AB35&gt;=(Leger1!$C$4+2/3*(100-Leger1!$C$4)),"A",IF(Leger1!AB35&gt;=(Leger1!$C$4+1/3*(100-Leger1!$C$4)),"B",IF(Leger1!AB35&gt;=Leger1!$C$4,"C","D"))))</f>
        <v/>
      </c>
      <c r="W35" s="249" t="str">
        <f>IF(Leger1!AD35="","",IF(Leger1!AD35&gt;=(Leger1!$C$4+2/3*(100-Leger1!$C$4)),"A",IF(Leger1!AD35&gt;=(Leger1!$C$4+1/3*(100-Leger1!$C$4)),"B",IF(Leger1!AD35&gt;=Leger1!$C$4,"C","D"))))</f>
        <v/>
      </c>
      <c r="X35" s="252" t="str">
        <f>IF(Leger1!AE35="","",IF(Leger1!AE35&gt;=(Leger1!$C$4+2/3*(100-Leger1!$C$4)),"A",IF(Leger1!AE35&gt;=(Leger1!$C$4+1/3*(100-Leger1!$C$4)),"B",IF(Leger1!AE35&gt;=Leger1!$C$4,"C","D"))))</f>
        <v/>
      </c>
      <c r="Y35" s="249" t="str">
        <f>IF(Leger1!AG35="","",IF(Leger1!AG35&gt;=(Leger1!$C$4+2/3*(100-Leger1!$C$4)),"A",IF(Leger1!AG35&gt;=(Leger1!$C$4+1/3*(100-Leger1!$C$4)),"B",IF(Leger1!AG35&gt;=Leger1!$C$4,"C","D"))))</f>
        <v/>
      </c>
      <c r="Z35" s="252" t="str">
        <f>IF(Leger1!AH35="","",IF(Leger1!AH35&gt;=(Leger1!$C$4+2/3*(100-Leger1!$C$4)),"A",IF(Leger1!AH35&gt;=(Leger1!$C$4+1/3*(100-Leger1!$C$4)),"B",IF(Leger1!AH35&gt;=Leger1!$C$4,"C","D"))))</f>
        <v/>
      </c>
      <c r="AA35" s="249" t="str">
        <f>IF(Leger1!AJ35="","",IF(Leger1!AJ35&gt;=(Leger1!$C$4+2/3*(100-Leger1!$C$4)),"A",IF(Leger1!AJ35&gt;=(Leger1!$C$4+1/3*(100-Leger1!$C$4)),"B",IF(Leger1!AJ35&gt;=Leger1!$C$4,"C","D"))))</f>
        <v/>
      </c>
      <c r="AB35" s="252" t="str">
        <f>IF(Leger1!AK35="","",IF(Leger1!AK35&gt;=(Leger1!$C$4+2/3*(100-Leger1!$C$4)),"A",IF(Leger1!AK35&gt;=(Leger1!$C$4+1/3*(100-Leger1!$C$4)),"B",IF(Leger1!AK35&gt;=Leger1!$C$4,"C","D"))))</f>
        <v/>
      </c>
      <c r="AC35" s="249" t="str">
        <f>IF(Leger1!AM35="","",IF(Leger1!AM35&gt;=(Leger1!$C$4+2/3*(100-Leger1!$C$4)),"A",IF(Leger1!AM35&gt;=(Leger1!$C$4+1/3*(100-Leger1!$C$4)),"B",IF(Leger1!AM35&gt;=Leger1!$C$4,"C","D"))))</f>
        <v/>
      </c>
      <c r="AD35" s="252" t="str">
        <f>IF(Leger1!AN35="","",IF(Leger1!AN35&gt;=(Leger1!$C$4+2/3*(100-Leger1!$C$4)),"A",IF(Leger1!AN35&gt;=(Leger1!$C$4+1/3*(100-Leger1!$C$4)),"B",IF(Leger1!AN35&gt;=Leger1!$C$4,"C","D"))))</f>
        <v/>
      </c>
      <c r="AE35" s="249" t="str">
        <f>IF(Leger1!AP35="","",IF(Leger1!AP35&gt;=(Leger1!$C$4+2/3*(100-Leger1!$C$4)),"A",IF(Leger1!AP35&gt;=(Leger1!$C$4+1/3*(100-Leger1!$C$4)),"B",IF(Leger1!AP35&gt;=Leger1!$C$4,"C","D"))))</f>
        <v/>
      </c>
      <c r="AF35" s="252" t="str">
        <f>IF(Leger1!AQ35="","",IF(Leger1!AQ35&gt;=(Leger1!$C$4+2/3*(100-Leger1!$C$4)),"A",IF(Leger1!AQ35&gt;=(Leger1!$C$4+1/3*(100-Leger1!$C$4)),"B",IF(Leger1!AQ35&gt;=Leger1!$C$4,"C","D"))))</f>
        <v/>
      </c>
      <c r="AG35" s="249" t="str">
        <f>IF(Leger1!AS35="","",IF(Leger1!AS35&gt;=(Leger1!$C$4+2/3*(100-Leger1!$C$4)),"A",IF(Leger1!AS35&gt;=(Leger1!$C$4+1/3*(100-Leger1!$C$4)),"B",IF(Leger1!AS35&gt;=Leger1!$C$4,"C","D"))))</f>
        <v/>
      </c>
      <c r="AH35" s="252" t="str">
        <f>IF(Leger1!AT35="","",IF(Leger1!AT35&gt;=(Leger1!$C$4+2/3*(100-Leger1!$C$4)),"A",IF(Leger1!AT35&gt;=(Leger1!$C$4+1/3*(100-Leger1!$C$4)),"B",IF(Leger1!AT35&gt;=Leger1!$C$4,"C","D"))))</f>
        <v/>
      </c>
      <c r="AI35" s="249" t="str">
        <f>IF(Leger1!AV35="","",IF(Leger1!AV35&gt;=(Leger1!$C$4+2/3*(100-Leger1!$C$4)),"A",IF(Leger1!AV35&gt;=(Leger1!$C$4+1/3*(100-Leger1!$C$4)),"B",IF(Leger1!AV35&gt;=Leger1!$C$4,"C","D"))))</f>
        <v/>
      </c>
      <c r="AJ35" s="252" t="str">
        <f>IF(Leger1!AW35="","",IF(Leger1!AW35&gt;=(Leger1!$C$4+2/3*(100-Leger1!$C$4)),"A",IF(Leger1!AW35&gt;=(Leger1!$C$4+1/3*(100-Leger1!$C$4)),"B",IF(Leger1!AW35&gt;=Leger1!$C$4,"C","D"))))</f>
        <v/>
      </c>
      <c r="AK35" s="249" t="str">
        <f>IF(Leger1!AY35="","",IF(Leger1!AY35&gt;=(Leger1!$C$4+2/3*(100-Leger1!$C$4)),"A",IF(Leger1!AY35&gt;=(Leger1!$C$4+1/3*(100-Leger1!$C$4)),"B",IF(Leger1!AY35&gt;=Leger1!$C$4,"C","D"))))</f>
        <v/>
      </c>
      <c r="AL35" s="252" t="str">
        <f>IF(Leger1!AZ35="","",IF(Leger1!AZ35&gt;=(Leger1!$C$4+2/3*(100-Leger1!$C$4)),"A",IF(Leger1!AZ35&gt;=(Leger1!$C$4+1/3*(100-Leger1!$C$4)),"B",IF(Leger1!AZ35&gt;=Leger1!$C$4,"C","D"))))</f>
        <v/>
      </c>
    </row>
    <row r="36" spans="5:38">
      <c r="E36" s="211" t="str">
        <f>Biodata!B35</f>
        <v/>
      </c>
      <c r="F36" s="212" t="str">
        <f>IF(Biodata!C35="","",VLOOKUP(E36,Biodata_Siswa,2,FALSE))</f>
        <v/>
      </c>
      <c r="G36" s="1015" t="str">
        <f>IF(Biodata!E35="","",PROPER(VLOOKUP(E36,Biodata_Siswa,4,FALSE)))</f>
        <v/>
      </c>
      <c r="H36" s="1016"/>
      <c r="I36" s="249" t="str">
        <f>IF(Leger1!I36="","",IF(Leger1!I36&gt;=(Leger1!$C$4+2/3*(100-Leger1!$C$4)),"A",IF(Leger1!I36&gt;=(Leger1!$C$4+1/3*(100-Leger1!$C$4)),"B",IF(Leger1!I36&gt;=Leger1!$C$4,"C","D"))))</f>
        <v/>
      </c>
      <c r="J36" s="252" t="str">
        <f>IF(Leger1!J36="","",IF(Leger1!J36&gt;=(Leger1!$C$4+2/3*(100-Leger1!$C$4)),"A",IF(Leger1!J36&gt;=(Leger1!$C$4+1/3*(100-Leger1!$C$4)),"B",IF(Leger1!J36&gt;=Leger1!$C$4,"C","D"))))</f>
        <v/>
      </c>
      <c r="K36" s="249" t="str">
        <f>IF(Leger1!L36="","",IF(Leger1!L36&gt;=(Leger1!$C$4+2/3*(100-Leger1!$C$4)),"A",IF(Leger1!L36&gt;=(Leger1!$C$4+1/3*(100-Leger1!$C$4)),"B",IF(Leger1!L36&gt;=Leger1!$C$4,"C","D"))))</f>
        <v/>
      </c>
      <c r="L36" s="252" t="str">
        <f>IF(Leger1!M36="","",IF(Leger1!M36&gt;=(Leger1!$C$4+2/3*(100-Leger1!$C$4)),"A",IF(Leger1!M36&gt;=(Leger1!$C$4+1/3*(100-Leger1!$C$4)),"B",IF(Leger1!M36&gt;=Leger1!$C$4,"C","D"))))</f>
        <v/>
      </c>
      <c r="M36" s="249" t="str">
        <f>IF(Leger1!O36="","",IF(Leger1!O36&gt;=(Leger1!$C$4+2/3*(100-Leger1!$C$4)),"A",IF(Leger1!O36&gt;=(Leger1!$C$4+1/3*(100-Leger1!$C$4)),"B",IF(Leger1!O36&gt;=Leger1!$C$4,"C","D"))))</f>
        <v/>
      </c>
      <c r="N36" s="252" t="str">
        <f>IF(Leger1!P36="","",IF(Leger1!P36&gt;=(Leger1!$C$4+2/3*(100-Leger1!$C$4)),"A",IF(Leger1!P36&gt;=(Leger1!$C$4+1/3*(100-Leger1!$C$4)),"B",IF(Leger1!P36&gt;=Leger1!$C$4,"C","D"))))</f>
        <v/>
      </c>
      <c r="O36" s="249" t="str">
        <f>IF(Leger1!R36="","",IF(Leger1!R36&gt;=(Leger1!$C$4+2/3*(100-Leger1!$C$4)),"A",IF(Leger1!R36&gt;=(Leger1!$C$4+1/3*(100-Leger1!$C$4)),"B",IF(Leger1!R36&gt;=Leger1!$C$4,"C","D"))))</f>
        <v/>
      </c>
      <c r="P36" s="252" t="str">
        <f>IF(Leger1!S36="","",IF(Leger1!S36&gt;=(Leger1!$C$4+2/3*(100-Leger1!$C$4)),"A",IF(Leger1!S36&gt;=(Leger1!$C$4+1/3*(100-Leger1!$C$4)),"B",IF(Leger1!S36&gt;=Leger1!$C$4,"C","D"))))</f>
        <v/>
      </c>
      <c r="Q36" s="249" t="str">
        <f>IF(Leger1!U36="","",IF(Leger1!U36&gt;=(Leger1!$C$4+2/3*(100-Leger1!$C$4)),"A",IF(Leger1!U36&gt;=(Leger1!$C$4+1/3*(100-Leger1!$C$4)),"B",IF(Leger1!U36&gt;=Leger1!$C$4,"C","D"))))</f>
        <v/>
      </c>
      <c r="R36" s="252" t="str">
        <f>IF(Leger1!V36="","",IF(Leger1!V36&gt;=(Leger1!$C$4+2/3*(100-Leger1!$C$4)),"A",IF(Leger1!V36&gt;=(Leger1!$C$4+1/3*(100-Leger1!$C$4)),"B",IF(Leger1!V36&gt;=Leger1!$C$4,"C","D"))))</f>
        <v/>
      </c>
      <c r="S36" s="249" t="str">
        <f>IF(Leger1!X36="","",IF(Leger1!X36&gt;=(Leger1!$C$4+2/3*(100-Leger1!$C$4)),"A",IF(Leger1!X36&gt;=(Leger1!$C$4+1/3*(100-Leger1!$C$4)),"B",IF(Leger1!X36&gt;=Leger1!$C$4,"C","D"))))</f>
        <v/>
      </c>
      <c r="T36" s="252" t="str">
        <f>IF(Leger1!Y36="","",IF(Leger1!Y36&gt;=(Leger1!$C$4+2/3*(100-Leger1!$C$4)),"A",IF(Leger1!Y36&gt;=(Leger1!$C$4+1/3*(100-Leger1!$C$4)),"B",IF(Leger1!Y36&gt;=Leger1!$C$4,"C","D"))))</f>
        <v/>
      </c>
      <c r="U36" s="249" t="str">
        <f>IF(Leger1!AA36="","",IF(Leger1!AA36&gt;=(Leger1!$C$4+2/3*(100-Leger1!$C$4)),"A",IF(Leger1!AA36&gt;=(Leger1!$C$4+1/3*(100-Leger1!$C$4)),"B",IF(Leger1!AA36&gt;=Leger1!$C$4,"C","D"))))</f>
        <v/>
      </c>
      <c r="V36" s="252" t="str">
        <f>IF(Leger1!AB36="","",IF(Leger1!AB36&gt;=(Leger1!$C$4+2/3*(100-Leger1!$C$4)),"A",IF(Leger1!AB36&gt;=(Leger1!$C$4+1/3*(100-Leger1!$C$4)),"B",IF(Leger1!AB36&gt;=Leger1!$C$4,"C","D"))))</f>
        <v/>
      </c>
      <c r="W36" s="249" t="str">
        <f>IF(Leger1!AD36="","",IF(Leger1!AD36&gt;=(Leger1!$C$4+2/3*(100-Leger1!$C$4)),"A",IF(Leger1!AD36&gt;=(Leger1!$C$4+1/3*(100-Leger1!$C$4)),"B",IF(Leger1!AD36&gt;=Leger1!$C$4,"C","D"))))</f>
        <v/>
      </c>
      <c r="X36" s="252" t="str">
        <f>IF(Leger1!AE36="","",IF(Leger1!AE36&gt;=(Leger1!$C$4+2/3*(100-Leger1!$C$4)),"A",IF(Leger1!AE36&gt;=(Leger1!$C$4+1/3*(100-Leger1!$C$4)),"B",IF(Leger1!AE36&gt;=Leger1!$C$4,"C","D"))))</f>
        <v/>
      </c>
      <c r="Y36" s="249" t="str">
        <f>IF(Leger1!AG36="","",IF(Leger1!AG36&gt;=(Leger1!$C$4+2/3*(100-Leger1!$C$4)),"A",IF(Leger1!AG36&gt;=(Leger1!$C$4+1/3*(100-Leger1!$C$4)),"B",IF(Leger1!AG36&gt;=Leger1!$C$4,"C","D"))))</f>
        <v/>
      </c>
      <c r="Z36" s="252" t="str">
        <f>IF(Leger1!AH36="","",IF(Leger1!AH36&gt;=(Leger1!$C$4+2/3*(100-Leger1!$C$4)),"A",IF(Leger1!AH36&gt;=(Leger1!$C$4+1/3*(100-Leger1!$C$4)),"B",IF(Leger1!AH36&gt;=Leger1!$C$4,"C","D"))))</f>
        <v/>
      </c>
      <c r="AA36" s="249" t="str">
        <f>IF(Leger1!AJ36="","",IF(Leger1!AJ36&gt;=(Leger1!$C$4+2/3*(100-Leger1!$C$4)),"A",IF(Leger1!AJ36&gt;=(Leger1!$C$4+1/3*(100-Leger1!$C$4)),"B",IF(Leger1!AJ36&gt;=Leger1!$C$4,"C","D"))))</f>
        <v/>
      </c>
      <c r="AB36" s="252" t="str">
        <f>IF(Leger1!AK36="","",IF(Leger1!AK36&gt;=(Leger1!$C$4+2/3*(100-Leger1!$C$4)),"A",IF(Leger1!AK36&gt;=(Leger1!$C$4+1/3*(100-Leger1!$C$4)),"B",IF(Leger1!AK36&gt;=Leger1!$C$4,"C","D"))))</f>
        <v/>
      </c>
      <c r="AC36" s="249" t="str">
        <f>IF(Leger1!AM36="","",IF(Leger1!AM36&gt;=(Leger1!$C$4+2/3*(100-Leger1!$C$4)),"A",IF(Leger1!AM36&gt;=(Leger1!$C$4+1/3*(100-Leger1!$C$4)),"B",IF(Leger1!AM36&gt;=Leger1!$C$4,"C","D"))))</f>
        <v/>
      </c>
      <c r="AD36" s="252" t="str">
        <f>IF(Leger1!AN36="","",IF(Leger1!AN36&gt;=(Leger1!$C$4+2/3*(100-Leger1!$C$4)),"A",IF(Leger1!AN36&gt;=(Leger1!$C$4+1/3*(100-Leger1!$C$4)),"B",IF(Leger1!AN36&gt;=Leger1!$C$4,"C","D"))))</f>
        <v/>
      </c>
      <c r="AE36" s="249" t="str">
        <f>IF(Leger1!AP36="","",IF(Leger1!AP36&gt;=(Leger1!$C$4+2/3*(100-Leger1!$C$4)),"A",IF(Leger1!AP36&gt;=(Leger1!$C$4+1/3*(100-Leger1!$C$4)),"B",IF(Leger1!AP36&gt;=Leger1!$C$4,"C","D"))))</f>
        <v/>
      </c>
      <c r="AF36" s="252" t="str">
        <f>IF(Leger1!AQ36="","",IF(Leger1!AQ36&gt;=(Leger1!$C$4+2/3*(100-Leger1!$C$4)),"A",IF(Leger1!AQ36&gt;=(Leger1!$C$4+1/3*(100-Leger1!$C$4)),"B",IF(Leger1!AQ36&gt;=Leger1!$C$4,"C","D"))))</f>
        <v/>
      </c>
      <c r="AG36" s="249" t="str">
        <f>IF(Leger1!AS36="","",IF(Leger1!AS36&gt;=(Leger1!$C$4+2/3*(100-Leger1!$C$4)),"A",IF(Leger1!AS36&gt;=(Leger1!$C$4+1/3*(100-Leger1!$C$4)),"B",IF(Leger1!AS36&gt;=Leger1!$C$4,"C","D"))))</f>
        <v/>
      </c>
      <c r="AH36" s="252" t="str">
        <f>IF(Leger1!AT36="","",IF(Leger1!AT36&gt;=(Leger1!$C$4+2/3*(100-Leger1!$C$4)),"A",IF(Leger1!AT36&gt;=(Leger1!$C$4+1/3*(100-Leger1!$C$4)),"B",IF(Leger1!AT36&gt;=Leger1!$C$4,"C","D"))))</f>
        <v/>
      </c>
      <c r="AI36" s="249" t="str">
        <f>IF(Leger1!AV36="","",IF(Leger1!AV36&gt;=(Leger1!$C$4+2/3*(100-Leger1!$C$4)),"A",IF(Leger1!AV36&gt;=(Leger1!$C$4+1/3*(100-Leger1!$C$4)),"B",IF(Leger1!AV36&gt;=Leger1!$C$4,"C","D"))))</f>
        <v/>
      </c>
      <c r="AJ36" s="252" t="str">
        <f>IF(Leger1!AW36="","",IF(Leger1!AW36&gt;=(Leger1!$C$4+2/3*(100-Leger1!$C$4)),"A",IF(Leger1!AW36&gt;=(Leger1!$C$4+1/3*(100-Leger1!$C$4)),"B",IF(Leger1!AW36&gt;=Leger1!$C$4,"C","D"))))</f>
        <v/>
      </c>
      <c r="AK36" s="249" t="str">
        <f>IF(Leger1!AY36="","",IF(Leger1!AY36&gt;=(Leger1!$C$4+2/3*(100-Leger1!$C$4)),"A",IF(Leger1!AY36&gt;=(Leger1!$C$4+1/3*(100-Leger1!$C$4)),"B",IF(Leger1!AY36&gt;=Leger1!$C$4,"C","D"))))</f>
        <v/>
      </c>
      <c r="AL36" s="252" t="str">
        <f>IF(Leger1!AZ36="","",IF(Leger1!AZ36&gt;=(Leger1!$C$4+2/3*(100-Leger1!$C$4)),"A",IF(Leger1!AZ36&gt;=(Leger1!$C$4+1/3*(100-Leger1!$C$4)),"B",IF(Leger1!AZ36&gt;=Leger1!$C$4,"C","D"))))</f>
        <v/>
      </c>
    </row>
    <row r="37" spans="5:38">
      <c r="E37" s="211" t="str">
        <f>Biodata!B36</f>
        <v/>
      </c>
      <c r="F37" s="212" t="str">
        <f>IF(Biodata!C36="","",VLOOKUP(E37,Biodata_Siswa,2,FALSE))</f>
        <v/>
      </c>
      <c r="G37" s="1015" t="str">
        <f>IF(Biodata!E36="","",PROPER(VLOOKUP(E37,Biodata_Siswa,4,FALSE)))</f>
        <v/>
      </c>
      <c r="H37" s="1016"/>
      <c r="I37" s="249" t="str">
        <f>IF(Leger1!I37="","",IF(Leger1!I37&gt;=(Leger1!$C$4+2/3*(100-Leger1!$C$4)),"A",IF(Leger1!I37&gt;=(Leger1!$C$4+1/3*(100-Leger1!$C$4)),"B",IF(Leger1!I37&gt;=Leger1!$C$4,"C","D"))))</f>
        <v/>
      </c>
      <c r="J37" s="252" t="str">
        <f>IF(Leger1!J37="","",IF(Leger1!J37&gt;=(Leger1!$C$4+2/3*(100-Leger1!$C$4)),"A",IF(Leger1!J37&gt;=(Leger1!$C$4+1/3*(100-Leger1!$C$4)),"B",IF(Leger1!J37&gt;=Leger1!$C$4,"C","D"))))</f>
        <v/>
      </c>
      <c r="K37" s="249" t="str">
        <f>IF(Leger1!L37="","",IF(Leger1!L37&gt;=(Leger1!$C$4+2/3*(100-Leger1!$C$4)),"A",IF(Leger1!L37&gt;=(Leger1!$C$4+1/3*(100-Leger1!$C$4)),"B",IF(Leger1!L37&gt;=Leger1!$C$4,"C","D"))))</f>
        <v/>
      </c>
      <c r="L37" s="252" t="str">
        <f>IF(Leger1!M37="","",IF(Leger1!M37&gt;=(Leger1!$C$4+2/3*(100-Leger1!$C$4)),"A",IF(Leger1!M37&gt;=(Leger1!$C$4+1/3*(100-Leger1!$C$4)),"B",IF(Leger1!M37&gt;=Leger1!$C$4,"C","D"))))</f>
        <v/>
      </c>
      <c r="M37" s="249" t="str">
        <f>IF(Leger1!O37="","",IF(Leger1!O37&gt;=(Leger1!$C$4+2/3*(100-Leger1!$C$4)),"A",IF(Leger1!O37&gt;=(Leger1!$C$4+1/3*(100-Leger1!$C$4)),"B",IF(Leger1!O37&gt;=Leger1!$C$4,"C","D"))))</f>
        <v/>
      </c>
      <c r="N37" s="252" t="str">
        <f>IF(Leger1!P37="","",IF(Leger1!P37&gt;=(Leger1!$C$4+2/3*(100-Leger1!$C$4)),"A",IF(Leger1!P37&gt;=(Leger1!$C$4+1/3*(100-Leger1!$C$4)),"B",IF(Leger1!P37&gt;=Leger1!$C$4,"C","D"))))</f>
        <v/>
      </c>
      <c r="O37" s="249" t="str">
        <f>IF(Leger1!R37="","",IF(Leger1!R37&gt;=(Leger1!$C$4+2/3*(100-Leger1!$C$4)),"A",IF(Leger1!R37&gt;=(Leger1!$C$4+1/3*(100-Leger1!$C$4)),"B",IF(Leger1!R37&gt;=Leger1!$C$4,"C","D"))))</f>
        <v/>
      </c>
      <c r="P37" s="252" t="str">
        <f>IF(Leger1!S37="","",IF(Leger1!S37&gt;=(Leger1!$C$4+2/3*(100-Leger1!$C$4)),"A",IF(Leger1!S37&gt;=(Leger1!$C$4+1/3*(100-Leger1!$C$4)),"B",IF(Leger1!S37&gt;=Leger1!$C$4,"C","D"))))</f>
        <v/>
      </c>
      <c r="Q37" s="249" t="str">
        <f>IF(Leger1!U37="","",IF(Leger1!U37&gt;=(Leger1!$C$4+2/3*(100-Leger1!$C$4)),"A",IF(Leger1!U37&gt;=(Leger1!$C$4+1/3*(100-Leger1!$C$4)),"B",IF(Leger1!U37&gt;=Leger1!$C$4,"C","D"))))</f>
        <v/>
      </c>
      <c r="R37" s="252" t="str">
        <f>IF(Leger1!V37="","",IF(Leger1!V37&gt;=(Leger1!$C$4+2/3*(100-Leger1!$C$4)),"A",IF(Leger1!V37&gt;=(Leger1!$C$4+1/3*(100-Leger1!$C$4)),"B",IF(Leger1!V37&gt;=Leger1!$C$4,"C","D"))))</f>
        <v/>
      </c>
      <c r="S37" s="249" t="str">
        <f>IF(Leger1!X37="","",IF(Leger1!X37&gt;=(Leger1!$C$4+2/3*(100-Leger1!$C$4)),"A",IF(Leger1!X37&gt;=(Leger1!$C$4+1/3*(100-Leger1!$C$4)),"B",IF(Leger1!X37&gt;=Leger1!$C$4,"C","D"))))</f>
        <v/>
      </c>
      <c r="T37" s="252" t="str">
        <f>IF(Leger1!Y37="","",IF(Leger1!Y37&gt;=(Leger1!$C$4+2/3*(100-Leger1!$C$4)),"A",IF(Leger1!Y37&gt;=(Leger1!$C$4+1/3*(100-Leger1!$C$4)),"B",IF(Leger1!Y37&gt;=Leger1!$C$4,"C","D"))))</f>
        <v/>
      </c>
      <c r="U37" s="249" t="str">
        <f>IF(Leger1!AA37="","",IF(Leger1!AA37&gt;=(Leger1!$C$4+2/3*(100-Leger1!$C$4)),"A",IF(Leger1!AA37&gt;=(Leger1!$C$4+1/3*(100-Leger1!$C$4)),"B",IF(Leger1!AA37&gt;=Leger1!$C$4,"C","D"))))</f>
        <v/>
      </c>
      <c r="V37" s="252" t="str">
        <f>IF(Leger1!AB37="","",IF(Leger1!AB37&gt;=(Leger1!$C$4+2/3*(100-Leger1!$C$4)),"A",IF(Leger1!AB37&gt;=(Leger1!$C$4+1/3*(100-Leger1!$C$4)),"B",IF(Leger1!AB37&gt;=Leger1!$C$4,"C","D"))))</f>
        <v/>
      </c>
      <c r="W37" s="249" t="str">
        <f>IF(Leger1!AD37="","",IF(Leger1!AD37&gt;=(Leger1!$C$4+2/3*(100-Leger1!$C$4)),"A",IF(Leger1!AD37&gt;=(Leger1!$C$4+1/3*(100-Leger1!$C$4)),"B",IF(Leger1!AD37&gt;=Leger1!$C$4,"C","D"))))</f>
        <v/>
      </c>
      <c r="X37" s="252" t="str">
        <f>IF(Leger1!AE37="","",IF(Leger1!AE37&gt;=(Leger1!$C$4+2/3*(100-Leger1!$C$4)),"A",IF(Leger1!AE37&gt;=(Leger1!$C$4+1/3*(100-Leger1!$C$4)),"B",IF(Leger1!AE37&gt;=Leger1!$C$4,"C","D"))))</f>
        <v/>
      </c>
      <c r="Y37" s="249" t="str">
        <f>IF(Leger1!AG37="","",IF(Leger1!AG37&gt;=(Leger1!$C$4+2/3*(100-Leger1!$C$4)),"A",IF(Leger1!AG37&gt;=(Leger1!$C$4+1/3*(100-Leger1!$C$4)),"B",IF(Leger1!AG37&gt;=Leger1!$C$4,"C","D"))))</f>
        <v/>
      </c>
      <c r="Z37" s="252" t="str">
        <f>IF(Leger1!AH37="","",IF(Leger1!AH37&gt;=(Leger1!$C$4+2/3*(100-Leger1!$C$4)),"A",IF(Leger1!AH37&gt;=(Leger1!$C$4+1/3*(100-Leger1!$C$4)),"B",IF(Leger1!AH37&gt;=Leger1!$C$4,"C","D"))))</f>
        <v/>
      </c>
      <c r="AA37" s="249" t="str">
        <f>IF(Leger1!AJ37="","",IF(Leger1!AJ37&gt;=(Leger1!$C$4+2/3*(100-Leger1!$C$4)),"A",IF(Leger1!AJ37&gt;=(Leger1!$C$4+1/3*(100-Leger1!$C$4)),"B",IF(Leger1!AJ37&gt;=Leger1!$C$4,"C","D"))))</f>
        <v/>
      </c>
      <c r="AB37" s="252" t="str">
        <f>IF(Leger1!AK37="","",IF(Leger1!AK37&gt;=(Leger1!$C$4+2/3*(100-Leger1!$C$4)),"A",IF(Leger1!AK37&gt;=(Leger1!$C$4+1/3*(100-Leger1!$C$4)),"B",IF(Leger1!AK37&gt;=Leger1!$C$4,"C","D"))))</f>
        <v/>
      </c>
      <c r="AC37" s="249" t="str">
        <f>IF(Leger1!AM37="","",IF(Leger1!AM37&gt;=(Leger1!$C$4+2/3*(100-Leger1!$C$4)),"A",IF(Leger1!AM37&gt;=(Leger1!$C$4+1/3*(100-Leger1!$C$4)),"B",IF(Leger1!AM37&gt;=Leger1!$C$4,"C","D"))))</f>
        <v/>
      </c>
      <c r="AD37" s="252" t="str">
        <f>IF(Leger1!AN37="","",IF(Leger1!AN37&gt;=(Leger1!$C$4+2/3*(100-Leger1!$C$4)),"A",IF(Leger1!AN37&gt;=(Leger1!$C$4+1/3*(100-Leger1!$C$4)),"B",IF(Leger1!AN37&gt;=Leger1!$C$4,"C","D"))))</f>
        <v/>
      </c>
      <c r="AE37" s="249" t="str">
        <f>IF(Leger1!AP37="","",IF(Leger1!AP37&gt;=(Leger1!$C$4+2/3*(100-Leger1!$C$4)),"A",IF(Leger1!AP37&gt;=(Leger1!$C$4+1/3*(100-Leger1!$C$4)),"B",IF(Leger1!AP37&gt;=Leger1!$C$4,"C","D"))))</f>
        <v/>
      </c>
      <c r="AF37" s="252" t="str">
        <f>IF(Leger1!AQ37="","",IF(Leger1!AQ37&gt;=(Leger1!$C$4+2/3*(100-Leger1!$C$4)),"A",IF(Leger1!AQ37&gt;=(Leger1!$C$4+1/3*(100-Leger1!$C$4)),"B",IF(Leger1!AQ37&gt;=Leger1!$C$4,"C","D"))))</f>
        <v/>
      </c>
      <c r="AG37" s="249" t="str">
        <f>IF(Leger1!AS37="","",IF(Leger1!AS37&gt;=(Leger1!$C$4+2/3*(100-Leger1!$C$4)),"A",IF(Leger1!AS37&gt;=(Leger1!$C$4+1/3*(100-Leger1!$C$4)),"B",IF(Leger1!AS37&gt;=Leger1!$C$4,"C","D"))))</f>
        <v/>
      </c>
      <c r="AH37" s="252" t="str">
        <f>IF(Leger1!AT37="","",IF(Leger1!AT37&gt;=(Leger1!$C$4+2/3*(100-Leger1!$C$4)),"A",IF(Leger1!AT37&gt;=(Leger1!$C$4+1/3*(100-Leger1!$C$4)),"B",IF(Leger1!AT37&gt;=Leger1!$C$4,"C","D"))))</f>
        <v/>
      </c>
      <c r="AI37" s="249" t="str">
        <f>IF(Leger1!AV37="","",IF(Leger1!AV37&gt;=(Leger1!$C$4+2/3*(100-Leger1!$C$4)),"A",IF(Leger1!AV37&gt;=(Leger1!$C$4+1/3*(100-Leger1!$C$4)),"B",IF(Leger1!AV37&gt;=Leger1!$C$4,"C","D"))))</f>
        <v/>
      </c>
      <c r="AJ37" s="252" t="str">
        <f>IF(Leger1!AW37="","",IF(Leger1!AW37&gt;=(Leger1!$C$4+2/3*(100-Leger1!$C$4)),"A",IF(Leger1!AW37&gt;=(Leger1!$C$4+1/3*(100-Leger1!$C$4)),"B",IF(Leger1!AW37&gt;=Leger1!$C$4,"C","D"))))</f>
        <v/>
      </c>
      <c r="AK37" s="249" t="str">
        <f>IF(Leger1!AY37="","",IF(Leger1!AY37&gt;=(Leger1!$C$4+2/3*(100-Leger1!$C$4)),"A",IF(Leger1!AY37&gt;=(Leger1!$C$4+1/3*(100-Leger1!$C$4)),"B",IF(Leger1!AY37&gt;=Leger1!$C$4,"C","D"))))</f>
        <v/>
      </c>
      <c r="AL37" s="252" t="str">
        <f>IF(Leger1!AZ37="","",IF(Leger1!AZ37&gt;=(Leger1!$C$4+2/3*(100-Leger1!$C$4)),"A",IF(Leger1!AZ37&gt;=(Leger1!$C$4+1/3*(100-Leger1!$C$4)),"B",IF(Leger1!AZ37&gt;=Leger1!$C$4,"C","D"))))</f>
        <v/>
      </c>
    </row>
    <row r="38" spans="5:38">
      <c r="E38" s="211" t="str">
        <f>Biodata!B37</f>
        <v/>
      </c>
      <c r="F38" s="212" t="str">
        <f>IF(Biodata!C37="","",VLOOKUP(E38,Biodata_Siswa,2,FALSE))</f>
        <v/>
      </c>
      <c r="G38" s="1015" t="str">
        <f>IF(Biodata!E37="","",PROPER(VLOOKUP(E38,Biodata_Siswa,4,FALSE)))</f>
        <v/>
      </c>
      <c r="H38" s="1016"/>
      <c r="I38" s="249" t="str">
        <f>IF(Leger1!I38="","",IF(Leger1!I38&gt;=(Leger1!$C$4+2/3*(100-Leger1!$C$4)),"A",IF(Leger1!I38&gt;=(Leger1!$C$4+1/3*(100-Leger1!$C$4)),"B",IF(Leger1!I38&gt;=Leger1!$C$4,"C","D"))))</f>
        <v/>
      </c>
      <c r="J38" s="252" t="str">
        <f>IF(Leger1!J38="","",IF(Leger1!J38&gt;=(Leger1!$C$4+2/3*(100-Leger1!$C$4)),"A",IF(Leger1!J38&gt;=(Leger1!$C$4+1/3*(100-Leger1!$C$4)),"B",IF(Leger1!J38&gt;=Leger1!$C$4,"C","D"))))</f>
        <v/>
      </c>
      <c r="K38" s="249" t="str">
        <f>IF(Leger1!L38="","",IF(Leger1!L38&gt;=(Leger1!$C$4+2/3*(100-Leger1!$C$4)),"A",IF(Leger1!L38&gt;=(Leger1!$C$4+1/3*(100-Leger1!$C$4)),"B",IF(Leger1!L38&gt;=Leger1!$C$4,"C","D"))))</f>
        <v/>
      </c>
      <c r="L38" s="252" t="str">
        <f>IF(Leger1!M38="","",IF(Leger1!M38&gt;=(Leger1!$C$4+2/3*(100-Leger1!$C$4)),"A",IF(Leger1!M38&gt;=(Leger1!$C$4+1/3*(100-Leger1!$C$4)),"B",IF(Leger1!M38&gt;=Leger1!$C$4,"C","D"))))</f>
        <v/>
      </c>
      <c r="M38" s="249" t="str">
        <f>IF(Leger1!O38="","",IF(Leger1!O38&gt;=(Leger1!$C$4+2/3*(100-Leger1!$C$4)),"A",IF(Leger1!O38&gt;=(Leger1!$C$4+1/3*(100-Leger1!$C$4)),"B",IF(Leger1!O38&gt;=Leger1!$C$4,"C","D"))))</f>
        <v/>
      </c>
      <c r="N38" s="252" t="str">
        <f>IF(Leger1!P38="","",IF(Leger1!P38&gt;=(Leger1!$C$4+2/3*(100-Leger1!$C$4)),"A",IF(Leger1!P38&gt;=(Leger1!$C$4+1/3*(100-Leger1!$C$4)),"B",IF(Leger1!P38&gt;=Leger1!$C$4,"C","D"))))</f>
        <v/>
      </c>
      <c r="O38" s="249" t="str">
        <f>IF(Leger1!R38="","",IF(Leger1!R38&gt;=(Leger1!$C$4+2/3*(100-Leger1!$C$4)),"A",IF(Leger1!R38&gt;=(Leger1!$C$4+1/3*(100-Leger1!$C$4)),"B",IF(Leger1!R38&gt;=Leger1!$C$4,"C","D"))))</f>
        <v/>
      </c>
      <c r="P38" s="252" t="str">
        <f>IF(Leger1!S38="","",IF(Leger1!S38&gt;=(Leger1!$C$4+2/3*(100-Leger1!$C$4)),"A",IF(Leger1!S38&gt;=(Leger1!$C$4+1/3*(100-Leger1!$C$4)),"B",IF(Leger1!S38&gt;=Leger1!$C$4,"C","D"))))</f>
        <v/>
      </c>
      <c r="Q38" s="249" t="str">
        <f>IF(Leger1!U38="","",IF(Leger1!U38&gt;=(Leger1!$C$4+2/3*(100-Leger1!$C$4)),"A",IF(Leger1!U38&gt;=(Leger1!$C$4+1/3*(100-Leger1!$C$4)),"B",IF(Leger1!U38&gt;=Leger1!$C$4,"C","D"))))</f>
        <v/>
      </c>
      <c r="R38" s="252" t="str">
        <f>IF(Leger1!V38="","",IF(Leger1!V38&gt;=(Leger1!$C$4+2/3*(100-Leger1!$C$4)),"A",IF(Leger1!V38&gt;=(Leger1!$C$4+1/3*(100-Leger1!$C$4)),"B",IF(Leger1!V38&gt;=Leger1!$C$4,"C","D"))))</f>
        <v/>
      </c>
      <c r="S38" s="249" t="str">
        <f>IF(Leger1!X38="","",IF(Leger1!X38&gt;=(Leger1!$C$4+2/3*(100-Leger1!$C$4)),"A",IF(Leger1!X38&gt;=(Leger1!$C$4+1/3*(100-Leger1!$C$4)),"B",IF(Leger1!X38&gt;=Leger1!$C$4,"C","D"))))</f>
        <v/>
      </c>
      <c r="T38" s="252" t="str">
        <f>IF(Leger1!Y38="","",IF(Leger1!Y38&gt;=(Leger1!$C$4+2/3*(100-Leger1!$C$4)),"A",IF(Leger1!Y38&gt;=(Leger1!$C$4+1/3*(100-Leger1!$C$4)),"B",IF(Leger1!Y38&gt;=Leger1!$C$4,"C","D"))))</f>
        <v/>
      </c>
      <c r="U38" s="249" t="str">
        <f>IF(Leger1!AA38="","",IF(Leger1!AA38&gt;=(Leger1!$C$4+2/3*(100-Leger1!$C$4)),"A",IF(Leger1!AA38&gt;=(Leger1!$C$4+1/3*(100-Leger1!$C$4)),"B",IF(Leger1!AA38&gt;=Leger1!$C$4,"C","D"))))</f>
        <v/>
      </c>
      <c r="V38" s="252" t="str">
        <f>IF(Leger1!AB38="","",IF(Leger1!AB38&gt;=(Leger1!$C$4+2/3*(100-Leger1!$C$4)),"A",IF(Leger1!AB38&gt;=(Leger1!$C$4+1/3*(100-Leger1!$C$4)),"B",IF(Leger1!AB38&gt;=Leger1!$C$4,"C","D"))))</f>
        <v/>
      </c>
      <c r="W38" s="249" t="str">
        <f>IF(Leger1!AD38="","",IF(Leger1!AD38&gt;=(Leger1!$C$4+2/3*(100-Leger1!$C$4)),"A",IF(Leger1!AD38&gt;=(Leger1!$C$4+1/3*(100-Leger1!$C$4)),"B",IF(Leger1!AD38&gt;=Leger1!$C$4,"C","D"))))</f>
        <v/>
      </c>
      <c r="X38" s="252" t="str">
        <f>IF(Leger1!AE38="","",IF(Leger1!AE38&gt;=(Leger1!$C$4+2/3*(100-Leger1!$C$4)),"A",IF(Leger1!AE38&gt;=(Leger1!$C$4+1/3*(100-Leger1!$C$4)),"B",IF(Leger1!AE38&gt;=Leger1!$C$4,"C","D"))))</f>
        <v/>
      </c>
      <c r="Y38" s="249" t="str">
        <f>IF(Leger1!AG38="","",IF(Leger1!AG38&gt;=(Leger1!$C$4+2/3*(100-Leger1!$C$4)),"A",IF(Leger1!AG38&gt;=(Leger1!$C$4+1/3*(100-Leger1!$C$4)),"B",IF(Leger1!AG38&gt;=Leger1!$C$4,"C","D"))))</f>
        <v/>
      </c>
      <c r="Z38" s="252" t="str">
        <f>IF(Leger1!AH38="","",IF(Leger1!AH38&gt;=(Leger1!$C$4+2/3*(100-Leger1!$C$4)),"A",IF(Leger1!AH38&gt;=(Leger1!$C$4+1/3*(100-Leger1!$C$4)),"B",IF(Leger1!AH38&gt;=Leger1!$C$4,"C","D"))))</f>
        <v/>
      </c>
      <c r="AA38" s="249" t="str">
        <f>IF(Leger1!AJ38="","",IF(Leger1!AJ38&gt;=(Leger1!$C$4+2/3*(100-Leger1!$C$4)),"A",IF(Leger1!AJ38&gt;=(Leger1!$C$4+1/3*(100-Leger1!$C$4)),"B",IF(Leger1!AJ38&gt;=Leger1!$C$4,"C","D"))))</f>
        <v/>
      </c>
      <c r="AB38" s="252" t="str">
        <f>IF(Leger1!AK38="","",IF(Leger1!AK38&gt;=(Leger1!$C$4+2/3*(100-Leger1!$C$4)),"A",IF(Leger1!AK38&gt;=(Leger1!$C$4+1/3*(100-Leger1!$C$4)),"B",IF(Leger1!AK38&gt;=Leger1!$C$4,"C","D"))))</f>
        <v/>
      </c>
      <c r="AC38" s="249" t="str">
        <f>IF(Leger1!AM38="","",IF(Leger1!AM38&gt;=(Leger1!$C$4+2/3*(100-Leger1!$C$4)),"A",IF(Leger1!AM38&gt;=(Leger1!$C$4+1/3*(100-Leger1!$C$4)),"B",IF(Leger1!AM38&gt;=Leger1!$C$4,"C","D"))))</f>
        <v/>
      </c>
      <c r="AD38" s="252" t="str">
        <f>IF(Leger1!AN38="","",IF(Leger1!AN38&gt;=(Leger1!$C$4+2/3*(100-Leger1!$C$4)),"A",IF(Leger1!AN38&gt;=(Leger1!$C$4+1/3*(100-Leger1!$C$4)),"B",IF(Leger1!AN38&gt;=Leger1!$C$4,"C","D"))))</f>
        <v/>
      </c>
      <c r="AE38" s="249" t="str">
        <f>IF(Leger1!AP38="","",IF(Leger1!AP38&gt;=(Leger1!$C$4+2/3*(100-Leger1!$C$4)),"A",IF(Leger1!AP38&gt;=(Leger1!$C$4+1/3*(100-Leger1!$C$4)),"B",IF(Leger1!AP38&gt;=Leger1!$C$4,"C","D"))))</f>
        <v/>
      </c>
      <c r="AF38" s="252" t="str">
        <f>IF(Leger1!AQ38="","",IF(Leger1!AQ38&gt;=(Leger1!$C$4+2/3*(100-Leger1!$C$4)),"A",IF(Leger1!AQ38&gt;=(Leger1!$C$4+1/3*(100-Leger1!$C$4)),"B",IF(Leger1!AQ38&gt;=Leger1!$C$4,"C","D"))))</f>
        <v/>
      </c>
      <c r="AG38" s="249" t="str">
        <f>IF(Leger1!AS38="","",IF(Leger1!AS38&gt;=(Leger1!$C$4+2/3*(100-Leger1!$C$4)),"A",IF(Leger1!AS38&gt;=(Leger1!$C$4+1/3*(100-Leger1!$C$4)),"B",IF(Leger1!AS38&gt;=Leger1!$C$4,"C","D"))))</f>
        <v/>
      </c>
      <c r="AH38" s="252" t="str">
        <f>IF(Leger1!AT38="","",IF(Leger1!AT38&gt;=(Leger1!$C$4+2/3*(100-Leger1!$C$4)),"A",IF(Leger1!AT38&gt;=(Leger1!$C$4+1/3*(100-Leger1!$C$4)),"B",IF(Leger1!AT38&gt;=Leger1!$C$4,"C","D"))))</f>
        <v/>
      </c>
      <c r="AI38" s="249" t="str">
        <f>IF(Leger1!AV38="","",IF(Leger1!AV38&gt;=(Leger1!$C$4+2/3*(100-Leger1!$C$4)),"A",IF(Leger1!AV38&gt;=(Leger1!$C$4+1/3*(100-Leger1!$C$4)),"B",IF(Leger1!AV38&gt;=Leger1!$C$4,"C","D"))))</f>
        <v/>
      </c>
      <c r="AJ38" s="252" t="str">
        <f>IF(Leger1!AW38="","",IF(Leger1!AW38&gt;=(Leger1!$C$4+2/3*(100-Leger1!$C$4)),"A",IF(Leger1!AW38&gt;=(Leger1!$C$4+1/3*(100-Leger1!$C$4)),"B",IF(Leger1!AW38&gt;=Leger1!$C$4,"C","D"))))</f>
        <v/>
      </c>
      <c r="AK38" s="249" t="str">
        <f>IF(Leger1!AY38="","",IF(Leger1!AY38&gt;=(Leger1!$C$4+2/3*(100-Leger1!$C$4)),"A",IF(Leger1!AY38&gt;=(Leger1!$C$4+1/3*(100-Leger1!$C$4)),"B",IF(Leger1!AY38&gt;=Leger1!$C$4,"C","D"))))</f>
        <v/>
      </c>
      <c r="AL38" s="252" t="str">
        <f>IF(Leger1!AZ38="","",IF(Leger1!AZ38&gt;=(Leger1!$C$4+2/3*(100-Leger1!$C$4)),"A",IF(Leger1!AZ38&gt;=(Leger1!$C$4+1/3*(100-Leger1!$C$4)),"B",IF(Leger1!AZ38&gt;=Leger1!$C$4,"C","D"))))</f>
        <v/>
      </c>
    </row>
    <row r="39" spans="5:38">
      <c r="E39" s="211" t="str">
        <f>Biodata!B38</f>
        <v/>
      </c>
      <c r="F39" s="212" t="str">
        <f>IF(Biodata!C38="","",VLOOKUP(E39,Biodata_Siswa,2,FALSE))</f>
        <v/>
      </c>
      <c r="G39" s="1015" t="str">
        <f>IF(Biodata!E38="","",PROPER(VLOOKUP(E39,Biodata_Siswa,4,FALSE)))</f>
        <v/>
      </c>
      <c r="H39" s="1016"/>
      <c r="I39" s="249" t="str">
        <f>IF(Leger1!I39="","",IF(Leger1!I39&gt;=(Leger1!$C$4+2/3*(100-Leger1!$C$4)),"A",IF(Leger1!I39&gt;=(Leger1!$C$4+1/3*(100-Leger1!$C$4)),"B",IF(Leger1!I39&gt;=Leger1!$C$4,"C","D"))))</f>
        <v/>
      </c>
      <c r="J39" s="252" t="str">
        <f>IF(Leger1!J39="","",IF(Leger1!J39&gt;=(Leger1!$C$4+2/3*(100-Leger1!$C$4)),"A",IF(Leger1!J39&gt;=(Leger1!$C$4+1/3*(100-Leger1!$C$4)),"B",IF(Leger1!J39&gt;=Leger1!$C$4,"C","D"))))</f>
        <v/>
      </c>
      <c r="K39" s="249" t="str">
        <f>IF(Leger1!L39="","",IF(Leger1!L39&gt;=(Leger1!$C$4+2/3*(100-Leger1!$C$4)),"A",IF(Leger1!L39&gt;=(Leger1!$C$4+1/3*(100-Leger1!$C$4)),"B",IF(Leger1!L39&gt;=Leger1!$C$4,"C","D"))))</f>
        <v/>
      </c>
      <c r="L39" s="252" t="str">
        <f>IF(Leger1!M39="","",IF(Leger1!M39&gt;=(Leger1!$C$4+2/3*(100-Leger1!$C$4)),"A",IF(Leger1!M39&gt;=(Leger1!$C$4+1/3*(100-Leger1!$C$4)),"B",IF(Leger1!M39&gt;=Leger1!$C$4,"C","D"))))</f>
        <v/>
      </c>
      <c r="M39" s="249" t="str">
        <f>IF(Leger1!O39="","",IF(Leger1!O39&gt;=(Leger1!$C$4+2/3*(100-Leger1!$C$4)),"A",IF(Leger1!O39&gt;=(Leger1!$C$4+1/3*(100-Leger1!$C$4)),"B",IF(Leger1!O39&gt;=Leger1!$C$4,"C","D"))))</f>
        <v/>
      </c>
      <c r="N39" s="252" t="str">
        <f>IF(Leger1!P39="","",IF(Leger1!P39&gt;=(Leger1!$C$4+2/3*(100-Leger1!$C$4)),"A",IF(Leger1!P39&gt;=(Leger1!$C$4+1/3*(100-Leger1!$C$4)),"B",IF(Leger1!P39&gt;=Leger1!$C$4,"C","D"))))</f>
        <v/>
      </c>
      <c r="O39" s="249" t="str">
        <f>IF(Leger1!R39="","",IF(Leger1!R39&gt;=(Leger1!$C$4+2/3*(100-Leger1!$C$4)),"A",IF(Leger1!R39&gt;=(Leger1!$C$4+1/3*(100-Leger1!$C$4)),"B",IF(Leger1!R39&gt;=Leger1!$C$4,"C","D"))))</f>
        <v/>
      </c>
      <c r="P39" s="252" t="str">
        <f>IF(Leger1!S39="","",IF(Leger1!S39&gt;=(Leger1!$C$4+2/3*(100-Leger1!$C$4)),"A",IF(Leger1!S39&gt;=(Leger1!$C$4+1/3*(100-Leger1!$C$4)),"B",IF(Leger1!S39&gt;=Leger1!$C$4,"C","D"))))</f>
        <v/>
      </c>
      <c r="Q39" s="249" t="str">
        <f>IF(Leger1!U39="","",IF(Leger1!U39&gt;=(Leger1!$C$4+2/3*(100-Leger1!$C$4)),"A",IF(Leger1!U39&gt;=(Leger1!$C$4+1/3*(100-Leger1!$C$4)),"B",IF(Leger1!U39&gt;=Leger1!$C$4,"C","D"))))</f>
        <v/>
      </c>
      <c r="R39" s="252" t="str">
        <f>IF(Leger1!V39="","",IF(Leger1!V39&gt;=(Leger1!$C$4+2/3*(100-Leger1!$C$4)),"A",IF(Leger1!V39&gt;=(Leger1!$C$4+1/3*(100-Leger1!$C$4)),"B",IF(Leger1!V39&gt;=Leger1!$C$4,"C","D"))))</f>
        <v/>
      </c>
      <c r="S39" s="249" t="str">
        <f>IF(Leger1!X39="","",IF(Leger1!X39&gt;=(Leger1!$C$4+2/3*(100-Leger1!$C$4)),"A",IF(Leger1!X39&gt;=(Leger1!$C$4+1/3*(100-Leger1!$C$4)),"B",IF(Leger1!X39&gt;=Leger1!$C$4,"C","D"))))</f>
        <v/>
      </c>
      <c r="T39" s="252" t="str">
        <f>IF(Leger1!Y39="","",IF(Leger1!Y39&gt;=(Leger1!$C$4+2/3*(100-Leger1!$C$4)),"A",IF(Leger1!Y39&gt;=(Leger1!$C$4+1/3*(100-Leger1!$C$4)),"B",IF(Leger1!Y39&gt;=Leger1!$C$4,"C","D"))))</f>
        <v/>
      </c>
      <c r="U39" s="249" t="str">
        <f>IF(Leger1!AA39="","",IF(Leger1!AA39&gt;=(Leger1!$C$4+2/3*(100-Leger1!$C$4)),"A",IF(Leger1!AA39&gt;=(Leger1!$C$4+1/3*(100-Leger1!$C$4)),"B",IF(Leger1!AA39&gt;=Leger1!$C$4,"C","D"))))</f>
        <v/>
      </c>
      <c r="V39" s="252" t="str">
        <f>IF(Leger1!AB39="","",IF(Leger1!AB39&gt;=(Leger1!$C$4+2/3*(100-Leger1!$C$4)),"A",IF(Leger1!AB39&gt;=(Leger1!$C$4+1/3*(100-Leger1!$C$4)),"B",IF(Leger1!AB39&gt;=Leger1!$C$4,"C","D"))))</f>
        <v/>
      </c>
      <c r="W39" s="249" t="str">
        <f>IF(Leger1!AD39="","",IF(Leger1!AD39&gt;=(Leger1!$C$4+2/3*(100-Leger1!$C$4)),"A",IF(Leger1!AD39&gt;=(Leger1!$C$4+1/3*(100-Leger1!$C$4)),"B",IF(Leger1!AD39&gt;=Leger1!$C$4,"C","D"))))</f>
        <v/>
      </c>
      <c r="X39" s="252" t="str">
        <f>IF(Leger1!AE39="","",IF(Leger1!AE39&gt;=(Leger1!$C$4+2/3*(100-Leger1!$C$4)),"A",IF(Leger1!AE39&gt;=(Leger1!$C$4+1/3*(100-Leger1!$C$4)),"B",IF(Leger1!AE39&gt;=Leger1!$C$4,"C","D"))))</f>
        <v/>
      </c>
      <c r="Y39" s="249" t="str">
        <f>IF(Leger1!AG39="","",IF(Leger1!AG39&gt;=(Leger1!$C$4+2/3*(100-Leger1!$C$4)),"A",IF(Leger1!AG39&gt;=(Leger1!$C$4+1/3*(100-Leger1!$C$4)),"B",IF(Leger1!AG39&gt;=Leger1!$C$4,"C","D"))))</f>
        <v/>
      </c>
      <c r="Z39" s="252" t="str">
        <f>IF(Leger1!AH39="","",IF(Leger1!AH39&gt;=(Leger1!$C$4+2/3*(100-Leger1!$C$4)),"A",IF(Leger1!AH39&gt;=(Leger1!$C$4+1/3*(100-Leger1!$C$4)),"B",IF(Leger1!AH39&gt;=Leger1!$C$4,"C","D"))))</f>
        <v/>
      </c>
      <c r="AA39" s="249" t="str">
        <f>IF(Leger1!AJ39="","",IF(Leger1!AJ39&gt;=(Leger1!$C$4+2/3*(100-Leger1!$C$4)),"A",IF(Leger1!AJ39&gt;=(Leger1!$C$4+1/3*(100-Leger1!$C$4)),"B",IF(Leger1!AJ39&gt;=Leger1!$C$4,"C","D"))))</f>
        <v/>
      </c>
      <c r="AB39" s="252" t="str">
        <f>IF(Leger1!AK39="","",IF(Leger1!AK39&gt;=(Leger1!$C$4+2/3*(100-Leger1!$C$4)),"A",IF(Leger1!AK39&gt;=(Leger1!$C$4+1/3*(100-Leger1!$C$4)),"B",IF(Leger1!AK39&gt;=Leger1!$C$4,"C","D"))))</f>
        <v/>
      </c>
      <c r="AC39" s="249" t="str">
        <f>IF(Leger1!AM39="","",IF(Leger1!AM39&gt;=(Leger1!$C$4+2/3*(100-Leger1!$C$4)),"A",IF(Leger1!AM39&gt;=(Leger1!$C$4+1/3*(100-Leger1!$C$4)),"B",IF(Leger1!AM39&gt;=Leger1!$C$4,"C","D"))))</f>
        <v/>
      </c>
      <c r="AD39" s="252" t="str">
        <f>IF(Leger1!AN39="","",IF(Leger1!AN39&gt;=(Leger1!$C$4+2/3*(100-Leger1!$C$4)),"A",IF(Leger1!AN39&gt;=(Leger1!$C$4+1/3*(100-Leger1!$C$4)),"B",IF(Leger1!AN39&gt;=Leger1!$C$4,"C","D"))))</f>
        <v/>
      </c>
      <c r="AE39" s="249" t="str">
        <f>IF(Leger1!AP39="","",IF(Leger1!AP39&gt;=(Leger1!$C$4+2/3*(100-Leger1!$C$4)),"A",IF(Leger1!AP39&gt;=(Leger1!$C$4+1/3*(100-Leger1!$C$4)),"B",IF(Leger1!AP39&gt;=Leger1!$C$4,"C","D"))))</f>
        <v/>
      </c>
      <c r="AF39" s="252" t="str">
        <f>IF(Leger1!AQ39="","",IF(Leger1!AQ39&gt;=(Leger1!$C$4+2/3*(100-Leger1!$C$4)),"A",IF(Leger1!AQ39&gt;=(Leger1!$C$4+1/3*(100-Leger1!$C$4)),"B",IF(Leger1!AQ39&gt;=Leger1!$C$4,"C","D"))))</f>
        <v/>
      </c>
      <c r="AG39" s="249" t="str">
        <f>IF(Leger1!AS39="","",IF(Leger1!AS39&gt;=(Leger1!$C$4+2/3*(100-Leger1!$C$4)),"A",IF(Leger1!AS39&gt;=(Leger1!$C$4+1/3*(100-Leger1!$C$4)),"B",IF(Leger1!AS39&gt;=Leger1!$C$4,"C","D"))))</f>
        <v/>
      </c>
      <c r="AH39" s="252" t="str">
        <f>IF(Leger1!AT39="","",IF(Leger1!AT39&gt;=(Leger1!$C$4+2/3*(100-Leger1!$C$4)),"A",IF(Leger1!AT39&gt;=(Leger1!$C$4+1/3*(100-Leger1!$C$4)),"B",IF(Leger1!AT39&gt;=Leger1!$C$4,"C","D"))))</f>
        <v/>
      </c>
      <c r="AI39" s="249" t="str">
        <f>IF(Leger1!AV39="","",IF(Leger1!AV39&gt;=(Leger1!$C$4+2/3*(100-Leger1!$C$4)),"A",IF(Leger1!AV39&gt;=(Leger1!$C$4+1/3*(100-Leger1!$C$4)),"B",IF(Leger1!AV39&gt;=Leger1!$C$4,"C","D"))))</f>
        <v/>
      </c>
      <c r="AJ39" s="252" t="str">
        <f>IF(Leger1!AW39="","",IF(Leger1!AW39&gt;=(Leger1!$C$4+2/3*(100-Leger1!$C$4)),"A",IF(Leger1!AW39&gt;=(Leger1!$C$4+1/3*(100-Leger1!$C$4)),"B",IF(Leger1!AW39&gt;=Leger1!$C$4,"C","D"))))</f>
        <v/>
      </c>
      <c r="AK39" s="249" t="str">
        <f>IF(Leger1!AY39="","",IF(Leger1!AY39&gt;=(Leger1!$C$4+2/3*(100-Leger1!$C$4)),"A",IF(Leger1!AY39&gt;=(Leger1!$C$4+1/3*(100-Leger1!$C$4)),"B",IF(Leger1!AY39&gt;=Leger1!$C$4,"C","D"))))</f>
        <v/>
      </c>
      <c r="AL39" s="252" t="str">
        <f>IF(Leger1!AZ39="","",IF(Leger1!AZ39&gt;=(Leger1!$C$4+2/3*(100-Leger1!$C$4)),"A",IF(Leger1!AZ39&gt;=(Leger1!$C$4+1/3*(100-Leger1!$C$4)),"B",IF(Leger1!AZ39&gt;=Leger1!$C$4,"C","D"))))</f>
        <v/>
      </c>
    </row>
    <row r="40" spans="5:38">
      <c r="E40" s="211" t="str">
        <f>Biodata!B39</f>
        <v/>
      </c>
      <c r="F40" s="212" t="str">
        <f>IF(Biodata!C39="","",VLOOKUP(E40,Biodata_Siswa,2,FALSE))</f>
        <v/>
      </c>
      <c r="G40" s="1015" t="str">
        <f>IF(Biodata!E39="","",PROPER(VLOOKUP(E40,Biodata_Siswa,4,FALSE)))</f>
        <v/>
      </c>
      <c r="H40" s="1016"/>
      <c r="I40" s="249" t="str">
        <f>IF(Leger1!I40="","",IF(Leger1!I40&gt;=(Leger1!$C$4+2/3*(100-Leger1!$C$4)),"A",IF(Leger1!I40&gt;=(Leger1!$C$4+1/3*(100-Leger1!$C$4)),"B",IF(Leger1!I40&gt;=Leger1!$C$4,"C","D"))))</f>
        <v/>
      </c>
      <c r="J40" s="252" t="str">
        <f>IF(Leger1!J40="","",IF(Leger1!J40&gt;=(Leger1!$C$4+2/3*(100-Leger1!$C$4)),"A",IF(Leger1!J40&gt;=(Leger1!$C$4+1/3*(100-Leger1!$C$4)),"B",IF(Leger1!J40&gt;=Leger1!$C$4,"C","D"))))</f>
        <v/>
      </c>
      <c r="K40" s="249" t="str">
        <f>IF(Leger1!L40="","",IF(Leger1!L40&gt;=(Leger1!$C$4+2/3*(100-Leger1!$C$4)),"A",IF(Leger1!L40&gt;=(Leger1!$C$4+1/3*(100-Leger1!$C$4)),"B",IF(Leger1!L40&gt;=Leger1!$C$4,"C","D"))))</f>
        <v/>
      </c>
      <c r="L40" s="252" t="str">
        <f>IF(Leger1!M40="","",IF(Leger1!M40&gt;=(Leger1!$C$4+2/3*(100-Leger1!$C$4)),"A",IF(Leger1!M40&gt;=(Leger1!$C$4+1/3*(100-Leger1!$C$4)),"B",IF(Leger1!M40&gt;=Leger1!$C$4,"C","D"))))</f>
        <v/>
      </c>
      <c r="M40" s="249" t="str">
        <f>IF(Leger1!O40="","",IF(Leger1!O40&gt;=(Leger1!$C$4+2/3*(100-Leger1!$C$4)),"A",IF(Leger1!O40&gt;=(Leger1!$C$4+1/3*(100-Leger1!$C$4)),"B",IF(Leger1!O40&gt;=Leger1!$C$4,"C","D"))))</f>
        <v/>
      </c>
      <c r="N40" s="252" t="str">
        <f>IF(Leger1!P40="","",IF(Leger1!P40&gt;=(Leger1!$C$4+2/3*(100-Leger1!$C$4)),"A",IF(Leger1!P40&gt;=(Leger1!$C$4+1/3*(100-Leger1!$C$4)),"B",IF(Leger1!P40&gt;=Leger1!$C$4,"C","D"))))</f>
        <v/>
      </c>
      <c r="O40" s="249" t="str">
        <f>IF(Leger1!R40="","",IF(Leger1!R40&gt;=(Leger1!$C$4+2/3*(100-Leger1!$C$4)),"A",IF(Leger1!R40&gt;=(Leger1!$C$4+1/3*(100-Leger1!$C$4)),"B",IF(Leger1!R40&gt;=Leger1!$C$4,"C","D"))))</f>
        <v/>
      </c>
      <c r="P40" s="252" t="str">
        <f>IF(Leger1!S40="","",IF(Leger1!S40&gt;=(Leger1!$C$4+2/3*(100-Leger1!$C$4)),"A",IF(Leger1!S40&gt;=(Leger1!$C$4+1/3*(100-Leger1!$C$4)),"B",IF(Leger1!S40&gt;=Leger1!$C$4,"C","D"))))</f>
        <v/>
      </c>
      <c r="Q40" s="249" t="str">
        <f>IF(Leger1!U40="","",IF(Leger1!U40&gt;=(Leger1!$C$4+2/3*(100-Leger1!$C$4)),"A",IF(Leger1!U40&gt;=(Leger1!$C$4+1/3*(100-Leger1!$C$4)),"B",IF(Leger1!U40&gt;=Leger1!$C$4,"C","D"))))</f>
        <v/>
      </c>
      <c r="R40" s="252" t="str">
        <f>IF(Leger1!V40="","",IF(Leger1!V40&gt;=(Leger1!$C$4+2/3*(100-Leger1!$C$4)),"A",IF(Leger1!V40&gt;=(Leger1!$C$4+1/3*(100-Leger1!$C$4)),"B",IF(Leger1!V40&gt;=Leger1!$C$4,"C","D"))))</f>
        <v/>
      </c>
      <c r="S40" s="249" t="str">
        <f>IF(Leger1!X40="","",IF(Leger1!X40&gt;=(Leger1!$C$4+2/3*(100-Leger1!$C$4)),"A",IF(Leger1!X40&gt;=(Leger1!$C$4+1/3*(100-Leger1!$C$4)),"B",IF(Leger1!X40&gt;=Leger1!$C$4,"C","D"))))</f>
        <v/>
      </c>
      <c r="T40" s="252" t="str">
        <f>IF(Leger1!Y40="","",IF(Leger1!Y40&gt;=(Leger1!$C$4+2/3*(100-Leger1!$C$4)),"A",IF(Leger1!Y40&gt;=(Leger1!$C$4+1/3*(100-Leger1!$C$4)),"B",IF(Leger1!Y40&gt;=Leger1!$C$4,"C","D"))))</f>
        <v/>
      </c>
      <c r="U40" s="249" t="str">
        <f>IF(Leger1!AA40="","",IF(Leger1!AA40&gt;=(Leger1!$C$4+2/3*(100-Leger1!$C$4)),"A",IF(Leger1!AA40&gt;=(Leger1!$C$4+1/3*(100-Leger1!$C$4)),"B",IF(Leger1!AA40&gt;=Leger1!$C$4,"C","D"))))</f>
        <v/>
      </c>
      <c r="V40" s="252" t="str">
        <f>IF(Leger1!AB40="","",IF(Leger1!AB40&gt;=(Leger1!$C$4+2/3*(100-Leger1!$C$4)),"A",IF(Leger1!AB40&gt;=(Leger1!$C$4+1/3*(100-Leger1!$C$4)),"B",IF(Leger1!AB40&gt;=Leger1!$C$4,"C","D"))))</f>
        <v/>
      </c>
      <c r="W40" s="249" t="str">
        <f>IF(Leger1!AD40="","",IF(Leger1!AD40&gt;=(Leger1!$C$4+2/3*(100-Leger1!$C$4)),"A",IF(Leger1!AD40&gt;=(Leger1!$C$4+1/3*(100-Leger1!$C$4)),"B",IF(Leger1!AD40&gt;=Leger1!$C$4,"C","D"))))</f>
        <v/>
      </c>
      <c r="X40" s="252" t="str">
        <f>IF(Leger1!AE40="","",IF(Leger1!AE40&gt;=(Leger1!$C$4+2/3*(100-Leger1!$C$4)),"A",IF(Leger1!AE40&gt;=(Leger1!$C$4+1/3*(100-Leger1!$C$4)),"B",IF(Leger1!AE40&gt;=Leger1!$C$4,"C","D"))))</f>
        <v/>
      </c>
      <c r="Y40" s="249" t="str">
        <f>IF(Leger1!AG40="","",IF(Leger1!AG40&gt;=(Leger1!$C$4+2/3*(100-Leger1!$C$4)),"A",IF(Leger1!AG40&gt;=(Leger1!$C$4+1/3*(100-Leger1!$C$4)),"B",IF(Leger1!AG40&gt;=Leger1!$C$4,"C","D"))))</f>
        <v/>
      </c>
      <c r="Z40" s="252" t="str">
        <f>IF(Leger1!AH40="","",IF(Leger1!AH40&gt;=(Leger1!$C$4+2/3*(100-Leger1!$C$4)),"A",IF(Leger1!AH40&gt;=(Leger1!$C$4+1/3*(100-Leger1!$C$4)),"B",IF(Leger1!AH40&gt;=Leger1!$C$4,"C","D"))))</f>
        <v/>
      </c>
      <c r="AA40" s="249" t="str">
        <f>IF(Leger1!AJ40="","",IF(Leger1!AJ40&gt;=(Leger1!$C$4+2/3*(100-Leger1!$C$4)),"A",IF(Leger1!AJ40&gt;=(Leger1!$C$4+1/3*(100-Leger1!$C$4)),"B",IF(Leger1!AJ40&gt;=Leger1!$C$4,"C","D"))))</f>
        <v/>
      </c>
      <c r="AB40" s="252" t="str">
        <f>IF(Leger1!AK40="","",IF(Leger1!AK40&gt;=(Leger1!$C$4+2/3*(100-Leger1!$C$4)),"A",IF(Leger1!AK40&gt;=(Leger1!$C$4+1/3*(100-Leger1!$C$4)),"B",IF(Leger1!AK40&gt;=Leger1!$C$4,"C","D"))))</f>
        <v/>
      </c>
      <c r="AC40" s="249" t="str">
        <f>IF(Leger1!AM40="","",IF(Leger1!AM40&gt;=(Leger1!$C$4+2/3*(100-Leger1!$C$4)),"A",IF(Leger1!AM40&gt;=(Leger1!$C$4+1/3*(100-Leger1!$C$4)),"B",IF(Leger1!AM40&gt;=Leger1!$C$4,"C","D"))))</f>
        <v/>
      </c>
      <c r="AD40" s="252" t="str">
        <f>IF(Leger1!AN40="","",IF(Leger1!AN40&gt;=(Leger1!$C$4+2/3*(100-Leger1!$C$4)),"A",IF(Leger1!AN40&gt;=(Leger1!$C$4+1/3*(100-Leger1!$C$4)),"B",IF(Leger1!AN40&gt;=Leger1!$C$4,"C","D"))))</f>
        <v/>
      </c>
      <c r="AE40" s="249" t="str">
        <f>IF(Leger1!AP40="","",IF(Leger1!AP40&gt;=(Leger1!$C$4+2/3*(100-Leger1!$C$4)),"A",IF(Leger1!AP40&gt;=(Leger1!$C$4+1/3*(100-Leger1!$C$4)),"B",IF(Leger1!AP40&gt;=Leger1!$C$4,"C","D"))))</f>
        <v/>
      </c>
      <c r="AF40" s="252" t="str">
        <f>IF(Leger1!AQ40="","",IF(Leger1!AQ40&gt;=(Leger1!$C$4+2/3*(100-Leger1!$C$4)),"A",IF(Leger1!AQ40&gt;=(Leger1!$C$4+1/3*(100-Leger1!$C$4)),"B",IF(Leger1!AQ40&gt;=Leger1!$C$4,"C","D"))))</f>
        <v/>
      </c>
      <c r="AG40" s="249" t="str">
        <f>IF(Leger1!AS40="","",IF(Leger1!AS40&gt;=(Leger1!$C$4+2/3*(100-Leger1!$C$4)),"A",IF(Leger1!AS40&gt;=(Leger1!$C$4+1/3*(100-Leger1!$C$4)),"B",IF(Leger1!AS40&gt;=Leger1!$C$4,"C","D"))))</f>
        <v/>
      </c>
      <c r="AH40" s="252" t="str">
        <f>IF(Leger1!AT40="","",IF(Leger1!AT40&gt;=(Leger1!$C$4+2/3*(100-Leger1!$C$4)),"A",IF(Leger1!AT40&gt;=(Leger1!$C$4+1/3*(100-Leger1!$C$4)),"B",IF(Leger1!AT40&gt;=Leger1!$C$4,"C","D"))))</f>
        <v/>
      </c>
      <c r="AI40" s="249" t="str">
        <f>IF(Leger1!AV40="","",IF(Leger1!AV40&gt;=(Leger1!$C$4+2/3*(100-Leger1!$C$4)),"A",IF(Leger1!AV40&gt;=(Leger1!$C$4+1/3*(100-Leger1!$C$4)),"B",IF(Leger1!AV40&gt;=Leger1!$C$4,"C","D"))))</f>
        <v/>
      </c>
      <c r="AJ40" s="252" t="str">
        <f>IF(Leger1!AW40="","",IF(Leger1!AW40&gt;=(Leger1!$C$4+2/3*(100-Leger1!$C$4)),"A",IF(Leger1!AW40&gt;=(Leger1!$C$4+1/3*(100-Leger1!$C$4)),"B",IF(Leger1!AW40&gt;=Leger1!$C$4,"C","D"))))</f>
        <v/>
      </c>
      <c r="AK40" s="249" t="str">
        <f>IF(Leger1!AY40="","",IF(Leger1!AY40&gt;=(Leger1!$C$4+2/3*(100-Leger1!$C$4)),"A",IF(Leger1!AY40&gt;=(Leger1!$C$4+1/3*(100-Leger1!$C$4)),"B",IF(Leger1!AY40&gt;=Leger1!$C$4,"C","D"))))</f>
        <v/>
      </c>
      <c r="AL40" s="252" t="str">
        <f>IF(Leger1!AZ40="","",IF(Leger1!AZ40&gt;=(Leger1!$C$4+2/3*(100-Leger1!$C$4)),"A",IF(Leger1!AZ40&gt;=(Leger1!$C$4+1/3*(100-Leger1!$C$4)),"B",IF(Leger1!AZ40&gt;=Leger1!$C$4,"C","D"))))</f>
        <v/>
      </c>
    </row>
    <row r="41" spans="5:38">
      <c r="E41" s="211" t="str">
        <f>Biodata!B40</f>
        <v/>
      </c>
      <c r="F41" s="212" t="str">
        <f>IF(Biodata!C40="","",VLOOKUP(E41,Biodata_Siswa,2,FALSE))</f>
        <v/>
      </c>
      <c r="G41" s="1015" t="str">
        <f>IF(Biodata!E40="","",PROPER(VLOOKUP(E41,Biodata_Siswa,4,FALSE)))</f>
        <v/>
      </c>
      <c r="H41" s="1016"/>
      <c r="I41" s="249" t="str">
        <f>IF(Leger1!I41="","",IF(Leger1!I41&gt;=(Leger1!$C$4+2/3*(100-Leger1!$C$4)),"A",IF(Leger1!I41&gt;=(Leger1!$C$4+1/3*(100-Leger1!$C$4)),"B",IF(Leger1!I41&gt;=Leger1!$C$4,"C","D"))))</f>
        <v/>
      </c>
      <c r="J41" s="252" t="str">
        <f>IF(Leger1!J41="","",IF(Leger1!J41&gt;=(Leger1!$C$4+2/3*(100-Leger1!$C$4)),"A",IF(Leger1!J41&gt;=(Leger1!$C$4+1/3*(100-Leger1!$C$4)),"B",IF(Leger1!J41&gt;=Leger1!$C$4,"C","D"))))</f>
        <v/>
      </c>
      <c r="K41" s="249" t="str">
        <f>IF(Leger1!L41="","",IF(Leger1!L41&gt;=(Leger1!$C$4+2/3*(100-Leger1!$C$4)),"A",IF(Leger1!L41&gt;=(Leger1!$C$4+1/3*(100-Leger1!$C$4)),"B",IF(Leger1!L41&gt;=Leger1!$C$4,"C","D"))))</f>
        <v/>
      </c>
      <c r="L41" s="252" t="str">
        <f>IF(Leger1!M41="","",IF(Leger1!M41&gt;=(Leger1!$C$4+2/3*(100-Leger1!$C$4)),"A",IF(Leger1!M41&gt;=(Leger1!$C$4+1/3*(100-Leger1!$C$4)),"B",IF(Leger1!M41&gt;=Leger1!$C$4,"C","D"))))</f>
        <v/>
      </c>
      <c r="M41" s="249" t="str">
        <f>IF(Leger1!O41="","",IF(Leger1!O41&gt;=(Leger1!$C$4+2/3*(100-Leger1!$C$4)),"A",IF(Leger1!O41&gt;=(Leger1!$C$4+1/3*(100-Leger1!$C$4)),"B",IF(Leger1!O41&gt;=Leger1!$C$4,"C","D"))))</f>
        <v/>
      </c>
      <c r="N41" s="252" t="str">
        <f>IF(Leger1!P41="","",IF(Leger1!P41&gt;=(Leger1!$C$4+2/3*(100-Leger1!$C$4)),"A",IF(Leger1!P41&gt;=(Leger1!$C$4+1/3*(100-Leger1!$C$4)),"B",IF(Leger1!P41&gt;=Leger1!$C$4,"C","D"))))</f>
        <v/>
      </c>
      <c r="O41" s="249" t="str">
        <f>IF(Leger1!R41="","",IF(Leger1!R41&gt;=(Leger1!$C$4+2/3*(100-Leger1!$C$4)),"A",IF(Leger1!R41&gt;=(Leger1!$C$4+1/3*(100-Leger1!$C$4)),"B",IF(Leger1!R41&gt;=Leger1!$C$4,"C","D"))))</f>
        <v/>
      </c>
      <c r="P41" s="252" t="str">
        <f>IF(Leger1!S41="","",IF(Leger1!S41&gt;=(Leger1!$C$4+2/3*(100-Leger1!$C$4)),"A",IF(Leger1!S41&gt;=(Leger1!$C$4+1/3*(100-Leger1!$C$4)),"B",IF(Leger1!S41&gt;=Leger1!$C$4,"C","D"))))</f>
        <v/>
      </c>
      <c r="Q41" s="249" t="str">
        <f>IF(Leger1!U41="","",IF(Leger1!U41&gt;=(Leger1!$C$4+2/3*(100-Leger1!$C$4)),"A",IF(Leger1!U41&gt;=(Leger1!$C$4+1/3*(100-Leger1!$C$4)),"B",IF(Leger1!U41&gt;=Leger1!$C$4,"C","D"))))</f>
        <v/>
      </c>
      <c r="R41" s="252" t="str">
        <f>IF(Leger1!V41="","",IF(Leger1!V41&gt;=(Leger1!$C$4+2/3*(100-Leger1!$C$4)),"A",IF(Leger1!V41&gt;=(Leger1!$C$4+1/3*(100-Leger1!$C$4)),"B",IF(Leger1!V41&gt;=Leger1!$C$4,"C","D"))))</f>
        <v/>
      </c>
      <c r="S41" s="249" t="str">
        <f>IF(Leger1!X41="","",IF(Leger1!X41&gt;=(Leger1!$C$4+2/3*(100-Leger1!$C$4)),"A",IF(Leger1!X41&gt;=(Leger1!$C$4+1/3*(100-Leger1!$C$4)),"B",IF(Leger1!X41&gt;=Leger1!$C$4,"C","D"))))</f>
        <v/>
      </c>
      <c r="T41" s="252" t="str">
        <f>IF(Leger1!Y41="","",IF(Leger1!Y41&gt;=(Leger1!$C$4+2/3*(100-Leger1!$C$4)),"A",IF(Leger1!Y41&gt;=(Leger1!$C$4+1/3*(100-Leger1!$C$4)),"B",IF(Leger1!Y41&gt;=Leger1!$C$4,"C","D"))))</f>
        <v/>
      </c>
      <c r="U41" s="249" t="str">
        <f>IF(Leger1!AA41="","",IF(Leger1!AA41&gt;=(Leger1!$C$4+2/3*(100-Leger1!$C$4)),"A",IF(Leger1!AA41&gt;=(Leger1!$C$4+1/3*(100-Leger1!$C$4)),"B",IF(Leger1!AA41&gt;=Leger1!$C$4,"C","D"))))</f>
        <v/>
      </c>
      <c r="V41" s="252" t="str">
        <f>IF(Leger1!AB41="","",IF(Leger1!AB41&gt;=(Leger1!$C$4+2/3*(100-Leger1!$C$4)),"A",IF(Leger1!AB41&gt;=(Leger1!$C$4+1/3*(100-Leger1!$C$4)),"B",IF(Leger1!AB41&gt;=Leger1!$C$4,"C","D"))))</f>
        <v/>
      </c>
      <c r="W41" s="249" t="str">
        <f>IF(Leger1!AD41="","",IF(Leger1!AD41&gt;=(Leger1!$C$4+2/3*(100-Leger1!$C$4)),"A",IF(Leger1!AD41&gt;=(Leger1!$C$4+1/3*(100-Leger1!$C$4)),"B",IF(Leger1!AD41&gt;=Leger1!$C$4,"C","D"))))</f>
        <v/>
      </c>
      <c r="X41" s="252" t="str">
        <f>IF(Leger1!AE41="","",IF(Leger1!AE41&gt;=(Leger1!$C$4+2/3*(100-Leger1!$C$4)),"A",IF(Leger1!AE41&gt;=(Leger1!$C$4+1/3*(100-Leger1!$C$4)),"B",IF(Leger1!AE41&gt;=Leger1!$C$4,"C","D"))))</f>
        <v/>
      </c>
      <c r="Y41" s="249" t="str">
        <f>IF(Leger1!AG41="","",IF(Leger1!AG41&gt;=(Leger1!$C$4+2/3*(100-Leger1!$C$4)),"A",IF(Leger1!AG41&gt;=(Leger1!$C$4+1/3*(100-Leger1!$C$4)),"B",IF(Leger1!AG41&gt;=Leger1!$C$4,"C","D"))))</f>
        <v/>
      </c>
      <c r="Z41" s="252" t="str">
        <f>IF(Leger1!AH41="","",IF(Leger1!AH41&gt;=(Leger1!$C$4+2/3*(100-Leger1!$C$4)),"A",IF(Leger1!AH41&gt;=(Leger1!$C$4+1/3*(100-Leger1!$C$4)),"B",IF(Leger1!AH41&gt;=Leger1!$C$4,"C","D"))))</f>
        <v/>
      </c>
      <c r="AA41" s="249" t="str">
        <f>IF(Leger1!AJ41="","",IF(Leger1!AJ41&gt;=(Leger1!$C$4+2/3*(100-Leger1!$C$4)),"A",IF(Leger1!AJ41&gt;=(Leger1!$C$4+1/3*(100-Leger1!$C$4)),"B",IF(Leger1!AJ41&gt;=Leger1!$C$4,"C","D"))))</f>
        <v/>
      </c>
      <c r="AB41" s="252" t="str">
        <f>IF(Leger1!AK41="","",IF(Leger1!AK41&gt;=(Leger1!$C$4+2/3*(100-Leger1!$C$4)),"A",IF(Leger1!AK41&gt;=(Leger1!$C$4+1/3*(100-Leger1!$C$4)),"B",IF(Leger1!AK41&gt;=Leger1!$C$4,"C","D"))))</f>
        <v/>
      </c>
      <c r="AC41" s="249" t="str">
        <f>IF(Leger1!AM41="","",IF(Leger1!AM41&gt;=(Leger1!$C$4+2/3*(100-Leger1!$C$4)),"A",IF(Leger1!AM41&gt;=(Leger1!$C$4+1/3*(100-Leger1!$C$4)),"B",IF(Leger1!AM41&gt;=Leger1!$C$4,"C","D"))))</f>
        <v/>
      </c>
      <c r="AD41" s="252" t="str">
        <f>IF(Leger1!AN41="","",IF(Leger1!AN41&gt;=(Leger1!$C$4+2/3*(100-Leger1!$C$4)),"A",IF(Leger1!AN41&gt;=(Leger1!$C$4+1/3*(100-Leger1!$C$4)),"B",IF(Leger1!AN41&gt;=Leger1!$C$4,"C","D"))))</f>
        <v/>
      </c>
      <c r="AE41" s="249" t="str">
        <f>IF(Leger1!AP41="","",IF(Leger1!AP41&gt;=(Leger1!$C$4+2/3*(100-Leger1!$C$4)),"A",IF(Leger1!AP41&gt;=(Leger1!$C$4+1/3*(100-Leger1!$C$4)),"B",IF(Leger1!AP41&gt;=Leger1!$C$4,"C","D"))))</f>
        <v/>
      </c>
      <c r="AF41" s="252" t="str">
        <f>IF(Leger1!AQ41="","",IF(Leger1!AQ41&gt;=(Leger1!$C$4+2/3*(100-Leger1!$C$4)),"A",IF(Leger1!AQ41&gt;=(Leger1!$C$4+1/3*(100-Leger1!$C$4)),"B",IF(Leger1!AQ41&gt;=Leger1!$C$4,"C","D"))))</f>
        <v/>
      </c>
      <c r="AG41" s="249" t="str">
        <f>IF(Leger1!AS41="","",IF(Leger1!AS41&gt;=(Leger1!$C$4+2/3*(100-Leger1!$C$4)),"A",IF(Leger1!AS41&gt;=(Leger1!$C$4+1/3*(100-Leger1!$C$4)),"B",IF(Leger1!AS41&gt;=Leger1!$C$4,"C","D"))))</f>
        <v/>
      </c>
      <c r="AH41" s="252" t="str">
        <f>IF(Leger1!AT41="","",IF(Leger1!AT41&gt;=(Leger1!$C$4+2/3*(100-Leger1!$C$4)),"A",IF(Leger1!AT41&gt;=(Leger1!$C$4+1/3*(100-Leger1!$C$4)),"B",IF(Leger1!AT41&gt;=Leger1!$C$4,"C","D"))))</f>
        <v/>
      </c>
      <c r="AI41" s="249" t="str">
        <f>IF(Leger1!AV41="","",IF(Leger1!AV41&gt;=(Leger1!$C$4+2/3*(100-Leger1!$C$4)),"A",IF(Leger1!AV41&gt;=(Leger1!$C$4+1/3*(100-Leger1!$C$4)),"B",IF(Leger1!AV41&gt;=Leger1!$C$4,"C","D"))))</f>
        <v/>
      </c>
      <c r="AJ41" s="252" t="str">
        <f>IF(Leger1!AW41="","",IF(Leger1!AW41&gt;=(Leger1!$C$4+2/3*(100-Leger1!$C$4)),"A",IF(Leger1!AW41&gt;=(Leger1!$C$4+1/3*(100-Leger1!$C$4)),"B",IF(Leger1!AW41&gt;=Leger1!$C$4,"C","D"))))</f>
        <v/>
      </c>
      <c r="AK41" s="249" t="str">
        <f>IF(Leger1!AY41="","",IF(Leger1!AY41&gt;=(Leger1!$C$4+2/3*(100-Leger1!$C$4)),"A",IF(Leger1!AY41&gt;=(Leger1!$C$4+1/3*(100-Leger1!$C$4)),"B",IF(Leger1!AY41&gt;=Leger1!$C$4,"C","D"))))</f>
        <v/>
      </c>
      <c r="AL41" s="252" t="str">
        <f>IF(Leger1!AZ41="","",IF(Leger1!AZ41&gt;=(Leger1!$C$4+2/3*(100-Leger1!$C$4)),"A",IF(Leger1!AZ41&gt;=(Leger1!$C$4+1/3*(100-Leger1!$C$4)),"B",IF(Leger1!AZ41&gt;=Leger1!$C$4,"C","D"))))</f>
        <v/>
      </c>
    </row>
    <row r="42" spans="5:38">
      <c r="E42" s="211" t="str">
        <f>Biodata!B41</f>
        <v/>
      </c>
      <c r="F42" s="212" t="str">
        <f>IF(Biodata!C41="","",VLOOKUP(E42,Biodata_Siswa,2,FALSE))</f>
        <v/>
      </c>
      <c r="G42" s="1015" t="str">
        <f>IF(Biodata!E41="","",PROPER(VLOOKUP(E42,Biodata_Siswa,4,FALSE)))</f>
        <v/>
      </c>
      <c r="H42" s="1016"/>
      <c r="I42" s="249" t="str">
        <f>IF(Leger1!I42="","",IF(Leger1!I42&gt;=(Leger1!$C$4+2/3*(100-Leger1!$C$4)),"A",IF(Leger1!I42&gt;=(Leger1!$C$4+1/3*(100-Leger1!$C$4)),"B",IF(Leger1!I42&gt;=Leger1!$C$4,"C","D"))))</f>
        <v/>
      </c>
      <c r="J42" s="252" t="str">
        <f>IF(Leger1!J42="","",IF(Leger1!J42&gt;=(Leger1!$C$4+2/3*(100-Leger1!$C$4)),"A",IF(Leger1!J42&gt;=(Leger1!$C$4+1/3*(100-Leger1!$C$4)),"B",IF(Leger1!J42&gt;=Leger1!$C$4,"C","D"))))</f>
        <v/>
      </c>
      <c r="K42" s="249" t="str">
        <f>IF(Leger1!L42="","",IF(Leger1!L42&gt;=(Leger1!$C$4+2/3*(100-Leger1!$C$4)),"A",IF(Leger1!L42&gt;=(Leger1!$C$4+1/3*(100-Leger1!$C$4)),"B",IF(Leger1!L42&gt;=Leger1!$C$4,"C","D"))))</f>
        <v/>
      </c>
      <c r="L42" s="252" t="str">
        <f>IF(Leger1!M42="","",IF(Leger1!M42&gt;=(Leger1!$C$4+2/3*(100-Leger1!$C$4)),"A",IF(Leger1!M42&gt;=(Leger1!$C$4+1/3*(100-Leger1!$C$4)),"B",IF(Leger1!M42&gt;=Leger1!$C$4,"C","D"))))</f>
        <v/>
      </c>
      <c r="M42" s="249" t="str">
        <f>IF(Leger1!O42="","",IF(Leger1!O42&gt;=(Leger1!$C$4+2/3*(100-Leger1!$C$4)),"A",IF(Leger1!O42&gt;=(Leger1!$C$4+1/3*(100-Leger1!$C$4)),"B",IF(Leger1!O42&gt;=Leger1!$C$4,"C","D"))))</f>
        <v/>
      </c>
      <c r="N42" s="252" t="str">
        <f>IF(Leger1!P42="","",IF(Leger1!P42&gt;=(Leger1!$C$4+2/3*(100-Leger1!$C$4)),"A",IF(Leger1!P42&gt;=(Leger1!$C$4+1/3*(100-Leger1!$C$4)),"B",IF(Leger1!P42&gt;=Leger1!$C$4,"C","D"))))</f>
        <v/>
      </c>
      <c r="O42" s="249" t="str">
        <f>IF(Leger1!R42="","",IF(Leger1!R42&gt;=(Leger1!$C$4+2/3*(100-Leger1!$C$4)),"A",IF(Leger1!R42&gt;=(Leger1!$C$4+1/3*(100-Leger1!$C$4)),"B",IF(Leger1!R42&gt;=Leger1!$C$4,"C","D"))))</f>
        <v/>
      </c>
      <c r="P42" s="252" t="str">
        <f>IF(Leger1!S42="","",IF(Leger1!S42&gt;=(Leger1!$C$4+2/3*(100-Leger1!$C$4)),"A",IF(Leger1!S42&gt;=(Leger1!$C$4+1/3*(100-Leger1!$C$4)),"B",IF(Leger1!S42&gt;=Leger1!$C$4,"C","D"))))</f>
        <v/>
      </c>
      <c r="Q42" s="249" t="str">
        <f>IF(Leger1!U42="","",IF(Leger1!U42&gt;=(Leger1!$C$4+2/3*(100-Leger1!$C$4)),"A",IF(Leger1!U42&gt;=(Leger1!$C$4+1/3*(100-Leger1!$C$4)),"B",IF(Leger1!U42&gt;=Leger1!$C$4,"C","D"))))</f>
        <v/>
      </c>
      <c r="R42" s="252" t="str">
        <f>IF(Leger1!V42="","",IF(Leger1!V42&gt;=(Leger1!$C$4+2/3*(100-Leger1!$C$4)),"A",IF(Leger1!V42&gt;=(Leger1!$C$4+1/3*(100-Leger1!$C$4)),"B",IF(Leger1!V42&gt;=Leger1!$C$4,"C","D"))))</f>
        <v/>
      </c>
      <c r="S42" s="249" t="str">
        <f>IF(Leger1!X42="","",IF(Leger1!X42&gt;=(Leger1!$C$4+2/3*(100-Leger1!$C$4)),"A",IF(Leger1!X42&gt;=(Leger1!$C$4+1/3*(100-Leger1!$C$4)),"B",IF(Leger1!X42&gt;=Leger1!$C$4,"C","D"))))</f>
        <v/>
      </c>
      <c r="T42" s="252" t="str">
        <f>IF(Leger1!Y42="","",IF(Leger1!Y42&gt;=(Leger1!$C$4+2/3*(100-Leger1!$C$4)),"A",IF(Leger1!Y42&gt;=(Leger1!$C$4+1/3*(100-Leger1!$C$4)),"B",IF(Leger1!Y42&gt;=Leger1!$C$4,"C","D"))))</f>
        <v/>
      </c>
      <c r="U42" s="249" t="str">
        <f>IF(Leger1!AA42="","",IF(Leger1!AA42&gt;=(Leger1!$C$4+2/3*(100-Leger1!$C$4)),"A",IF(Leger1!AA42&gt;=(Leger1!$C$4+1/3*(100-Leger1!$C$4)),"B",IF(Leger1!AA42&gt;=Leger1!$C$4,"C","D"))))</f>
        <v/>
      </c>
      <c r="V42" s="252" t="str">
        <f>IF(Leger1!AB42="","",IF(Leger1!AB42&gt;=(Leger1!$C$4+2/3*(100-Leger1!$C$4)),"A",IF(Leger1!AB42&gt;=(Leger1!$C$4+1/3*(100-Leger1!$C$4)),"B",IF(Leger1!AB42&gt;=Leger1!$C$4,"C","D"))))</f>
        <v/>
      </c>
      <c r="W42" s="249" t="str">
        <f>IF(Leger1!AD42="","",IF(Leger1!AD42&gt;=(Leger1!$C$4+2/3*(100-Leger1!$C$4)),"A",IF(Leger1!AD42&gt;=(Leger1!$C$4+1/3*(100-Leger1!$C$4)),"B",IF(Leger1!AD42&gt;=Leger1!$C$4,"C","D"))))</f>
        <v/>
      </c>
      <c r="X42" s="252" t="str">
        <f>IF(Leger1!AE42="","",IF(Leger1!AE42&gt;=(Leger1!$C$4+2/3*(100-Leger1!$C$4)),"A",IF(Leger1!AE42&gt;=(Leger1!$C$4+1/3*(100-Leger1!$C$4)),"B",IF(Leger1!AE42&gt;=Leger1!$C$4,"C","D"))))</f>
        <v/>
      </c>
      <c r="Y42" s="249" t="str">
        <f>IF(Leger1!AG42="","",IF(Leger1!AG42&gt;=(Leger1!$C$4+2/3*(100-Leger1!$C$4)),"A",IF(Leger1!AG42&gt;=(Leger1!$C$4+1/3*(100-Leger1!$C$4)),"B",IF(Leger1!AG42&gt;=Leger1!$C$4,"C","D"))))</f>
        <v/>
      </c>
      <c r="Z42" s="252" t="str">
        <f>IF(Leger1!AH42="","",IF(Leger1!AH42&gt;=(Leger1!$C$4+2/3*(100-Leger1!$C$4)),"A",IF(Leger1!AH42&gt;=(Leger1!$C$4+1/3*(100-Leger1!$C$4)),"B",IF(Leger1!AH42&gt;=Leger1!$C$4,"C","D"))))</f>
        <v/>
      </c>
      <c r="AA42" s="249" t="str">
        <f>IF(Leger1!AJ42="","",IF(Leger1!AJ42&gt;=(Leger1!$C$4+2/3*(100-Leger1!$C$4)),"A",IF(Leger1!AJ42&gt;=(Leger1!$C$4+1/3*(100-Leger1!$C$4)),"B",IF(Leger1!AJ42&gt;=Leger1!$C$4,"C","D"))))</f>
        <v/>
      </c>
      <c r="AB42" s="252" t="str">
        <f>IF(Leger1!AK42="","",IF(Leger1!AK42&gt;=(Leger1!$C$4+2/3*(100-Leger1!$C$4)),"A",IF(Leger1!AK42&gt;=(Leger1!$C$4+1/3*(100-Leger1!$C$4)),"B",IF(Leger1!AK42&gt;=Leger1!$C$4,"C","D"))))</f>
        <v/>
      </c>
      <c r="AC42" s="249" t="str">
        <f>IF(Leger1!AM42="","",IF(Leger1!AM42&gt;=(Leger1!$C$4+2/3*(100-Leger1!$C$4)),"A",IF(Leger1!AM42&gt;=(Leger1!$C$4+1/3*(100-Leger1!$C$4)),"B",IF(Leger1!AM42&gt;=Leger1!$C$4,"C","D"))))</f>
        <v/>
      </c>
      <c r="AD42" s="252" t="str">
        <f>IF(Leger1!AN42="","",IF(Leger1!AN42&gt;=(Leger1!$C$4+2/3*(100-Leger1!$C$4)),"A",IF(Leger1!AN42&gt;=(Leger1!$C$4+1/3*(100-Leger1!$C$4)),"B",IF(Leger1!AN42&gt;=Leger1!$C$4,"C","D"))))</f>
        <v/>
      </c>
      <c r="AE42" s="249" t="str">
        <f>IF(Leger1!AP42="","",IF(Leger1!AP42&gt;=(Leger1!$C$4+2/3*(100-Leger1!$C$4)),"A",IF(Leger1!AP42&gt;=(Leger1!$C$4+1/3*(100-Leger1!$C$4)),"B",IF(Leger1!AP42&gt;=Leger1!$C$4,"C","D"))))</f>
        <v/>
      </c>
      <c r="AF42" s="252" t="str">
        <f>IF(Leger1!AQ42="","",IF(Leger1!AQ42&gt;=(Leger1!$C$4+2/3*(100-Leger1!$C$4)),"A",IF(Leger1!AQ42&gt;=(Leger1!$C$4+1/3*(100-Leger1!$C$4)),"B",IF(Leger1!AQ42&gt;=Leger1!$C$4,"C","D"))))</f>
        <v/>
      </c>
      <c r="AG42" s="249" t="str">
        <f>IF(Leger1!AS42="","",IF(Leger1!AS42&gt;=(Leger1!$C$4+2/3*(100-Leger1!$C$4)),"A",IF(Leger1!AS42&gt;=(Leger1!$C$4+1/3*(100-Leger1!$C$4)),"B",IF(Leger1!AS42&gt;=Leger1!$C$4,"C","D"))))</f>
        <v/>
      </c>
      <c r="AH42" s="252" t="str">
        <f>IF(Leger1!AT42="","",IF(Leger1!AT42&gt;=(Leger1!$C$4+2/3*(100-Leger1!$C$4)),"A",IF(Leger1!AT42&gt;=(Leger1!$C$4+1/3*(100-Leger1!$C$4)),"B",IF(Leger1!AT42&gt;=Leger1!$C$4,"C","D"))))</f>
        <v/>
      </c>
      <c r="AI42" s="249" t="str">
        <f>IF(Leger1!AV42="","",IF(Leger1!AV42&gt;=(Leger1!$C$4+2/3*(100-Leger1!$C$4)),"A",IF(Leger1!AV42&gt;=(Leger1!$C$4+1/3*(100-Leger1!$C$4)),"B",IF(Leger1!AV42&gt;=Leger1!$C$4,"C","D"))))</f>
        <v/>
      </c>
      <c r="AJ42" s="252" t="str">
        <f>IF(Leger1!AW42="","",IF(Leger1!AW42&gt;=(Leger1!$C$4+2/3*(100-Leger1!$C$4)),"A",IF(Leger1!AW42&gt;=(Leger1!$C$4+1/3*(100-Leger1!$C$4)),"B",IF(Leger1!AW42&gt;=Leger1!$C$4,"C","D"))))</f>
        <v/>
      </c>
      <c r="AK42" s="249" t="str">
        <f>IF(Leger1!AY42="","",IF(Leger1!AY42&gt;=(Leger1!$C$4+2/3*(100-Leger1!$C$4)),"A",IF(Leger1!AY42&gt;=(Leger1!$C$4+1/3*(100-Leger1!$C$4)),"B",IF(Leger1!AY42&gt;=Leger1!$C$4,"C","D"))))</f>
        <v/>
      </c>
      <c r="AL42" s="252" t="str">
        <f>IF(Leger1!AZ42="","",IF(Leger1!AZ42&gt;=(Leger1!$C$4+2/3*(100-Leger1!$C$4)),"A",IF(Leger1!AZ42&gt;=(Leger1!$C$4+1/3*(100-Leger1!$C$4)),"B",IF(Leger1!AZ42&gt;=Leger1!$C$4,"C","D"))))</f>
        <v/>
      </c>
    </row>
    <row r="43" spans="5:38">
      <c r="E43" s="211" t="str">
        <f>Biodata!B42</f>
        <v/>
      </c>
      <c r="F43" s="212" t="str">
        <f>IF(Biodata!C42="","",VLOOKUP(E43,Biodata_Siswa,2,FALSE))</f>
        <v/>
      </c>
      <c r="G43" s="1015" t="str">
        <f>IF(Biodata!E42="","",PROPER(VLOOKUP(E43,Biodata_Siswa,4,FALSE)))</f>
        <v/>
      </c>
      <c r="H43" s="1016"/>
      <c r="I43" s="249" t="str">
        <f>IF(Leger1!I43="","",IF(Leger1!I43&gt;=(Leger1!$C$4+2/3*(100-Leger1!$C$4)),"A",IF(Leger1!I43&gt;=(Leger1!$C$4+1/3*(100-Leger1!$C$4)),"B",IF(Leger1!I43&gt;=Leger1!$C$4,"C","D"))))</f>
        <v/>
      </c>
      <c r="J43" s="252" t="str">
        <f>IF(Leger1!J43="","",IF(Leger1!J43&gt;=(Leger1!$C$4+2/3*(100-Leger1!$C$4)),"A",IF(Leger1!J43&gt;=(Leger1!$C$4+1/3*(100-Leger1!$C$4)),"B",IF(Leger1!J43&gt;=Leger1!$C$4,"C","D"))))</f>
        <v/>
      </c>
      <c r="K43" s="249" t="str">
        <f>IF(Leger1!L43="","",IF(Leger1!L43&gt;=(Leger1!$C$4+2/3*(100-Leger1!$C$4)),"A",IF(Leger1!L43&gt;=(Leger1!$C$4+1/3*(100-Leger1!$C$4)),"B",IF(Leger1!L43&gt;=Leger1!$C$4,"C","D"))))</f>
        <v/>
      </c>
      <c r="L43" s="252" t="str">
        <f>IF(Leger1!M43="","",IF(Leger1!M43&gt;=(Leger1!$C$4+2/3*(100-Leger1!$C$4)),"A",IF(Leger1!M43&gt;=(Leger1!$C$4+1/3*(100-Leger1!$C$4)),"B",IF(Leger1!M43&gt;=Leger1!$C$4,"C","D"))))</f>
        <v/>
      </c>
      <c r="M43" s="249" t="str">
        <f>IF(Leger1!O43="","",IF(Leger1!O43&gt;=(Leger1!$C$4+2/3*(100-Leger1!$C$4)),"A",IF(Leger1!O43&gt;=(Leger1!$C$4+1/3*(100-Leger1!$C$4)),"B",IF(Leger1!O43&gt;=Leger1!$C$4,"C","D"))))</f>
        <v/>
      </c>
      <c r="N43" s="252" t="str">
        <f>IF(Leger1!P43="","",IF(Leger1!P43&gt;=(Leger1!$C$4+2/3*(100-Leger1!$C$4)),"A",IF(Leger1!P43&gt;=(Leger1!$C$4+1/3*(100-Leger1!$C$4)),"B",IF(Leger1!P43&gt;=Leger1!$C$4,"C","D"))))</f>
        <v/>
      </c>
      <c r="O43" s="249" t="str">
        <f>IF(Leger1!R43="","",IF(Leger1!R43&gt;=(Leger1!$C$4+2/3*(100-Leger1!$C$4)),"A",IF(Leger1!R43&gt;=(Leger1!$C$4+1/3*(100-Leger1!$C$4)),"B",IF(Leger1!R43&gt;=Leger1!$C$4,"C","D"))))</f>
        <v/>
      </c>
      <c r="P43" s="252" t="str">
        <f>IF(Leger1!S43="","",IF(Leger1!S43&gt;=(Leger1!$C$4+2/3*(100-Leger1!$C$4)),"A",IF(Leger1!S43&gt;=(Leger1!$C$4+1/3*(100-Leger1!$C$4)),"B",IF(Leger1!S43&gt;=Leger1!$C$4,"C","D"))))</f>
        <v/>
      </c>
      <c r="Q43" s="249" t="str">
        <f>IF(Leger1!U43="","",IF(Leger1!U43&gt;=(Leger1!$C$4+2/3*(100-Leger1!$C$4)),"A",IF(Leger1!U43&gt;=(Leger1!$C$4+1/3*(100-Leger1!$C$4)),"B",IF(Leger1!U43&gt;=Leger1!$C$4,"C","D"))))</f>
        <v/>
      </c>
      <c r="R43" s="252" t="str">
        <f>IF(Leger1!V43="","",IF(Leger1!V43&gt;=(Leger1!$C$4+2/3*(100-Leger1!$C$4)),"A",IF(Leger1!V43&gt;=(Leger1!$C$4+1/3*(100-Leger1!$C$4)),"B",IF(Leger1!V43&gt;=Leger1!$C$4,"C","D"))))</f>
        <v/>
      </c>
      <c r="S43" s="249" t="str">
        <f>IF(Leger1!X43="","",IF(Leger1!X43&gt;=(Leger1!$C$4+2/3*(100-Leger1!$C$4)),"A",IF(Leger1!X43&gt;=(Leger1!$C$4+1/3*(100-Leger1!$C$4)),"B",IF(Leger1!X43&gt;=Leger1!$C$4,"C","D"))))</f>
        <v/>
      </c>
      <c r="T43" s="252" t="str">
        <f>IF(Leger1!Y43="","",IF(Leger1!Y43&gt;=(Leger1!$C$4+2/3*(100-Leger1!$C$4)),"A",IF(Leger1!Y43&gt;=(Leger1!$C$4+1/3*(100-Leger1!$C$4)),"B",IF(Leger1!Y43&gt;=Leger1!$C$4,"C","D"))))</f>
        <v/>
      </c>
      <c r="U43" s="249" t="str">
        <f>IF(Leger1!AA43="","",IF(Leger1!AA43&gt;=(Leger1!$C$4+2/3*(100-Leger1!$C$4)),"A",IF(Leger1!AA43&gt;=(Leger1!$C$4+1/3*(100-Leger1!$C$4)),"B",IF(Leger1!AA43&gt;=Leger1!$C$4,"C","D"))))</f>
        <v/>
      </c>
      <c r="V43" s="252" t="str">
        <f>IF(Leger1!AB43="","",IF(Leger1!AB43&gt;=(Leger1!$C$4+2/3*(100-Leger1!$C$4)),"A",IF(Leger1!AB43&gt;=(Leger1!$C$4+1/3*(100-Leger1!$C$4)),"B",IF(Leger1!AB43&gt;=Leger1!$C$4,"C","D"))))</f>
        <v/>
      </c>
      <c r="W43" s="249" t="str">
        <f>IF(Leger1!AD43="","",IF(Leger1!AD43&gt;=(Leger1!$C$4+2/3*(100-Leger1!$C$4)),"A",IF(Leger1!AD43&gt;=(Leger1!$C$4+1/3*(100-Leger1!$C$4)),"B",IF(Leger1!AD43&gt;=Leger1!$C$4,"C","D"))))</f>
        <v/>
      </c>
      <c r="X43" s="252" t="str">
        <f>IF(Leger1!AE43="","",IF(Leger1!AE43&gt;=(Leger1!$C$4+2/3*(100-Leger1!$C$4)),"A",IF(Leger1!AE43&gt;=(Leger1!$C$4+1/3*(100-Leger1!$C$4)),"B",IF(Leger1!AE43&gt;=Leger1!$C$4,"C","D"))))</f>
        <v/>
      </c>
      <c r="Y43" s="249" t="str">
        <f>IF(Leger1!AG43="","",IF(Leger1!AG43&gt;=(Leger1!$C$4+2/3*(100-Leger1!$C$4)),"A",IF(Leger1!AG43&gt;=(Leger1!$C$4+1/3*(100-Leger1!$C$4)),"B",IF(Leger1!AG43&gt;=Leger1!$C$4,"C","D"))))</f>
        <v/>
      </c>
      <c r="Z43" s="252" t="str">
        <f>IF(Leger1!AH43="","",IF(Leger1!AH43&gt;=(Leger1!$C$4+2/3*(100-Leger1!$C$4)),"A",IF(Leger1!AH43&gt;=(Leger1!$C$4+1/3*(100-Leger1!$C$4)),"B",IF(Leger1!AH43&gt;=Leger1!$C$4,"C","D"))))</f>
        <v/>
      </c>
      <c r="AA43" s="249" t="str">
        <f>IF(Leger1!AJ43="","",IF(Leger1!AJ43&gt;=(Leger1!$C$4+2/3*(100-Leger1!$C$4)),"A",IF(Leger1!AJ43&gt;=(Leger1!$C$4+1/3*(100-Leger1!$C$4)),"B",IF(Leger1!AJ43&gt;=Leger1!$C$4,"C","D"))))</f>
        <v/>
      </c>
      <c r="AB43" s="252" t="str">
        <f>IF(Leger1!AK43="","",IF(Leger1!AK43&gt;=(Leger1!$C$4+2/3*(100-Leger1!$C$4)),"A",IF(Leger1!AK43&gt;=(Leger1!$C$4+1/3*(100-Leger1!$C$4)),"B",IF(Leger1!AK43&gt;=Leger1!$C$4,"C","D"))))</f>
        <v/>
      </c>
      <c r="AC43" s="249" t="str">
        <f>IF(Leger1!AM43="","",IF(Leger1!AM43&gt;=(Leger1!$C$4+2/3*(100-Leger1!$C$4)),"A",IF(Leger1!AM43&gt;=(Leger1!$C$4+1/3*(100-Leger1!$C$4)),"B",IF(Leger1!AM43&gt;=Leger1!$C$4,"C","D"))))</f>
        <v/>
      </c>
      <c r="AD43" s="252" t="str">
        <f>IF(Leger1!AN43="","",IF(Leger1!AN43&gt;=(Leger1!$C$4+2/3*(100-Leger1!$C$4)),"A",IF(Leger1!AN43&gt;=(Leger1!$C$4+1/3*(100-Leger1!$C$4)),"B",IF(Leger1!AN43&gt;=Leger1!$C$4,"C","D"))))</f>
        <v/>
      </c>
      <c r="AE43" s="249" t="str">
        <f>IF(Leger1!AP43="","",IF(Leger1!AP43&gt;=(Leger1!$C$4+2/3*(100-Leger1!$C$4)),"A",IF(Leger1!AP43&gt;=(Leger1!$C$4+1/3*(100-Leger1!$C$4)),"B",IF(Leger1!AP43&gt;=Leger1!$C$4,"C","D"))))</f>
        <v/>
      </c>
      <c r="AF43" s="252" t="str">
        <f>IF(Leger1!AQ43="","",IF(Leger1!AQ43&gt;=(Leger1!$C$4+2/3*(100-Leger1!$C$4)),"A",IF(Leger1!AQ43&gt;=(Leger1!$C$4+1/3*(100-Leger1!$C$4)),"B",IF(Leger1!AQ43&gt;=Leger1!$C$4,"C","D"))))</f>
        <v/>
      </c>
      <c r="AG43" s="249" t="str">
        <f>IF(Leger1!AS43="","",IF(Leger1!AS43&gt;=(Leger1!$C$4+2/3*(100-Leger1!$C$4)),"A",IF(Leger1!AS43&gt;=(Leger1!$C$4+1/3*(100-Leger1!$C$4)),"B",IF(Leger1!AS43&gt;=Leger1!$C$4,"C","D"))))</f>
        <v/>
      </c>
      <c r="AH43" s="252" t="str">
        <f>IF(Leger1!AT43="","",IF(Leger1!AT43&gt;=(Leger1!$C$4+2/3*(100-Leger1!$C$4)),"A",IF(Leger1!AT43&gt;=(Leger1!$C$4+1/3*(100-Leger1!$C$4)),"B",IF(Leger1!AT43&gt;=Leger1!$C$4,"C","D"))))</f>
        <v/>
      </c>
      <c r="AI43" s="249" t="str">
        <f>IF(Leger1!AV43="","",IF(Leger1!AV43&gt;=(Leger1!$C$4+2/3*(100-Leger1!$C$4)),"A",IF(Leger1!AV43&gt;=(Leger1!$C$4+1/3*(100-Leger1!$C$4)),"B",IF(Leger1!AV43&gt;=Leger1!$C$4,"C","D"))))</f>
        <v/>
      </c>
      <c r="AJ43" s="252" t="str">
        <f>IF(Leger1!AW43="","",IF(Leger1!AW43&gt;=(Leger1!$C$4+2/3*(100-Leger1!$C$4)),"A",IF(Leger1!AW43&gt;=(Leger1!$C$4+1/3*(100-Leger1!$C$4)),"B",IF(Leger1!AW43&gt;=Leger1!$C$4,"C","D"))))</f>
        <v/>
      </c>
      <c r="AK43" s="249" t="str">
        <f>IF(Leger1!AY43="","",IF(Leger1!AY43&gt;=(Leger1!$C$4+2/3*(100-Leger1!$C$4)),"A",IF(Leger1!AY43&gt;=(Leger1!$C$4+1/3*(100-Leger1!$C$4)),"B",IF(Leger1!AY43&gt;=Leger1!$C$4,"C","D"))))</f>
        <v/>
      </c>
      <c r="AL43" s="252" t="str">
        <f>IF(Leger1!AZ43="","",IF(Leger1!AZ43&gt;=(Leger1!$C$4+2/3*(100-Leger1!$C$4)),"A",IF(Leger1!AZ43&gt;=(Leger1!$C$4+1/3*(100-Leger1!$C$4)),"B",IF(Leger1!AZ43&gt;=Leger1!$C$4,"C","D"))))</f>
        <v/>
      </c>
    </row>
    <row r="44" spans="5:38">
      <c r="E44" s="211" t="str">
        <f>Biodata!B43</f>
        <v/>
      </c>
      <c r="F44" s="212" t="str">
        <f>IF(Biodata!C43="","",VLOOKUP(E44,Biodata_Siswa,2,FALSE))</f>
        <v/>
      </c>
      <c r="G44" s="1015" t="str">
        <f>IF(Biodata!E43="","",PROPER(VLOOKUP(E44,Biodata_Siswa,4,FALSE)))</f>
        <v/>
      </c>
      <c r="H44" s="1016"/>
      <c r="I44" s="249" t="str">
        <f>IF(Leger1!I44="","",IF(Leger1!I44&gt;=(Leger1!$C$4+2/3*(100-Leger1!$C$4)),"A",IF(Leger1!I44&gt;=(Leger1!$C$4+1/3*(100-Leger1!$C$4)),"B",IF(Leger1!I44&gt;=Leger1!$C$4,"C","D"))))</f>
        <v/>
      </c>
      <c r="J44" s="252" t="str">
        <f>IF(Leger1!J44="","",IF(Leger1!J44&gt;=(Leger1!$C$4+2/3*(100-Leger1!$C$4)),"A",IF(Leger1!J44&gt;=(Leger1!$C$4+1/3*(100-Leger1!$C$4)),"B",IF(Leger1!J44&gt;=Leger1!$C$4,"C","D"))))</f>
        <v/>
      </c>
      <c r="K44" s="249" t="str">
        <f>IF(Leger1!L44="","",IF(Leger1!L44&gt;=(Leger1!$C$4+2/3*(100-Leger1!$C$4)),"A",IF(Leger1!L44&gt;=(Leger1!$C$4+1/3*(100-Leger1!$C$4)),"B",IF(Leger1!L44&gt;=Leger1!$C$4,"C","D"))))</f>
        <v/>
      </c>
      <c r="L44" s="252" t="str">
        <f>IF(Leger1!M44="","",IF(Leger1!M44&gt;=(Leger1!$C$4+2/3*(100-Leger1!$C$4)),"A",IF(Leger1!M44&gt;=(Leger1!$C$4+1/3*(100-Leger1!$C$4)),"B",IF(Leger1!M44&gt;=Leger1!$C$4,"C","D"))))</f>
        <v/>
      </c>
      <c r="M44" s="249" t="str">
        <f>IF(Leger1!O44="","",IF(Leger1!O44&gt;=(Leger1!$C$4+2/3*(100-Leger1!$C$4)),"A",IF(Leger1!O44&gt;=(Leger1!$C$4+1/3*(100-Leger1!$C$4)),"B",IF(Leger1!O44&gt;=Leger1!$C$4,"C","D"))))</f>
        <v/>
      </c>
      <c r="N44" s="252" t="str">
        <f>IF(Leger1!P44="","",IF(Leger1!P44&gt;=(Leger1!$C$4+2/3*(100-Leger1!$C$4)),"A",IF(Leger1!P44&gt;=(Leger1!$C$4+1/3*(100-Leger1!$C$4)),"B",IF(Leger1!P44&gt;=Leger1!$C$4,"C","D"))))</f>
        <v/>
      </c>
      <c r="O44" s="249" t="str">
        <f>IF(Leger1!R44="","",IF(Leger1!R44&gt;=(Leger1!$C$4+2/3*(100-Leger1!$C$4)),"A",IF(Leger1!R44&gt;=(Leger1!$C$4+1/3*(100-Leger1!$C$4)),"B",IF(Leger1!R44&gt;=Leger1!$C$4,"C","D"))))</f>
        <v/>
      </c>
      <c r="P44" s="252" t="str">
        <f>IF(Leger1!S44="","",IF(Leger1!S44&gt;=(Leger1!$C$4+2/3*(100-Leger1!$C$4)),"A",IF(Leger1!S44&gt;=(Leger1!$C$4+1/3*(100-Leger1!$C$4)),"B",IF(Leger1!S44&gt;=Leger1!$C$4,"C","D"))))</f>
        <v/>
      </c>
      <c r="Q44" s="249" t="str">
        <f>IF(Leger1!U44="","",IF(Leger1!U44&gt;=(Leger1!$C$4+2/3*(100-Leger1!$C$4)),"A",IF(Leger1!U44&gt;=(Leger1!$C$4+1/3*(100-Leger1!$C$4)),"B",IF(Leger1!U44&gt;=Leger1!$C$4,"C","D"))))</f>
        <v/>
      </c>
      <c r="R44" s="252" t="str">
        <f>IF(Leger1!V44="","",IF(Leger1!V44&gt;=(Leger1!$C$4+2/3*(100-Leger1!$C$4)),"A",IF(Leger1!V44&gt;=(Leger1!$C$4+1/3*(100-Leger1!$C$4)),"B",IF(Leger1!V44&gt;=Leger1!$C$4,"C","D"))))</f>
        <v/>
      </c>
      <c r="S44" s="249" t="str">
        <f>IF(Leger1!X44="","",IF(Leger1!X44&gt;=(Leger1!$C$4+2/3*(100-Leger1!$C$4)),"A",IF(Leger1!X44&gt;=(Leger1!$C$4+1/3*(100-Leger1!$C$4)),"B",IF(Leger1!X44&gt;=Leger1!$C$4,"C","D"))))</f>
        <v/>
      </c>
      <c r="T44" s="252" t="str">
        <f>IF(Leger1!Y44="","",IF(Leger1!Y44&gt;=(Leger1!$C$4+2/3*(100-Leger1!$C$4)),"A",IF(Leger1!Y44&gt;=(Leger1!$C$4+1/3*(100-Leger1!$C$4)),"B",IF(Leger1!Y44&gt;=Leger1!$C$4,"C","D"))))</f>
        <v/>
      </c>
      <c r="U44" s="249" t="str">
        <f>IF(Leger1!AA44="","",IF(Leger1!AA44&gt;=(Leger1!$C$4+2/3*(100-Leger1!$C$4)),"A",IF(Leger1!AA44&gt;=(Leger1!$C$4+1/3*(100-Leger1!$C$4)),"B",IF(Leger1!AA44&gt;=Leger1!$C$4,"C","D"))))</f>
        <v/>
      </c>
      <c r="V44" s="252" t="str">
        <f>IF(Leger1!AB44="","",IF(Leger1!AB44&gt;=(Leger1!$C$4+2/3*(100-Leger1!$C$4)),"A",IF(Leger1!AB44&gt;=(Leger1!$C$4+1/3*(100-Leger1!$C$4)),"B",IF(Leger1!AB44&gt;=Leger1!$C$4,"C","D"))))</f>
        <v/>
      </c>
      <c r="W44" s="249" t="str">
        <f>IF(Leger1!AD44="","",IF(Leger1!AD44&gt;=(Leger1!$C$4+2/3*(100-Leger1!$C$4)),"A",IF(Leger1!AD44&gt;=(Leger1!$C$4+1/3*(100-Leger1!$C$4)),"B",IF(Leger1!AD44&gt;=Leger1!$C$4,"C","D"))))</f>
        <v/>
      </c>
      <c r="X44" s="252" t="str">
        <f>IF(Leger1!AE44="","",IF(Leger1!AE44&gt;=(Leger1!$C$4+2/3*(100-Leger1!$C$4)),"A",IF(Leger1!AE44&gt;=(Leger1!$C$4+1/3*(100-Leger1!$C$4)),"B",IF(Leger1!AE44&gt;=Leger1!$C$4,"C","D"))))</f>
        <v/>
      </c>
      <c r="Y44" s="249" t="str">
        <f>IF(Leger1!AG44="","",IF(Leger1!AG44&gt;=(Leger1!$C$4+2/3*(100-Leger1!$C$4)),"A",IF(Leger1!AG44&gt;=(Leger1!$C$4+1/3*(100-Leger1!$C$4)),"B",IF(Leger1!AG44&gt;=Leger1!$C$4,"C","D"))))</f>
        <v/>
      </c>
      <c r="Z44" s="252" t="str">
        <f>IF(Leger1!AH44="","",IF(Leger1!AH44&gt;=(Leger1!$C$4+2/3*(100-Leger1!$C$4)),"A",IF(Leger1!AH44&gt;=(Leger1!$C$4+1/3*(100-Leger1!$C$4)),"B",IF(Leger1!AH44&gt;=Leger1!$C$4,"C","D"))))</f>
        <v/>
      </c>
      <c r="AA44" s="249" t="str">
        <f>IF(Leger1!AJ44="","",IF(Leger1!AJ44&gt;=(Leger1!$C$4+2/3*(100-Leger1!$C$4)),"A",IF(Leger1!AJ44&gt;=(Leger1!$C$4+1/3*(100-Leger1!$C$4)),"B",IF(Leger1!AJ44&gt;=Leger1!$C$4,"C","D"))))</f>
        <v/>
      </c>
      <c r="AB44" s="252" t="str">
        <f>IF(Leger1!AK44="","",IF(Leger1!AK44&gt;=(Leger1!$C$4+2/3*(100-Leger1!$C$4)),"A",IF(Leger1!AK44&gt;=(Leger1!$C$4+1/3*(100-Leger1!$C$4)),"B",IF(Leger1!AK44&gt;=Leger1!$C$4,"C","D"))))</f>
        <v/>
      </c>
      <c r="AC44" s="249" t="str">
        <f>IF(Leger1!AM44="","",IF(Leger1!AM44&gt;=(Leger1!$C$4+2/3*(100-Leger1!$C$4)),"A",IF(Leger1!AM44&gt;=(Leger1!$C$4+1/3*(100-Leger1!$C$4)),"B",IF(Leger1!AM44&gt;=Leger1!$C$4,"C","D"))))</f>
        <v/>
      </c>
      <c r="AD44" s="252" t="str">
        <f>IF(Leger1!AN44="","",IF(Leger1!AN44&gt;=(Leger1!$C$4+2/3*(100-Leger1!$C$4)),"A",IF(Leger1!AN44&gt;=(Leger1!$C$4+1/3*(100-Leger1!$C$4)),"B",IF(Leger1!AN44&gt;=Leger1!$C$4,"C","D"))))</f>
        <v/>
      </c>
      <c r="AE44" s="249" t="str">
        <f>IF(Leger1!AP44="","",IF(Leger1!AP44&gt;=(Leger1!$C$4+2/3*(100-Leger1!$C$4)),"A",IF(Leger1!AP44&gt;=(Leger1!$C$4+1/3*(100-Leger1!$C$4)),"B",IF(Leger1!AP44&gt;=Leger1!$C$4,"C","D"))))</f>
        <v/>
      </c>
      <c r="AF44" s="252" t="str">
        <f>IF(Leger1!AQ44="","",IF(Leger1!AQ44&gt;=(Leger1!$C$4+2/3*(100-Leger1!$C$4)),"A",IF(Leger1!AQ44&gt;=(Leger1!$C$4+1/3*(100-Leger1!$C$4)),"B",IF(Leger1!AQ44&gt;=Leger1!$C$4,"C","D"))))</f>
        <v/>
      </c>
      <c r="AG44" s="249" t="str">
        <f>IF(Leger1!AS44="","",IF(Leger1!AS44&gt;=(Leger1!$C$4+2/3*(100-Leger1!$C$4)),"A",IF(Leger1!AS44&gt;=(Leger1!$C$4+1/3*(100-Leger1!$C$4)),"B",IF(Leger1!AS44&gt;=Leger1!$C$4,"C","D"))))</f>
        <v/>
      </c>
      <c r="AH44" s="252" t="str">
        <f>IF(Leger1!AT44="","",IF(Leger1!AT44&gt;=(Leger1!$C$4+2/3*(100-Leger1!$C$4)),"A",IF(Leger1!AT44&gt;=(Leger1!$C$4+1/3*(100-Leger1!$C$4)),"B",IF(Leger1!AT44&gt;=Leger1!$C$4,"C","D"))))</f>
        <v/>
      </c>
      <c r="AI44" s="249" t="str">
        <f>IF(Leger1!AV44="","",IF(Leger1!AV44&gt;=(Leger1!$C$4+2/3*(100-Leger1!$C$4)),"A",IF(Leger1!AV44&gt;=(Leger1!$C$4+1/3*(100-Leger1!$C$4)),"B",IF(Leger1!AV44&gt;=Leger1!$C$4,"C","D"))))</f>
        <v/>
      </c>
      <c r="AJ44" s="252" t="str">
        <f>IF(Leger1!AW44="","",IF(Leger1!AW44&gt;=(Leger1!$C$4+2/3*(100-Leger1!$C$4)),"A",IF(Leger1!AW44&gt;=(Leger1!$C$4+1/3*(100-Leger1!$C$4)),"B",IF(Leger1!AW44&gt;=Leger1!$C$4,"C","D"))))</f>
        <v/>
      </c>
      <c r="AK44" s="249" t="str">
        <f>IF(Leger1!AY44="","",IF(Leger1!AY44&gt;=(Leger1!$C$4+2/3*(100-Leger1!$C$4)),"A",IF(Leger1!AY44&gt;=(Leger1!$C$4+1/3*(100-Leger1!$C$4)),"B",IF(Leger1!AY44&gt;=Leger1!$C$4,"C","D"))))</f>
        <v/>
      </c>
      <c r="AL44" s="252" t="str">
        <f>IF(Leger1!AZ44="","",IF(Leger1!AZ44&gt;=(Leger1!$C$4+2/3*(100-Leger1!$C$4)),"A",IF(Leger1!AZ44&gt;=(Leger1!$C$4+1/3*(100-Leger1!$C$4)),"B",IF(Leger1!AZ44&gt;=Leger1!$C$4,"C","D"))))</f>
        <v/>
      </c>
    </row>
    <row r="45" spans="5:38">
      <c r="E45" s="211" t="str">
        <f>Biodata!B44</f>
        <v/>
      </c>
      <c r="F45" s="212" t="str">
        <f>IF(Biodata!C44="","",VLOOKUP(E45,Biodata_Siswa,2,FALSE))</f>
        <v/>
      </c>
      <c r="G45" s="1015" t="str">
        <f>IF(Biodata!E44="","",PROPER(VLOOKUP(E45,Biodata_Siswa,4,FALSE)))</f>
        <v/>
      </c>
      <c r="H45" s="1016"/>
      <c r="I45" s="249" t="str">
        <f>IF(Leger1!I45="","",IF(Leger1!I45&gt;=(Leger1!$C$4+2/3*(100-Leger1!$C$4)),"A",IF(Leger1!I45&gt;=(Leger1!$C$4+1/3*(100-Leger1!$C$4)),"B",IF(Leger1!I45&gt;=Leger1!$C$4,"C","D"))))</f>
        <v/>
      </c>
      <c r="J45" s="252" t="str">
        <f>IF(Leger1!J45="","",IF(Leger1!J45&gt;=(Leger1!$C$4+2/3*(100-Leger1!$C$4)),"A",IF(Leger1!J45&gt;=(Leger1!$C$4+1/3*(100-Leger1!$C$4)),"B",IF(Leger1!J45&gt;=Leger1!$C$4,"C","D"))))</f>
        <v/>
      </c>
      <c r="K45" s="249" t="str">
        <f>IF(Leger1!L45="","",IF(Leger1!L45&gt;=(Leger1!$C$4+2/3*(100-Leger1!$C$4)),"A",IF(Leger1!L45&gt;=(Leger1!$C$4+1/3*(100-Leger1!$C$4)),"B",IF(Leger1!L45&gt;=Leger1!$C$4,"C","D"))))</f>
        <v/>
      </c>
      <c r="L45" s="252" t="str">
        <f>IF(Leger1!M45="","",IF(Leger1!M45&gt;=(Leger1!$C$4+2/3*(100-Leger1!$C$4)),"A",IF(Leger1!M45&gt;=(Leger1!$C$4+1/3*(100-Leger1!$C$4)),"B",IF(Leger1!M45&gt;=Leger1!$C$4,"C","D"))))</f>
        <v/>
      </c>
      <c r="M45" s="249" t="str">
        <f>IF(Leger1!O45="","",IF(Leger1!O45&gt;=(Leger1!$C$4+2/3*(100-Leger1!$C$4)),"A",IF(Leger1!O45&gt;=(Leger1!$C$4+1/3*(100-Leger1!$C$4)),"B",IF(Leger1!O45&gt;=Leger1!$C$4,"C","D"))))</f>
        <v/>
      </c>
      <c r="N45" s="252" t="str">
        <f>IF(Leger1!P45="","",IF(Leger1!P45&gt;=(Leger1!$C$4+2/3*(100-Leger1!$C$4)),"A",IF(Leger1!P45&gt;=(Leger1!$C$4+1/3*(100-Leger1!$C$4)),"B",IF(Leger1!P45&gt;=Leger1!$C$4,"C","D"))))</f>
        <v/>
      </c>
      <c r="O45" s="249" t="str">
        <f>IF(Leger1!R45="","",IF(Leger1!R45&gt;=(Leger1!$C$4+2/3*(100-Leger1!$C$4)),"A",IF(Leger1!R45&gt;=(Leger1!$C$4+1/3*(100-Leger1!$C$4)),"B",IF(Leger1!R45&gt;=Leger1!$C$4,"C","D"))))</f>
        <v/>
      </c>
      <c r="P45" s="252" t="str">
        <f>IF(Leger1!S45="","",IF(Leger1!S45&gt;=(Leger1!$C$4+2/3*(100-Leger1!$C$4)),"A",IF(Leger1!S45&gt;=(Leger1!$C$4+1/3*(100-Leger1!$C$4)),"B",IF(Leger1!S45&gt;=Leger1!$C$4,"C","D"))))</f>
        <v/>
      </c>
      <c r="Q45" s="249" t="str">
        <f>IF(Leger1!U45="","",IF(Leger1!U45&gt;=(Leger1!$C$4+2/3*(100-Leger1!$C$4)),"A",IF(Leger1!U45&gt;=(Leger1!$C$4+1/3*(100-Leger1!$C$4)),"B",IF(Leger1!U45&gt;=Leger1!$C$4,"C","D"))))</f>
        <v/>
      </c>
      <c r="R45" s="252" t="str">
        <f>IF(Leger1!V45="","",IF(Leger1!V45&gt;=(Leger1!$C$4+2/3*(100-Leger1!$C$4)),"A",IF(Leger1!V45&gt;=(Leger1!$C$4+1/3*(100-Leger1!$C$4)),"B",IF(Leger1!V45&gt;=Leger1!$C$4,"C","D"))))</f>
        <v/>
      </c>
      <c r="S45" s="249" t="str">
        <f>IF(Leger1!X45="","",IF(Leger1!X45&gt;=(Leger1!$C$4+2/3*(100-Leger1!$C$4)),"A",IF(Leger1!X45&gt;=(Leger1!$C$4+1/3*(100-Leger1!$C$4)),"B",IF(Leger1!X45&gt;=Leger1!$C$4,"C","D"))))</f>
        <v/>
      </c>
      <c r="T45" s="252" t="str">
        <f>IF(Leger1!Y45="","",IF(Leger1!Y45&gt;=(Leger1!$C$4+2/3*(100-Leger1!$C$4)),"A",IF(Leger1!Y45&gt;=(Leger1!$C$4+1/3*(100-Leger1!$C$4)),"B",IF(Leger1!Y45&gt;=Leger1!$C$4,"C","D"))))</f>
        <v/>
      </c>
      <c r="U45" s="249" t="str">
        <f>IF(Leger1!AA45="","",IF(Leger1!AA45&gt;=(Leger1!$C$4+2/3*(100-Leger1!$C$4)),"A",IF(Leger1!AA45&gt;=(Leger1!$C$4+1/3*(100-Leger1!$C$4)),"B",IF(Leger1!AA45&gt;=Leger1!$C$4,"C","D"))))</f>
        <v/>
      </c>
      <c r="V45" s="252" t="str">
        <f>IF(Leger1!AB45="","",IF(Leger1!AB45&gt;=(Leger1!$C$4+2/3*(100-Leger1!$C$4)),"A",IF(Leger1!AB45&gt;=(Leger1!$C$4+1/3*(100-Leger1!$C$4)),"B",IF(Leger1!AB45&gt;=Leger1!$C$4,"C","D"))))</f>
        <v/>
      </c>
      <c r="W45" s="249" t="str">
        <f>IF(Leger1!AD45="","",IF(Leger1!AD45&gt;=(Leger1!$C$4+2/3*(100-Leger1!$C$4)),"A",IF(Leger1!AD45&gt;=(Leger1!$C$4+1/3*(100-Leger1!$C$4)),"B",IF(Leger1!AD45&gt;=Leger1!$C$4,"C","D"))))</f>
        <v/>
      </c>
      <c r="X45" s="252" t="str">
        <f>IF(Leger1!AE45="","",IF(Leger1!AE45&gt;=(Leger1!$C$4+2/3*(100-Leger1!$C$4)),"A",IF(Leger1!AE45&gt;=(Leger1!$C$4+1/3*(100-Leger1!$C$4)),"B",IF(Leger1!AE45&gt;=Leger1!$C$4,"C","D"))))</f>
        <v/>
      </c>
      <c r="Y45" s="249" t="str">
        <f>IF(Leger1!AG45="","",IF(Leger1!AG45&gt;=(Leger1!$C$4+2/3*(100-Leger1!$C$4)),"A",IF(Leger1!AG45&gt;=(Leger1!$C$4+1/3*(100-Leger1!$C$4)),"B",IF(Leger1!AG45&gt;=Leger1!$C$4,"C","D"))))</f>
        <v/>
      </c>
      <c r="Z45" s="252" t="str">
        <f>IF(Leger1!AH45="","",IF(Leger1!AH45&gt;=(Leger1!$C$4+2/3*(100-Leger1!$C$4)),"A",IF(Leger1!AH45&gt;=(Leger1!$C$4+1/3*(100-Leger1!$C$4)),"B",IF(Leger1!AH45&gt;=Leger1!$C$4,"C","D"))))</f>
        <v/>
      </c>
      <c r="AA45" s="249" t="str">
        <f>IF(Leger1!AJ45="","",IF(Leger1!AJ45&gt;=(Leger1!$C$4+2/3*(100-Leger1!$C$4)),"A",IF(Leger1!AJ45&gt;=(Leger1!$C$4+1/3*(100-Leger1!$C$4)),"B",IF(Leger1!AJ45&gt;=Leger1!$C$4,"C","D"))))</f>
        <v/>
      </c>
      <c r="AB45" s="252" t="str">
        <f>IF(Leger1!AK45="","",IF(Leger1!AK45&gt;=(Leger1!$C$4+2/3*(100-Leger1!$C$4)),"A",IF(Leger1!AK45&gt;=(Leger1!$C$4+1/3*(100-Leger1!$C$4)),"B",IF(Leger1!AK45&gt;=Leger1!$C$4,"C","D"))))</f>
        <v/>
      </c>
      <c r="AC45" s="249" t="str">
        <f>IF(Leger1!AM45="","",IF(Leger1!AM45&gt;=(Leger1!$C$4+2/3*(100-Leger1!$C$4)),"A",IF(Leger1!AM45&gt;=(Leger1!$C$4+1/3*(100-Leger1!$C$4)),"B",IF(Leger1!AM45&gt;=Leger1!$C$4,"C","D"))))</f>
        <v/>
      </c>
      <c r="AD45" s="252" t="str">
        <f>IF(Leger1!AN45="","",IF(Leger1!AN45&gt;=(Leger1!$C$4+2/3*(100-Leger1!$C$4)),"A",IF(Leger1!AN45&gt;=(Leger1!$C$4+1/3*(100-Leger1!$C$4)),"B",IF(Leger1!AN45&gt;=Leger1!$C$4,"C","D"))))</f>
        <v/>
      </c>
      <c r="AE45" s="249" t="str">
        <f>IF(Leger1!AP45="","",IF(Leger1!AP45&gt;=(Leger1!$C$4+2/3*(100-Leger1!$C$4)),"A",IF(Leger1!AP45&gt;=(Leger1!$C$4+1/3*(100-Leger1!$C$4)),"B",IF(Leger1!AP45&gt;=Leger1!$C$4,"C","D"))))</f>
        <v/>
      </c>
      <c r="AF45" s="252" t="str">
        <f>IF(Leger1!AQ45="","",IF(Leger1!AQ45&gt;=(Leger1!$C$4+2/3*(100-Leger1!$C$4)),"A",IF(Leger1!AQ45&gt;=(Leger1!$C$4+1/3*(100-Leger1!$C$4)),"B",IF(Leger1!AQ45&gt;=Leger1!$C$4,"C","D"))))</f>
        <v/>
      </c>
      <c r="AG45" s="249" t="str">
        <f>IF(Leger1!AS45="","",IF(Leger1!AS45&gt;=(Leger1!$C$4+2/3*(100-Leger1!$C$4)),"A",IF(Leger1!AS45&gt;=(Leger1!$C$4+1/3*(100-Leger1!$C$4)),"B",IF(Leger1!AS45&gt;=Leger1!$C$4,"C","D"))))</f>
        <v/>
      </c>
      <c r="AH45" s="252" t="str">
        <f>IF(Leger1!AT45="","",IF(Leger1!AT45&gt;=(Leger1!$C$4+2/3*(100-Leger1!$C$4)),"A",IF(Leger1!AT45&gt;=(Leger1!$C$4+1/3*(100-Leger1!$C$4)),"B",IF(Leger1!AT45&gt;=Leger1!$C$4,"C","D"))))</f>
        <v/>
      </c>
      <c r="AI45" s="249" t="str">
        <f>IF(Leger1!AV45="","",IF(Leger1!AV45&gt;=(Leger1!$C$4+2/3*(100-Leger1!$C$4)),"A",IF(Leger1!AV45&gt;=(Leger1!$C$4+1/3*(100-Leger1!$C$4)),"B",IF(Leger1!AV45&gt;=Leger1!$C$4,"C","D"))))</f>
        <v/>
      </c>
      <c r="AJ45" s="252" t="str">
        <f>IF(Leger1!AW45="","",IF(Leger1!AW45&gt;=(Leger1!$C$4+2/3*(100-Leger1!$C$4)),"A",IF(Leger1!AW45&gt;=(Leger1!$C$4+1/3*(100-Leger1!$C$4)),"B",IF(Leger1!AW45&gt;=Leger1!$C$4,"C","D"))))</f>
        <v/>
      </c>
      <c r="AK45" s="249" t="str">
        <f>IF(Leger1!AY45="","",IF(Leger1!AY45&gt;=(Leger1!$C$4+2/3*(100-Leger1!$C$4)),"A",IF(Leger1!AY45&gt;=(Leger1!$C$4+1/3*(100-Leger1!$C$4)),"B",IF(Leger1!AY45&gt;=Leger1!$C$4,"C","D"))))</f>
        <v/>
      </c>
      <c r="AL45" s="252" t="str">
        <f>IF(Leger1!AZ45="","",IF(Leger1!AZ45&gt;=(Leger1!$C$4+2/3*(100-Leger1!$C$4)),"A",IF(Leger1!AZ45&gt;=(Leger1!$C$4+1/3*(100-Leger1!$C$4)),"B",IF(Leger1!AZ45&gt;=Leger1!$C$4,"C","D"))))</f>
        <v/>
      </c>
    </row>
    <row r="46" spans="5:38" ht="17.25" thickBot="1">
      <c r="E46" s="218" t="str">
        <f>Biodata!B45</f>
        <v/>
      </c>
      <c r="F46" s="219" t="str">
        <f>IF(Biodata!C45="","",VLOOKUP(E46,Biodata_Siswa,2,FALSE))</f>
        <v/>
      </c>
      <c r="G46" s="899" t="str">
        <f>IF(Biodata!E45="","",PROPER(VLOOKUP(E46,Biodata_Siswa,4,FALSE)))</f>
        <v/>
      </c>
      <c r="H46" s="900"/>
      <c r="I46" s="253" t="str">
        <f>IF(Leger1!I46="","",IF(Leger1!I46&gt;=(Leger1!$C$4+2/3*(100-Leger1!$C$4)),"A",IF(Leger1!I46&gt;=(Leger1!$C$4+1/3*(100-Leger1!$C$4)),"B",IF(Leger1!I46&gt;=Leger1!$C$4,"C","D"))))</f>
        <v/>
      </c>
      <c r="J46" s="254" t="str">
        <f>IF(Leger1!J46="","",IF(Leger1!J46&gt;=(Leger1!$C$4+2/3*(100-Leger1!$C$4)),"A",IF(Leger1!J46&gt;=(Leger1!$C$4+1/3*(100-Leger1!$C$4)),"B",IF(Leger1!J46&gt;=Leger1!$C$4,"C","D"))))</f>
        <v/>
      </c>
      <c r="K46" s="253" t="str">
        <f>IF(Leger1!L46="","",IF(Leger1!L46&gt;=(Leger1!$C$4+2/3*(100-Leger1!$C$4)),"A",IF(Leger1!L46&gt;=(Leger1!$C$4+1/3*(100-Leger1!$C$4)),"B",IF(Leger1!L46&gt;=Leger1!$C$4,"C","D"))))</f>
        <v/>
      </c>
      <c r="L46" s="254" t="str">
        <f>IF(Leger1!M46="","",IF(Leger1!M46&gt;=(Leger1!$C$4+2/3*(100-Leger1!$C$4)),"A",IF(Leger1!M46&gt;=(Leger1!$C$4+1/3*(100-Leger1!$C$4)),"B",IF(Leger1!M46&gt;=Leger1!$C$4,"C","D"))))</f>
        <v/>
      </c>
      <c r="M46" s="253" t="str">
        <f>IF(Leger1!O46="","",IF(Leger1!O46&gt;=(Leger1!$C$4+2/3*(100-Leger1!$C$4)),"A",IF(Leger1!O46&gt;=(Leger1!$C$4+1/3*(100-Leger1!$C$4)),"B",IF(Leger1!O46&gt;=Leger1!$C$4,"C","D"))))</f>
        <v/>
      </c>
      <c r="N46" s="254" t="str">
        <f>IF(Leger1!P46="","",IF(Leger1!P46&gt;=(Leger1!$C$4+2/3*(100-Leger1!$C$4)),"A",IF(Leger1!P46&gt;=(Leger1!$C$4+1/3*(100-Leger1!$C$4)),"B",IF(Leger1!P46&gt;=Leger1!$C$4,"C","D"))))</f>
        <v/>
      </c>
      <c r="O46" s="253" t="str">
        <f>IF(Leger1!R46="","",IF(Leger1!R46&gt;=(Leger1!$C$4+2/3*(100-Leger1!$C$4)),"A",IF(Leger1!R46&gt;=(Leger1!$C$4+1/3*(100-Leger1!$C$4)),"B",IF(Leger1!R46&gt;=Leger1!$C$4,"C","D"))))</f>
        <v/>
      </c>
      <c r="P46" s="254" t="str">
        <f>IF(Leger1!S46="","",IF(Leger1!S46&gt;=(Leger1!$C$4+2/3*(100-Leger1!$C$4)),"A",IF(Leger1!S46&gt;=(Leger1!$C$4+1/3*(100-Leger1!$C$4)),"B",IF(Leger1!S46&gt;=Leger1!$C$4,"C","D"))))</f>
        <v/>
      </c>
      <c r="Q46" s="253" t="str">
        <f>IF(Leger1!U46="","",IF(Leger1!U46&gt;=(Leger1!$C$4+2/3*(100-Leger1!$C$4)),"A",IF(Leger1!U46&gt;=(Leger1!$C$4+1/3*(100-Leger1!$C$4)),"B",IF(Leger1!U46&gt;=Leger1!$C$4,"C","D"))))</f>
        <v/>
      </c>
      <c r="R46" s="254" t="str">
        <f>IF(Leger1!V46="","",IF(Leger1!V46&gt;=(Leger1!$C$4+2/3*(100-Leger1!$C$4)),"A",IF(Leger1!V46&gt;=(Leger1!$C$4+1/3*(100-Leger1!$C$4)),"B",IF(Leger1!V46&gt;=Leger1!$C$4,"C","D"))))</f>
        <v/>
      </c>
      <c r="S46" s="253" t="str">
        <f>IF(Leger1!X46="","",IF(Leger1!X46&gt;=(Leger1!$C$4+2/3*(100-Leger1!$C$4)),"A",IF(Leger1!X46&gt;=(Leger1!$C$4+1/3*(100-Leger1!$C$4)),"B",IF(Leger1!X46&gt;=Leger1!$C$4,"C","D"))))</f>
        <v/>
      </c>
      <c r="T46" s="254" t="str">
        <f>IF(Leger1!Y46="","",IF(Leger1!Y46&gt;=(Leger1!$C$4+2/3*(100-Leger1!$C$4)),"A",IF(Leger1!Y46&gt;=(Leger1!$C$4+1/3*(100-Leger1!$C$4)),"B",IF(Leger1!Y46&gt;=Leger1!$C$4,"C","D"))))</f>
        <v/>
      </c>
      <c r="U46" s="253" t="str">
        <f>IF(Leger1!AA46="","",IF(Leger1!AA46&gt;=(Leger1!$C$4+2/3*(100-Leger1!$C$4)),"A",IF(Leger1!AA46&gt;=(Leger1!$C$4+1/3*(100-Leger1!$C$4)),"B",IF(Leger1!AA46&gt;=Leger1!$C$4,"C","D"))))</f>
        <v/>
      </c>
      <c r="V46" s="254" t="str">
        <f>IF(Leger1!AB46="","",IF(Leger1!AB46&gt;=(Leger1!$C$4+2/3*(100-Leger1!$C$4)),"A",IF(Leger1!AB46&gt;=(Leger1!$C$4+1/3*(100-Leger1!$C$4)),"B",IF(Leger1!AB46&gt;=Leger1!$C$4,"C","D"))))</f>
        <v/>
      </c>
      <c r="W46" s="253" t="str">
        <f>IF(Leger1!AD46="","",IF(Leger1!AD46&gt;=(Leger1!$C$4+2/3*(100-Leger1!$C$4)),"A",IF(Leger1!AD46&gt;=(Leger1!$C$4+1/3*(100-Leger1!$C$4)),"B",IF(Leger1!AD46&gt;=Leger1!$C$4,"C","D"))))</f>
        <v/>
      </c>
      <c r="X46" s="254" t="str">
        <f>IF(Leger1!AE46="","",IF(Leger1!AE46&gt;=(Leger1!$C$4+2/3*(100-Leger1!$C$4)),"A",IF(Leger1!AE46&gt;=(Leger1!$C$4+1/3*(100-Leger1!$C$4)),"B",IF(Leger1!AE46&gt;=Leger1!$C$4,"C","D"))))</f>
        <v/>
      </c>
      <c r="Y46" s="253" t="str">
        <f>IF(Leger1!AG46="","",IF(Leger1!AG46&gt;=(Leger1!$C$4+2/3*(100-Leger1!$C$4)),"A",IF(Leger1!AG46&gt;=(Leger1!$C$4+1/3*(100-Leger1!$C$4)),"B",IF(Leger1!AG46&gt;=Leger1!$C$4,"C","D"))))</f>
        <v/>
      </c>
      <c r="Z46" s="254" t="str">
        <f>IF(Leger1!AH46="","",IF(Leger1!AH46&gt;=(Leger1!$C$4+2/3*(100-Leger1!$C$4)),"A",IF(Leger1!AH46&gt;=(Leger1!$C$4+1/3*(100-Leger1!$C$4)),"B",IF(Leger1!AH46&gt;=Leger1!$C$4,"C","D"))))</f>
        <v/>
      </c>
      <c r="AA46" s="253" t="str">
        <f>IF(Leger1!AJ46="","",IF(Leger1!AJ46&gt;=(Leger1!$C$4+2/3*(100-Leger1!$C$4)),"A",IF(Leger1!AJ46&gt;=(Leger1!$C$4+1/3*(100-Leger1!$C$4)),"B",IF(Leger1!AJ46&gt;=Leger1!$C$4,"C","D"))))</f>
        <v/>
      </c>
      <c r="AB46" s="254" t="str">
        <f>IF(Leger1!AK46="","",IF(Leger1!AK46&gt;=(Leger1!$C$4+2/3*(100-Leger1!$C$4)),"A",IF(Leger1!AK46&gt;=(Leger1!$C$4+1/3*(100-Leger1!$C$4)),"B",IF(Leger1!AK46&gt;=Leger1!$C$4,"C","D"))))</f>
        <v/>
      </c>
      <c r="AC46" s="253" t="str">
        <f>IF(Leger1!AM46="","",IF(Leger1!AM46&gt;=(Leger1!$C$4+2/3*(100-Leger1!$C$4)),"A",IF(Leger1!AM46&gt;=(Leger1!$C$4+1/3*(100-Leger1!$C$4)),"B",IF(Leger1!AM46&gt;=Leger1!$C$4,"C","D"))))</f>
        <v/>
      </c>
      <c r="AD46" s="254" t="str">
        <f>IF(Leger1!AN46="","",IF(Leger1!AN46&gt;=(Leger1!$C$4+2/3*(100-Leger1!$C$4)),"A",IF(Leger1!AN46&gt;=(Leger1!$C$4+1/3*(100-Leger1!$C$4)),"B",IF(Leger1!AN46&gt;=Leger1!$C$4,"C","D"))))</f>
        <v/>
      </c>
      <c r="AE46" s="253" t="str">
        <f>IF(Leger1!AP46="","",IF(Leger1!AP46&gt;=(Leger1!$C$4+2/3*(100-Leger1!$C$4)),"A",IF(Leger1!AP46&gt;=(Leger1!$C$4+1/3*(100-Leger1!$C$4)),"B",IF(Leger1!AP46&gt;=Leger1!$C$4,"C","D"))))</f>
        <v/>
      </c>
      <c r="AF46" s="254" t="str">
        <f>IF(Leger1!AQ46="","",IF(Leger1!AQ46&gt;=(Leger1!$C$4+2/3*(100-Leger1!$C$4)),"A",IF(Leger1!AQ46&gt;=(Leger1!$C$4+1/3*(100-Leger1!$C$4)),"B",IF(Leger1!AQ46&gt;=Leger1!$C$4,"C","D"))))</f>
        <v/>
      </c>
      <c r="AG46" s="253" t="str">
        <f>IF(Leger1!AS46="","",IF(Leger1!AS46&gt;=(Leger1!$C$4+2/3*(100-Leger1!$C$4)),"A",IF(Leger1!AS46&gt;=(Leger1!$C$4+1/3*(100-Leger1!$C$4)),"B",IF(Leger1!AS46&gt;=Leger1!$C$4,"C","D"))))</f>
        <v/>
      </c>
      <c r="AH46" s="254" t="str">
        <f>IF(Leger1!AT46="","",IF(Leger1!AT46&gt;=(Leger1!$C$4+2/3*(100-Leger1!$C$4)),"A",IF(Leger1!AT46&gt;=(Leger1!$C$4+1/3*(100-Leger1!$C$4)),"B",IF(Leger1!AT46&gt;=Leger1!$C$4,"C","D"))))</f>
        <v/>
      </c>
      <c r="AI46" s="253" t="str">
        <f>IF(Leger1!AV46="","",IF(Leger1!AV46&gt;=(Leger1!$C$4+2/3*(100-Leger1!$C$4)),"A",IF(Leger1!AV46&gt;=(Leger1!$C$4+1/3*(100-Leger1!$C$4)),"B",IF(Leger1!AV46&gt;=Leger1!$C$4,"C","D"))))</f>
        <v/>
      </c>
      <c r="AJ46" s="254" t="str">
        <f>IF(Leger1!AW46="","",IF(Leger1!AW46&gt;=(Leger1!$C$4+2/3*(100-Leger1!$C$4)),"A",IF(Leger1!AW46&gt;=(Leger1!$C$4+1/3*(100-Leger1!$C$4)),"B",IF(Leger1!AW46&gt;=Leger1!$C$4,"C","D"))))</f>
        <v/>
      </c>
      <c r="AK46" s="253" t="str">
        <f>IF(Leger1!AY46="","",IF(Leger1!AY46&gt;=(Leger1!$C$4+2/3*(100-Leger1!$C$4)),"A",IF(Leger1!AY46&gt;=(Leger1!$C$4+1/3*(100-Leger1!$C$4)),"B",IF(Leger1!AY46&gt;=Leger1!$C$4,"C","D"))))</f>
        <v/>
      </c>
      <c r="AL46" s="254" t="str">
        <f>IF(Leger1!AZ46="","",IF(Leger1!AZ46&gt;=(Leger1!$C$4+2/3*(100-Leger1!$C$4)),"A",IF(Leger1!AZ46&gt;=(Leger1!$C$4+1/3*(100-Leger1!$C$4)),"B",IF(Leger1!AZ46&gt;=Leger1!$C$4,"C","D"))))</f>
        <v/>
      </c>
    </row>
    <row r="47" spans="5:38"/>
    <row r="48" spans="5:38" hidden="1"/>
    <row r="49" spans="2:3" hidden="1"/>
    <row r="50" spans="2:3" hidden="1"/>
    <row r="51" spans="2:3" hidden="1"/>
    <row r="52" spans="2:3" hidden="1"/>
    <row r="53" spans="2:3" hidden="1"/>
    <row r="54" spans="2:3" hidden="1">
      <c r="B54" s="20"/>
      <c r="C54" s="17"/>
    </row>
    <row r="55" spans="2:3" hidden="1"/>
    <row r="56" spans="2:3" hidden="1"/>
    <row r="57" spans="2:3" hidden="1"/>
    <row r="58" spans="2:3" hidden="1"/>
    <row r="59" spans="2:3" hidden="1"/>
    <row r="60" spans="2:3" hidden="1"/>
    <row r="61" spans="2:3" hidden="1"/>
    <row r="62" spans="2:3" hidden="1"/>
    <row r="63" spans="2:3" hidden="1"/>
    <row r="64" spans="2:3" hidden="1"/>
    <row r="65" spans="2:38" hidden="1"/>
    <row r="66" spans="2:38" hidden="1"/>
    <row r="67" spans="2:38" hidden="1"/>
    <row r="68" spans="2:38" hidden="1"/>
    <row r="69" spans="2:38" hidden="1"/>
    <row r="70" spans="2:38" hidden="1"/>
    <row r="71" spans="2:38" hidden="1"/>
    <row r="72" spans="2:38" s="17" customFormat="1" hidden="1">
      <c r="B72" s="19"/>
      <c r="C72" s="16"/>
      <c r="E72" s="17">
        <f>DL!M32</f>
        <v>0</v>
      </c>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row>
  </sheetData>
  <sheetProtection password="CE75" sheet="1" objects="1" scenarios="1"/>
  <mergeCells count="80">
    <mergeCell ref="E2:G3"/>
    <mergeCell ref="H2:H3"/>
    <mergeCell ref="I2:AD2"/>
    <mergeCell ref="AE2:AL2"/>
    <mergeCell ref="W3:X3"/>
    <mergeCell ref="Y3:Z3"/>
    <mergeCell ref="AA3:AB3"/>
    <mergeCell ref="AC3:AD3"/>
    <mergeCell ref="AE3:AF3"/>
    <mergeCell ref="AG3:AH3"/>
    <mergeCell ref="AI3:AJ3"/>
    <mergeCell ref="AK3:AL3"/>
    <mergeCell ref="S3:T3"/>
    <mergeCell ref="U3:V3"/>
    <mergeCell ref="I3:J3"/>
    <mergeCell ref="E4:H4"/>
    <mergeCell ref="I4:J5"/>
    <mergeCell ref="K4:L5"/>
    <mergeCell ref="M4:N5"/>
    <mergeCell ref="O4:P5"/>
    <mergeCell ref="E5:E6"/>
    <mergeCell ref="F5:F6"/>
    <mergeCell ref="G5:H6"/>
    <mergeCell ref="Q4:R5"/>
    <mergeCell ref="K3:L3"/>
    <mergeCell ref="M3:N3"/>
    <mergeCell ref="O3:P3"/>
    <mergeCell ref="Q3:R3"/>
    <mergeCell ref="AI4:AJ5"/>
    <mergeCell ref="AK4:AL5"/>
    <mergeCell ref="S4:T5"/>
    <mergeCell ref="U4:V5"/>
    <mergeCell ref="W4:X5"/>
    <mergeCell ref="Y4:Z5"/>
    <mergeCell ref="AA4:AB5"/>
    <mergeCell ref="AC4:AD5"/>
    <mergeCell ref="AE4:AF5"/>
    <mergeCell ref="AG4:AH5"/>
    <mergeCell ref="B9:C9"/>
    <mergeCell ref="G27:H27"/>
    <mergeCell ref="G28:H28"/>
    <mergeCell ref="G29:H29"/>
    <mergeCell ref="G22:H22"/>
    <mergeCell ref="G23:H23"/>
    <mergeCell ref="G24:H24"/>
    <mergeCell ref="G19:H19"/>
    <mergeCell ref="G20:H20"/>
    <mergeCell ref="G21:H21"/>
    <mergeCell ref="G16:H16"/>
    <mergeCell ref="G17:H17"/>
    <mergeCell ref="G18:H18"/>
    <mergeCell ref="G13:H13"/>
    <mergeCell ref="G14:H14"/>
    <mergeCell ref="G15:H15"/>
    <mergeCell ref="G40:H40"/>
    <mergeCell ref="B23:C23"/>
    <mergeCell ref="G41:H41"/>
    <mergeCell ref="G30:H30"/>
    <mergeCell ref="G31:H31"/>
    <mergeCell ref="G32:H32"/>
    <mergeCell ref="G33:H33"/>
    <mergeCell ref="G34:H34"/>
    <mergeCell ref="G35:H35"/>
    <mergeCell ref="G25:H25"/>
    <mergeCell ref="G26:H26"/>
    <mergeCell ref="G36:H36"/>
    <mergeCell ref="G37:H37"/>
    <mergeCell ref="G38:H38"/>
    <mergeCell ref="G39:H39"/>
    <mergeCell ref="G10:H10"/>
    <mergeCell ref="G11:H11"/>
    <mergeCell ref="G12:H12"/>
    <mergeCell ref="G7:H7"/>
    <mergeCell ref="G8:H8"/>
    <mergeCell ref="G9:H9"/>
    <mergeCell ref="G42:H42"/>
    <mergeCell ref="G43:H43"/>
    <mergeCell ref="G44:H44"/>
    <mergeCell ref="G45:H45"/>
    <mergeCell ref="G46:H46"/>
  </mergeCells>
  <pageMargins left="0.32" right="0.26" top="0.36" bottom="0.35" header="0.3" footer="0.3"/>
  <pageSetup paperSize="9" scale="71" orientation="landscape" r:id="rId1"/>
  <drawing r:id="rId2"/>
</worksheet>
</file>

<file path=xl/worksheets/sheet16.xml><?xml version="1.0" encoding="utf-8"?>
<worksheet xmlns="http://schemas.openxmlformats.org/spreadsheetml/2006/main" xmlns:r="http://schemas.openxmlformats.org/officeDocument/2006/relationships">
  <sheetPr codeName="Sheet77">
    <tabColor theme="9"/>
  </sheetPr>
  <dimension ref="A1:BM72"/>
  <sheetViews>
    <sheetView showRowColHeaders="0" zoomScale="85" zoomScaleNormal="85" zoomScaleSheetLayoutView="85" workbookViewId="0">
      <pane xSplit="8" topLeftCell="I1" activePane="topRight" state="frozenSplit"/>
      <selection pane="topRight" activeCell="BB4" sqref="BB4:BD6"/>
    </sheetView>
  </sheetViews>
  <sheetFormatPr defaultColWidth="0" defaultRowHeight="0" customHeight="1" zeroHeight="1"/>
  <cols>
    <col min="1" max="1" width="1.7109375" style="198" customWidth="1"/>
    <col min="2" max="2" width="11.140625" style="197" customWidth="1"/>
    <col min="3" max="3" width="1.28515625" style="198" customWidth="1"/>
    <col min="4" max="4" width="2.5703125" style="198" hidden="1" customWidth="1"/>
    <col min="5" max="5" width="5.7109375" style="199" customWidth="1"/>
    <col min="6" max="6" width="7.5703125" style="199" customWidth="1"/>
    <col min="7" max="7" width="13.42578125" style="199" customWidth="1"/>
    <col min="8" max="8" width="14.5703125" style="199" customWidth="1"/>
    <col min="9" max="10" width="4.28515625" style="645" customWidth="1"/>
    <col min="11" max="11" width="4.28515625" style="645" hidden="1" customWidth="1"/>
    <col min="12" max="13" width="4.28515625" style="645" customWidth="1"/>
    <col min="14" max="14" width="4.28515625" style="645" hidden="1" customWidth="1"/>
    <col min="15" max="16" width="4.28515625" style="645" customWidth="1"/>
    <col min="17" max="17" width="4.28515625" style="645" hidden="1" customWidth="1"/>
    <col min="18" max="19" width="4.28515625" style="645" customWidth="1"/>
    <col min="20" max="20" width="4.28515625" style="645" hidden="1" customWidth="1"/>
    <col min="21" max="22" width="4.28515625" style="645" customWidth="1"/>
    <col min="23" max="23" width="4.28515625" style="645" hidden="1" customWidth="1"/>
    <col min="24" max="25" width="4.28515625" style="645" customWidth="1"/>
    <col min="26" max="26" width="4.28515625" style="645" hidden="1" customWidth="1"/>
    <col min="27" max="28" width="4.28515625" style="645" customWidth="1"/>
    <col min="29" max="29" width="4.28515625" style="645" hidden="1" customWidth="1"/>
    <col min="30" max="31" width="4.28515625" style="645" customWidth="1"/>
    <col min="32" max="32" width="4.28515625" style="645" hidden="1" customWidth="1"/>
    <col min="33" max="34" width="4.28515625" style="645" customWidth="1"/>
    <col min="35" max="35" width="4.28515625" style="645" hidden="1" customWidth="1"/>
    <col min="36" max="37" width="4.28515625" style="645" customWidth="1"/>
    <col min="38" max="38" width="4.28515625" style="645" hidden="1" customWidth="1"/>
    <col min="39" max="40" width="4.28515625" style="645" customWidth="1"/>
    <col min="41" max="41" width="4.28515625" style="645" hidden="1" customWidth="1"/>
    <col min="42" max="43" width="4.28515625" style="645" customWidth="1"/>
    <col min="44" max="44" width="4.28515625" style="645" hidden="1" customWidth="1"/>
    <col min="45" max="46" width="4.28515625" style="645" customWidth="1"/>
    <col min="47" max="47" width="4.28515625" style="645" hidden="1" customWidth="1"/>
    <col min="48" max="49" width="4.28515625" style="645" customWidth="1"/>
    <col min="50" max="50" width="4.28515625" style="645" hidden="1" customWidth="1"/>
    <col min="51" max="52" width="4.28515625" style="645" customWidth="1"/>
    <col min="53" max="53" width="5.7109375" style="198" hidden="1" customWidth="1"/>
    <col min="54" max="54" width="6.28515625" style="199" customWidth="1"/>
    <col min="55" max="55" width="6.5703125" style="199" customWidth="1"/>
    <col min="56" max="56" width="5.140625" style="199" customWidth="1"/>
    <col min="57" max="57" width="18.5703125" style="198" customWidth="1"/>
    <col min="58" max="64" width="9.140625" style="198" hidden="1" customWidth="1"/>
    <col min="65" max="65" width="28.7109375" style="198" hidden="1" customWidth="1"/>
    <col min="66" max="16384" width="9.140625" style="198" hidden="1"/>
  </cols>
  <sheetData>
    <row r="1" spans="2:56" ht="17.25" thickBot="1"/>
    <row r="2" spans="2:56" ht="18.75" customHeight="1" thickBot="1">
      <c r="C2" s="1081" t="s">
        <v>80</v>
      </c>
      <c r="E2" s="1082" t="s">
        <v>57</v>
      </c>
      <c r="F2" s="1083"/>
      <c r="G2" s="1083"/>
      <c r="H2" s="1084" t="str">
        <f>UPPER(_smt_ganjil)</f>
        <v>3 (TIGA)</v>
      </c>
      <c r="I2" s="1085" t="s">
        <v>53</v>
      </c>
      <c r="J2" s="1086"/>
      <c r="K2" s="1086"/>
      <c r="L2" s="1086"/>
      <c r="M2" s="1086"/>
      <c r="N2" s="1086"/>
      <c r="O2" s="1086"/>
      <c r="P2" s="1086"/>
      <c r="Q2" s="1086"/>
      <c r="R2" s="1086"/>
      <c r="S2" s="1086"/>
      <c r="T2" s="1086"/>
      <c r="U2" s="1086"/>
      <c r="V2" s="1086"/>
      <c r="W2" s="1086"/>
      <c r="X2" s="1086"/>
      <c r="Y2" s="1086"/>
      <c r="Z2" s="1086"/>
      <c r="AA2" s="1086"/>
      <c r="AB2" s="1086"/>
      <c r="AC2" s="1086"/>
      <c r="AD2" s="1086"/>
      <c r="AE2" s="1086"/>
      <c r="AF2" s="1086"/>
      <c r="AG2" s="1086"/>
      <c r="AH2" s="1086"/>
      <c r="AI2" s="1086"/>
      <c r="AJ2" s="1086"/>
      <c r="AK2" s="1086"/>
      <c r="AL2" s="1086"/>
      <c r="AM2" s="1086"/>
      <c r="AN2" s="1086"/>
      <c r="AO2" s="1087"/>
      <c r="AP2" s="1088" t="s">
        <v>58</v>
      </c>
      <c r="AQ2" s="1089"/>
      <c r="AR2" s="1089"/>
      <c r="AS2" s="1089"/>
      <c r="AT2" s="1089"/>
      <c r="AU2" s="1089"/>
      <c r="AV2" s="1089"/>
      <c r="AW2" s="1089"/>
      <c r="AX2" s="1089"/>
      <c r="AY2" s="1089"/>
      <c r="AZ2" s="1089"/>
      <c r="BA2" s="1090"/>
      <c r="BB2" s="1091" t="s">
        <v>60</v>
      </c>
      <c r="BC2" s="1092"/>
      <c r="BD2" s="1093"/>
    </row>
    <row r="3" spans="2:56" s="201" customFormat="1" ht="17.25" customHeight="1" thickBot="1">
      <c r="B3" s="200"/>
      <c r="C3" s="1081"/>
      <c r="E3" s="933"/>
      <c r="F3" s="934"/>
      <c r="G3" s="934"/>
      <c r="H3" s="936"/>
      <c r="I3" s="1064">
        <v>1</v>
      </c>
      <c r="J3" s="1065"/>
      <c r="K3" s="1065"/>
      <c r="L3" s="1064">
        <v>2</v>
      </c>
      <c r="M3" s="1065"/>
      <c r="N3" s="1065"/>
      <c r="O3" s="1064">
        <v>3</v>
      </c>
      <c r="P3" s="1065"/>
      <c r="Q3" s="1065"/>
      <c r="R3" s="1064">
        <v>4</v>
      </c>
      <c r="S3" s="1065"/>
      <c r="T3" s="1066"/>
      <c r="U3" s="1064">
        <v>5</v>
      </c>
      <c r="V3" s="1065"/>
      <c r="W3" s="1066"/>
      <c r="X3" s="1064">
        <v>6</v>
      </c>
      <c r="Y3" s="1065"/>
      <c r="Z3" s="1066"/>
      <c r="AA3" s="1064">
        <v>7</v>
      </c>
      <c r="AB3" s="1065"/>
      <c r="AC3" s="1066"/>
      <c r="AD3" s="1064">
        <v>8</v>
      </c>
      <c r="AE3" s="1065"/>
      <c r="AF3" s="1066"/>
      <c r="AG3" s="1064">
        <v>9</v>
      </c>
      <c r="AH3" s="1065"/>
      <c r="AI3" s="1066"/>
      <c r="AJ3" s="1064">
        <v>10</v>
      </c>
      <c r="AK3" s="1065"/>
      <c r="AL3" s="1066"/>
      <c r="AM3" s="1064">
        <v>11</v>
      </c>
      <c r="AN3" s="1065"/>
      <c r="AO3" s="1066"/>
      <c r="AP3" s="1064">
        <v>12</v>
      </c>
      <c r="AQ3" s="1065"/>
      <c r="AR3" s="1066"/>
      <c r="AS3" s="1064">
        <v>13</v>
      </c>
      <c r="AT3" s="1065"/>
      <c r="AU3" s="1066"/>
      <c r="AV3" s="1064">
        <v>14</v>
      </c>
      <c r="AW3" s="1065"/>
      <c r="AX3" s="1066"/>
      <c r="AY3" s="1067">
        <v>15</v>
      </c>
      <c r="AZ3" s="1068"/>
      <c r="BA3" s="1069"/>
      <c r="BB3" s="896"/>
      <c r="BC3" s="897"/>
      <c r="BD3" s="898"/>
    </row>
    <row r="4" spans="2:56" ht="33" customHeight="1">
      <c r="C4" s="653">
        <v>65</v>
      </c>
      <c r="E4" s="937" t="str">
        <f>"Kelas "&amp;_kelas&amp;" - TP. "&amp;DK!D8</f>
        <v>Kelas VIII A - TP. 2018 / 2019</v>
      </c>
      <c r="F4" s="938"/>
      <c r="G4" s="938"/>
      <c r="H4" s="939"/>
      <c r="I4" s="1070" t="str">
        <f>_MP1</f>
        <v>Pendidikan Agama Islam</v>
      </c>
      <c r="J4" s="1071"/>
      <c r="K4" s="1072"/>
      <c r="L4" s="1070" t="str">
        <f>_MP2</f>
        <v>Pendidikan Agama Kristen</v>
      </c>
      <c r="M4" s="1076"/>
      <c r="N4" s="1077"/>
      <c r="O4" s="1070" t="str">
        <f>_MP3</f>
        <v>Pendidikan Agama Katolik</v>
      </c>
      <c r="P4" s="1076"/>
      <c r="Q4" s="1077"/>
      <c r="R4" s="1070" t="str">
        <f>_MP4</f>
        <v>Pendidikan Agama Hindu</v>
      </c>
      <c r="S4" s="1076"/>
      <c r="T4" s="1077"/>
      <c r="U4" s="1070" t="str">
        <f>_MP5</f>
        <v>Pendidikan Agama Budha</v>
      </c>
      <c r="V4" s="1076"/>
      <c r="W4" s="1077"/>
      <c r="X4" s="1054" t="str">
        <f>_MP6</f>
        <v>PKn</v>
      </c>
      <c r="Y4" s="1055"/>
      <c r="Z4" s="1056"/>
      <c r="AA4" s="1054" t="str">
        <f>_MP7</f>
        <v xml:space="preserve">Bahasa Indonesia </v>
      </c>
      <c r="AB4" s="1055"/>
      <c r="AC4" s="1056"/>
      <c r="AD4" s="1054" t="str">
        <f>_MP8</f>
        <v xml:space="preserve">Matematika </v>
      </c>
      <c r="AE4" s="1055"/>
      <c r="AF4" s="1056"/>
      <c r="AG4" s="1054" t="str">
        <f>_MP9</f>
        <v xml:space="preserve">Ilmu Pengetahuan Alam </v>
      </c>
      <c r="AH4" s="1055"/>
      <c r="AI4" s="1056"/>
      <c r="AJ4" s="1054" t="str">
        <f>_MP10</f>
        <v xml:space="preserve">Ilmu Pengetahuan Sosial </v>
      </c>
      <c r="AK4" s="1055"/>
      <c r="AL4" s="1056"/>
      <c r="AM4" s="1054" t="str">
        <f>_MP11</f>
        <v xml:space="preserve">Bahasa Inggris </v>
      </c>
      <c r="AN4" s="1055"/>
      <c r="AO4" s="1056"/>
      <c r="AP4" s="1054" t="str">
        <f>_MP12</f>
        <v>Seni Budaya</v>
      </c>
      <c r="AQ4" s="1055"/>
      <c r="AR4" s="1056"/>
      <c r="AS4" s="1054" t="str">
        <f>_MP13</f>
        <v>Penjaskes</v>
      </c>
      <c r="AT4" s="1055"/>
      <c r="AU4" s="1056"/>
      <c r="AV4" s="1054" t="str">
        <f>_MP14</f>
        <v>Prakarya</v>
      </c>
      <c r="AW4" s="1055"/>
      <c r="AX4" s="1056"/>
      <c r="AY4" s="1054" t="str">
        <f>_MP15</f>
        <v>Bahasa dan Aksara Lampung</v>
      </c>
      <c r="AZ4" s="1055"/>
      <c r="BA4" s="1056"/>
      <c r="BB4" s="1060" t="s">
        <v>59</v>
      </c>
      <c r="BC4" s="1062" t="s">
        <v>66</v>
      </c>
      <c r="BD4" s="1051" t="s">
        <v>61</v>
      </c>
    </row>
    <row r="5" spans="2:56" ht="17.25" thickBot="1">
      <c r="C5" s="1053"/>
      <c r="E5" s="930" t="s">
        <v>50</v>
      </c>
      <c r="F5" s="929" t="s">
        <v>51</v>
      </c>
      <c r="G5" s="940" t="s">
        <v>52</v>
      </c>
      <c r="H5" s="941"/>
      <c r="I5" s="1073"/>
      <c r="J5" s="1074"/>
      <c r="K5" s="1075"/>
      <c r="L5" s="1078"/>
      <c r="M5" s="1079"/>
      <c r="N5" s="1080"/>
      <c r="O5" s="1078"/>
      <c r="P5" s="1079"/>
      <c r="Q5" s="1080"/>
      <c r="R5" s="1078"/>
      <c r="S5" s="1079"/>
      <c r="T5" s="1080"/>
      <c r="U5" s="1078"/>
      <c r="V5" s="1079"/>
      <c r="W5" s="1080"/>
      <c r="X5" s="1057"/>
      <c r="Y5" s="1058"/>
      <c r="Z5" s="1059"/>
      <c r="AA5" s="1057"/>
      <c r="AB5" s="1058"/>
      <c r="AC5" s="1059"/>
      <c r="AD5" s="1057"/>
      <c r="AE5" s="1058"/>
      <c r="AF5" s="1059"/>
      <c r="AG5" s="1057"/>
      <c r="AH5" s="1058"/>
      <c r="AI5" s="1059"/>
      <c r="AJ5" s="1057"/>
      <c r="AK5" s="1058"/>
      <c r="AL5" s="1059"/>
      <c r="AM5" s="1057"/>
      <c r="AN5" s="1058"/>
      <c r="AO5" s="1059"/>
      <c r="AP5" s="1057"/>
      <c r="AQ5" s="1058"/>
      <c r="AR5" s="1059"/>
      <c r="AS5" s="1057"/>
      <c r="AT5" s="1058"/>
      <c r="AU5" s="1059"/>
      <c r="AV5" s="1057"/>
      <c r="AW5" s="1058"/>
      <c r="AX5" s="1059"/>
      <c r="AY5" s="1057"/>
      <c r="AZ5" s="1058"/>
      <c r="BA5" s="1059"/>
      <c r="BB5" s="1060"/>
      <c r="BC5" s="1062"/>
      <c r="BD5" s="1051"/>
    </row>
    <row r="6" spans="2:56" ht="17.25" thickBot="1">
      <c r="C6" s="1053"/>
      <c r="E6" s="1030"/>
      <c r="F6" s="1032"/>
      <c r="G6" s="1035"/>
      <c r="H6" s="1036"/>
      <c r="I6" s="638" t="s">
        <v>54</v>
      </c>
      <c r="J6" s="639" t="s">
        <v>55</v>
      </c>
      <c r="K6" s="640" t="s">
        <v>56</v>
      </c>
      <c r="L6" s="638" t="s">
        <v>54</v>
      </c>
      <c r="M6" s="642" t="s">
        <v>55</v>
      </c>
      <c r="N6" s="639" t="s">
        <v>56</v>
      </c>
      <c r="O6" s="641" t="s">
        <v>54</v>
      </c>
      <c r="P6" s="642" t="s">
        <v>55</v>
      </c>
      <c r="Q6" s="642" t="s">
        <v>56</v>
      </c>
      <c r="R6" s="638" t="s">
        <v>54</v>
      </c>
      <c r="S6" s="642" t="s">
        <v>55</v>
      </c>
      <c r="T6" s="639" t="s">
        <v>56</v>
      </c>
      <c r="U6" s="638" t="s">
        <v>54</v>
      </c>
      <c r="V6" s="642" t="s">
        <v>55</v>
      </c>
      <c r="W6" s="639" t="s">
        <v>56</v>
      </c>
      <c r="X6" s="638" t="s">
        <v>54</v>
      </c>
      <c r="Y6" s="642" t="s">
        <v>55</v>
      </c>
      <c r="Z6" s="639" t="s">
        <v>56</v>
      </c>
      <c r="AA6" s="638" t="s">
        <v>54</v>
      </c>
      <c r="AB6" s="642" t="s">
        <v>55</v>
      </c>
      <c r="AC6" s="639" t="s">
        <v>56</v>
      </c>
      <c r="AD6" s="638" t="s">
        <v>54</v>
      </c>
      <c r="AE6" s="642" t="s">
        <v>55</v>
      </c>
      <c r="AF6" s="639" t="s">
        <v>56</v>
      </c>
      <c r="AG6" s="638" t="s">
        <v>54</v>
      </c>
      <c r="AH6" s="642" t="s">
        <v>55</v>
      </c>
      <c r="AI6" s="639" t="s">
        <v>56</v>
      </c>
      <c r="AJ6" s="638" t="s">
        <v>54</v>
      </c>
      <c r="AK6" s="642" t="s">
        <v>55</v>
      </c>
      <c r="AL6" s="639" t="s">
        <v>56</v>
      </c>
      <c r="AM6" s="638" t="s">
        <v>54</v>
      </c>
      <c r="AN6" s="642" t="s">
        <v>55</v>
      </c>
      <c r="AO6" s="639" t="s">
        <v>56</v>
      </c>
      <c r="AP6" s="638" t="s">
        <v>54</v>
      </c>
      <c r="AQ6" s="642" t="s">
        <v>55</v>
      </c>
      <c r="AR6" s="639" t="s">
        <v>56</v>
      </c>
      <c r="AS6" s="638" t="s">
        <v>54</v>
      </c>
      <c r="AT6" s="642" t="s">
        <v>55</v>
      </c>
      <c r="AU6" s="639" t="s">
        <v>56</v>
      </c>
      <c r="AV6" s="638" t="s">
        <v>54</v>
      </c>
      <c r="AW6" s="639" t="s">
        <v>55</v>
      </c>
      <c r="AX6" s="643" t="s">
        <v>56</v>
      </c>
      <c r="AY6" s="641" t="s">
        <v>54</v>
      </c>
      <c r="AZ6" s="639" t="s">
        <v>55</v>
      </c>
      <c r="BA6" s="644" t="s">
        <v>56</v>
      </c>
      <c r="BB6" s="1061"/>
      <c r="BC6" s="1063"/>
      <c r="BD6" s="1052"/>
    </row>
    <row r="7" spans="2:56" ht="16.5">
      <c r="E7" s="247">
        <f>Biodata!B6</f>
        <v>1</v>
      </c>
      <c r="F7" s="248">
        <f>IF(Biodata!C6="","",VLOOKUP(E7,Biodata_Siswa,2,FALSE))</f>
        <v>7057</v>
      </c>
      <c r="G7" s="1015" t="str">
        <f>IF(Biodata!E6="","",PROPER(VLOOKUP(E7,Biodata_Siswa,4,FALSE)))</f>
        <v>Ahmad Zaki Aufa</v>
      </c>
      <c r="H7" s="1016"/>
      <c r="I7" s="651">
        <f>Leger1!I7</f>
        <v>81.349999999999994</v>
      </c>
      <c r="J7" s="661">
        <f>Leger1!J7</f>
        <v>85</v>
      </c>
      <c r="K7" s="664">
        <f>Leger1!K7</f>
        <v>0</v>
      </c>
      <c r="L7" s="651">
        <f>Leger1!L7</f>
        <v>0</v>
      </c>
      <c r="M7" s="661">
        <f>Leger1!M7</f>
        <v>0</v>
      </c>
      <c r="N7" s="672">
        <f>Leger1!N7</f>
        <v>0</v>
      </c>
      <c r="O7" s="658">
        <f>Leger1!O7</f>
        <v>0</v>
      </c>
      <c r="P7" s="652">
        <f>Leger1!P7</f>
        <v>0</v>
      </c>
      <c r="Q7" s="667">
        <f>Leger1!Q7</f>
        <v>0</v>
      </c>
      <c r="R7" s="651">
        <f>Leger1!R7</f>
        <v>0</v>
      </c>
      <c r="S7" s="661">
        <f>Leger1!S7</f>
        <v>0</v>
      </c>
      <c r="T7" s="664">
        <f>Leger1!T7</f>
        <v>0</v>
      </c>
      <c r="U7" s="651">
        <f>Leger1!U7</f>
        <v>0</v>
      </c>
      <c r="V7" s="661">
        <f>Leger1!V7</f>
        <v>0</v>
      </c>
      <c r="W7" s="664">
        <f>Leger1!W7</f>
        <v>0</v>
      </c>
      <c r="X7" s="651">
        <f>Leger1!X7</f>
        <v>82</v>
      </c>
      <c r="Y7" s="661">
        <f>Leger1!Y7</f>
        <v>82</v>
      </c>
      <c r="Z7" s="664">
        <f>Leger1!Z7</f>
        <v>0</v>
      </c>
      <c r="AA7" s="651">
        <f>Leger1!AA7</f>
        <v>80.260000000000005</v>
      </c>
      <c r="AB7" s="661">
        <f>Leger1!AB7</f>
        <v>78.099999999999994</v>
      </c>
      <c r="AC7" s="664">
        <f>Leger1!AC7</f>
        <v>0</v>
      </c>
      <c r="AD7" s="651">
        <f>Leger1!AD7</f>
        <v>79.040000000000006</v>
      </c>
      <c r="AE7" s="661">
        <f>Leger1!AE7</f>
        <v>80.400000000000006</v>
      </c>
      <c r="AF7" s="664">
        <f>Leger1!AF7</f>
        <v>0</v>
      </c>
      <c r="AG7" s="651">
        <f>Leger1!AG7</f>
        <v>83.6</v>
      </c>
      <c r="AH7" s="661">
        <f>Leger1!AH7</f>
        <v>86.833333333333329</v>
      </c>
      <c r="AI7" s="664">
        <f>Leger1!AI7</f>
        <v>0</v>
      </c>
      <c r="AJ7" s="651">
        <f>Leger1!AJ7</f>
        <v>81.599999999999994</v>
      </c>
      <c r="AK7" s="661">
        <f>Leger1!AK7</f>
        <v>90</v>
      </c>
      <c r="AL7" s="664">
        <f>Leger1!AL7</f>
        <v>0</v>
      </c>
      <c r="AM7" s="651">
        <f>Leger1!AM7</f>
        <v>80.114285714285714</v>
      </c>
      <c r="AN7" s="661">
        <f>Leger1!AN7</f>
        <v>80.285714285714292</v>
      </c>
      <c r="AO7" s="664">
        <f>Leger1!AO7</f>
        <v>0</v>
      </c>
      <c r="AP7" s="651">
        <f>Leger1!AP7</f>
        <v>79.28</v>
      </c>
      <c r="AQ7" s="661">
        <f>Leger1!AQ7</f>
        <v>82.2</v>
      </c>
      <c r="AR7" s="664">
        <f>Leger1!AR7</f>
        <v>0</v>
      </c>
      <c r="AS7" s="651">
        <f>Leger1!AS7</f>
        <v>79.2</v>
      </c>
      <c r="AT7" s="661">
        <f>Leger1!AT7</f>
        <v>80</v>
      </c>
      <c r="AU7" s="664">
        <f>Leger1!AU7</f>
        <v>0</v>
      </c>
      <c r="AV7" s="651">
        <f>Leger1!AV7</f>
        <v>81.199999999999989</v>
      </c>
      <c r="AW7" s="661">
        <f>Leger1!AW7</f>
        <v>83.2</v>
      </c>
      <c r="AX7" s="664">
        <f>Leger1!AX7</f>
        <v>0</v>
      </c>
      <c r="AY7" s="651">
        <f>Leger1!AY7</f>
        <v>80.3</v>
      </c>
      <c r="AZ7" s="661">
        <f>Leger1!AZ7</f>
        <v>80.5</v>
      </c>
      <c r="BA7" s="670" t="str">
        <f>IF(AY7="","",IF(AY7&gt;=($C$4+2/3*(100-$C$4)),"A",IF(AY7&gt;=($C$4+1/3*(100-$C$4)),"B",IF(AY7&gt;=$C$4,"C","D"))))</f>
        <v>B</v>
      </c>
      <c r="BB7" s="393">
        <f t="shared" ref="BB7:BB46" si="0">IF(G7="","",IF(I7+L7+O7+R7+U7+X7+AA7+AD7+AG7+AJ7+AM7+AP7+AS7+AV7+AY7=0,"",I7+L7+O7+R7+U7+X7+AA7+AD7+AG7+AJ7+AM7+AP7+AS7+AV7+AY7))</f>
        <v>887.9442857142858</v>
      </c>
      <c r="BC7" s="394">
        <f t="shared" ref="BC7:BC46" si="1">IF(BB7="","",(AVERAGE(I7,L7,O7,R7,U7,X7,AA7,AD7,AG7,AJ7,AM7,AP7,AS7,AV7,AY7)))</f>
        <v>59.196285714285722</v>
      </c>
      <c r="BD7" s="318">
        <f>IF(BB7="","",RANK(BB7,$BB$7:$BB$46,0))</f>
        <v>15</v>
      </c>
    </row>
    <row r="8" spans="2:56" ht="16.5">
      <c r="E8" s="211">
        <f>Biodata!B7</f>
        <v>2</v>
      </c>
      <c r="F8" s="212">
        <f>IF(Biodata!C7="","",VLOOKUP(E8,Biodata_Siswa,2,FALSE))</f>
        <v>7058</v>
      </c>
      <c r="G8" s="891" t="str">
        <f>IF(Biodata!E7="","",PROPER(VLOOKUP(E8,Biodata_Siswa,4,FALSE)))</f>
        <v>Anandhita Nafra Wilova</v>
      </c>
      <c r="H8" s="892"/>
      <c r="I8" s="646">
        <f>Leger1!I8</f>
        <v>82.1</v>
      </c>
      <c r="J8" s="662">
        <f>Leger1!J8</f>
        <v>83.75</v>
      </c>
      <c r="K8" s="665">
        <f>Leger1!K8</f>
        <v>0</v>
      </c>
      <c r="L8" s="646">
        <f>Leger1!L8</f>
        <v>0</v>
      </c>
      <c r="M8" s="662">
        <f>Leger1!M8</f>
        <v>0</v>
      </c>
      <c r="N8" s="673">
        <f>Leger1!N8</f>
        <v>0</v>
      </c>
      <c r="O8" s="659">
        <f>Leger1!O8</f>
        <v>0</v>
      </c>
      <c r="P8" s="647">
        <f>Leger1!P8</f>
        <v>0</v>
      </c>
      <c r="Q8" s="668">
        <f>Leger1!Q8</f>
        <v>0</v>
      </c>
      <c r="R8" s="646">
        <f>Leger1!R8</f>
        <v>0</v>
      </c>
      <c r="S8" s="662">
        <f>Leger1!S8</f>
        <v>0</v>
      </c>
      <c r="T8" s="665">
        <f>Leger1!T8</f>
        <v>0</v>
      </c>
      <c r="U8" s="646">
        <f>Leger1!U8</f>
        <v>0</v>
      </c>
      <c r="V8" s="662">
        <f>Leger1!V8</f>
        <v>0</v>
      </c>
      <c r="W8" s="665">
        <f>Leger1!W8</f>
        <v>0</v>
      </c>
      <c r="X8" s="646">
        <f>Leger1!X8</f>
        <v>83.6</v>
      </c>
      <c r="Y8" s="662">
        <f>Leger1!Y8</f>
        <v>82.666666666666671</v>
      </c>
      <c r="Z8" s="665">
        <f>Leger1!Z8</f>
        <v>0</v>
      </c>
      <c r="AA8" s="646">
        <f>Leger1!AA8</f>
        <v>80.44</v>
      </c>
      <c r="AB8" s="662">
        <f>Leger1!AB8</f>
        <v>78.400000000000006</v>
      </c>
      <c r="AC8" s="665">
        <f>Leger1!AC8</f>
        <v>0</v>
      </c>
      <c r="AD8" s="646">
        <f>Leger1!AD8</f>
        <v>79.039999999999992</v>
      </c>
      <c r="AE8" s="662">
        <f>Leger1!AE8</f>
        <v>80.400000000000006</v>
      </c>
      <c r="AF8" s="665">
        <f>Leger1!AF8</f>
        <v>0</v>
      </c>
      <c r="AG8" s="646">
        <f>Leger1!AG8</f>
        <v>82.1</v>
      </c>
      <c r="AH8" s="662">
        <f>Leger1!AH8</f>
        <v>85</v>
      </c>
      <c r="AI8" s="665">
        <f>Leger1!AI8</f>
        <v>0</v>
      </c>
      <c r="AJ8" s="646">
        <f>Leger1!AJ8</f>
        <v>83.699999999999989</v>
      </c>
      <c r="AK8" s="662">
        <f>Leger1!AK8</f>
        <v>87.5</v>
      </c>
      <c r="AL8" s="665">
        <f>Leger1!AL8</f>
        <v>0</v>
      </c>
      <c r="AM8" s="646">
        <f>Leger1!AM8</f>
        <v>81.371428571428567</v>
      </c>
      <c r="AN8" s="662">
        <f>Leger1!AN8</f>
        <v>81.285714285714292</v>
      </c>
      <c r="AO8" s="665">
        <f>Leger1!AO8</f>
        <v>0</v>
      </c>
      <c r="AP8" s="646">
        <f>Leger1!AP8</f>
        <v>78.040000000000006</v>
      </c>
      <c r="AQ8" s="662">
        <f>Leger1!AQ8</f>
        <v>81.2</v>
      </c>
      <c r="AR8" s="665">
        <f>Leger1!AR8</f>
        <v>0</v>
      </c>
      <c r="AS8" s="646">
        <f>Leger1!AS8</f>
        <v>79.899999999999991</v>
      </c>
      <c r="AT8" s="662">
        <f>Leger1!AT8</f>
        <v>77</v>
      </c>
      <c r="AU8" s="665">
        <f>Leger1!AU8</f>
        <v>0</v>
      </c>
      <c r="AV8" s="646">
        <f>Leger1!AV8</f>
        <v>83.2</v>
      </c>
      <c r="AW8" s="662">
        <f>Leger1!AW8</f>
        <v>84</v>
      </c>
      <c r="AX8" s="665">
        <f>Leger1!AX8</f>
        <v>0</v>
      </c>
      <c r="AY8" s="646">
        <f>Leger1!AY8</f>
        <v>80.800000000000011</v>
      </c>
      <c r="AZ8" s="662">
        <f>Leger1!AZ8</f>
        <v>80</v>
      </c>
      <c r="BA8" s="670" t="str">
        <f t="shared" ref="BA8:BA46" si="2">IF(AY8="","",IF(AY8&gt;=($C$4+2/3*(100-$C$4)),"A",IF(AY8&gt;=($C$4+1/3*(100-$C$4)),"B",IF(AY8&gt;=$C$4,"C","D"))))</f>
        <v>B</v>
      </c>
      <c r="BB8" s="389">
        <f t="shared" si="0"/>
        <v>894.29142857142847</v>
      </c>
      <c r="BC8" s="390">
        <f t="shared" si="1"/>
        <v>59.619428571428564</v>
      </c>
      <c r="BD8" s="214">
        <f t="shared" ref="BD8:BD46" si="3">IF(BB8="","",RANK(BB8,$BB$7:$BB$46,0))</f>
        <v>13</v>
      </c>
    </row>
    <row r="9" spans="2:56" ht="16.5">
      <c r="E9" s="211">
        <f>Biodata!B8</f>
        <v>3</v>
      </c>
      <c r="F9" s="212">
        <f>IF(Biodata!C8="","",VLOOKUP(E9,Biodata_Siswa,2,FALSE))</f>
        <v>7059</v>
      </c>
      <c r="G9" s="891" t="str">
        <f>IF(Biodata!E8="","",PROPER(VLOOKUP(E9,Biodata_Siswa,4,FALSE)))</f>
        <v>Andini Dwi Aryanti</v>
      </c>
      <c r="H9" s="892"/>
      <c r="I9" s="646">
        <f>Leger1!I9</f>
        <v>81.599999999999994</v>
      </c>
      <c r="J9" s="662">
        <f>Leger1!J9</f>
        <v>83.5</v>
      </c>
      <c r="K9" s="665">
        <f>Leger1!K9</f>
        <v>0</v>
      </c>
      <c r="L9" s="646">
        <f>Leger1!L9</f>
        <v>0</v>
      </c>
      <c r="M9" s="662">
        <f>Leger1!M9</f>
        <v>0</v>
      </c>
      <c r="N9" s="673">
        <f>Leger1!N9</f>
        <v>0</v>
      </c>
      <c r="O9" s="659">
        <f>Leger1!O9</f>
        <v>0</v>
      </c>
      <c r="P9" s="647">
        <f>Leger1!P9</f>
        <v>0</v>
      </c>
      <c r="Q9" s="668">
        <f>Leger1!Q9</f>
        <v>0</v>
      </c>
      <c r="R9" s="646">
        <f>Leger1!R9</f>
        <v>0</v>
      </c>
      <c r="S9" s="662">
        <f>Leger1!S9</f>
        <v>0</v>
      </c>
      <c r="T9" s="665">
        <f>Leger1!T9</f>
        <v>0</v>
      </c>
      <c r="U9" s="646">
        <f>Leger1!U9</f>
        <v>0</v>
      </c>
      <c r="V9" s="662">
        <f>Leger1!V9</f>
        <v>0</v>
      </c>
      <c r="W9" s="665">
        <f>Leger1!W9</f>
        <v>0</v>
      </c>
      <c r="X9" s="646">
        <f>Leger1!X9</f>
        <v>80</v>
      </c>
      <c r="Y9" s="662">
        <f>Leger1!Y9</f>
        <v>82</v>
      </c>
      <c r="Z9" s="665">
        <f>Leger1!Z9</f>
        <v>0</v>
      </c>
      <c r="AA9" s="646">
        <f>Leger1!AA9</f>
        <v>78.399999999999991</v>
      </c>
      <c r="AB9" s="662">
        <f>Leger1!AB9</f>
        <v>77.099999999999994</v>
      </c>
      <c r="AC9" s="665">
        <f>Leger1!AC9</f>
        <v>0</v>
      </c>
      <c r="AD9" s="646">
        <f>Leger1!AD9</f>
        <v>78.559999999999988</v>
      </c>
      <c r="AE9" s="662">
        <f>Leger1!AE9</f>
        <v>79.599999999999994</v>
      </c>
      <c r="AF9" s="665">
        <f>Leger1!AF9</f>
        <v>0</v>
      </c>
      <c r="AG9" s="646">
        <f>Leger1!AG9</f>
        <v>83.8</v>
      </c>
      <c r="AH9" s="662">
        <f>Leger1!AH9</f>
        <v>85.666666666666671</v>
      </c>
      <c r="AI9" s="665">
        <f>Leger1!AI9</f>
        <v>0</v>
      </c>
      <c r="AJ9" s="646">
        <f>Leger1!AJ9</f>
        <v>82</v>
      </c>
      <c r="AK9" s="662">
        <f>Leger1!AK9</f>
        <v>85</v>
      </c>
      <c r="AL9" s="665">
        <f>Leger1!AL9</f>
        <v>0</v>
      </c>
      <c r="AM9" s="646">
        <f>Leger1!AM9</f>
        <v>80.228571428571428</v>
      </c>
      <c r="AN9" s="662">
        <f>Leger1!AN9</f>
        <v>79.857142857142861</v>
      </c>
      <c r="AO9" s="665">
        <f>Leger1!AO9</f>
        <v>0</v>
      </c>
      <c r="AP9" s="646">
        <f>Leger1!AP9</f>
        <v>77.48</v>
      </c>
      <c r="AQ9" s="662">
        <f>Leger1!AQ9</f>
        <v>81.2</v>
      </c>
      <c r="AR9" s="665">
        <f>Leger1!AR9</f>
        <v>0</v>
      </c>
      <c r="AS9" s="646">
        <f>Leger1!AS9</f>
        <v>76.95</v>
      </c>
      <c r="AT9" s="662">
        <f>Leger1!AT9</f>
        <v>78.75</v>
      </c>
      <c r="AU9" s="665">
        <f>Leger1!AU9</f>
        <v>0</v>
      </c>
      <c r="AV9" s="646">
        <f>Leger1!AV9</f>
        <v>82.679999999999993</v>
      </c>
      <c r="AW9" s="662">
        <f>Leger1!AW9</f>
        <v>85</v>
      </c>
      <c r="AX9" s="665">
        <f>Leger1!AX9</f>
        <v>0</v>
      </c>
      <c r="AY9" s="646">
        <f>Leger1!AY9</f>
        <v>80.75</v>
      </c>
      <c r="AZ9" s="662">
        <f>Leger1!AZ9</f>
        <v>81.25</v>
      </c>
      <c r="BA9" s="670" t="str">
        <f>IF(AY9="","",IF(AY9&gt;=($C$4+2/3*(100-$C$4)),"A",IF(AY9&gt;=($C$4+1/3*(100-$C$4)),"B",IF(AY9&gt;=$C$4,"C","D"))))</f>
        <v>B</v>
      </c>
      <c r="BB9" s="389">
        <f>IF(G9="","",IF(I9+L9+O9+R9+U9+X9+AA9+AD9+AG9+AJ9+AM9+AP9+AS9+AV9+AY9=0,"",I9+L9+O9+R9+U9+X9+AA9+AD9+AG9+AJ9+AM9+AP9+AS9+AV9+AY9))</f>
        <v>882.44857142857143</v>
      </c>
      <c r="BC9" s="390">
        <f>IF(BB9="","",(AVERAGE(I9,L9,O9,R9,U9,X9,AA9,AD9,AG9,AJ9,AM9,AP9,AS9,AV9,AY9)))</f>
        <v>58.829904761904764</v>
      </c>
      <c r="BD9" s="214">
        <f>IF(BB9="","",RANK(BB9,$BB$7:$BB$46,0))</f>
        <v>19</v>
      </c>
    </row>
    <row r="10" spans="2:56" ht="16.5">
      <c r="E10" s="211">
        <f>Biodata!B9</f>
        <v>4</v>
      </c>
      <c r="F10" s="212">
        <f>IF(Biodata!C9="","",VLOOKUP(E10,Biodata_Siswa,2,FALSE))</f>
        <v>7060</v>
      </c>
      <c r="G10" s="891" t="str">
        <f>IF(Biodata!E9="","",PROPER(VLOOKUP(E10,Biodata_Siswa,4,FALSE)))</f>
        <v>Anggun Suci Rahmadani</v>
      </c>
      <c r="H10" s="892"/>
      <c r="I10" s="646">
        <f>Leger1!I10</f>
        <v>82.1</v>
      </c>
      <c r="J10" s="662">
        <f>Leger1!J10</f>
        <v>83</v>
      </c>
      <c r="K10" s="665">
        <f>Leger1!K10</f>
        <v>0</v>
      </c>
      <c r="L10" s="646">
        <f>Leger1!L10</f>
        <v>0</v>
      </c>
      <c r="M10" s="662">
        <f>Leger1!M10</f>
        <v>0</v>
      </c>
      <c r="N10" s="673">
        <f>Leger1!N10</f>
        <v>0</v>
      </c>
      <c r="O10" s="659">
        <f>Leger1!O10</f>
        <v>0</v>
      </c>
      <c r="P10" s="647">
        <f>Leger1!P10</f>
        <v>0</v>
      </c>
      <c r="Q10" s="668">
        <f>Leger1!Q10</f>
        <v>0</v>
      </c>
      <c r="R10" s="646">
        <f>Leger1!R10</f>
        <v>0</v>
      </c>
      <c r="S10" s="662">
        <f>Leger1!S10</f>
        <v>0</v>
      </c>
      <c r="T10" s="665">
        <f>Leger1!T10</f>
        <v>0</v>
      </c>
      <c r="U10" s="646">
        <f>Leger1!U10</f>
        <v>0</v>
      </c>
      <c r="V10" s="662">
        <f>Leger1!V10</f>
        <v>0</v>
      </c>
      <c r="W10" s="665">
        <f>Leger1!W10</f>
        <v>0</v>
      </c>
      <c r="X10" s="646">
        <f>Leger1!X10</f>
        <v>79.599999999999994</v>
      </c>
      <c r="Y10" s="662">
        <f>Leger1!Y10</f>
        <v>82</v>
      </c>
      <c r="Z10" s="665">
        <f>Leger1!Z10</f>
        <v>0</v>
      </c>
      <c r="AA10" s="646">
        <f>Leger1!AA10</f>
        <v>78.7</v>
      </c>
      <c r="AB10" s="662">
        <f>Leger1!AB10</f>
        <v>77.099999999999994</v>
      </c>
      <c r="AC10" s="665">
        <f>Leger1!AC10</f>
        <v>0</v>
      </c>
      <c r="AD10" s="646">
        <f>Leger1!AD10</f>
        <v>77.760000000000005</v>
      </c>
      <c r="AE10" s="662">
        <f>Leger1!AE10</f>
        <v>77.599999999999994</v>
      </c>
      <c r="AF10" s="665">
        <f>Leger1!AF10</f>
        <v>0</v>
      </c>
      <c r="AG10" s="646">
        <f>Leger1!AG10</f>
        <v>80.399999999999991</v>
      </c>
      <c r="AH10" s="662">
        <f>Leger1!AH10</f>
        <v>81.333333333333329</v>
      </c>
      <c r="AI10" s="665">
        <f>Leger1!AI10</f>
        <v>0</v>
      </c>
      <c r="AJ10" s="646">
        <f>Leger1!AJ10</f>
        <v>79</v>
      </c>
      <c r="AK10" s="662">
        <f>Leger1!AK10</f>
        <v>80</v>
      </c>
      <c r="AL10" s="665">
        <f>Leger1!AL10</f>
        <v>0</v>
      </c>
      <c r="AM10" s="646">
        <f>Leger1!AM10</f>
        <v>79.94285714285715</v>
      </c>
      <c r="AN10" s="662">
        <f>Leger1!AN10</f>
        <v>80.142857142857139</v>
      </c>
      <c r="AO10" s="665">
        <f>Leger1!AO10</f>
        <v>0</v>
      </c>
      <c r="AP10" s="646">
        <f>Leger1!AP10</f>
        <v>79.16</v>
      </c>
      <c r="AQ10" s="662">
        <f>Leger1!AQ10</f>
        <v>81.2</v>
      </c>
      <c r="AR10" s="665">
        <f>Leger1!AR10</f>
        <v>0</v>
      </c>
      <c r="AS10" s="646">
        <f>Leger1!AS10</f>
        <v>78.900000000000006</v>
      </c>
      <c r="AT10" s="662">
        <f>Leger1!AT10</f>
        <v>80.25</v>
      </c>
      <c r="AU10" s="665">
        <f>Leger1!AU10</f>
        <v>0</v>
      </c>
      <c r="AV10" s="646">
        <f>Leger1!AV10</f>
        <v>82.199999999999989</v>
      </c>
      <c r="AW10" s="662">
        <f>Leger1!AW10</f>
        <v>83.8</v>
      </c>
      <c r="AX10" s="665">
        <f>Leger1!AX10</f>
        <v>0</v>
      </c>
      <c r="AY10" s="646">
        <f>Leger1!AY10</f>
        <v>78.2</v>
      </c>
      <c r="AZ10" s="662">
        <f>Leger1!AZ10</f>
        <v>77</v>
      </c>
      <c r="BA10" s="670" t="str">
        <f t="shared" si="2"/>
        <v>B</v>
      </c>
      <c r="BB10" s="389">
        <f t="shared" si="0"/>
        <v>875.96285714285705</v>
      </c>
      <c r="BC10" s="390">
        <f t="shared" si="1"/>
        <v>58.397523809523804</v>
      </c>
      <c r="BD10" s="214">
        <f>IF(BB10="","",RANK(BB10,$BB$7:$BB$46,0))</f>
        <v>21</v>
      </c>
    </row>
    <row r="11" spans="2:56" ht="16.5">
      <c r="E11" s="211">
        <f>Biodata!B10</f>
        <v>5</v>
      </c>
      <c r="F11" s="212">
        <f>IF(Biodata!C10="","",VLOOKUP(E11,Biodata_Siswa,2,FALSE))</f>
        <v>7061</v>
      </c>
      <c r="G11" s="891" t="str">
        <f>IF(Biodata!E10="","",PROPER(VLOOKUP(E11,Biodata_Siswa,4,FALSE)))</f>
        <v>Anisa Julia Tasya</v>
      </c>
      <c r="H11" s="892"/>
      <c r="I11" s="646">
        <f>Leger1!I11</f>
        <v>82.35</v>
      </c>
      <c r="J11" s="662">
        <f>Leger1!J11</f>
        <v>84</v>
      </c>
      <c r="K11" s="665">
        <f>Leger1!K11</f>
        <v>0</v>
      </c>
      <c r="L11" s="646">
        <f>Leger1!L11</f>
        <v>0</v>
      </c>
      <c r="M11" s="662">
        <f>Leger1!M11</f>
        <v>0</v>
      </c>
      <c r="N11" s="673">
        <f>Leger1!N11</f>
        <v>0</v>
      </c>
      <c r="O11" s="659">
        <f>Leger1!O11</f>
        <v>0</v>
      </c>
      <c r="P11" s="647">
        <f>Leger1!P11</f>
        <v>0</v>
      </c>
      <c r="Q11" s="668">
        <f>Leger1!Q11</f>
        <v>0</v>
      </c>
      <c r="R11" s="646">
        <f>Leger1!R11</f>
        <v>0</v>
      </c>
      <c r="S11" s="662">
        <f>Leger1!S11</f>
        <v>0</v>
      </c>
      <c r="T11" s="665">
        <f>Leger1!T11</f>
        <v>0</v>
      </c>
      <c r="U11" s="646">
        <f>Leger1!U11</f>
        <v>0</v>
      </c>
      <c r="V11" s="662">
        <f>Leger1!V11</f>
        <v>0</v>
      </c>
      <c r="W11" s="665">
        <f>Leger1!W11</f>
        <v>0</v>
      </c>
      <c r="X11" s="646">
        <f>Leger1!X11</f>
        <v>82</v>
      </c>
      <c r="Y11" s="662">
        <f>Leger1!Y11</f>
        <v>82.666666666666671</v>
      </c>
      <c r="Z11" s="665">
        <f>Leger1!Z11</f>
        <v>0</v>
      </c>
      <c r="AA11" s="646">
        <f>Leger1!AA11</f>
        <v>79.36</v>
      </c>
      <c r="AB11" s="662">
        <f>Leger1!AB11</f>
        <v>77.7</v>
      </c>
      <c r="AC11" s="665">
        <f>Leger1!AC11</f>
        <v>0</v>
      </c>
      <c r="AD11" s="646">
        <f>Leger1!AD11</f>
        <v>79.44</v>
      </c>
      <c r="AE11" s="662">
        <f>Leger1!AE11</f>
        <v>80.400000000000006</v>
      </c>
      <c r="AF11" s="665">
        <f>Leger1!AF11</f>
        <v>0</v>
      </c>
      <c r="AG11" s="646">
        <f>Leger1!AG11</f>
        <v>85.9</v>
      </c>
      <c r="AH11" s="662">
        <f>Leger1!AH11</f>
        <v>87.333333333333329</v>
      </c>
      <c r="AI11" s="665">
        <f>Leger1!AI11</f>
        <v>0</v>
      </c>
      <c r="AJ11" s="646">
        <f>Leger1!AJ11</f>
        <v>83</v>
      </c>
      <c r="AK11" s="662">
        <f>Leger1!AK11</f>
        <v>90</v>
      </c>
      <c r="AL11" s="665">
        <f>Leger1!AL11</f>
        <v>0</v>
      </c>
      <c r="AM11" s="646">
        <f>Leger1!AM11</f>
        <v>80.48571428571428</v>
      </c>
      <c r="AN11" s="662">
        <f>Leger1!AN11</f>
        <v>80.714285714285708</v>
      </c>
      <c r="AO11" s="665">
        <f>Leger1!AO11</f>
        <v>0</v>
      </c>
      <c r="AP11" s="646">
        <f>Leger1!AP11</f>
        <v>79.040000000000006</v>
      </c>
      <c r="AQ11" s="662">
        <f>Leger1!AQ11</f>
        <v>81.2</v>
      </c>
      <c r="AR11" s="665">
        <f>Leger1!AR11</f>
        <v>0</v>
      </c>
      <c r="AS11" s="646">
        <f>Leger1!AS11</f>
        <v>79.25</v>
      </c>
      <c r="AT11" s="662">
        <f>Leger1!AT11</f>
        <v>81</v>
      </c>
      <c r="AU11" s="665">
        <f>Leger1!AU11</f>
        <v>0</v>
      </c>
      <c r="AV11" s="646">
        <f>Leger1!AV11</f>
        <v>83.88</v>
      </c>
      <c r="AW11" s="662">
        <f>Leger1!AW11</f>
        <v>84</v>
      </c>
      <c r="AX11" s="665">
        <f>Leger1!AX11</f>
        <v>0</v>
      </c>
      <c r="AY11" s="646">
        <f>Leger1!AY11</f>
        <v>80</v>
      </c>
      <c r="AZ11" s="662">
        <f>Leger1!AZ11</f>
        <v>80</v>
      </c>
      <c r="BA11" s="670" t="str">
        <f>IF(AY11="","",IF(AY11&gt;=($C$4+2/3*(100-$C$4)),"A",IF(AY11&gt;=($C$4+1/3*(100-$C$4)),"B",IF(AY11&gt;=$C$4,"C","D"))))</f>
        <v>B</v>
      </c>
      <c r="BB11" s="389">
        <f>IF(G11="","",IF(I11+L11+O11+R11+U11+X11+AA11+AD11+AG11+AJ11+AM11+AP11+AS11+AV11+AY11=0,"",I11+L11+O11+R11+U11+X11+AA11+AD11+AG11+AJ11+AM11+AP11+AS11+AV11+AY11))</f>
        <v>894.70571428571418</v>
      </c>
      <c r="BC11" s="390">
        <f>IF(BB11="","",(AVERAGE(I11,L11,O11,R11,U11,X11,AA11,AD11,AG11,AJ11,AM11,AP11,AS11,AV11,AY11)))</f>
        <v>59.647047619047612</v>
      </c>
      <c r="BD11" s="214">
        <f t="shared" si="3"/>
        <v>12</v>
      </c>
    </row>
    <row r="12" spans="2:56" ht="16.5">
      <c r="E12" s="211">
        <f>Biodata!B11</f>
        <v>6</v>
      </c>
      <c r="F12" s="212">
        <f>IF(Biodata!C11="","",VLOOKUP(E12,Biodata_Siswa,2,FALSE))</f>
        <v>7065</v>
      </c>
      <c r="G12" s="891" t="str">
        <f>IF(Biodata!E11="","",PROPER(VLOOKUP(E12,Biodata_Siswa,4,FALSE)))</f>
        <v>Aulia Rahmawati</v>
      </c>
      <c r="H12" s="892"/>
      <c r="I12" s="646">
        <f>Leger1!I12</f>
        <v>81.75</v>
      </c>
      <c r="J12" s="662">
        <f>Leger1!J12</f>
        <v>83.75</v>
      </c>
      <c r="K12" s="665">
        <f>Leger1!K12</f>
        <v>0</v>
      </c>
      <c r="L12" s="646">
        <f>Leger1!L12</f>
        <v>0</v>
      </c>
      <c r="M12" s="662">
        <f>Leger1!M12</f>
        <v>0</v>
      </c>
      <c r="N12" s="673">
        <f>Leger1!N12</f>
        <v>0</v>
      </c>
      <c r="O12" s="659">
        <f>Leger1!O12</f>
        <v>0</v>
      </c>
      <c r="P12" s="647">
        <f>Leger1!P12</f>
        <v>0</v>
      </c>
      <c r="Q12" s="668">
        <f>Leger1!Q12</f>
        <v>0</v>
      </c>
      <c r="R12" s="646">
        <f>Leger1!R12</f>
        <v>0</v>
      </c>
      <c r="S12" s="662">
        <f>Leger1!S12</f>
        <v>0</v>
      </c>
      <c r="T12" s="665">
        <f>Leger1!T12</f>
        <v>0</v>
      </c>
      <c r="U12" s="646">
        <f>Leger1!U12</f>
        <v>0</v>
      </c>
      <c r="V12" s="662">
        <f>Leger1!V12</f>
        <v>0</v>
      </c>
      <c r="W12" s="665">
        <f>Leger1!W12</f>
        <v>0</v>
      </c>
      <c r="X12" s="646">
        <f>Leger1!X12</f>
        <v>82.800000000000011</v>
      </c>
      <c r="Y12" s="662">
        <f>Leger1!Y12</f>
        <v>82.666666666666671</v>
      </c>
      <c r="Z12" s="665">
        <f>Leger1!Z12</f>
        <v>0</v>
      </c>
      <c r="AA12" s="646">
        <f>Leger1!AA12</f>
        <v>78.94</v>
      </c>
      <c r="AB12" s="662">
        <f>Leger1!AB12</f>
        <v>77.3</v>
      </c>
      <c r="AC12" s="665">
        <f>Leger1!AC12</f>
        <v>0</v>
      </c>
      <c r="AD12" s="646">
        <f>Leger1!AD12</f>
        <v>78.56</v>
      </c>
      <c r="AE12" s="662">
        <f>Leger1!AE12</f>
        <v>79.400000000000006</v>
      </c>
      <c r="AF12" s="665">
        <f>Leger1!AF12</f>
        <v>0</v>
      </c>
      <c r="AG12" s="646">
        <f>Leger1!AG12</f>
        <v>80.7</v>
      </c>
      <c r="AH12" s="662">
        <f>Leger1!AH12</f>
        <v>81.666666666666671</v>
      </c>
      <c r="AI12" s="665">
        <f>Leger1!AI12</f>
        <v>0</v>
      </c>
      <c r="AJ12" s="646">
        <f>Leger1!AJ12</f>
        <v>82.6</v>
      </c>
      <c r="AK12" s="662">
        <f>Leger1!AK12</f>
        <v>90</v>
      </c>
      <c r="AL12" s="665">
        <f>Leger1!AL12</f>
        <v>0</v>
      </c>
      <c r="AM12" s="646">
        <f>Leger1!AM12</f>
        <v>80.228571428571428</v>
      </c>
      <c r="AN12" s="662">
        <f>Leger1!AN12</f>
        <v>80</v>
      </c>
      <c r="AO12" s="665">
        <f>Leger1!AO12</f>
        <v>0</v>
      </c>
      <c r="AP12" s="646">
        <f>Leger1!AP12</f>
        <v>79.44</v>
      </c>
      <c r="AQ12" s="662">
        <f>Leger1!AQ12</f>
        <v>81.599999999999994</v>
      </c>
      <c r="AR12" s="665">
        <f>Leger1!AR12</f>
        <v>0</v>
      </c>
      <c r="AS12" s="646">
        <f>Leger1!AS12</f>
        <v>79.3</v>
      </c>
      <c r="AT12" s="662">
        <f>Leger1!AT12</f>
        <v>78.25</v>
      </c>
      <c r="AU12" s="665">
        <f>Leger1!AU12</f>
        <v>0</v>
      </c>
      <c r="AV12" s="646">
        <f>Leger1!AV12</f>
        <v>82.72</v>
      </c>
      <c r="AW12" s="662">
        <f>Leger1!AW12</f>
        <v>83</v>
      </c>
      <c r="AX12" s="665">
        <f>Leger1!AX12</f>
        <v>0</v>
      </c>
      <c r="AY12" s="646">
        <f>Leger1!AY12</f>
        <v>79.7</v>
      </c>
      <c r="AZ12" s="662">
        <f>Leger1!AZ12</f>
        <v>79.5</v>
      </c>
      <c r="BA12" s="670" t="str">
        <f t="shared" si="2"/>
        <v>B</v>
      </c>
      <c r="BB12" s="389">
        <f t="shared" si="0"/>
        <v>886.7385714285715</v>
      </c>
      <c r="BC12" s="390">
        <f t="shared" si="1"/>
        <v>59.115904761904766</v>
      </c>
      <c r="BD12" s="214">
        <f t="shared" si="3"/>
        <v>16</v>
      </c>
    </row>
    <row r="13" spans="2:56" ht="16.5">
      <c r="E13" s="211">
        <f>Biodata!B12</f>
        <v>7</v>
      </c>
      <c r="F13" s="212">
        <f>IF(Biodata!C12="","",VLOOKUP(E13,Biodata_Siswa,2,FALSE))</f>
        <v>7066</v>
      </c>
      <c r="G13" s="891" t="str">
        <f>IF(Biodata!E12="","",PROPER(VLOOKUP(E13,Biodata_Siswa,4,FALSE)))</f>
        <v>Ayu Chumaira</v>
      </c>
      <c r="H13" s="892"/>
      <c r="I13" s="646">
        <f>Leger1!I13</f>
        <v>82.45</v>
      </c>
      <c r="J13" s="662">
        <f>Leger1!J13</f>
        <v>84.25</v>
      </c>
      <c r="K13" s="665">
        <f>Leger1!K13</f>
        <v>0</v>
      </c>
      <c r="L13" s="646">
        <f>Leger1!L13</f>
        <v>0</v>
      </c>
      <c r="M13" s="662">
        <f>Leger1!M13</f>
        <v>0</v>
      </c>
      <c r="N13" s="673">
        <f>Leger1!N13</f>
        <v>0</v>
      </c>
      <c r="O13" s="659">
        <f>Leger1!O13</f>
        <v>0</v>
      </c>
      <c r="P13" s="647">
        <f>Leger1!P13</f>
        <v>0</v>
      </c>
      <c r="Q13" s="668">
        <f>Leger1!Q13</f>
        <v>0</v>
      </c>
      <c r="R13" s="646">
        <f>Leger1!R13</f>
        <v>0</v>
      </c>
      <c r="S13" s="662">
        <f>Leger1!S13</f>
        <v>0</v>
      </c>
      <c r="T13" s="665">
        <f>Leger1!T13</f>
        <v>0</v>
      </c>
      <c r="U13" s="646">
        <f>Leger1!U13</f>
        <v>0</v>
      </c>
      <c r="V13" s="662">
        <f>Leger1!V13</f>
        <v>0</v>
      </c>
      <c r="W13" s="665">
        <f>Leger1!W13</f>
        <v>0</v>
      </c>
      <c r="X13" s="646">
        <f>Leger1!X13</f>
        <v>84.4</v>
      </c>
      <c r="Y13" s="662">
        <f>Leger1!Y13</f>
        <v>82.666666666666671</v>
      </c>
      <c r="Z13" s="665">
        <f>Leger1!Z13</f>
        <v>0</v>
      </c>
      <c r="AA13" s="646">
        <f>Leger1!AA13</f>
        <v>81.360000000000014</v>
      </c>
      <c r="AB13" s="662">
        <f>Leger1!AB13</f>
        <v>78.7</v>
      </c>
      <c r="AC13" s="665">
        <f>Leger1!AC13</f>
        <v>0</v>
      </c>
      <c r="AD13" s="646">
        <f>Leger1!AD13</f>
        <v>78.959999999999994</v>
      </c>
      <c r="AE13" s="662">
        <f>Leger1!AE13</f>
        <v>80.8</v>
      </c>
      <c r="AF13" s="665">
        <f>Leger1!AF13</f>
        <v>0</v>
      </c>
      <c r="AG13" s="646">
        <f>Leger1!AG13</f>
        <v>84.6</v>
      </c>
      <c r="AH13" s="662">
        <f>Leger1!AH13</f>
        <v>85.833333333333329</v>
      </c>
      <c r="AI13" s="665">
        <f>Leger1!AI13</f>
        <v>0</v>
      </c>
      <c r="AJ13" s="646">
        <f>Leger1!AJ13</f>
        <v>83</v>
      </c>
      <c r="AK13" s="662">
        <f>Leger1!AK13</f>
        <v>82.5</v>
      </c>
      <c r="AL13" s="665">
        <f>Leger1!AL13</f>
        <v>0</v>
      </c>
      <c r="AM13" s="646">
        <f>Leger1!AM13</f>
        <v>82.6</v>
      </c>
      <c r="AN13" s="662">
        <f>Leger1!AN13</f>
        <v>81.571428571428569</v>
      </c>
      <c r="AO13" s="665">
        <f>Leger1!AO13</f>
        <v>0</v>
      </c>
      <c r="AP13" s="646">
        <f>Leger1!AP13</f>
        <v>80.680000000000007</v>
      </c>
      <c r="AQ13" s="662">
        <f>Leger1!AQ13</f>
        <v>82</v>
      </c>
      <c r="AR13" s="665">
        <f>Leger1!AR13</f>
        <v>0</v>
      </c>
      <c r="AS13" s="646">
        <f>Leger1!AS13</f>
        <v>79.400000000000006</v>
      </c>
      <c r="AT13" s="662">
        <f>Leger1!AT13</f>
        <v>77.5</v>
      </c>
      <c r="AU13" s="665">
        <f>Leger1!AU13</f>
        <v>0</v>
      </c>
      <c r="AV13" s="646">
        <f>Leger1!AV13</f>
        <v>83.4</v>
      </c>
      <c r="AW13" s="662">
        <f>Leger1!AW13</f>
        <v>84</v>
      </c>
      <c r="AX13" s="665">
        <f>Leger1!AX13</f>
        <v>0</v>
      </c>
      <c r="AY13" s="646">
        <f>Leger1!AY13</f>
        <v>80.199999999999989</v>
      </c>
      <c r="AZ13" s="662">
        <f>Leger1!AZ13</f>
        <v>79</v>
      </c>
      <c r="BA13" s="670" t="str">
        <f t="shared" si="2"/>
        <v>B</v>
      </c>
      <c r="BB13" s="389">
        <f t="shared" si="0"/>
        <v>901.05</v>
      </c>
      <c r="BC13" s="390">
        <f t="shared" si="1"/>
        <v>60.07</v>
      </c>
      <c r="BD13" s="214">
        <f t="shared" si="3"/>
        <v>10</v>
      </c>
    </row>
    <row r="14" spans="2:56" ht="16.5">
      <c r="E14" s="211">
        <f>Biodata!B13</f>
        <v>8</v>
      </c>
      <c r="F14" s="212">
        <f>IF(Biodata!C13="","",VLOOKUP(E14,Biodata_Siswa,2,FALSE))</f>
        <v>7067</v>
      </c>
      <c r="G14" s="891" t="str">
        <f>IF(Biodata!E13="","",PROPER(VLOOKUP(E14,Biodata_Siswa,4,FALSE)))</f>
        <v>Ayu Emelia Putri</v>
      </c>
      <c r="H14" s="892"/>
      <c r="I14" s="646">
        <f>Leger1!I14</f>
        <v>85.300000000000011</v>
      </c>
      <c r="J14" s="662">
        <f>Leger1!J14</f>
        <v>84.75</v>
      </c>
      <c r="K14" s="665">
        <f>Leger1!K14</f>
        <v>0</v>
      </c>
      <c r="L14" s="646">
        <f>Leger1!L14</f>
        <v>0</v>
      </c>
      <c r="M14" s="662">
        <f>Leger1!M14</f>
        <v>0</v>
      </c>
      <c r="N14" s="673">
        <f>Leger1!N14</f>
        <v>0</v>
      </c>
      <c r="O14" s="659">
        <f>Leger1!O14</f>
        <v>0</v>
      </c>
      <c r="P14" s="647">
        <f>Leger1!P14</f>
        <v>0</v>
      </c>
      <c r="Q14" s="668">
        <f>Leger1!Q14</f>
        <v>0</v>
      </c>
      <c r="R14" s="646">
        <f>Leger1!R14</f>
        <v>0</v>
      </c>
      <c r="S14" s="662">
        <f>Leger1!S14</f>
        <v>0</v>
      </c>
      <c r="T14" s="665">
        <f>Leger1!T14</f>
        <v>0</v>
      </c>
      <c r="U14" s="646">
        <f>Leger1!U14</f>
        <v>0</v>
      </c>
      <c r="V14" s="662">
        <f>Leger1!V14</f>
        <v>0</v>
      </c>
      <c r="W14" s="665">
        <f>Leger1!W14</f>
        <v>0</v>
      </c>
      <c r="X14" s="646">
        <f>Leger1!X14</f>
        <v>85.2</v>
      </c>
      <c r="Y14" s="662">
        <f>Leger1!Y14</f>
        <v>82.666666666666671</v>
      </c>
      <c r="Z14" s="665">
        <f>Leger1!Z14</f>
        <v>0</v>
      </c>
      <c r="AA14" s="646">
        <f>Leger1!AA14</f>
        <v>82.66</v>
      </c>
      <c r="AB14" s="662">
        <f>Leger1!AB14</f>
        <v>79.400000000000006</v>
      </c>
      <c r="AC14" s="665">
        <f>Leger1!AC14</f>
        <v>0</v>
      </c>
      <c r="AD14" s="646">
        <f>Leger1!AD14</f>
        <v>80.52</v>
      </c>
      <c r="AE14" s="662">
        <f>Leger1!AE14</f>
        <v>83</v>
      </c>
      <c r="AF14" s="665">
        <f>Leger1!AF14</f>
        <v>0</v>
      </c>
      <c r="AG14" s="646">
        <f>Leger1!AG14</f>
        <v>87.2</v>
      </c>
      <c r="AH14" s="662">
        <f>Leger1!AH14</f>
        <v>87.333333333333329</v>
      </c>
      <c r="AI14" s="665">
        <f>Leger1!AI14</f>
        <v>0</v>
      </c>
      <c r="AJ14" s="646">
        <f>Leger1!AJ14</f>
        <v>85.6</v>
      </c>
      <c r="AK14" s="662">
        <f>Leger1!AK14</f>
        <v>87.5</v>
      </c>
      <c r="AL14" s="665">
        <f>Leger1!AL14</f>
        <v>0</v>
      </c>
      <c r="AM14" s="646">
        <f>Leger1!AM14</f>
        <v>82.542857142857144</v>
      </c>
      <c r="AN14" s="662">
        <f>Leger1!AN14</f>
        <v>82.285714285714292</v>
      </c>
      <c r="AO14" s="665">
        <f>Leger1!AO14</f>
        <v>0</v>
      </c>
      <c r="AP14" s="646">
        <f>Leger1!AP14</f>
        <v>82.52</v>
      </c>
      <c r="AQ14" s="662">
        <f>Leger1!AQ14</f>
        <v>82.8</v>
      </c>
      <c r="AR14" s="665">
        <f>Leger1!AR14</f>
        <v>0</v>
      </c>
      <c r="AS14" s="646">
        <f>Leger1!AS14</f>
        <v>79.099999999999994</v>
      </c>
      <c r="AT14" s="662">
        <f>Leger1!AT14</f>
        <v>78.25</v>
      </c>
      <c r="AU14" s="665">
        <f>Leger1!AU14</f>
        <v>0</v>
      </c>
      <c r="AV14" s="646">
        <f>Leger1!AV14</f>
        <v>84.8</v>
      </c>
      <c r="AW14" s="662">
        <f>Leger1!AW14</f>
        <v>85</v>
      </c>
      <c r="AX14" s="665">
        <f>Leger1!AX14</f>
        <v>0</v>
      </c>
      <c r="AY14" s="646">
        <f>Leger1!AY14</f>
        <v>80.5</v>
      </c>
      <c r="AZ14" s="662">
        <f>Leger1!AZ14</f>
        <v>79.5</v>
      </c>
      <c r="BA14" s="670" t="str">
        <f t="shared" si="2"/>
        <v>B</v>
      </c>
      <c r="BB14" s="389">
        <f t="shared" si="0"/>
        <v>915.94285714285718</v>
      </c>
      <c r="BC14" s="390">
        <f t="shared" si="1"/>
        <v>61.062857142857148</v>
      </c>
      <c r="BD14" s="214">
        <f t="shared" si="3"/>
        <v>5</v>
      </c>
    </row>
    <row r="15" spans="2:56" ht="16.5">
      <c r="E15" s="211">
        <f>Biodata!B14</f>
        <v>9</v>
      </c>
      <c r="F15" s="212">
        <f>IF(Biodata!C14="","",VLOOKUP(E15,Biodata_Siswa,2,FALSE))</f>
        <v>7068</v>
      </c>
      <c r="G15" s="891" t="str">
        <f>IF(Biodata!E14="","",PROPER(VLOOKUP(E15,Biodata_Siswa,4,FALSE)))</f>
        <v>Bayu Anggoro</v>
      </c>
      <c r="H15" s="892"/>
      <c r="I15" s="646">
        <f>Leger1!I15</f>
        <v>85.550000000000011</v>
      </c>
      <c r="J15" s="662">
        <f>Leger1!J15</f>
        <v>85.5</v>
      </c>
      <c r="K15" s="665">
        <f>Leger1!K15</f>
        <v>0</v>
      </c>
      <c r="L15" s="646">
        <f>Leger1!L15</f>
        <v>0</v>
      </c>
      <c r="M15" s="662">
        <f>Leger1!M15</f>
        <v>0</v>
      </c>
      <c r="N15" s="673">
        <f>Leger1!N15</f>
        <v>0</v>
      </c>
      <c r="O15" s="659">
        <f>Leger1!O15</f>
        <v>0</v>
      </c>
      <c r="P15" s="647">
        <f>Leger1!P15</f>
        <v>0</v>
      </c>
      <c r="Q15" s="668">
        <f>Leger1!Q15</f>
        <v>0</v>
      </c>
      <c r="R15" s="646">
        <f>Leger1!R15</f>
        <v>0</v>
      </c>
      <c r="S15" s="662">
        <f>Leger1!S15</f>
        <v>0</v>
      </c>
      <c r="T15" s="665">
        <f>Leger1!T15</f>
        <v>0</v>
      </c>
      <c r="U15" s="646">
        <f>Leger1!U15</f>
        <v>0</v>
      </c>
      <c r="V15" s="662">
        <f>Leger1!V15</f>
        <v>0</v>
      </c>
      <c r="W15" s="665">
        <f>Leger1!W15</f>
        <v>0</v>
      </c>
      <c r="X15" s="646">
        <f>Leger1!X15</f>
        <v>82.8</v>
      </c>
      <c r="Y15" s="662">
        <f>Leger1!Y15</f>
        <v>82.666666666666671</v>
      </c>
      <c r="Z15" s="665">
        <f>Leger1!Z15</f>
        <v>0</v>
      </c>
      <c r="AA15" s="646">
        <f>Leger1!AA15</f>
        <v>82.68</v>
      </c>
      <c r="AB15" s="662">
        <f>Leger1!AB15</f>
        <v>79.8</v>
      </c>
      <c r="AC15" s="665">
        <f>Leger1!AC15</f>
        <v>0</v>
      </c>
      <c r="AD15" s="646">
        <f>Leger1!AD15</f>
        <v>79.759999999999991</v>
      </c>
      <c r="AE15" s="662">
        <f>Leger1!AE15</f>
        <v>81.599999999999994</v>
      </c>
      <c r="AF15" s="665">
        <f>Leger1!AF15</f>
        <v>0</v>
      </c>
      <c r="AG15" s="646">
        <f>Leger1!AG15</f>
        <v>85.300000000000011</v>
      </c>
      <c r="AH15" s="662">
        <f>Leger1!AH15</f>
        <v>86.666666666666671</v>
      </c>
      <c r="AI15" s="665">
        <f>Leger1!AI15</f>
        <v>0</v>
      </c>
      <c r="AJ15" s="646">
        <f>Leger1!AJ15</f>
        <v>84</v>
      </c>
      <c r="AK15" s="662">
        <f>Leger1!AK15</f>
        <v>82.5</v>
      </c>
      <c r="AL15" s="665">
        <f>Leger1!AL15</f>
        <v>0</v>
      </c>
      <c r="AM15" s="646">
        <f>Leger1!AM15</f>
        <v>85.314285714285717</v>
      </c>
      <c r="AN15" s="662">
        <f>Leger1!AN15</f>
        <v>85.714285714285708</v>
      </c>
      <c r="AO15" s="665">
        <f>Leger1!AO15</f>
        <v>0</v>
      </c>
      <c r="AP15" s="646">
        <f>Leger1!AP15</f>
        <v>82.16</v>
      </c>
      <c r="AQ15" s="662">
        <f>Leger1!AQ15</f>
        <v>83</v>
      </c>
      <c r="AR15" s="665">
        <f>Leger1!AR15</f>
        <v>0</v>
      </c>
      <c r="AS15" s="646">
        <f>Leger1!AS15</f>
        <v>77.400000000000006</v>
      </c>
      <c r="AT15" s="662">
        <f>Leger1!AT15</f>
        <v>78.75</v>
      </c>
      <c r="AU15" s="665">
        <f>Leger1!AU15</f>
        <v>0</v>
      </c>
      <c r="AV15" s="646">
        <f>Leger1!AV15</f>
        <v>82.6</v>
      </c>
      <c r="AW15" s="662">
        <f>Leger1!AW15</f>
        <v>84</v>
      </c>
      <c r="AX15" s="665">
        <f>Leger1!AX15</f>
        <v>0</v>
      </c>
      <c r="AY15" s="646">
        <f>Leger1!AY15</f>
        <v>80.3</v>
      </c>
      <c r="AZ15" s="662">
        <f>Leger1!AZ15</f>
        <v>80.5</v>
      </c>
      <c r="BA15" s="670" t="str">
        <f t="shared" si="2"/>
        <v>B</v>
      </c>
      <c r="BB15" s="389">
        <f t="shared" si="0"/>
        <v>907.86428571428564</v>
      </c>
      <c r="BC15" s="390">
        <f t="shared" si="1"/>
        <v>60.52428571428571</v>
      </c>
      <c r="BD15" s="214">
        <f t="shared" si="3"/>
        <v>7</v>
      </c>
    </row>
    <row r="16" spans="2:56" ht="16.5">
      <c r="E16" s="211">
        <f>Biodata!B15</f>
        <v>10</v>
      </c>
      <c r="F16" s="212">
        <f>IF(Biodata!C15="","",VLOOKUP(E16,Biodata_Siswa,2,FALSE))</f>
        <v>7069</v>
      </c>
      <c r="G16" s="891" t="str">
        <f>IF(Biodata!E15="","",PROPER(VLOOKUP(E16,Biodata_Siswa,4,FALSE)))</f>
        <v>Calissta Sabrina Salwa Aurelia</v>
      </c>
      <c r="H16" s="892"/>
      <c r="I16" s="646">
        <f>Leger1!I16</f>
        <v>82.7</v>
      </c>
      <c r="J16" s="662">
        <f>Leger1!J16</f>
        <v>84.25</v>
      </c>
      <c r="K16" s="665">
        <f>Leger1!K16</f>
        <v>0</v>
      </c>
      <c r="L16" s="646">
        <f>Leger1!L16</f>
        <v>0</v>
      </c>
      <c r="M16" s="662">
        <f>Leger1!M16</f>
        <v>0</v>
      </c>
      <c r="N16" s="673">
        <f>Leger1!N16</f>
        <v>0</v>
      </c>
      <c r="O16" s="659">
        <f>Leger1!O16</f>
        <v>0</v>
      </c>
      <c r="P16" s="647">
        <f>Leger1!P16</f>
        <v>0</v>
      </c>
      <c r="Q16" s="668">
        <f>Leger1!Q16</f>
        <v>0</v>
      </c>
      <c r="R16" s="646">
        <f>Leger1!R16</f>
        <v>0</v>
      </c>
      <c r="S16" s="662">
        <f>Leger1!S16</f>
        <v>0</v>
      </c>
      <c r="T16" s="665">
        <f>Leger1!T16</f>
        <v>0</v>
      </c>
      <c r="U16" s="646">
        <f>Leger1!U16</f>
        <v>0</v>
      </c>
      <c r="V16" s="662">
        <f>Leger1!V16</f>
        <v>0</v>
      </c>
      <c r="W16" s="665">
        <f>Leger1!W16</f>
        <v>0</v>
      </c>
      <c r="X16" s="646">
        <f>Leger1!X16</f>
        <v>84</v>
      </c>
      <c r="Y16" s="662">
        <f>Leger1!Y16</f>
        <v>82.666666666666671</v>
      </c>
      <c r="Z16" s="665">
        <f>Leger1!Z16</f>
        <v>0</v>
      </c>
      <c r="AA16" s="646">
        <f>Leger1!AA16</f>
        <v>79.599999999999994</v>
      </c>
      <c r="AB16" s="662">
        <f>Leger1!AB16</f>
        <v>78.8</v>
      </c>
      <c r="AC16" s="665">
        <f>Leger1!AC16</f>
        <v>0</v>
      </c>
      <c r="AD16" s="646">
        <f>Leger1!AD16</f>
        <v>82.6</v>
      </c>
      <c r="AE16" s="662">
        <f>Leger1!AE16</f>
        <v>84</v>
      </c>
      <c r="AF16" s="665">
        <f>Leger1!AF16</f>
        <v>0</v>
      </c>
      <c r="AG16" s="646">
        <f>Leger1!AG16</f>
        <v>81.5</v>
      </c>
      <c r="AH16" s="662">
        <f>Leger1!AH16</f>
        <v>81.5</v>
      </c>
      <c r="AI16" s="665">
        <f>Leger1!AI16</f>
        <v>0</v>
      </c>
      <c r="AJ16" s="646">
        <f>Leger1!AJ16</f>
        <v>85</v>
      </c>
      <c r="AK16" s="662">
        <f>Leger1!AK16</f>
        <v>87.5</v>
      </c>
      <c r="AL16" s="665">
        <f>Leger1!AL16</f>
        <v>0</v>
      </c>
      <c r="AM16" s="646">
        <f>Leger1!AM16</f>
        <v>82.571428571428569</v>
      </c>
      <c r="AN16" s="662">
        <f>Leger1!AN16</f>
        <v>82</v>
      </c>
      <c r="AO16" s="665">
        <f>Leger1!AO16</f>
        <v>0</v>
      </c>
      <c r="AP16" s="646">
        <f>Leger1!AP16</f>
        <v>81</v>
      </c>
      <c r="AQ16" s="662">
        <f>Leger1!AQ16</f>
        <v>81.599999999999994</v>
      </c>
      <c r="AR16" s="665">
        <f>Leger1!AR16</f>
        <v>0</v>
      </c>
      <c r="AS16" s="646">
        <f>Leger1!AS16</f>
        <v>80.999999999999986</v>
      </c>
      <c r="AT16" s="662">
        <f>Leger1!AT16</f>
        <v>78.75</v>
      </c>
      <c r="AU16" s="665">
        <f>Leger1!AU16</f>
        <v>0</v>
      </c>
      <c r="AV16" s="646">
        <f>Leger1!AV16</f>
        <v>83.72</v>
      </c>
      <c r="AW16" s="662">
        <f>Leger1!AW16</f>
        <v>85</v>
      </c>
      <c r="AX16" s="665">
        <f>Leger1!AX16</f>
        <v>0</v>
      </c>
      <c r="AY16" s="646">
        <f>Leger1!AY16</f>
        <v>81.05</v>
      </c>
      <c r="AZ16" s="662">
        <f>Leger1!AZ16</f>
        <v>81.75</v>
      </c>
      <c r="BA16" s="670" t="str">
        <f t="shared" si="2"/>
        <v>B</v>
      </c>
      <c r="BB16" s="389">
        <f t="shared" si="0"/>
        <v>904.74142857142851</v>
      </c>
      <c r="BC16" s="390">
        <f t="shared" si="1"/>
        <v>60.316095238095237</v>
      </c>
      <c r="BD16" s="214">
        <f t="shared" si="3"/>
        <v>8</v>
      </c>
    </row>
    <row r="17" spans="5:56" ht="16.5">
      <c r="E17" s="211">
        <f>Biodata!B16</f>
        <v>11</v>
      </c>
      <c r="F17" s="212">
        <f>IF(Biodata!C16="","",VLOOKUP(E17,Biodata_Siswa,2,FALSE))</f>
        <v>7074</v>
      </c>
      <c r="G17" s="891" t="str">
        <f>IF(Biodata!E16="","",PROPER(VLOOKUP(E17,Biodata_Siswa,4,FALSE)))</f>
        <v>Dea Safitri</v>
      </c>
      <c r="H17" s="892"/>
      <c r="I17" s="646">
        <f>Leger1!I17</f>
        <v>81.349999999999994</v>
      </c>
      <c r="J17" s="662">
        <f>Leger1!J17</f>
        <v>83</v>
      </c>
      <c r="K17" s="665">
        <f>Leger1!K17</f>
        <v>0</v>
      </c>
      <c r="L17" s="646">
        <f>Leger1!L17</f>
        <v>0</v>
      </c>
      <c r="M17" s="662">
        <f>Leger1!M17</f>
        <v>0</v>
      </c>
      <c r="N17" s="673">
        <f>Leger1!N17</f>
        <v>0</v>
      </c>
      <c r="O17" s="659">
        <f>Leger1!O17</f>
        <v>0</v>
      </c>
      <c r="P17" s="647">
        <f>Leger1!P17</f>
        <v>0</v>
      </c>
      <c r="Q17" s="668">
        <f>Leger1!Q17</f>
        <v>0</v>
      </c>
      <c r="R17" s="646">
        <f>Leger1!R17</f>
        <v>0</v>
      </c>
      <c r="S17" s="662">
        <f>Leger1!S17</f>
        <v>0</v>
      </c>
      <c r="T17" s="665">
        <f>Leger1!T17</f>
        <v>0</v>
      </c>
      <c r="U17" s="646">
        <f>Leger1!U17</f>
        <v>0</v>
      </c>
      <c r="V17" s="662">
        <f>Leger1!V17</f>
        <v>0</v>
      </c>
      <c r="W17" s="665">
        <f>Leger1!W17</f>
        <v>0</v>
      </c>
      <c r="X17" s="646">
        <f>Leger1!X17</f>
        <v>82</v>
      </c>
      <c r="Y17" s="662">
        <f>Leger1!Y17</f>
        <v>82.666666666666671</v>
      </c>
      <c r="Z17" s="665">
        <f>Leger1!Z17</f>
        <v>0</v>
      </c>
      <c r="AA17" s="646">
        <f>Leger1!AA17</f>
        <v>78.34</v>
      </c>
      <c r="AB17" s="662">
        <f>Leger1!AB17</f>
        <v>77.400000000000006</v>
      </c>
      <c r="AC17" s="665">
        <f>Leger1!AC17</f>
        <v>0</v>
      </c>
      <c r="AD17" s="646">
        <f>Leger1!AD17</f>
        <v>78.8</v>
      </c>
      <c r="AE17" s="662">
        <f>Leger1!AE17</f>
        <v>80</v>
      </c>
      <c r="AF17" s="665">
        <f>Leger1!AF17</f>
        <v>0</v>
      </c>
      <c r="AG17" s="646">
        <f>Leger1!AG17</f>
        <v>78.8</v>
      </c>
      <c r="AH17" s="662">
        <f>Leger1!AH17</f>
        <v>79.833333333333329</v>
      </c>
      <c r="AI17" s="665">
        <f>Leger1!AI17</f>
        <v>0</v>
      </c>
      <c r="AJ17" s="646">
        <f>Leger1!AJ17</f>
        <v>81.8</v>
      </c>
      <c r="AK17" s="662">
        <f>Leger1!AK17</f>
        <v>85</v>
      </c>
      <c r="AL17" s="665">
        <f>Leger1!AL17</f>
        <v>0</v>
      </c>
      <c r="AM17" s="646">
        <f>Leger1!AM17</f>
        <v>79.54285714285713</v>
      </c>
      <c r="AN17" s="662">
        <f>Leger1!AN17</f>
        <v>79.714285714285708</v>
      </c>
      <c r="AO17" s="665">
        <f>Leger1!AO17</f>
        <v>0</v>
      </c>
      <c r="AP17" s="646">
        <f>Leger1!AP17</f>
        <v>78.52</v>
      </c>
      <c r="AQ17" s="662">
        <f>Leger1!AQ17</f>
        <v>80.400000000000006</v>
      </c>
      <c r="AR17" s="665">
        <f>Leger1!AR17</f>
        <v>0</v>
      </c>
      <c r="AS17" s="646">
        <f>Leger1!AS17</f>
        <v>80.3</v>
      </c>
      <c r="AT17" s="662">
        <f>Leger1!AT17</f>
        <v>79.5</v>
      </c>
      <c r="AU17" s="665">
        <f>Leger1!AU17</f>
        <v>0</v>
      </c>
      <c r="AV17" s="646">
        <f>Leger1!AV17</f>
        <v>81.199999999999989</v>
      </c>
      <c r="AW17" s="662">
        <f>Leger1!AW17</f>
        <v>83</v>
      </c>
      <c r="AX17" s="665">
        <f>Leger1!AX17</f>
        <v>0</v>
      </c>
      <c r="AY17" s="646">
        <f>Leger1!AY17</f>
        <v>79.7</v>
      </c>
      <c r="AZ17" s="662">
        <f>Leger1!AZ17</f>
        <v>79.5</v>
      </c>
      <c r="BA17" s="670" t="str">
        <f t="shared" si="2"/>
        <v>B</v>
      </c>
      <c r="BB17" s="389">
        <f t="shared" si="0"/>
        <v>880.35285714285715</v>
      </c>
      <c r="BC17" s="390">
        <f t="shared" si="1"/>
        <v>58.690190476190473</v>
      </c>
      <c r="BD17" s="214">
        <f t="shared" si="3"/>
        <v>20</v>
      </c>
    </row>
    <row r="18" spans="5:56" ht="16.5">
      <c r="E18" s="211">
        <f>Biodata!B17</f>
        <v>12</v>
      </c>
      <c r="F18" s="212">
        <f>IF(Biodata!C17="","",VLOOKUP(E18,Biodata_Siswa,2,FALSE))</f>
        <v>7080</v>
      </c>
      <c r="G18" s="891" t="str">
        <f>IF(Biodata!E17="","",PROPER(VLOOKUP(E18,Biodata_Siswa,4,FALSE)))</f>
        <v>Dewi Wulandari</v>
      </c>
      <c r="H18" s="892"/>
      <c r="I18" s="646">
        <f>Leger1!I18</f>
        <v>81.95</v>
      </c>
      <c r="J18" s="662">
        <f>Leger1!J18</f>
        <v>83.5</v>
      </c>
      <c r="K18" s="665">
        <f>Leger1!K18</f>
        <v>0</v>
      </c>
      <c r="L18" s="646">
        <f>Leger1!L18</f>
        <v>0</v>
      </c>
      <c r="M18" s="662">
        <f>Leger1!M18</f>
        <v>0</v>
      </c>
      <c r="N18" s="673">
        <f>Leger1!N18</f>
        <v>0</v>
      </c>
      <c r="O18" s="659">
        <f>Leger1!O18</f>
        <v>0</v>
      </c>
      <c r="P18" s="647">
        <f>Leger1!P18</f>
        <v>0</v>
      </c>
      <c r="Q18" s="668">
        <f>Leger1!Q18</f>
        <v>0</v>
      </c>
      <c r="R18" s="646">
        <f>Leger1!R18</f>
        <v>0</v>
      </c>
      <c r="S18" s="662">
        <f>Leger1!S18</f>
        <v>0</v>
      </c>
      <c r="T18" s="665">
        <f>Leger1!T18</f>
        <v>0</v>
      </c>
      <c r="U18" s="646">
        <f>Leger1!U18</f>
        <v>0</v>
      </c>
      <c r="V18" s="662">
        <f>Leger1!V18</f>
        <v>0</v>
      </c>
      <c r="W18" s="665">
        <f>Leger1!W18</f>
        <v>0</v>
      </c>
      <c r="X18" s="646">
        <f>Leger1!X18</f>
        <v>82</v>
      </c>
      <c r="Y18" s="662">
        <f>Leger1!Y18</f>
        <v>82.666666666666671</v>
      </c>
      <c r="Z18" s="665">
        <f>Leger1!Z18</f>
        <v>0</v>
      </c>
      <c r="AA18" s="646">
        <f>Leger1!AA18</f>
        <v>79.039999999999992</v>
      </c>
      <c r="AB18" s="662">
        <f>Leger1!AB18</f>
        <v>77.900000000000006</v>
      </c>
      <c r="AC18" s="665">
        <f>Leger1!AC18</f>
        <v>0</v>
      </c>
      <c r="AD18" s="646">
        <f>Leger1!AD18</f>
        <v>79.039999999999992</v>
      </c>
      <c r="AE18" s="662">
        <f>Leger1!AE18</f>
        <v>80.400000000000006</v>
      </c>
      <c r="AF18" s="665">
        <f>Leger1!AF18</f>
        <v>0</v>
      </c>
      <c r="AG18" s="646">
        <f>Leger1!AG18</f>
        <v>79.599999999999994</v>
      </c>
      <c r="AH18" s="662">
        <f>Leger1!AH18</f>
        <v>80.166666666666671</v>
      </c>
      <c r="AI18" s="665">
        <f>Leger1!AI18</f>
        <v>0</v>
      </c>
      <c r="AJ18" s="646">
        <f>Leger1!AJ18</f>
        <v>85.199999999999989</v>
      </c>
      <c r="AK18" s="662">
        <f>Leger1!AK18</f>
        <v>87.5</v>
      </c>
      <c r="AL18" s="665">
        <f>Leger1!AL18</f>
        <v>0</v>
      </c>
      <c r="AM18" s="646">
        <f>Leger1!AM18</f>
        <v>79.51428571428572</v>
      </c>
      <c r="AN18" s="662">
        <f>Leger1!AN18</f>
        <v>80</v>
      </c>
      <c r="AO18" s="665">
        <f>Leger1!AO18</f>
        <v>0</v>
      </c>
      <c r="AP18" s="646">
        <f>Leger1!AP18</f>
        <v>79.08</v>
      </c>
      <c r="AQ18" s="662">
        <f>Leger1!AQ18</f>
        <v>80.400000000000006</v>
      </c>
      <c r="AR18" s="665">
        <f>Leger1!AR18</f>
        <v>0</v>
      </c>
      <c r="AS18" s="646">
        <f>Leger1!AS18</f>
        <v>79.8</v>
      </c>
      <c r="AT18" s="662">
        <f>Leger1!AT18</f>
        <v>79</v>
      </c>
      <c r="AU18" s="665">
        <f>Leger1!AU18</f>
        <v>0</v>
      </c>
      <c r="AV18" s="646">
        <f>Leger1!AV18</f>
        <v>82.8</v>
      </c>
      <c r="AW18" s="662">
        <f>Leger1!AW18</f>
        <v>84</v>
      </c>
      <c r="AX18" s="665">
        <f>Leger1!AX18</f>
        <v>0</v>
      </c>
      <c r="AY18" s="646">
        <f>Leger1!AY18</f>
        <v>81.05</v>
      </c>
      <c r="AZ18" s="662">
        <f>Leger1!AZ18</f>
        <v>81.75</v>
      </c>
      <c r="BA18" s="670" t="str">
        <f t="shared" si="2"/>
        <v>B</v>
      </c>
      <c r="BB18" s="389">
        <f t="shared" si="0"/>
        <v>889.07428571428557</v>
      </c>
      <c r="BC18" s="390">
        <f t="shared" si="1"/>
        <v>59.271619047619041</v>
      </c>
      <c r="BD18" s="214">
        <f t="shared" si="3"/>
        <v>14</v>
      </c>
    </row>
    <row r="19" spans="5:56" ht="16.5">
      <c r="E19" s="211">
        <f>Biodata!B18</f>
        <v>13</v>
      </c>
      <c r="F19" s="212">
        <f>IF(Biodata!C18="","",VLOOKUP(E19,Biodata_Siswa,2,FALSE))</f>
        <v>7084</v>
      </c>
      <c r="G19" s="891" t="str">
        <f>IF(Biodata!E18="","",PROPER(VLOOKUP(E19,Biodata_Siswa,4,FALSE)))</f>
        <v>Dony Pratama</v>
      </c>
      <c r="H19" s="892"/>
      <c r="I19" s="646">
        <f>Leger1!I19</f>
        <v>80.8</v>
      </c>
      <c r="J19" s="662">
        <f>Leger1!J19</f>
        <v>82.5</v>
      </c>
      <c r="K19" s="665">
        <f>Leger1!K19</f>
        <v>0</v>
      </c>
      <c r="L19" s="646">
        <f>Leger1!L19</f>
        <v>0</v>
      </c>
      <c r="M19" s="662">
        <f>Leger1!M19</f>
        <v>0</v>
      </c>
      <c r="N19" s="673">
        <f>Leger1!N19</f>
        <v>0</v>
      </c>
      <c r="O19" s="659">
        <f>Leger1!O19</f>
        <v>0</v>
      </c>
      <c r="P19" s="647">
        <f>Leger1!P19</f>
        <v>0</v>
      </c>
      <c r="Q19" s="668">
        <f>Leger1!Q19</f>
        <v>0</v>
      </c>
      <c r="R19" s="646">
        <f>Leger1!R19</f>
        <v>0</v>
      </c>
      <c r="S19" s="662">
        <f>Leger1!S19</f>
        <v>0</v>
      </c>
      <c r="T19" s="665">
        <f>Leger1!T19</f>
        <v>0</v>
      </c>
      <c r="U19" s="646">
        <f>Leger1!U19</f>
        <v>0</v>
      </c>
      <c r="V19" s="662">
        <f>Leger1!V19</f>
        <v>0</v>
      </c>
      <c r="W19" s="665">
        <f>Leger1!W19</f>
        <v>0</v>
      </c>
      <c r="X19" s="646">
        <f>Leger1!X19</f>
        <v>80.8</v>
      </c>
      <c r="Y19" s="662">
        <f>Leger1!Y19</f>
        <v>82</v>
      </c>
      <c r="Z19" s="665">
        <f>Leger1!Z19</f>
        <v>0</v>
      </c>
      <c r="AA19" s="646">
        <f>Leger1!AA19</f>
        <v>77.56</v>
      </c>
      <c r="AB19" s="662">
        <f>Leger1!AB19</f>
        <v>76.7</v>
      </c>
      <c r="AC19" s="665">
        <f>Leger1!AC19</f>
        <v>0</v>
      </c>
      <c r="AD19" s="646">
        <f>Leger1!AD19</f>
        <v>76.759999999999991</v>
      </c>
      <c r="AE19" s="662">
        <f>Leger1!AE19</f>
        <v>76</v>
      </c>
      <c r="AF19" s="665">
        <f>Leger1!AF19</f>
        <v>0</v>
      </c>
      <c r="AG19" s="646">
        <f>Leger1!AG19</f>
        <v>79.599999999999994</v>
      </c>
      <c r="AH19" s="662">
        <f>Leger1!AH19</f>
        <v>80</v>
      </c>
      <c r="AI19" s="665">
        <f>Leger1!AI19</f>
        <v>0</v>
      </c>
      <c r="AJ19" s="646">
        <f>Leger1!AJ19</f>
        <v>78.399999999999991</v>
      </c>
      <c r="AK19" s="662">
        <f>Leger1!AK19</f>
        <v>82.5</v>
      </c>
      <c r="AL19" s="665">
        <f>Leger1!AL19</f>
        <v>0</v>
      </c>
      <c r="AM19" s="646">
        <f>Leger1!AM19</f>
        <v>79.51428571428572</v>
      </c>
      <c r="AN19" s="662">
        <f>Leger1!AN19</f>
        <v>79.142857142857139</v>
      </c>
      <c r="AO19" s="665">
        <f>Leger1!AO19</f>
        <v>0</v>
      </c>
      <c r="AP19" s="646">
        <f>Leger1!AP19</f>
        <v>79.48</v>
      </c>
      <c r="AQ19" s="662">
        <f>Leger1!AQ19</f>
        <v>80</v>
      </c>
      <c r="AR19" s="665">
        <f>Leger1!AR19</f>
        <v>0</v>
      </c>
      <c r="AS19" s="646">
        <f>Leger1!AS19</f>
        <v>78.150000000000006</v>
      </c>
      <c r="AT19" s="662">
        <f>Leger1!AT19</f>
        <v>79</v>
      </c>
      <c r="AU19" s="665">
        <f>Leger1!AU19</f>
        <v>0</v>
      </c>
      <c r="AV19" s="646">
        <f>Leger1!AV19</f>
        <v>81.11999999999999</v>
      </c>
      <c r="AW19" s="662">
        <f>Leger1!AW19</f>
        <v>81</v>
      </c>
      <c r="AX19" s="665">
        <f>Leger1!AX19</f>
        <v>0</v>
      </c>
      <c r="AY19" s="646">
        <f>Leger1!AY19</f>
        <v>78.650000000000006</v>
      </c>
      <c r="AZ19" s="662">
        <f>Leger1!AZ19</f>
        <v>77.75</v>
      </c>
      <c r="BA19" s="670" t="str">
        <f t="shared" si="2"/>
        <v>B</v>
      </c>
      <c r="BB19" s="389">
        <f t="shared" si="0"/>
        <v>870.83428571428567</v>
      </c>
      <c r="BC19" s="390">
        <f t="shared" si="1"/>
        <v>58.055619047619047</v>
      </c>
      <c r="BD19" s="214">
        <f t="shared" si="3"/>
        <v>24</v>
      </c>
    </row>
    <row r="20" spans="5:56" ht="16.5">
      <c r="E20" s="211">
        <f>Biodata!B19</f>
        <v>14</v>
      </c>
      <c r="F20" s="212">
        <f>IF(Biodata!C19="","",VLOOKUP(E20,Biodata_Siswa,2,FALSE))</f>
        <v>7089</v>
      </c>
      <c r="G20" s="891" t="str">
        <f>IF(Biodata!E19="","",PROPER(VLOOKUP(E20,Biodata_Siswa,4,FALSE)))</f>
        <v>Faris Febram</v>
      </c>
      <c r="H20" s="892"/>
      <c r="I20" s="646">
        <f>Leger1!I20</f>
        <v>79.95</v>
      </c>
      <c r="J20" s="662">
        <f>Leger1!J20</f>
        <v>82</v>
      </c>
      <c r="K20" s="665">
        <f>Leger1!K20</f>
        <v>0</v>
      </c>
      <c r="L20" s="646">
        <f>Leger1!L20</f>
        <v>0</v>
      </c>
      <c r="M20" s="662">
        <f>Leger1!M20</f>
        <v>0</v>
      </c>
      <c r="N20" s="673">
        <f>Leger1!N20</f>
        <v>0</v>
      </c>
      <c r="O20" s="659">
        <f>Leger1!O20</f>
        <v>0</v>
      </c>
      <c r="P20" s="647">
        <f>Leger1!P20</f>
        <v>0</v>
      </c>
      <c r="Q20" s="668">
        <f>Leger1!Q20</f>
        <v>0</v>
      </c>
      <c r="R20" s="646">
        <f>Leger1!R20</f>
        <v>0</v>
      </c>
      <c r="S20" s="662">
        <f>Leger1!S20</f>
        <v>0</v>
      </c>
      <c r="T20" s="665">
        <f>Leger1!T20</f>
        <v>0</v>
      </c>
      <c r="U20" s="646">
        <f>Leger1!U20</f>
        <v>0</v>
      </c>
      <c r="V20" s="662">
        <f>Leger1!V20</f>
        <v>0</v>
      </c>
      <c r="W20" s="665">
        <f>Leger1!W20</f>
        <v>0</v>
      </c>
      <c r="X20" s="646">
        <f>Leger1!X20</f>
        <v>81.599999999999994</v>
      </c>
      <c r="Y20" s="662">
        <f>Leger1!Y20</f>
        <v>82</v>
      </c>
      <c r="Z20" s="665">
        <f>Leger1!Z20</f>
        <v>0</v>
      </c>
      <c r="AA20" s="646">
        <f>Leger1!AA20</f>
        <v>78.460000000000008</v>
      </c>
      <c r="AB20" s="662">
        <f>Leger1!AB20</f>
        <v>77.099999999999994</v>
      </c>
      <c r="AC20" s="665">
        <f>Leger1!AC20</f>
        <v>0</v>
      </c>
      <c r="AD20" s="646">
        <f>Leger1!AD20</f>
        <v>76.36</v>
      </c>
      <c r="AE20" s="662">
        <f>Leger1!AE20</f>
        <v>76</v>
      </c>
      <c r="AF20" s="665">
        <f>Leger1!AF20</f>
        <v>0</v>
      </c>
      <c r="AG20" s="646">
        <f>Leger1!AG20</f>
        <v>79.099999999999994</v>
      </c>
      <c r="AH20" s="662">
        <f>Leger1!AH20</f>
        <v>79.166666666666671</v>
      </c>
      <c r="AI20" s="665">
        <f>Leger1!AI20</f>
        <v>0</v>
      </c>
      <c r="AJ20" s="646">
        <f>Leger1!AJ20</f>
        <v>79.699999999999989</v>
      </c>
      <c r="AK20" s="662">
        <f>Leger1!AK20</f>
        <v>85</v>
      </c>
      <c r="AL20" s="665">
        <f>Leger1!AL20</f>
        <v>0</v>
      </c>
      <c r="AM20" s="646">
        <f>Leger1!AM20</f>
        <v>79.48571428571428</v>
      </c>
      <c r="AN20" s="662">
        <f>Leger1!AN20</f>
        <v>79.571428571428569</v>
      </c>
      <c r="AO20" s="665">
        <f>Leger1!AO20</f>
        <v>0</v>
      </c>
      <c r="AP20" s="646">
        <f>Leger1!AP20</f>
        <v>77.959999999999994</v>
      </c>
      <c r="AQ20" s="662">
        <f>Leger1!AQ20</f>
        <v>81.599999999999994</v>
      </c>
      <c r="AR20" s="665">
        <f>Leger1!AR20</f>
        <v>0</v>
      </c>
      <c r="AS20" s="646">
        <f>Leger1!AS20</f>
        <v>79.849999999999994</v>
      </c>
      <c r="AT20" s="662">
        <f>Leger1!AT20</f>
        <v>81.5</v>
      </c>
      <c r="AU20" s="665">
        <f>Leger1!AU20</f>
        <v>0</v>
      </c>
      <c r="AV20" s="646">
        <f>Leger1!AV20</f>
        <v>81</v>
      </c>
      <c r="AW20" s="662">
        <f>Leger1!AW20</f>
        <v>82</v>
      </c>
      <c r="AX20" s="665">
        <f>Leger1!AX20</f>
        <v>0</v>
      </c>
      <c r="AY20" s="646">
        <f>Leger1!AY20</f>
        <v>79.400000000000006</v>
      </c>
      <c r="AZ20" s="662">
        <f>Leger1!AZ20</f>
        <v>79</v>
      </c>
      <c r="BA20" s="670" t="str">
        <f t="shared" si="2"/>
        <v>B</v>
      </c>
      <c r="BB20" s="389">
        <f t="shared" si="0"/>
        <v>872.86571428571438</v>
      </c>
      <c r="BC20" s="390">
        <f t="shared" si="1"/>
        <v>58.191047619047623</v>
      </c>
      <c r="BD20" s="214">
        <f t="shared" si="3"/>
        <v>22</v>
      </c>
    </row>
    <row r="21" spans="5:56" ht="16.5">
      <c r="E21" s="211">
        <f>Biodata!B20</f>
        <v>15</v>
      </c>
      <c r="F21" s="212">
        <f>IF(Biodata!C20="","",VLOOKUP(E21,Biodata_Siswa,2,FALSE))</f>
        <v>7095</v>
      </c>
      <c r="G21" s="891" t="str">
        <f>IF(Biodata!E20="","",PROPER(VLOOKUP(E21,Biodata_Siswa,4,FALSE)))</f>
        <v>Hikmatullah Umar Malik Abdul Aziz</v>
      </c>
      <c r="H21" s="892"/>
      <c r="I21" s="646">
        <f>Leger1!I21</f>
        <v>81.25</v>
      </c>
      <c r="J21" s="662">
        <f>Leger1!J21</f>
        <v>83</v>
      </c>
      <c r="K21" s="665">
        <f>Leger1!K21</f>
        <v>0</v>
      </c>
      <c r="L21" s="646">
        <f>Leger1!L21</f>
        <v>0</v>
      </c>
      <c r="M21" s="662">
        <f>Leger1!M21</f>
        <v>0</v>
      </c>
      <c r="N21" s="673">
        <f>Leger1!N21</f>
        <v>0</v>
      </c>
      <c r="O21" s="659">
        <f>Leger1!O21</f>
        <v>0</v>
      </c>
      <c r="P21" s="647">
        <f>Leger1!P21</f>
        <v>0</v>
      </c>
      <c r="Q21" s="668">
        <f>Leger1!Q21</f>
        <v>0</v>
      </c>
      <c r="R21" s="646">
        <f>Leger1!R21</f>
        <v>0</v>
      </c>
      <c r="S21" s="662">
        <f>Leger1!S21</f>
        <v>0</v>
      </c>
      <c r="T21" s="665">
        <f>Leger1!T21</f>
        <v>0</v>
      </c>
      <c r="U21" s="646">
        <f>Leger1!U21</f>
        <v>0</v>
      </c>
      <c r="V21" s="662">
        <f>Leger1!V21</f>
        <v>0</v>
      </c>
      <c r="W21" s="665">
        <f>Leger1!W21</f>
        <v>0</v>
      </c>
      <c r="X21" s="646">
        <f>Leger1!X21</f>
        <v>80.8</v>
      </c>
      <c r="Y21" s="662">
        <f>Leger1!Y21</f>
        <v>82</v>
      </c>
      <c r="Z21" s="665">
        <f>Leger1!Z21</f>
        <v>0</v>
      </c>
      <c r="AA21" s="646">
        <f>Leger1!AA21</f>
        <v>81.66</v>
      </c>
      <c r="AB21" s="662">
        <f>Leger1!AB21</f>
        <v>79.3</v>
      </c>
      <c r="AC21" s="665">
        <f>Leger1!AC21</f>
        <v>0</v>
      </c>
      <c r="AD21" s="646">
        <f>Leger1!AD21</f>
        <v>79.08</v>
      </c>
      <c r="AE21" s="662">
        <f>Leger1!AE21</f>
        <v>79</v>
      </c>
      <c r="AF21" s="665">
        <f>Leger1!AF21</f>
        <v>0</v>
      </c>
      <c r="AG21" s="646">
        <f>Leger1!AG21</f>
        <v>80.099999999999994</v>
      </c>
      <c r="AH21" s="662">
        <f>Leger1!AH21</f>
        <v>80.166666666666671</v>
      </c>
      <c r="AI21" s="665">
        <f>Leger1!AI21</f>
        <v>0</v>
      </c>
      <c r="AJ21" s="646">
        <f>Leger1!AJ21</f>
        <v>79.899999999999991</v>
      </c>
      <c r="AK21" s="662">
        <f>Leger1!AK21</f>
        <v>81.5</v>
      </c>
      <c r="AL21" s="665">
        <f>Leger1!AL21</f>
        <v>0</v>
      </c>
      <c r="AM21" s="646">
        <f>Leger1!AM21</f>
        <v>81.371428571428567</v>
      </c>
      <c r="AN21" s="662">
        <f>Leger1!AN21</f>
        <v>80.428571428571431</v>
      </c>
      <c r="AO21" s="665">
        <f>Leger1!AO21</f>
        <v>0</v>
      </c>
      <c r="AP21" s="646">
        <f>Leger1!AP21</f>
        <v>79.52</v>
      </c>
      <c r="AQ21" s="662">
        <f>Leger1!AQ21</f>
        <v>82.8</v>
      </c>
      <c r="AR21" s="665">
        <f>Leger1!AR21</f>
        <v>0</v>
      </c>
      <c r="AS21" s="646">
        <f>Leger1!AS21</f>
        <v>80.100000000000009</v>
      </c>
      <c r="AT21" s="662">
        <f>Leger1!AT21</f>
        <v>79.75</v>
      </c>
      <c r="AU21" s="665">
        <f>Leger1!AU21</f>
        <v>0</v>
      </c>
      <c r="AV21" s="646">
        <f>Leger1!AV21</f>
        <v>80.8</v>
      </c>
      <c r="AW21" s="662">
        <f>Leger1!AW21</f>
        <v>83</v>
      </c>
      <c r="AX21" s="665">
        <f>Leger1!AX21</f>
        <v>0</v>
      </c>
      <c r="AY21" s="646">
        <f>Leger1!AY21</f>
        <v>79.7</v>
      </c>
      <c r="AZ21" s="662">
        <f>Leger1!AZ21</f>
        <v>79.5</v>
      </c>
      <c r="BA21" s="670" t="str">
        <f t="shared" si="2"/>
        <v>B</v>
      </c>
      <c r="BB21" s="389">
        <f t="shared" si="0"/>
        <v>884.28142857142859</v>
      </c>
      <c r="BC21" s="390">
        <f t="shared" si="1"/>
        <v>58.952095238095239</v>
      </c>
      <c r="BD21" s="214">
        <f t="shared" si="3"/>
        <v>18</v>
      </c>
    </row>
    <row r="22" spans="5:56" ht="16.5">
      <c r="E22" s="211">
        <f>Biodata!B21</f>
        <v>16</v>
      </c>
      <c r="F22" s="212">
        <f>IF(Biodata!C21="","",VLOOKUP(E22,Biodata_Siswa,2,FALSE))</f>
        <v>7096</v>
      </c>
      <c r="G22" s="891" t="str">
        <f>IF(Biodata!E21="","",PROPER(VLOOKUP(E22,Biodata_Siswa,4,FALSE)))</f>
        <v>Indah Purnama Ningsih</v>
      </c>
      <c r="H22" s="892"/>
      <c r="I22" s="646">
        <f>Leger1!I22</f>
        <v>84.949999999999989</v>
      </c>
      <c r="J22" s="662">
        <f>Leger1!J22</f>
        <v>84.5</v>
      </c>
      <c r="K22" s="665">
        <f>Leger1!K22</f>
        <v>0</v>
      </c>
      <c r="L22" s="646">
        <f>Leger1!L22</f>
        <v>0</v>
      </c>
      <c r="M22" s="662">
        <f>Leger1!M22</f>
        <v>0</v>
      </c>
      <c r="N22" s="673">
        <f>Leger1!N22</f>
        <v>0</v>
      </c>
      <c r="O22" s="659">
        <f>Leger1!O22</f>
        <v>0</v>
      </c>
      <c r="P22" s="647">
        <f>Leger1!P22</f>
        <v>0</v>
      </c>
      <c r="Q22" s="668">
        <f>Leger1!Q22</f>
        <v>0</v>
      </c>
      <c r="R22" s="646">
        <f>Leger1!R22</f>
        <v>0</v>
      </c>
      <c r="S22" s="662">
        <f>Leger1!S22</f>
        <v>0</v>
      </c>
      <c r="T22" s="665">
        <f>Leger1!T22</f>
        <v>0</v>
      </c>
      <c r="U22" s="646">
        <f>Leger1!U22</f>
        <v>0</v>
      </c>
      <c r="V22" s="662">
        <f>Leger1!V22</f>
        <v>0</v>
      </c>
      <c r="W22" s="665">
        <f>Leger1!W22</f>
        <v>0</v>
      </c>
      <c r="X22" s="646">
        <f>Leger1!X22</f>
        <v>86</v>
      </c>
      <c r="Y22" s="662">
        <f>Leger1!Y22</f>
        <v>82.666666666666671</v>
      </c>
      <c r="Z22" s="665">
        <f>Leger1!Z22</f>
        <v>0</v>
      </c>
      <c r="AA22" s="646">
        <f>Leger1!AA22</f>
        <v>80.2</v>
      </c>
      <c r="AB22" s="662">
        <f>Leger1!AB22</f>
        <v>78.3</v>
      </c>
      <c r="AC22" s="665">
        <f>Leger1!AC22</f>
        <v>0</v>
      </c>
      <c r="AD22" s="646">
        <f>Leger1!AD22</f>
        <v>83.2</v>
      </c>
      <c r="AE22" s="662">
        <f>Leger1!AE22</f>
        <v>85.2</v>
      </c>
      <c r="AF22" s="665">
        <f>Leger1!AF22</f>
        <v>0</v>
      </c>
      <c r="AG22" s="646">
        <f>Leger1!AG22</f>
        <v>89.5</v>
      </c>
      <c r="AH22" s="662">
        <f>Leger1!AH22</f>
        <v>90</v>
      </c>
      <c r="AI22" s="665">
        <f>Leger1!AI22</f>
        <v>0</v>
      </c>
      <c r="AJ22" s="646">
        <f>Leger1!AJ22</f>
        <v>88</v>
      </c>
      <c r="AK22" s="662">
        <f>Leger1!AK22</f>
        <v>90</v>
      </c>
      <c r="AL22" s="665">
        <f>Leger1!AL22</f>
        <v>0</v>
      </c>
      <c r="AM22" s="646">
        <f>Leger1!AM22</f>
        <v>84.6</v>
      </c>
      <c r="AN22" s="662">
        <f>Leger1!AN22</f>
        <v>83.714285714285708</v>
      </c>
      <c r="AO22" s="665">
        <f>Leger1!AO22</f>
        <v>0</v>
      </c>
      <c r="AP22" s="646">
        <f>Leger1!AP22</f>
        <v>80.72</v>
      </c>
      <c r="AQ22" s="662">
        <f>Leger1!AQ22</f>
        <v>82</v>
      </c>
      <c r="AR22" s="665">
        <f>Leger1!AR22</f>
        <v>0</v>
      </c>
      <c r="AS22" s="646">
        <f>Leger1!AS22</f>
        <v>79.400000000000006</v>
      </c>
      <c r="AT22" s="662">
        <f>Leger1!AT22</f>
        <v>78</v>
      </c>
      <c r="AU22" s="665">
        <f>Leger1!AU22</f>
        <v>0</v>
      </c>
      <c r="AV22" s="646">
        <f>Leger1!AV22</f>
        <v>83.6</v>
      </c>
      <c r="AW22" s="662">
        <f>Leger1!AW22</f>
        <v>84</v>
      </c>
      <c r="AX22" s="665">
        <f>Leger1!AX22</f>
        <v>0</v>
      </c>
      <c r="AY22" s="646">
        <f>Leger1!AY22</f>
        <v>81.849999999999994</v>
      </c>
      <c r="AZ22" s="662">
        <f>Leger1!AZ22</f>
        <v>81.75</v>
      </c>
      <c r="BA22" s="670" t="str">
        <f t="shared" si="2"/>
        <v>B</v>
      </c>
      <c r="BB22" s="389">
        <f t="shared" si="0"/>
        <v>922.02</v>
      </c>
      <c r="BC22" s="390">
        <f t="shared" si="1"/>
        <v>61.467999999999996</v>
      </c>
      <c r="BD22" s="214">
        <f t="shared" si="3"/>
        <v>3</v>
      </c>
    </row>
    <row r="23" spans="5:56" ht="16.5">
      <c r="E23" s="211">
        <f>Biodata!B22</f>
        <v>17</v>
      </c>
      <c r="F23" s="212">
        <f>IF(Biodata!C22="","",VLOOKUP(E23,Biodata_Siswa,2,FALSE))</f>
        <v>7098</v>
      </c>
      <c r="G23" s="891" t="str">
        <f>IF(Biodata!E22="","",PROPER(VLOOKUP(E23,Biodata_Siswa,4,FALSE)))</f>
        <v>Ladiva Nurrosa Laila</v>
      </c>
      <c r="H23" s="892"/>
      <c r="I23" s="646">
        <f>Leger1!I23</f>
        <v>82.15</v>
      </c>
      <c r="J23" s="662">
        <f>Leger1!J23</f>
        <v>83.75</v>
      </c>
      <c r="K23" s="665">
        <f>Leger1!K23</f>
        <v>0</v>
      </c>
      <c r="L23" s="646">
        <f>Leger1!L23</f>
        <v>0</v>
      </c>
      <c r="M23" s="662">
        <f>Leger1!M23</f>
        <v>0</v>
      </c>
      <c r="N23" s="673">
        <f>Leger1!N23</f>
        <v>0</v>
      </c>
      <c r="O23" s="659">
        <f>Leger1!O23</f>
        <v>0</v>
      </c>
      <c r="P23" s="647">
        <f>Leger1!P23</f>
        <v>0</v>
      </c>
      <c r="Q23" s="668">
        <f>Leger1!Q23</f>
        <v>0</v>
      </c>
      <c r="R23" s="646">
        <f>Leger1!R23</f>
        <v>0</v>
      </c>
      <c r="S23" s="662">
        <f>Leger1!S23</f>
        <v>0</v>
      </c>
      <c r="T23" s="665">
        <f>Leger1!T23</f>
        <v>0</v>
      </c>
      <c r="U23" s="646">
        <f>Leger1!U23</f>
        <v>0</v>
      </c>
      <c r="V23" s="662">
        <f>Leger1!V23</f>
        <v>0</v>
      </c>
      <c r="W23" s="665">
        <f>Leger1!W23</f>
        <v>0</v>
      </c>
      <c r="X23" s="646">
        <f>Leger1!X23</f>
        <v>82</v>
      </c>
      <c r="Y23" s="662">
        <f>Leger1!Y23</f>
        <v>82.666666666666671</v>
      </c>
      <c r="Z23" s="665">
        <f>Leger1!Z23</f>
        <v>0</v>
      </c>
      <c r="AA23" s="646">
        <f>Leger1!AA23</f>
        <v>78.72</v>
      </c>
      <c r="AB23" s="662">
        <f>Leger1!AB23</f>
        <v>78</v>
      </c>
      <c r="AC23" s="665">
        <f>Leger1!AC23</f>
        <v>0</v>
      </c>
      <c r="AD23" s="646">
        <f>Leger1!AD23</f>
        <v>77.760000000000005</v>
      </c>
      <c r="AE23" s="662">
        <f>Leger1!AE23</f>
        <v>77.599999999999994</v>
      </c>
      <c r="AF23" s="665">
        <f>Leger1!AF23</f>
        <v>0</v>
      </c>
      <c r="AG23" s="646">
        <f>Leger1!AG23</f>
        <v>83.199999999999989</v>
      </c>
      <c r="AH23" s="662">
        <f>Leger1!AH23</f>
        <v>86</v>
      </c>
      <c r="AI23" s="665">
        <f>Leger1!AI23</f>
        <v>0</v>
      </c>
      <c r="AJ23" s="646">
        <f>Leger1!AJ23</f>
        <v>78</v>
      </c>
      <c r="AK23" s="662">
        <f>Leger1!AK23</f>
        <v>85</v>
      </c>
      <c r="AL23" s="665">
        <f>Leger1!AL23</f>
        <v>0</v>
      </c>
      <c r="AM23" s="646">
        <f>Leger1!AM23</f>
        <v>79.971428571428589</v>
      </c>
      <c r="AN23" s="662">
        <f>Leger1!AN23</f>
        <v>80.285714285714292</v>
      </c>
      <c r="AO23" s="665">
        <f>Leger1!AO23</f>
        <v>0</v>
      </c>
      <c r="AP23" s="646">
        <f>Leger1!AP23</f>
        <v>79.759999999999991</v>
      </c>
      <c r="AQ23" s="662">
        <f>Leger1!AQ23</f>
        <v>81.8</v>
      </c>
      <c r="AR23" s="665">
        <f>Leger1!AR23</f>
        <v>0</v>
      </c>
      <c r="AS23" s="646">
        <f>Leger1!AS23</f>
        <v>80</v>
      </c>
      <c r="AT23" s="662">
        <f>Leger1!AT23</f>
        <v>79.75</v>
      </c>
      <c r="AU23" s="665">
        <f>Leger1!AU23</f>
        <v>0</v>
      </c>
      <c r="AV23" s="646">
        <f>Leger1!AV23</f>
        <v>83.199999999999989</v>
      </c>
      <c r="AW23" s="662">
        <f>Leger1!AW23</f>
        <v>83</v>
      </c>
      <c r="AX23" s="665">
        <f>Leger1!AX23</f>
        <v>0</v>
      </c>
      <c r="AY23" s="646">
        <f>Leger1!AY23</f>
        <v>81.05</v>
      </c>
      <c r="AZ23" s="662">
        <f>Leger1!AZ23</f>
        <v>81.75</v>
      </c>
      <c r="BA23" s="670" t="str">
        <f t="shared" si="2"/>
        <v>B</v>
      </c>
      <c r="BB23" s="389">
        <f t="shared" si="0"/>
        <v>885.81142857142845</v>
      </c>
      <c r="BC23" s="390">
        <f t="shared" si="1"/>
        <v>59.054095238095229</v>
      </c>
      <c r="BD23" s="214">
        <f t="shared" si="3"/>
        <v>17</v>
      </c>
    </row>
    <row r="24" spans="5:56" ht="16.5">
      <c r="E24" s="211">
        <f>Biodata!B23</f>
        <v>18</v>
      </c>
      <c r="F24" s="212">
        <f>IF(Biodata!C23="","",VLOOKUP(E24,Biodata_Siswa,2,FALSE))</f>
        <v>7101</v>
      </c>
      <c r="G24" s="891" t="str">
        <f>IF(Biodata!E23="","",PROPER(VLOOKUP(E24,Biodata_Siswa,4,FALSE)))</f>
        <v>Mefa Novita Putri</v>
      </c>
      <c r="H24" s="892"/>
      <c r="I24" s="646">
        <f>Leger1!I24</f>
        <v>87.15</v>
      </c>
      <c r="J24" s="662">
        <f>Leger1!J24</f>
        <v>85.5</v>
      </c>
      <c r="K24" s="665">
        <f>Leger1!K24</f>
        <v>0</v>
      </c>
      <c r="L24" s="646">
        <f>Leger1!L24</f>
        <v>0</v>
      </c>
      <c r="M24" s="662">
        <f>Leger1!M24</f>
        <v>0</v>
      </c>
      <c r="N24" s="673">
        <f>Leger1!N24</f>
        <v>0</v>
      </c>
      <c r="O24" s="659">
        <f>Leger1!O24</f>
        <v>0</v>
      </c>
      <c r="P24" s="647">
        <f>Leger1!P24</f>
        <v>0</v>
      </c>
      <c r="Q24" s="668">
        <f>Leger1!Q24</f>
        <v>0</v>
      </c>
      <c r="R24" s="646">
        <f>Leger1!R24</f>
        <v>0</v>
      </c>
      <c r="S24" s="662">
        <f>Leger1!S24</f>
        <v>0</v>
      </c>
      <c r="T24" s="665">
        <f>Leger1!T24</f>
        <v>0</v>
      </c>
      <c r="U24" s="646">
        <f>Leger1!U24</f>
        <v>0</v>
      </c>
      <c r="V24" s="662">
        <f>Leger1!V24</f>
        <v>0</v>
      </c>
      <c r="W24" s="665">
        <f>Leger1!W24</f>
        <v>0</v>
      </c>
      <c r="X24" s="646">
        <f>Leger1!X24</f>
        <v>84</v>
      </c>
      <c r="Y24" s="662">
        <f>Leger1!Y24</f>
        <v>82.666666666666671</v>
      </c>
      <c r="Z24" s="665">
        <f>Leger1!Z24</f>
        <v>0</v>
      </c>
      <c r="AA24" s="646">
        <f>Leger1!AA24</f>
        <v>80.419999999999987</v>
      </c>
      <c r="AB24" s="662">
        <f>Leger1!AB24</f>
        <v>78.3</v>
      </c>
      <c r="AC24" s="665">
        <f>Leger1!AC24</f>
        <v>0</v>
      </c>
      <c r="AD24" s="646">
        <f>Leger1!AD24</f>
        <v>84.6</v>
      </c>
      <c r="AE24" s="662">
        <f>Leger1!AE24</f>
        <v>87</v>
      </c>
      <c r="AF24" s="665">
        <f>Leger1!AF24</f>
        <v>0</v>
      </c>
      <c r="AG24" s="646">
        <f>Leger1!AG24</f>
        <v>88.699999999999989</v>
      </c>
      <c r="AH24" s="662">
        <f>Leger1!AH24</f>
        <v>89.5</v>
      </c>
      <c r="AI24" s="665">
        <f>Leger1!AI24</f>
        <v>0</v>
      </c>
      <c r="AJ24" s="646">
        <f>Leger1!AJ24</f>
        <v>90.2</v>
      </c>
      <c r="AK24" s="662">
        <f>Leger1!AK24</f>
        <v>90</v>
      </c>
      <c r="AL24" s="665">
        <f>Leger1!AL24</f>
        <v>0</v>
      </c>
      <c r="AM24" s="646">
        <f>Leger1!AM24</f>
        <v>83.514285714285705</v>
      </c>
      <c r="AN24" s="662">
        <f>Leger1!AN24</f>
        <v>82.714285714285708</v>
      </c>
      <c r="AO24" s="665">
        <f>Leger1!AO24</f>
        <v>0</v>
      </c>
      <c r="AP24" s="646">
        <f>Leger1!AP24</f>
        <v>84.8</v>
      </c>
      <c r="AQ24" s="662">
        <f>Leger1!AQ24</f>
        <v>83.2</v>
      </c>
      <c r="AR24" s="665">
        <f>Leger1!AR24</f>
        <v>0</v>
      </c>
      <c r="AS24" s="646">
        <f>Leger1!AS24</f>
        <v>80</v>
      </c>
      <c r="AT24" s="662">
        <f>Leger1!AT24</f>
        <v>79.5</v>
      </c>
      <c r="AU24" s="665">
        <f>Leger1!AU24</f>
        <v>0</v>
      </c>
      <c r="AV24" s="646">
        <f>Leger1!AV24</f>
        <v>83.88</v>
      </c>
      <c r="AW24" s="662">
        <f>Leger1!AW24</f>
        <v>84</v>
      </c>
      <c r="AX24" s="665">
        <f>Leger1!AX24</f>
        <v>0</v>
      </c>
      <c r="AY24" s="646">
        <f>Leger1!AY24</f>
        <v>82.75</v>
      </c>
      <c r="AZ24" s="662">
        <f>Leger1!AZ24</f>
        <v>81.25</v>
      </c>
      <c r="BA24" s="670" t="str">
        <f t="shared" si="2"/>
        <v>B</v>
      </c>
      <c r="BB24" s="389">
        <f t="shared" si="0"/>
        <v>930.01428571428562</v>
      </c>
      <c r="BC24" s="390">
        <f t="shared" si="1"/>
        <v>62.000952380952377</v>
      </c>
      <c r="BD24" s="214">
        <f t="shared" si="3"/>
        <v>1</v>
      </c>
    </row>
    <row r="25" spans="5:56" ht="16.5">
      <c r="E25" s="211">
        <f>Biodata!B24</f>
        <v>19</v>
      </c>
      <c r="F25" s="212">
        <f>IF(Biodata!C24="","",VLOOKUP(E25,Biodata_Siswa,2,FALSE))</f>
        <v>7104</v>
      </c>
      <c r="G25" s="891" t="str">
        <f>IF(Biodata!E24="","",PROPER(VLOOKUP(E25,Biodata_Siswa,4,FALSE)))</f>
        <v>Mellanie Bunga Aprilia</v>
      </c>
      <c r="H25" s="892"/>
      <c r="I25" s="646">
        <f>Leger1!I25</f>
        <v>86.95</v>
      </c>
      <c r="J25" s="662">
        <f>Leger1!J25</f>
        <v>86</v>
      </c>
      <c r="K25" s="665">
        <f>Leger1!K25</f>
        <v>0</v>
      </c>
      <c r="L25" s="646">
        <f>Leger1!L25</f>
        <v>0</v>
      </c>
      <c r="M25" s="662">
        <f>Leger1!M25</f>
        <v>0</v>
      </c>
      <c r="N25" s="673">
        <f>Leger1!N25</f>
        <v>0</v>
      </c>
      <c r="O25" s="659">
        <f>Leger1!O25</f>
        <v>0</v>
      </c>
      <c r="P25" s="647">
        <f>Leger1!P25</f>
        <v>0</v>
      </c>
      <c r="Q25" s="668">
        <f>Leger1!Q25</f>
        <v>0</v>
      </c>
      <c r="R25" s="646">
        <f>Leger1!R25</f>
        <v>0</v>
      </c>
      <c r="S25" s="662">
        <f>Leger1!S25</f>
        <v>0</v>
      </c>
      <c r="T25" s="665">
        <f>Leger1!T25</f>
        <v>0</v>
      </c>
      <c r="U25" s="646">
        <f>Leger1!U25</f>
        <v>0</v>
      </c>
      <c r="V25" s="662">
        <f>Leger1!V25</f>
        <v>0</v>
      </c>
      <c r="W25" s="665">
        <f>Leger1!W25</f>
        <v>0</v>
      </c>
      <c r="X25" s="646">
        <f>Leger1!X25</f>
        <v>83.6</v>
      </c>
      <c r="Y25" s="662">
        <f>Leger1!Y25</f>
        <v>82.666666666666671</v>
      </c>
      <c r="Z25" s="665">
        <f>Leger1!Z25</f>
        <v>0</v>
      </c>
      <c r="AA25" s="646">
        <f>Leger1!AA25</f>
        <v>80.56</v>
      </c>
      <c r="AB25" s="662">
        <f>Leger1!AB25</f>
        <v>77.7</v>
      </c>
      <c r="AC25" s="665">
        <f>Leger1!AC25</f>
        <v>0</v>
      </c>
      <c r="AD25" s="646">
        <f>Leger1!AD25</f>
        <v>79.319999999999993</v>
      </c>
      <c r="AE25" s="662">
        <f>Leger1!AE25</f>
        <v>80.2</v>
      </c>
      <c r="AF25" s="665">
        <f>Leger1!AF25</f>
        <v>0</v>
      </c>
      <c r="AG25" s="646">
        <f>Leger1!AG25</f>
        <v>84.8</v>
      </c>
      <c r="AH25" s="662">
        <f>Leger1!AH25</f>
        <v>85.833333333333329</v>
      </c>
      <c r="AI25" s="665">
        <f>Leger1!AI25</f>
        <v>0</v>
      </c>
      <c r="AJ25" s="646">
        <f>Leger1!AJ25</f>
        <v>88.800000000000011</v>
      </c>
      <c r="AK25" s="662">
        <f>Leger1!AK25</f>
        <v>87.5</v>
      </c>
      <c r="AL25" s="665">
        <f>Leger1!AL25</f>
        <v>0</v>
      </c>
      <c r="AM25" s="646">
        <f>Leger1!AM25</f>
        <v>82.6</v>
      </c>
      <c r="AN25" s="662">
        <f>Leger1!AN25</f>
        <v>82.857142857142861</v>
      </c>
      <c r="AO25" s="665">
        <f>Leger1!AO25</f>
        <v>0</v>
      </c>
      <c r="AP25" s="646">
        <f>Leger1!AP25</f>
        <v>83.76</v>
      </c>
      <c r="AQ25" s="662">
        <f>Leger1!AQ25</f>
        <v>81.2</v>
      </c>
      <c r="AR25" s="665">
        <f>Leger1!AR25</f>
        <v>0</v>
      </c>
      <c r="AS25" s="646">
        <f>Leger1!AS25</f>
        <v>80</v>
      </c>
      <c r="AT25" s="662">
        <f>Leger1!AT25</f>
        <v>80</v>
      </c>
      <c r="AU25" s="665">
        <f>Leger1!AU25</f>
        <v>0</v>
      </c>
      <c r="AV25" s="646">
        <f>Leger1!AV25</f>
        <v>85.6</v>
      </c>
      <c r="AW25" s="662">
        <f>Leger1!AW25</f>
        <v>84</v>
      </c>
      <c r="AX25" s="665">
        <f>Leger1!AX25</f>
        <v>0</v>
      </c>
      <c r="AY25" s="646">
        <f>Leger1!AY25</f>
        <v>80.75</v>
      </c>
      <c r="AZ25" s="662">
        <f>Leger1!AZ25</f>
        <v>81.25</v>
      </c>
      <c r="BA25" s="670" t="str">
        <f t="shared" si="2"/>
        <v>B</v>
      </c>
      <c r="BB25" s="389">
        <f t="shared" si="0"/>
        <v>916.74</v>
      </c>
      <c r="BC25" s="390">
        <f t="shared" si="1"/>
        <v>61.116</v>
      </c>
      <c r="BD25" s="214">
        <f t="shared" si="3"/>
        <v>4</v>
      </c>
    </row>
    <row r="26" spans="5:56" ht="16.5">
      <c r="E26" s="211">
        <f>Biodata!B25</f>
        <v>20</v>
      </c>
      <c r="F26" s="212">
        <f>IF(Biodata!C25="","",VLOOKUP(E26,Biodata_Siswa,2,FALSE))</f>
        <v>7105</v>
      </c>
      <c r="G26" s="891" t="str">
        <f>IF(Biodata!E25="","",PROPER(VLOOKUP(E26,Biodata_Siswa,4,FALSE)))</f>
        <v>Mirra Tusolickak</v>
      </c>
      <c r="H26" s="892"/>
      <c r="I26" s="646">
        <f>Leger1!I26</f>
        <v>83.15</v>
      </c>
      <c r="J26" s="662">
        <f>Leger1!J26</f>
        <v>83.5</v>
      </c>
      <c r="K26" s="665">
        <f>Leger1!K26</f>
        <v>0</v>
      </c>
      <c r="L26" s="646">
        <f>Leger1!L26</f>
        <v>0</v>
      </c>
      <c r="M26" s="662">
        <f>Leger1!M26</f>
        <v>0</v>
      </c>
      <c r="N26" s="673">
        <f>Leger1!N26</f>
        <v>0</v>
      </c>
      <c r="O26" s="659">
        <f>Leger1!O26</f>
        <v>0</v>
      </c>
      <c r="P26" s="647">
        <f>Leger1!P26</f>
        <v>0</v>
      </c>
      <c r="Q26" s="668">
        <f>Leger1!Q26</f>
        <v>0</v>
      </c>
      <c r="R26" s="646">
        <f>Leger1!R26</f>
        <v>0</v>
      </c>
      <c r="S26" s="662">
        <f>Leger1!S26</f>
        <v>0</v>
      </c>
      <c r="T26" s="665">
        <f>Leger1!T26</f>
        <v>0</v>
      </c>
      <c r="U26" s="646">
        <f>Leger1!U26</f>
        <v>0</v>
      </c>
      <c r="V26" s="662">
        <f>Leger1!V26</f>
        <v>0</v>
      </c>
      <c r="W26" s="665">
        <f>Leger1!W26</f>
        <v>0</v>
      </c>
      <c r="X26" s="646">
        <f>Leger1!X26</f>
        <v>85.2</v>
      </c>
      <c r="Y26" s="662">
        <f>Leger1!Y26</f>
        <v>83.333333333333329</v>
      </c>
      <c r="Z26" s="665">
        <f>Leger1!Z26</f>
        <v>0</v>
      </c>
      <c r="AA26" s="646">
        <f>Leger1!AA26</f>
        <v>81.680000000000007</v>
      </c>
      <c r="AB26" s="662">
        <f>Leger1!AB26</f>
        <v>77.7</v>
      </c>
      <c r="AC26" s="665">
        <f>Leger1!AC26</f>
        <v>0</v>
      </c>
      <c r="AD26" s="646">
        <f>Leger1!AD26</f>
        <v>87</v>
      </c>
      <c r="AE26" s="662">
        <f>Leger1!AE26</f>
        <v>90</v>
      </c>
      <c r="AF26" s="665">
        <f>Leger1!AF26</f>
        <v>0</v>
      </c>
      <c r="AG26" s="646">
        <f>Leger1!AG26</f>
        <v>90.3</v>
      </c>
      <c r="AH26" s="662">
        <f>Leger1!AH26</f>
        <v>90.333333333333329</v>
      </c>
      <c r="AI26" s="665">
        <f>Leger1!AI26</f>
        <v>0</v>
      </c>
      <c r="AJ26" s="646">
        <f>Leger1!AJ26</f>
        <v>90.2</v>
      </c>
      <c r="AK26" s="662">
        <f>Leger1!AK26</f>
        <v>87.5</v>
      </c>
      <c r="AL26" s="665">
        <f>Leger1!AL26</f>
        <v>0</v>
      </c>
      <c r="AM26" s="646">
        <f>Leger1!AM26</f>
        <v>81.971428571428575</v>
      </c>
      <c r="AN26" s="662">
        <f>Leger1!AN26</f>
        <v>81.285714285714292</v>
      </c>
      <c r="AO26" s="665">
        <f>Leger1!AO26</f>
        <v>0</v>
      </c>
      <c r="AP26" s="646">
        <f>Leger1!AP26</f>
        <v>81.2</v>
      </c>
      <c r="AQ26" s="662">
        <f>Leger1!AQ26</f>
        <v>81.599999999999994</v>
      </c>
      <c r="AR26" s="665">
        <f>Leger1!AR26</f>
        <v>0</v>
      </c>
      <c r="AS26" s="646">
        <f>Leger1!AS26</f>
        <v>80.75</v>
      </c>
      <c r="AT26" s="662">
        <f>Leger1!AT26</f>
        <v>79.75</v>
      </c>
      <c r="AU26" s="665">
        <f>Leger1!AU26</f>
        <v>0</v>
      </c>
      <c r="AV26" s="646">
        <f>Leger1!AV26</f>
        <v>84</v>
      </c>
      <c r="AW26" s="662">
        <f>Leger1!AW26</f>
        <v>84</v>
      </c>
      <c r="AX26" s="665">
        <f>Leger1!AX26</f>
        <v>0</v>
      </c>
      <c r="AY26" s="646">
        <f>Leger1!AY26</f>
        <v>81.550000000000011</v>
      </c>
      <c r="AZ26" s="662">
        <f>Leger1!AZ26</f>
        <v>81.25</v>
      </c>
      <c r="BA26" s="670" t="str">
        <f t="shared" si="2"/>
        <v>B</v>
      </c>
      <c r="BB26" s="389">
        <f t="shared" si="0"/>
        <v>927.00142857142873</v>
      </c>
      <c r="BC26" s="390">
        <f t="shared" si="1"/>
        <v>61.800095238095246</v>
      </c>
      <c r="BD26" s="214">
        <f t="shared" si="3"/>
        <v>2</v>
      </c>
    </row>
    <row r="27" spans="5:56" ht="16.5">
      <c r="E27" s="211">
        <f>Biodata!B26</f>
        <v>21</v>
      </c>
      <c r="F27" s="212">
        <f>IF(Biodata!C26="","",VLOOKUP(E27,Biodata_Siswa,2,FALSE))</f>
        <v>7107</v>
      </c>
      <c r="G27" s="891" t="str">
        <f>IF(Biodata!E26="","",PROPER(VLOOKUP(E27,Biodata_Siswa,4,FALSE)))</f>
        <v>Muhammad Daffa Rifa'I</v>
      </c>
      <c r="H27" s="892"/>
      <c r="I27" s="646">
        <f>Leger1!I27</f>
        <v>86.199999999999989</v>
      </c>
      <c r="J27" s="662">
        <f>Leger1!J27</f>
        <v>84.75</v>
      </c>
      <c r="K27" s="665">
        <f>Leger1!K27</f>
        <v>0</v>
      </c>
      <c r="L27" s="646">
        <f>Leger1!L27</f>
        <v>0</v>
      </c>
      <c r="M27" s="662">
        <f>Leger1!M27</f>
        <v>0</v>
      </c>
      <c r="N27" s="673">
        <f>Leger1!N27</f>
        <v>0</v>
      </c>
      <c r="O27" s="659">
        <f>Leger1!O27</f>
        <v>0</v>
      </c>
      <c r="P27" s="647">
        <f>Leger1!P27</f>
        <v>0</v>
      </c>
      <c r="Q27" s="668">
        <f>Leger1!Q27</f>
        <v>0</v>
      </c>
      <c r="R27" s="646">
        <f>Leger1!R27</f>
        <v>0</v>
      </c>
      <c r="S27" s="662">
        <f>Leger1!S27</f>
        <v>0</v>
      </c>
      <c r="T27" s="665">
        <f>Leger1!T27</f>
        <v>0</v>
      </c>
      <c r="U27" s="646">
        <f>Leger1!U27</f>
        <v>0</v>
      </c>
      <c r="V27" s="662">
        <f>Leger1!V27</f>
        <v>0</v>
      </c>
      <c r="W27" s="665">
        <f>Leger1!W27</f>
        <v>0</v>
      </c>
      <c r="X27" s="646">
        <f>Leger1!X27</f>
        <v>85.2</v>
      </c>
      <c r="Y27" s="662">
        <f>Leger1!Y27</f>
        <v>83.333333333333329</v>
      </c>
      <c r="Z27" s="665">
        <f>Leger1!Z27</f>
        <v>0</v>
      </c>
      <c r="AA27" s="646">
        <f>Leger1!AA27</f>
        <v>80.400000000000006</v>
      </c>
      <c r="AB27" s="662">
        <f>Leger1!AB27</f>
        <v>78</v>
      </c>
      <c r="AC27" s="665">
        <f>Leger1!AC27</f>
        <v>0</v>
      </c>
      <c r="AD27" s="646">
        <f>Leger1!AD27</f>
        <v>79.08</v>
      </c>
      <c r="AE27" s="662">
        <f>Leger1!AE27</f>
        <v>79.8</v>
      </c>
      <c r="AF27" s="665">
        <f>Leger1!AF27</f>
        <v>0</v>
      </c>
      <c r="AG27" s="646">
        <f>Leger1!AG27</f>
        <v>85.8</v>
      </c>
      <c r="AH27" s="662">
        <f>Leger1!AH27</f>
        <v>86.333333333333329</v>
      </c>
      <c r="AI27" s="665">
        <f>Leger1!AI27</f>
        <v>0</v>
      </c>
      <c r="AJ27" s="646">
        <f>Leger1!AJ27</f>
        <v>78.599999999999994</v>
      </c>
      <c r="AK27" s="662">
        <f>Leger1!AK27</f>
        <v>82.5</v>
      </c>
      <c r="AL27" s="665">
        <f>Leger1!AL27</f>
        <v>0</v>
      </c>
      <c r="AM27" s="646">
        <f>Leger1!AM27</f>
        <v>83.6</v>
      </c>
      <c r="AN27" s="662">
        <f>Leger1!AN27</f>
        <v>82.857142857142861</v>
      </c>
      <c r="AO27" s="665">
        <f>Leger1!AO27</f>
        <v>0</v>
      </c>
      <c r="AP27" s="646">
        <f>Leger1!AP27</f>
        <v>81</v>
      </c>
      <c r="AQ27" s="662">
        <f>Leger1!AQ27</f>
        <v>80.2</v>
      </c>
      <c r="AR27" s="665">
        <f>Leger1!AR27</f>
        <v>0</v>
      </c>
      <c r="AS27" s="646">
        <f>Leger1!AS27</f>
        <v>78.5</v>
      </c>
      <c r="AT27" s="662">
        <f>Leger1!AT27</f>
        <v>77.5</v>
      </c>
      <c r="AU27" s="665">
        <f>Leger1!AU27</f>
        <v>0</v>
      </c>
      <c r="AV27" s="646">
        <f>Leger1!AV27</f>
        <v>83.800000000000011</v>
      </c>
      <c r="AW27" s="662">
        <f>Leger1!AW27</f>
        <v>83</v>
      </c>
      <c r="AX27" s="665">
        <f>Leger1!AX27</f>
        <v>0</v>
      </c>
      <c r="AY27" s="646">
        <f>Leger1!AY27</f>
        <v>79.7</v>
      </c>
      <c r="AZ27" s="662">
        <f>Leger1!AZ27</f>
        <v>79.5</v>
      </c>
      <c r="BA27" s="670" t="str">
        <f t="shared" si="2"/>
        <v>B</v>
      </c>
      <c r="BB27" s="389">
        <f t="shared" si="0"/>
        <v>901.88000000000011</v>
      </c>
      <c r="BC27" s="390">
        <f t="shared" si="1"/>
        <v>60.125333333333337</v>
      </c>
      <c r="BD27" s="214">
        <f t="shared" si="3"/>
        <v>9</v>
      </c>
    </row>
    <row r="28" spans="5:56" ht="16.5">
      <c r="E28" s="211">
        <f>Biodata!B27</f>
        <v>22</v>
      </c>
      <c r="F28" s="212">
        <f>IF(Biodata!C27="","",VLOOKUP(E28,Biodata_Siswa,2,FALSE))</f>
        <v>7108</v>
      </c>
      <c r="G28" s="891" t="str">
        <f>IF(Biodata!E27="","",PROPER(VLOOKUP(E28,Biodata_Siswa,4,FALSE)))</f>
        <v>Muhammad Jaupanto</v>
      </c>
      <c r="H28" s="892"/>
      <c r="I28" s="646">
        <f>Leger1!I28</f>
        <v>76.449999999999989</v>
      </c>
      <c r="J28" s="662">
        <f>Leger1!J28</f>
        <v>77.25</v>
      </c>
      <c r="K28" s="665">
        <f>Leger1!K28</f>
        <v>0</v>
      </c>
      <c r="L28" s="646">
        <f>Leger1!L28</f>
        <v>0</v>
      </c>
      <c r="M28" s="662">
        <f>Leger1!M28</f>
        <v>0</v>
      </c>
      <c r="N28" s="673">
        <f>Leger1!N28</f>
        <v>0</v>
      </c>
      <c r="O28" s="659">
        <f>Leger1!O28</f>
        <v>0</v>
      </c>
      <c r="P28" s="647">
        <f>Leger1!P28</f>
        <v>0</v>
      </c>
      <c r="Q28" s="668">
        <f>Leger1!Q28</f>
        <v>0</v>
      </c>
      <c r="R28" s="646">
        <f>Leger1!R28</f>
        <v>0</v>
      </c>
      <c r="S28" s="662">
        <f>Leger1!S28</f>
        <v>0</v>
      </c>
      <c r="T28" s="665">
        <f>Leger1!T28</f>
        <v>0</v>
      </c>
      <c r="U28" s="646">
        <f>Leger1!U28</f>
        <v>0</v>
      </c>
      <c r="V28" s="662">
        <f>Leger1!V28</f>
        <v>0</v>
      </c>
      <c r="W28" s="665">
        <f>Leger1!W28</f>
        <v>0</v>
      </c>
      <c r="X28" s="646">
        <f>Leger1!X28</f>
        <v>78</v>
      </c>
      <c r="Y28" s="662">
        <f>Leger1!Y28</f>
        <v>80</v>
      </c>
      <c r="Z28" s="665">
        <f>Leger1!Z28</f>
        <v>0</v>
      </c>
      <c r="AA28" s="646">
        <f>Leger1!AA28</f>
        <v>77.02</v>
      </c>
      <c r="AB28" s="662">
        <f>Leger1!AB28</f>
        <v>76.8</v>
      </c>
      <c r="AC28" s="665">
        <f>Leger1!AC28</f>
        <v>0</v>
      </c>
      <c r="AD28" s="646">
        <f>Leger1!AD28</f>
        <v>75.88</v>
      </c>
      <c r="AE28" s="662">
        <f>Leger1!AE28</f>
        <v>75.8</v>
      </c>
      <c r="AF28" s="665">
        <f>Leger1!AF28</f>
        <v>0</v>
      </c>
      <c r="AG28" s="646">
        <f>Leger1!AG28</f>
        <v>77.600000000000009</v>
      </c>
      <c r="AH28" s="662">
        <f>Leger1!AH28</f>
        <v>79</v>
      </c>
      <c r="AI28" s="665">
        <f>Leger1!AI28</f>
        <v>0</v>
      </c>
      <c r="AJ28" s="646">
        <f>Leger1!AJ28</f>
        <v>77.5</v>
      </c>
      <c r="AK28" s="662">
        <f>Leger1!AK28</f>
        <v>82</v>
      </c>
      <c r="AL28" s="665">
        <f>Leger1!AL28</f>
        <v>0</v>
      </c>
      <c r="AM28" s="646">
        <f>Leger1!AM28</f>
        <v>77.599999999999994</v>
      </c>
      <c r="AN28" s="662">
        <f>Leger1!AN28</f>
        <v>77.428571428571431</v>
      </c>
      <c r="AO28" s="665">
        <f>Leger1!AO28</f>
        <v>0</v>
      </c>
      <c r="AP28" s="646">
        <f>Leger1!AP28</f>
        <v>79</v>
      </c>
      <c r="AQ28" s="662">
        <f>Leger1!AQ28</f>
        <v>79.400000000000006</v>
      </c>
      <c r="AR28" s="665">
        <f>Leger1!AR28</f>
        <v>0</v>
      </c>
      <c r="AS28" s="646">
        <f>Leger1!AS28</f>
        <v>79.199999999999989</v>
      </c>
      <c r="AT28" s="662">
        <f>Leger1!AT28</f>
        <v>79.5</v>
      </c>
      <c r="AU28" s="665">
        <f>Leger1!AU28</f>
        <v>0</v>
      </c>
      <c r="AV28" s="646">
        <f>Leger1!AV28</f>
        <v>81.400000000000006</v>
      </c>
      <c r="AW28" s="662">
        <f>Leger1!AW28</f>
        <v>82</v>
      </c>
      <c r="AX28" s="665">
        <f>Leger1!AX28</f>
        <v>0</v>
      </c>
      <c r="AY28" s="646">
        <f>Leger1!AY28</f>
        <v>79.400000000000006</v>
      </c>
      <c r="AZ28" s="662">
        <f>Leger1!AZ28</f>
        <v>79</v>
      </c>
      <c r="BA28" s="670" t="str">
        <f t="shared" si="2"/>
        <v>B</v>
      </c>
      <c r="BB28" s="389">
        <f t="shared" si="0"/>
        <v>859.05</v>
      </c>
      <c r="BC28" s="390">
        <f t="shared" si="1"/>
        <v>57.269999999999996</v>
      </c>
      <c r="BD28" s="214">
        <f t="shared" si="3"/>
        <v>26</v>
      </c>
    </row>
    <row r="29" spans="5:56" ht="16.5">
      <c r="E29" s="211">
        <f>Biodata!B28</f>
        <v>23</v>
      </c>
      <c r="F29" s="212">
        <f>IF(Biodata!C28="","",VLOOKUP(E29,Biodata_Siswa,2,FALSE))</f>
        <v>7111</v>
      </c>
      <c r="G29" s="891" t="str">
        <f>IF(Biodata!E28="","",PROPER(VLOOKUP(E29,Biodata_Siswa,4,FALSE)))</f>
        <v>Nova Laila Khusna</v>
      </c>
      <c r="H29" s="892"/>
      <c r="I29" s="646">
        <f>Leger1!I29</f>
        <v>85.549999999999983</v>
      </c>
      <c r="J29" s="662">
        <f>Leger1!J29</f>
        <v>85.25</v>
      </c>
      <c r="K29" s="665">
        <f>Leger1!K29</f>
        <v>0</v>
      </c>
      <c r="L29" s="646">
        <f>Leger1!L29</f>
        <v>0</v>
      </c>
      <c r="M29" s="662">
        <f>Leger1!M29</f>
        <v>0</v>
      </c>
      <c r="N29" s="673">
        <f>Leger1!N29</f>
        <v>0</v>
      </c>
      <c r="O29" s="659">
        <f>Leger1!O29</f>
        <v>0</v>
      </c>
      <c r="P29" s="647">
        <f>Leger1!P29</f>
        <v>0</v>
      </c>
      <c r="Q29" s="668">
        <f>Leger1!Q29</f>
        <v>0</v>
      </c>
      <c r="R29" s="646">
        <f>Leger1!R29</f>
        <v>0</v>
      </c>
      <c r="S29" s="662">
        <f>Leger1!S29</f>
        <v>0</v>
      </c>
      <c r="T29" s="665">
        <f>Leger1!T29</f>
        <v>0</v>
      </c>
      <c r="U29" s="646">
        <f>Leger1!U29</f>
        <v>0</v>
      </c>
      <c r="V29" s="662">
        <f>Leger1!V29</f>
        <v>0</v>
      </c>
      <c r="W29" s="665">
        <f>Leger1!W29</f>
        <v>0</v>
      </c>
      <c r="X29" s="646">
        <f>Leger1!X29</f>
        <v>83.6</v>
      </c>
      <c r="Y29" s="662">
        <f>Leger1!Y29</f>
        <v>82</v>
      </c>
      <c r="Z29" s="665">
        <f>Leger1!Z29</f>
        <v>0</v>
      </c>
      <c r="AA29" s="646">
        <f>Leger1!AA29</f>
        <v>78.66</v>
      </c>
      <c r="AB29" s="662">
        <f>Leger1!AB29</f>
        <v>77.5</v>
      </c>
      <c r="AC29" s="665">
        <f>Leger1!AC29</f>
        <v>0</v>
      </c>
      <c r="AD29" s="646">
        <f>Leger1!AD29</f>
        <v>80.639999999999986</v>
      </c>
      <c r="AE29" s="662">
        <f>Leger1!AE29</f>
        <v>82</v>
      </c>
      <c r="AF29" s="665">
        <f>Leger1!AF29</f>
        <v>0</v>
      </c>
      <c r="AG29" s="646">
        <f>Leger1!AG29</f>
        <v>83.8</v>
      </c>
      <c r="AH29" s="662">
        <f>Leger1!AH29</f>
        <v>85.666666666666671</v>
      </c>
      <c r="AI29" s="665">
        <f>Leger1!AI29</f>
        <v>0</v>
      </c>
      <c r="AJ29" s="646">
        <f>Leger1!AJ29</f>
        <v>86.2</v>
      </c>
      <c r="AK29" s="662">
        <f>Leger1!AK29</f>
        <v>87.5</v>
      </c>
      <c r="AL29" s="665">
        <f>Leger1!AL29</f>
        <v>0</v>
      </c>
      <c r="AM29" s="646">
        <f>Leger1!AM29</f>
        <v>81.171428571428578</v>
      </c>
      <c r="AN29" s="662">
        <f>Leger1!AN29</f>
        <v>80.285714285714292</v>
      </c>
      <c r="AO29" s="665">
        <f>Leger1!AO29</f>
        <v>0</v>
      </c>
      <c r="AP29" s="646">
        <f>Leger1!AP29</f>
        <v>79.47999999999999</v>
      </c>
      <c r="AQ29" s="662">
        <f>Leger1!AQ29</f>
        <v>80.400000000000006</v>
      </c>
      <c r="AR29" s="665">
        <f>Leger1!AR29</f>
        <v>0</v>
      </c>
      <c r="AS29" s="646">
        <f>Leger1!AS29</f>
        <v>80.399999999999991</v>
      </c>
      <c r="AT29" s="662">
        <f>Leger1!AT29</f>
        <v>81</v>
      </c>
      <c r="AU29" s="665">
        <f>Leger1!AU29</f>
        <v>0</v>
      </c>
      <c r="AV29" s="646">
        <f>Leger1!AV29</f>
        <v>81.399999999999991</v>
      </c>
      <c r="AW29" s="662">
        <f>Leger1!AW29</f>
        <v>84</v>
      </c>
      <c r="AX29" s="665">
        <f>Leger1!AX29</f>
        <v>0</v>
      </c>
      <c r="AY29" s="646">
        <f>Leger1!AY29</f>
        <v>80</v>
      </c>
      <c r="AZ29" s="662">
        <f>Leger1!AZ29</f>
        <v>80</v>
      </c>
      <c r="BA29" s="670" t="str">
        <f t="shared" si="2"/>
        <v>B</v>
      </c>
      <c r="BB29" s="389">
        <f t="shared" si="0"/>
        <v>900.90142857142848</v>
      </c>
      <c r="BC29" s="390">
        <f t="shared" si="1"/>
        <v>60.060095238095229</v>
      </c>
      <c r="BD29" s="214">
        <f t="shared" si="3"/>
        <v>11</v>
      </c>
    </row>
    <row r="30" spans="5:56" ht="16.5">
      <c r="E30" s="211">
        <f>Biodata!B29</f>
        <v>24</v>
      </c>
      <c r="F30" s="212">
        <f>IF(Biodata!C29="","",VLOOKUP(E30,Biodata_Siswa,2,FALSE))</f>
        <v>7126</v>
      </c>
      <c r="G30" s="891" t="str">
        <f>IF(Biodata!E29="","",PROPER(VLOOKUP(E30,Biodata_Siswa,4,FALSE)))</f>
        <v>Sawal Ramadian</v>
      </c>
      <c r="H30" s="892"/>
      <c r="I30" s="646">
        <f>Leger1!I30</f>
        <v>84.6</v>
      </c>
      <c r="J30" s="662">
        <f>Leger1!J30</f>
        <v>82.75</v>
      </c>
      <c r="K30" s="665">
        <f>Leger1!K30</f>
        <v>0</v>
      </c>
      <c r="L30" s="646">
        <f>Leger1!L30</f>
        <v>0</v>
      </c>
      <c r="M30" s="662">
        <f>Leger1!M30</f>
        <v>0</v>
      </c>
      <c r="N30" s="673">
        <f>Leger1!N30</f>
        <v>0</v>
      </c>
      <c r="O30" s="659">
        <f>Leger1!O30</f>
        <v>0</v>
      </c>
      <c r="P30" s="647">
        <f>Leger1!P30</f>
        <v>0</v>
      </c>
      <c r="Q30" s="668">
        <f>Leger1!Q30</f>
        <v>0</v>
      </c>
      <c r="R30" s="646">
        <f>Leger1!R30</f>
        <v>0</v>
      </c>
      <c r="S30" s="662">
        <f>Leger1!S30</f>
        <v>0</v>
      </c>
      <c r="T30" s="665">
        <f>Leger1!T30</f>
        <v>0</v>
      </c>
      <c r="U30" s="646">
        <f>Leger1!U30</f>
        <v>0</v>
      </c>
      <c r="V30" s="662">
        <f>Leger1!V30</f>
        <v>0</v>
      </c>
      <c r="W30" s="665">
        <f>Leger1!W30</f>
        <v>0</v>
      </c>
      <c r="X30" s="646">
        <f>Leger1!X30</f>
        <v>83.2</v>
      </c>
      <c r="Y30" s="662">
        <f>Leger1!Y30</f>
        <v>82</v>
      </c>
      <c r="Z30" s="665">
        <f>Leger1!Z30</f>
        <v>0</v>
      </c>
      <c r="AA30" s="646">
        <f>Leger1!AA30</f>
        <v>81.47999999999999</v>
      </c>
      <c r="AB30" s="662">
        <f>Leger1!AB30</f>
        <v>79</v>
      </c>
      <c r="AC30" s="665">
        <f>Leger1!AC30</f>
        <v>0</v>
      </c>
      <c r="AD30" s="646">
        <f>Leger1!AD30</f>
        <v>85.800000000000011</v>
      </c>
      <c r="AE30" s="662">
        <f>Leger1!AE30</f>
        <v>86.2</v>
      </c>
      <c r="AF30" s="665">
        <f>Leger1!AF30</f>
        <v>0</v>
      </c>
      <c r="AG30" s="646">
        <f>Leger1!AG30</f>
        <v>89.5</v>
      </c>
      <c r="AH30" s="662">
        <f>Leger1!AH30</f>
        <v>90.833333333333329</v>
      </c>
      <c r="AI30" s="665">
        <f>Leger1!AI30</f>
        <v>0</v>
      </c>
      <c r="AJ30" s="646">
        <f>Leger1!AJ30</f>
        <v>83.9</v>
      </c>
      <c r="AK30" s="662">
        <f>Leger1!AK30</f>
        <v>82.5</v>
      </c>
      <c r="AL30" s="665">
        <f>Leger1!AL30</f>
        <v>0</v>
      </c>
      <c r="AM30" s="646">
        <f>Leger1!AM30</f>
        <v>82.771428571428572</v>
      </c>
      <c r="AN30" s="662">
        <f>Leger1!AN30</f>
        <v>82</v>
      </c>
      <c r="AO30" s="665">
        <f>Leger1!AO30</f>
        <v>0</v>
      </c>
      <c r="AP30" s="646">
        <f>Leger1!AP30</f>
        <v>80.44</v>
      </c>
      <c r="AQ30" s="662">
        <f>Leger1!AQ30</f>
        <v>81.2</v>
      </c>
      <c r="AR30" s="665">
        <f>Leger1!AR30</f>
        <v>0</v>
      </c>
      <c r="AS30" s="646">
        <f>Leger1!AS30</f>
        <v>78.650000000000006</v>
      </c>
      <c r="AT30" s="662">
        <f>Leger1!AT30</f>
        <v>78</v>
      </c>
      <c r="AU30" s="665">
        <f>Leger1!AU30</f>
        <v>0</v>
      </c>
      <c r="AV30" s="646">
        <f>Leger1!AV30</f>
        <v>80.52</v>
      </c>
      <c r="AW30" s="662">
        <f>Leger1!AW30</f>
        <v>81</v>
      </c>
      <c r="AX30" s="665">
        <f>Leger1!AX30</f>
        <v>0</v>
      </c>
      <c r="AY30" s="646">
        <f>Leger1!AY30</f>
        <v>80</v>
      </c>
      <c r="AZ30" s="662">
        <f>Leger1!AZ30</f>
        <v>80</v>
      </c>
      <c r="BA30" s="670" t="str">
        <f t="shared" si="2"/>
        <v>B</v>
      </c>
      <c r="BB30" s="389">
        <f t="shared" si="0"/>
        <v>910.86142857142852</v>
      </c>
      <c r="BC30" s="390">
        <f t="shared" si="1"/>
        <v>60.724095238095238</v>
      </c>
      <c r="BD30" s="214">
        <f t="shared" si="3"/>
        <v>6</v>
      </c>
    </row>
    <row r="31" spans="5:56" ht="16.5">
      <c r="E31" s="211">
        <f>Biodata!B30</f>
        <v>25</v>
      </c>
      <c r="F31" s="212">
        <f>IF(Biodata!C30="","",VLOOKUP(E31,Biodata_Siswa,2,FALSE))</f>
        <v>7130</v>
      </c>
      <c r="G31" s="891" t="str">
        <f>IF(Biodata!E30="","",PROPER(VLOOKUP(E31,Biodata_Siswa,4,FALSE)))</f>
        <v>Sofyan Romansyah</v>
      </c>
      <c r="H31" s="892"/>
      <c r="I31" s="646">
        <f>Leger1!I31</f>
        <v>75.8</v>
      </c>
      <c r="J31" s="662">
        <f>Leger1!J31</f>
        <v>76.25</v>
      </c>
      <c r="K31" s="665">
        <f>Leger1!K31</f>
        <v>0</v>
      </c>
      <c r="L31" s="646">
        <f>Leger1!L31</f>
        <v>0</v>
      </c>
      <c r="M31" s="662">
        <f>Leger1!M31</f>
        <v>0</v>
      </c>
      <c r="N31" s="673">
        <f>Leger1!N31</f>
        <v>0</v>
      </c>
      <c r="O31" s="659">
        <f>Leger1!O31</f>
        <v>0</v>
      </c>
      <c r="P31" s="647">
        <f>Leger1!P31</f>
        <v>0</v>
      </c>
      <c r="Q31" s="668">
        <f>Leger1!Q31</f>
        <v>0</v>
      </c>
      <c r="R31" s="646">
        <f>Leger1!R31</f>
        <v>0</v>
      </c>
      <c r="S31" s="662">
        <f>Leger1!S31</f>
        <v>0</v>
      </c>
      <c r="T31" s="665">
        <f>Leger1!T31</f>
        <v>0</v>
      </c>
      <c r="U31" s="646">
        <f>Leger1!U31</f>
        <v>0</v>
      </c>
      <c r="V31" s="662">
        <f>Leger1!V31</f>
        <v>0</v>
      </c>
      <c r="W31" s="665">
        <f>Leger1!W31</f>
        <v>0</v>
      </c>
      <c r="X31" s="646">
        <f>Leger1!X31</f>
        <v>78</v>
      </c>
      <c r="Y31" s="662">
        <f>Leger1!Y31</f>
        <v>80</v>
      </c>
      <c r="Z31" s="665">
        <f>Leger1!Z31</f>
        <v>0</v>
      </c>
      <c r="AA31" s="646">
        <f>Leger1!AA31</f>
        <v>76.34</v>
      </c>
      <c r="AB31" s="662">
        <f>Leger1!AB31</f>
        <v>76.3</v>
      </c>
      <c r="AC31" s="665">
        <f>Leger1!AC31</f>
        <v>0</v>
      </c>
      <c r="AD31" s="646">
        <f>Leger1!AD31</f>
        <v>76.72</v>
      </c>
      <c r="AE31" s="662">
        <f>Leger1!AE31</f>
        <v>77</v>
      </c>
      <c r="AF31" s="665">
        <f>Leger1!AF31</f>
        <v>0</v>
      </c>
      <c r="AG31" s="646">
        <f>Leger1!AG31</f>
        <v>76.7</v>
      </c>
      <c r="AH31" s="662">
        <f>Leger1!AH31</f>
        <v>76.666666666666671</v>
      </c>
      <c r="AI31" s="665">
        <f>Leger1!AI31</f>
        <v>0</v>
      </c>
      <c r="AJ31" s="646">
        <f>Leger1!AJ31</f>
        <v>75.2</v>
      </c>
      <c r="AK31" s="662">
        <f>Leger1!AK31</f>
        <v>75</v>
      </c>
      <c r="AL31" s="665">
        <f>Leger1!AL31</f>
        <v>0</v>
      </c>
      <c r="AM31" s="646">
        <f>Leger1!AM31</f>
        <v>76.428571428571431</v>
      </c>
      <c r="AN31" s="662">
        <f>Leger1!AN31</f>
        <v>75.428571428571431</v>
      </c>
      <c r="AO31" s="665">
        <f>Leger1!AO31</f>
        <v>0</v>
      </c>
      <c r="AP31" s="646">
        <f>Leger1!AP31</f>
        <v>77.44</v>
      </c>
      <c r="AQ31" s="662">
        <f>Leger1!AQ31</f>
        <v>77.400000000000006</v>
      </c>
      <c r="AR31" s="665">
        <f>Leger1!AR31</f>
        <v>0</v>
      </c>
      <c r="AS31" s="646">
        <f>Leger1!AS31</f>
        <v>77.3</v>
      </c>
      <c r="AT31" s="662">
        <f>Leger1!AT31</f>
        <v>78</v>
      </c>
      <c r="AU31" s="665">
        <f>Leger1!AU31</f>
        <v>0</v>
      </c>
      <c r="AV31" s="646">
        <f>Leger1!AV31</f>
        <v>79</v>
      </c>
      <c r="AW31" s="662">
        <f>Leger1!AW31</f>
        <v>80</v>
      </c>
      <c r="AX31" s="665">
        <f>Leger1!AX31</f>
        <v>0</v>
      </c>
      <c r="AY31" s="646">
        <f>Leger1!AY31</f>
        <v>79.400000000000006</v>
      </c>
      <c r="AZ31" s="662">
        <f>Leger1!AZ31</f>
        <v>79</v>
      </c>
      <c r="BA31" s="670" t="str">
        <f t="shared" si="2"/>
        <v>B</v>
      </c>
      <c r="BB31" s="389">
        <f t="shared" si="0"/>
        <v>848.32857142857131</v>
      </c>
      <c r="BC31" s="390">
        <f t="shared" si="1"/>
        <v>56.555238095238089</v>
      </c>
      <c r="BD31" s="214">
        <f t="shared" si="3"/>
        <v>28</v>
      </c>
    </row>
    <row r="32" spans="5:56" ht="16.5">
      <c r="E32" s="211">
        <f>Biodata!B31</f>
        <v>26</v>
      </c>
      <c r="F32" s="212">
        <f>IF(Biodata!C31="","",VLOOKUP(E32,Biodata_Siswa,2,FALSE))</f>
        <v>7132</v>
      </c>
      <c r="G32" s="891" t="str">
        <f>IF(Biodata!E31="","",PROPER(VLOOKUP(E32,Biodata_Siswa,4,FALSE)))</f>
        <v>Tio Ardinata</v>
      </c>
      <c r="H32" s="892"/>
      <c r="I32" s="646">
        <f>Leger1!I32</f>
        <v>78.05</v>
      </c>
      <c r="J32" s="662">
        <f>Leger1!J32</f>
        <v>78.5</v>
      </c>
      <c r="K32" s="665">
        <f>Leger1!K32</f>
        <v>0</v>
      </c>
      <c r="L32" s="646">
        <f>Leger1!L32</f>
        <v>0</v>
      </c>
      <c r="M32" s="662">
        <f>Leger1!M32</f>
        <v>0</v>
      </c>
      <c r="N32" s="673">
        <f>Leger1!N32</f>
        <v>0</v>
      </c>
      <c r="O32" s="659">
        <f>Leger1!O32</f>
        <v>0</v>
      </c>
      <c r="P32" s="647">
        <f>Leger1!P32</f>
        <v>0</v>
      </c>
      <c r="Q32" s="668">
        <f>Leger1!Q32</f>
        <v>0</v>
      </c>
      <c r="R32" s="646">
        <f>Leger1!R32</f>
        <v>0</v>
      </c>
      <c r="S32" s="662">
        <f>Leger1!S32</f>
        <v>0</v>
      </c>
      <c r="T32" s="665">
        <f>Leger1!T32</f>
        <v>0</v>
      </c>
      <c r="U32" s="646">
        <f>Leger1!U32</f>
        <v>0</v>
      </c>
      <c r="V32" s="662">
        <f>Leger1!V32</f>
        <v>0</v>
      </c>
      <c r="W32" s="665">
        <f>Leger1!W32</f>
        <v>0</v>
      </c>
      <c r="X32" s="646">
        <f>Leger1!X32</f>
        <v>78</v>
      </c>
      <c r="Y32" s="662">
        <f>Leger1!Y32</f>
        <v>81.333333333333329</v>
      </c>
      <c r="Z32" s="665">
        <f>Leger1!Z32</f>
        <v>0</v>
      </c>
      <c r="AA32" s="646">
        <f>Leger1!AA32</f>
        <v>77.8</v>
      </c>
      <c r="AB32" s="662">
        <f>Leger1!AB32</f>
        <v>76.900000000000006</v>
      </c>
      <c r="AC32" s="665">
        <f>Leger1!AC32</f>
        <v>0</v>
      </c>
      <c r="AD32" s="646">
        <f>Leger1!AD32</f>
        <v>75.760000000000005</v>
      </c>
      <c r="AE32" s="662">
        <f>Leger1!AE32</f>
        <v>75.599999999999994</v>
      </c>
      <c r="AF32" s="665">
        <f>Leger1!AF32</f>
        <v>0</v>
      </c>
      <c r="AG32" s="646">
        <f>Leger1!AG32</f>
        <v>77.5</v>
      </c>
      <c r="AH32" s="662">
        <f>Leger1!AH32</f>
        <v>78</v>
      </c>
      <c r="AI32" s="665">
        <f>Leger1!AI32</f>
        <v>0</v>
      </c>
      <c r="AJ32" s="646">
        <f>Leger1!AJ32</f>
        <v>76.7</v>
      </c>
      <c r="AK32" s="662">
        <f>Leger1!AK32</f>
        <v>81</v>
      </c>
      <c r="AL32" s="665">
        <f>Leger1!AL32</f>
        <v>0</v>
      </c>
      <c r="AM32" s="646">
        <f>Leger1!AM32</f>
        <v>78.8</v>
      </c>
      <c r="AN32" s="662">
        <f>Leger1!AN32</f>
        <v>78.142857142857139</v>
      </c>
      <c r="AO32" s="665">
        <f>Leger1!AO32</f>
        <v>0</v>
      </c>
      <c r="AP32" s="646">
        <f>Leger1!AP32</f>
        <v>78.040000000000006</v>
      </c>
      <c r="AQ32" s="662">
        <f>Leger1!AQ32</f>
        <v>79.2</v>
      </c>
      <c r="AR32" s="665">
        <f>Leger1!AR32</f>
        <v>0</v>
      </c>
      <c r="AS32" s="646">
        <f>Leger1!AS32</f>
        <v>77.75</v>
      </c>
      <c r="AT32" s="662">
        <f>Leger1!AT32</f>
        <v>78</v>
      </c>
      <c r="AU32" s="665">
        <f>Leger1!AU32</f>
        <v>0</v>
      </c>
      <c r="AV32" s="646">
        <f>Leger1!AV32</f>
        <v>81.199999999999989</v>
      </c>
      <c r="AW32" s="662">
        <f>Leger1!AW32</f>
        <v>83</v>
      </c>
      <c r="AX32" s="665">
        <f>Leger1!AX32</f>
        <v>0</v>
      </c>
      <c r="AY32" s="646">
        <f>Leger1!AY32</f>
        <v>79.099999999999994</v>
      </c>
      <c r="AZ32" s="662">
        <f>Leger1!AZ32</f>
        <v>78.5</v>
      </c>
      <c r="BA32" s="670" t="str">
        <f t="shared" si="2"/>
        <v>B</v>
      </c>
      <c r="BB32" s="389">
        <f t="shared" si="0"/>
        <v>858.69999999999993</v>
      </c>
      <c r="BC32" s="390">
        <f t="shared" si="1"/>
        <v>57.246666666666663</v>
      </c>
      <c r="BD32" s="214">
        <f t="shared" si="3"/>
        <v>27</v>
      </c>
    </row>
    <row r="33" spans="2:56" ht="16.5">
      <c r="E33" s="211">
        <f>Biodata!B32</f>
        <v>27</v>
      </c>
      <c r="F33" s="212">
        <f>IF(Biodata!C32="","",VLOOKUP(E33,Biodata_Siswa,2,FALSE))</f>
        <v>7133</v>
      </c>
      <c r="G33" s="891" t="str">
        <f>IF(Biodata!E32="","",PROPER(VLOOKUP(E33,Biodata_Siswa,4,FALSE)))</f>
        <v>Tutik Dillayanti</v>
      </c>
      <c r="H33" s="892"/>
      <c r="I33" s="646">
        <f>Leger1!I33</f>
        <v>81.3</v>
      </c>
      <c r="J33" s="662">
        <f>Leger1!J33</f>
        <v>83.75</v>
      </c>
      <c r="K33" s="665">
        <f>Leger1!K33</f>
        <v>0</v>
      </c>
      <c r="L33" s="646">
        <f>Leger1!L33</f>
        <v>0</v>
      </c>
      <c r="M33" s="662">
        <f>Leger1!M33</f>
        <v>0</v>
      </c>
      <c r="N33" s="673">
        <f>Leger1!N33</f>
        <v>0</v>
      </c>
      <c r="O33" s="659">
        <f>Leger1!O33</f>
        <v>0</v>
      </c>
      <c r="P33" s="647">
        <f>Leger1!P33</f>
        <v>0</v>
      </c>
      <c r="Q33" s="668">
        <f>Leger1!Q33</f>
        <v>0</v>
      </c>
      <c r="R33" s="646">
        <f>Leger1!R33</f>
        <v>0</v>
      </c>
      <c r="S33" s="662">
        <f>Leger1!S33</f>
        <v>0</v>
      </c>
      <c r="T33" s="665">
        <f>Leger1!T33</f>
        <v>0</v>
      </c>
      <c r="U33" s="646">
        <f>Leger1!U33</f>
        <v>0</v>
      </c>
      <c r="V33" s="662">
        <f>Leger1!V33</f>
        <v>0</v>
      </c>
      <c r="W33" s="665">
        <f>Leger1!W33</f>
        <v>0</v>
      </c>
      <c r="X33" s="646">
        <f>Leger1!X33</f>
        <v>80</v>
      </c>
      <c r="Y33" s="662">
        <f>Leger1!Y33</f>
        <v>81.333333333333329</v>
      </c>
      <c r="Z33" s="665">
        <f>Leger1!Z33</f>
        <v>0</v>
      </c>
      <c r="AA33" s="646">
        <f>Leger1!AA33</f>
        <v>78.64</v>
      </c>
      <c r="AB33" s="662">
        <f>Leger1!AB33</f>
        <v>77.599999999999994</v>
      </c>
      <c r="AC33" s="665">
        <f>Leger1!AC33</f>
        <v>0</v>
      </c>
      <c r="AD33" s="646">
        <f>Leger1!AD33</f>
        <v>76.72</v>
      </c>
      <c r="AE33" s="662">
        <f>Leger1!AE33</f>
        <v>77.2</v>
      </c>
      <c r="AF33" s="665">
        <f>Leger1!AF33</f>
        <v>0</v>
      </c>
      <c r="AG33" s="646">
        <f>Leger1!AG33</f>
        <v>80</v>
      </c>
      <c r="AH33" s="662">
        <f>Leger1!AH33</f>
        <v>80.833333333333329</v>
      </c>
      <c r="AI33" s="665">
        <f>Leger1!AI33</f>
        <v>0</v>
      </c>
      <c r="AJ33" s="646">
        <f>Leger1!AJ33</f>
        <v>78</v>
      </c>
      <c r="AK33" s="662">
        <f>Leger1!AK33</f>
        <v>87.5</v>
      </c>
      <c r="AL33" s="665">
        <f>Leger1!AL33</f>
        <v>0</v>
      </c>
      <c r="AM33" s="646">
        <f>Leger1!AM33</f>
        <v>78.628571428571419</v>
      </c>
      <c r="AN33" s="662">
        <f>Leger1!AN33</f>
        <v>79.285714285714292</v>
      </c>
      <c r="AO33" s="665">
        <f>Leger1!AO33</f>
        <v>0</v>
      </c>
      <c r="AP33" s="646">
        <f>Leger1!AP33</f>
        <v>78.599999999999994</v>
      </c>
      <c r="AQ33" s="662">
        <f>Leger1!AQ33</f>
        <v>81</v>
      </c>
      <c r="AR33" s="665">
        <f>Leger1!AR33</f>
        <v>0</v>
      </c>
      <c r="AS33" s="646">
        <f>Leger1!AS33</f>
        <v>78.45</v>
      </c>
      <c r="AT33" s="662">
        <f>Leger1!AT33</f>
        <v>76.75</v>
      </c>
      <c r="AU33" s="665">
        <f>Leger1!AU33</f>
        <v>0</v>
      </c>
      <c r="AV33" s="646">
        <f>Leger1!AV33</f>
        <v>80.599999999999994</v>
      </c>
      <c r="AW33" s="662">
        <f>Leger1!AW33</f>
        <v>84</v>
      </c>
      <c r="AX33" s="665">
        <f>Leger1!AX33</f>
        <v>0</v>
      </c>
      <c r="AY33" s="646">
        <f>Leger1!AY33</f>
        <v>80.75</v>
      </c>
      <c r="AZ33" s="662">
        <f>Leger1!AZ33</f>
        <v>81.25</v>
      </c>
      <c r="BA33" s="670" t="str">
        <f t="shared" si="2"/>
        <v>B</v>
      </c>
      <c r="BB33" s="389">
        <f t="shared" si="0"/>
        <v>871.68857142857144</v>
      </c>
      <c r="BC33" s="390">
        <f t="shared" si="1"/>
        <v>58.112571428571428</v>
      </c>
      <c r="BD33" s="214">
        <f t="shared" si="3"/>
        <v>23</v>
      </c>
    </row>
    <row r="34" spans="2:56" ht="16.5">
      <c r="E34" s="211">
        <f>Biodata!B33</f>
        <v>28</v>
      </c>
      <c r="F34" s="212">
        <f>IF(Biodata!C33="","",VLOOKUP(E34,Biodata_Siswa,2,FALSE))</f>
        <v>7142</v>
      </c>
      <c r="G34" s="891" t="str">
        <f>IF(Biodata!E33="","",PROPER(VLOOKUP(E34,Biodata_Siswa,4,FALSE)))</f>
        <v>I Gede Nyoman Bagiyasa</v>
      </c>
      <c r="H34" s="892"/>
      <c r="I34" s="646">
        <f>Leger1!I34</f>
        <v>0</v>
      </c>
      <c r="J34" s="662">
        <f>Leger1!J34</f>
        <v>0</v>
      </c>
      <c r="K34" s="665">
        <f>Leger1!K34</f>
        <v>0</v>
      </c>
      <c r="L34" s="646">
        <f>Leger1!L34</f>
        <v>0</v>
      </c>
      <c r="M34" s="662">
        <f>Leger1!M34</f>
        <v>0</v>
      </c>
      <c r="N34" s="673">
        <f>Leger1!N34</f>
        <v>0</v>
      </c>
      <c r="O34" s="659">
        <f>Leger1!O34</f>
        <v>0</v>
      </c>
      <c r="P34" s="647">
        <f>Leger1!P34</f>
        <v>0</v>
      </c>
      <c r="Q34" s="668">
        <f>Leger1!Q34</f>
        <v>0</v>
      </c>
      <c r="R34" s="646">
        <f>Leger1!R34</f>
        <v>80</v>
      </c>
      <c r="S34" s="662">
        <f>Leger1!S34</f>
        <v>80</v>
      </c>
      <c r="T34" s="665">
        <f>Leger1!T34</f>
        <v>0</v>
      </c>
      <c r="U34" s="646">
        <f>Leger1!U34</f>
        <v>0</v>
      </c>
      <c r="V34" s="662">
        <f>Leger1!V34</f>
        <v>0</v>
      </c>
      <c r="W34" s="665">
        <f>Leger1!W34</f>
        <v>0</v>
      </c>
      <c r="X34" s="646">
        <f>Leger1!X34</f>
        <v>78</v>
      </c>
      <c r="Y34" s="662">
        <f>Leger1!Y34</f>
        <v>80</v>
      </c>
      <c r="Z34" s="665">
        <f>Leger1!Z34</f>
        <v>0</v>
      </c>
      <c r="AA34" s="646">
        <f>Leger1!AA34</f>
        <v>77.8</v>
      </c>
      <c r="AB34" s="662">
        <f>Leger1!AB34</f>
        <v>77</v>
      </c>
      <c r="AC34" s="665">
        <f>Leger1!AC34</f>
        <v>0</v>
      </c>
      <c r="AD34" s="646">
        <f>Leger1!AD34</f>
        <v>75.760000000000005</v>
      </c>
      <c r="AE34" s="662">
        <f>Leger1!AE34</f>
        <v>75.599999999999994</v>
      </c>
      <c r="AF34" s="665">
        <f>Leger1!AF34</f>
        <v>0</v>
      </c>
      <c r="AG34" s="646">
        <f>Leger1!AG34</f>
        <v>79</v>
      </c>
      <c r="AH34" s="662">
        <f>Leger1!AH34</f>
        <v>80.166666666666671</v>
      </c>
      <c r="AI34" s="665">
        <f>Leger1!AI34</f>
        <v>0</v>
      </c>
      <c r="AJ34" s="646">
        <f>Leger1!AJ34</f>
        <v>77.400000000000006</v>
      </c>
      <c r="AK34" s="662">
        <f>Leger1!AK34</f>
        <v>81</v>
      </c>
      <c r="AL34" s="665">
        <f>Leger1!AL34</f>
        <v>0</v>
      </c>
      <c r="AM34" s="646">
        <f>Leger1!AM34</f>
        <v>78.51428571428572</v>
      </c>
      <c r="AN34" s="662">
        <f>Leger1!AN34</f>
        <v>78.142857142857139</v>
      </c>
      <c r="AO34" s="665">
        <f>Leger1!AO34</f>
        <v>0</v>
      </c>
      <c r="AP34" s="646">
        <f>Leger1!AP34</f>
        <v>77.959999999999994</v>
      </c>
      <c r="AQ34" s="662">
        <f>Leger1!AQ34</f>
        <v>79.2</v>
      </c>
      <c r="AR34" s="665">
        <f>Leger1!AR34</f>
        <v>0</v>
      </c>
      <c r="AS34" s="646">
        <f>Leger1!AS34</f>
        <v>80.349999999999994</v>
      </c>
      <c r="AT34" s="662">
        <f>Leger1!AT34</f>
        <v>80</v>
      </c>
      <c r="AU34" s="665">
        <f>Leger1!AU34</f>
        <v>0</v>
      </c>
      <c r="AV34" s="646">
        <f>Leger1!AV34</f>
        <v>81.199999999999989</v>
      </c>
      <c r="AW34" s="662">
        <f>Leger1!AW34</f>
        <v>83</v>
      </c>
      <c r="AX34" s="665">
        <f>Leger1!AX34</f>
        <v>0</v>
      </c>
      <c r="AY34" s="646">
        <f>Leger1!AY34</f>
        <v>79.099999999999994</v>
      </c>
      <c r="AZ34" s="662">
        <f>Leger1!AZ34</f>
        <v>78.5</v>
      </c>
      <c r="BA34" s="670" t="str">
        <f t="shared" si="2"/>
        <v>B</v>
      </c>
      <c r="BB34" s="389">
        <f t="shared" si="0"/>
        <v>865.08428571428578</v>
      </c>
      <c r="BC34" s="390">
        <f t="shared" si="1"/>
        <v>57.672285714285721</v>
      </c>
      <c r="BD34" s="214">
        <f t="shared" si="3"/>
        <v>25</v>
      </c>
    </row>
    <row r="35" spans="2:56" ht="16.5">
      <c r="E35" s="211">
        <f>Biodata!B34</f>
        <v>29</v>
      </c>
      <c r="F35" s="212" t="str">
        <f>IF(Biodata!C34="","",VLOOKUP(E35,Biodata_Siswa,2,FALSE))</f>
        <v/>
      </c>
      <c r="G35" s="891" t="str">
        <f>IF(Biodata!E34="","",PROPER(VLOOKUP(E35,Biodata_Siswa,4,FALSE)))</f>
        <v>Melati Sabilla Rochmah</v>
      </c>
      <c r="H35" s="892"/>
      <c r="I35" s="646">
        <f>Leger1!I35</f>
        <v>0</v>
      </c>
      <c r="J35" s="662">
        <f>Leger1!J35</f>
        <v>0</v>
      </c>
      <c r="K35" s="665">
        <f>Leger1!K35</f>
        <v>0</v>
      </c>
      <c r="L35" s="646">
        <f>Leger1!L35</f>
        <v>0</v>
      </c>
      <c r="M35" s="662">
        <f>Leger1!M35</f>
        <v>0</v>
      </c>
      <c r="N35" s="673">
        <f>Leger1!N35</f>
        <v>0</v>
      </c>
      <c r="O35" s="659">
        <f>Leger1!O35</f>
        <v>0</v>
      </c>
      <c r="P35" s="647">
        <f>Leger1!P35</f>
        <v>0</v>
      </c>
      <c r="Q35" s="668">
        <f>Leger1!Q35</f>
        <v>0</v>
      </c>
      <c r="R35" s="646">
        <f>Leger1!R35</f>
        <v>0</v>
      </c>
      <c r="S35" s="662">
        <f>Leger1!S35</f>
        <v>0</v>
      </c>
      <c r="T35" s="665">
        <f>Leger1!T35</f>
        <v>0</v>
      </c>
      <c r="U35" s="646">
        <f>Leger1!U35</f>
        <v>0</v>
      </c>
      <c r="V35" s="662">
        <f>Leger1!V35</f>
        <v>0</v>
      </c>
      <c r="W35" s="665">
        <f>Leger1!W35</f>
        <v>0</v>
      </c>
      <c r="X35" s="646">
        <f>Leger1!X35</f>
        <v>0</v>
      </c>
      <c r="Y35" s="662">
        <f>Leger1!Y35</f>
        <v>0</v>
      </c>
      <c r="Z35" s="665">
        <f>Leger1!Z35</f>
        <v>0</v>
      </c>
      <c r="AA35" s="646">
        <f>Leger1!AA35</f>
        <v>0</v>
      </c>
      <c r="AB35" s="662">
        <f>Leger1!AB35</f>
        <v>0</v>
      </c>
      <c r="AC35" s="665">
        <f>Leger1!AC35</f>
        <v>0</v>
      </c>
      <c r="AD35" s="646">
        <f>Leger1!AD35</f>
        <v>0</v>
      </c>
      <c r="AE35" s="662">
        <f>Leger1!AE35</f>
        <v>0</v>
      </c>
      <c r="AF35" s="665">
        <f>Leger1!AF35</f>
        <v>0</v>
      </c>
      <c r="AG35" s="646">
        <f>Leger1!AG35</f>
        <v>0</v>
      </c>
      <c r="AH35" s="662">
        <f>Leger1!AH35</f>
        <v>0</v>
      </c>
      <c r="AI35" s="665">
        <f>Leger1!AI35</f>
        <v>0</v>
      </c>
      <c r="AJ35" s="646">
        <f>Leger1!AJ35</f>
        <v>0</v>
      </c>
      <c r="AK35" s="662">
        <f>Leger1!AK35</f>
        <v>0</v>
      </c>
      <c r="AL35" s="665">
        <f>Leger1!AL35</f>
        <v>0</v>
      </c>
      <c r="AM35" s="646">
        <f>Leger1!AM35</f>
        <v>0</v>
      </c>
      <c r="AN35" s="662">
        <f>Leger1!AN35</f>
        <v>0</v>
      </c>
      <c r="AO35" s="665">
        <f>Leger1!AO35</f>
        <v>0</v>
      </c>
      <c r="AP35" s="646">
        <f>Leger1!AP35</f>
        <v>0</v>
      </c>
      <c r="AQ35" s="662">
        <f>Leger1!AQ35</f>
        <v>0</v>
      </c>
      <c r="AR35" s="665">
        <f>Leger1!AR35</f>
        <v>0</v>
      </c>
      <c r="AS35" s="646">
        <f>Leger1!AS35</f>
        <v>0</v>
      </c>
      <c r="AT35" s="662">
        <f>Leger1!AT35</f>
        <v>0</v>
      </c>
      <c r="AU35" s="665">
        <f>Leger1!AU35</f>
        <v>0</v>
      </c>
      <c r="AV35" s="646">
        <f>Leger1!AV35</f>
        <v>0</v>
      </c>
      <c r="AW35" s="662">
        <f>Leger1!AW35</f>
        <v>0</v>
      </c>
      <c r="AX35" s="665">
        <f>Leger1!AX35</f>
        <v>0</v>
      </c>
      <c r="AY35" s="646">
        <f>Leger1!AY35</f>
        <v>0</v>
      </c>
      <c r="AZ35" s="662">
        <f>Leger1!AZ35</f>
        <v>0</v>
      </c>
      <c r="BA35" s="670" t="str">
        <f t="shared" si="2"/>
        <v>D</v>
      </c>
      <c r="BB35" s="389" t="str">
        <f t="shared" si="0"/>
        <v/>
      </c>
      <c r="BC35" s="390" t="str">
        <f t="shared" si="1"/>
        <v/>
      </c>
      <c r="BD35" s="214" t="str">
        <f t="shared" si="3"/>
        <v/>
      </c>
    </row>
    <row r="36" spans="2:56" ht="16.5">
      <c r="E36" s="211" t="str">
        <f>Biodata!B35</f>
        <v/>
      </c>
      <c r="F36" s="212" t="str">
        <f>IF(Biodata!C35="","",VLOOKUP(E36,Biodata_Siswa,2,FALSE))</f>
        <v/>
      </c>
      <c r="G36" s="891" t="str">
        <f>IF(Biodata!E35="","",PROPER(VLOOKUP(E36,Biodata_Siswa,4,FALSE)))</f>
        <v/>
      </c>
      <c r="H36" s="892"/>
      <c r="I36" s="646">
        <f>Leger1!I36</f>
        <v>0</v>
      </c>
      <c r="J36" s="662">
        <f>Leger1!J36</f>
        <v>0</v>
      </c>
      <c r="K36" s="665">
        <f>Leger1!K36</f>
        <v>0</v>
      </c>
      <c r="L36" s="646">
        <f>Leger1!L36</f>
        <v>0</v>
      </c>
      <c r="M36" s="662">
        <f>Leger1!M36</f>
        <v>0</v>
      </c>
      <c r="N36" s="673">
        <f>Leger1!N36</f>
        <v>0</v>
      </c>
      <c r="O36" s="659">
        <f>Leger1!O36</f>
        <v>0</v>
      </c>
      <c r="P36" s="647">
        <f>Leger1!P36</f>
        <v>0</v>
      </c>
      <c r="Q36" s="668">
        <f>Leger1!Q36</f>
        <v>0</v>
      </c>
      <c r="R36" s="646">
        <f>Leger1!R36</f>
        <v>0</v>
      </c>
      <c r="S36" s="662">
        <f>Leger1!S36</f>
        <v>0</v>
      </c>
      <c r="T36" s="665">
        <f>Leger1!T36</f>
        <v>0</v>
      </c>
      <c r="U36" s="646">
        <f>Leger1!U36</f>
        <v>0</v>
      </c>
      <c r="V36" s="662">
        <f>Leger1!V36</f>
        <v>0</v>
      </c>
      <c r="W36" s="665">
        <f>Leger1!W36</f>
        <v>0</v>
      </c>
      <c r="X36" s="646">
        <f>Leger1!X36</f>
        <v>0</v>
      </c>
      <c r="Y36" s="662">
        <f>Leger1!Y36</f>
        <v>0</v>
      </c>
      <c r="Z36" s="665">
        <f>Leger1!Z36</f>
        <v>0</v>
      </c>
      <c r="AA36" s="646">
        <f>Leger1!AA36</f>
        <v>0</v>
      </c>
      <c r="AB36" s="662">
        <f>Leger1!AB36</f>
        <v>0</v>
      </c>
      <c r="AC36" s="665">
        <f>Leger1!AC36</f>
        <v>0</v>
      </c>
      <c r="AD36" s="646">
        <f>Leger1!AD36</f>
        <v>0</v>
      </c>
      <c r="AE36" s="662">
        <f>Leger1!AE36</f>
        <v>0</v>
      </c>
      <c r="AF36" s="665">
        <f>Leger1!AF36</f>
        <v>0</v>
      </c>
      <c r="AG36" s="646">
        <f>Leger1!AG36</f>
        <v>0</v>
      </c>
      <c r="AH36" s="662">
        <f>Leger1!AH36</f>
        <v>0</v>
      </c>
      <c r="AI36" s="665">
        <f>Leger1!AI36</f>
        <v>0</v>
      </c>
      <c r="AJ36" s="646">
        <f>Leger1!AJ36</f>
        <v>0</v>
      </c>
      <c r="AK36" s="662">
        <f>Leger1!AK36</f>
        <v>0</v>
      </c>
      <c r="AL36" s="665">
        <f>Leger1!AL36</f>
        <v>0</v>
      </c>
      <c r="AM36" s="646">
        <f>Leger1!AM36</f>
        <v>0</v>
      </c>
      <c r="AN36" s="662">
        <f>Leger1!AN36</f>
        <v>0</v>
      </c>
      <c r="AO36" s="665">
        <f>Leger1!AO36</f>
        <v>0</v>
      </c>
      <c r="AP36" s="646">
        <f>Leger1!AP36</f>
        <v>0</v>
      </c>
      <c r="AQ36" s="662">
        <f>Leger1!AQ36</f>
        <v>0</v>
      </c>
      <c r="AR36" s="665">
        <f>Leger1!AR36</f>
        <v>0</v>
      </c>
      <c r="AS36" s="646">
        <f>Leger1!AS36</f>
        <v>0</v>
      </c>
      <c r="AT36" s="662">
        <f>Leger1!AT36</f>
        <v>0</v>
      </c>
      <c r="AU36" s="665">
        <f>Leger1!AU36</f>
        <v>0</v>
      </c>
      <c r="AV36" s="646">
        <f>Leger1!AV36</f>
        <v>0</v>
      </c>
      <c r="AW36" s="662">
        <f>Leger1!AW36</f>
        <v>0</v>
      </c>
      <c r="AX36" s="665">
        <f>Leger1!AX36</f>
        <v>0</v>
      </c>
      <c r="AY36" s="646">
        <f>Leger1!AY36</f>
        <v>0</v>
      </c>
      <c r="AZ36" s="662">
        <f>Leger1!AZ36</f>
        <v>0</v>
      </c>
      <c r="BA36" s="670" t="str">
        <f t="shared" si="2"/>
        <v>D</v>
      </c>
      <c r="BB36" s="389" t="str">
        <f t="shared" si="0"/>
        <v/>
      </c>
      <c r="BC36" s="390" t="str">
        <f t="shared" si="1"/>
        <v/>
      </c>
      <c r="BD36" s="214" t="str">
        <f t="shared" si="3"/>
        <v/>
      </c>
    </row>
    <row r="37" spans="2:56" ht="16.5">
      <c r="E37" s="211" t="str">
        <f>Biodata!B36</f>
        <v/>
      </c>
      <c r="F37" s="212" t="str">
        <f>IF(Biodata!C36="","",VLOOKUP(E37,Biodata_Siswa,2,FALSE))</f>
        <v/>
      </c>
      <c r="G37" s="891" t="str">
        <f>IF(Biodata!E36="","",PROPER(VLOOKUP(E37,Biodata_Siswa,4,FALSE)))</f>
        <v/>
      </c>
      <c r="H37" s="892"/>
      <c r="I37" s="646">
        <f>Leger1!I37</f>
        <v>0</v>
      </c>
      <c r="J37" s="662">
        <f>Leger1!J37</f>
        <v>0</v>
      </c>
      <c r="K37" s="665">
        <f>Leger1!K37</f>
        <v>0</v>
      </c>
      <c r="L37" s="646">
        <f>Leger1!L37</f>
        <v>0</v>
      </c>
      <c r="M37" s="662">
        <f>Leger1!M37</f>
        <v>0</v>
      </c>
      <c r="N37" s="673">
        <f>Leger1!N37</f>
        <v>0</v>
      </c>
      <c r="O37" s="659">
        <f>Leger1!O37</f>
        <v>0</v>
      </c>
      <c r="P37" s="647">
        <f>Leger1!P37</f>
        <v>0</v>
      </c>
      <c r="Q37" s="668">
        <f>Leger1!Q37</f>
        <v>0</v>
      </c>
      <c r="R37" s="646">
        <f>Leger1!R37</f>
        <v>0</v>
      </c>
      <c r="S37" s="662">
        <f>Leger1!S37</f>
        <v>0</v>
      </c>
      <c r="T37" s="665">
        <f>Leger1!T37</f>
        <v>0</v>
      </c>
      <c r="U37" s="646">
        <f>Leger1!U37</f>
        <v>0</v>
      </c>
      <c r="V37" s="662">
        <f>Leger1!V37</f>
        <v>0</v>
      </c>
      <c r="W37" s="665">
        <f>Leger1!W37</f>
        <v>0</v>
      </c>
      <c r="X37" s="646">
        <f>Leger1!X37</f>
        <v>0</v>
      </c>
      <c r="Y37" s="662">
        <f>Leger1!Y37</f>
        <v>0</v>
      </c>
      <c r="Z37" s="665">
        <f>Leger1!Z37</f>
        <v>0</v>
      </c>
      <c r="AA37" s="646">
        <f>Leger1!AA37</f>
        <v>0</v>
      </c>
      <c r="AB37" s="662">
        <f>Leger1!AB37</f>
        <v>0</v>
      </c>
      <c r="AC37" s="665">
        <f>Leger1!AC37</f>
        <v>0</v>
      </c>
      <c r="AD37" s="646">
        <f>Leger1!AD37</f>
        <v>0</v>
      </c>
      <c r="AE37" s="662">
        <f>Leger1!AE37</f>
        <v>0</v>
      </c>
      <c r="AF37" s="665">
        <f>Leger1!AF37</f>
        <v>0</v>
      </c>
      <c r="AG37" s="646">
        <f>Leger1!AG37</f>
        <v>0</v>
      </c>
      <c r="AH37" s="662">
        <f>Leger1!AH37</f>
        <v>0</v>
      </c>
      <c r="AI37" s="665">
        <f>Leger1!AI37</f>
        <v>0</v>
      </c>
      <c r="AJ37" s="646">
        <f>Leger1!AJ37</f>
        <v>0</v>
      </c>
      <c r="AK37" s="662">
        <f>Leger1!AK37</f>
        <v>0</v>
      </c>
      <c r="AL37" s="665">
        <f>Leger1!AL37</f>
        <v>0</v>
      </c>
      <c r="AM37" s="646">
        <f>Leger1!AM37</f>
        <v>0</v>
      </c>
      <c r="AN37" s="662">
        <f>Leger1!AN37</f>
        <v>0</v>
      </c>
      <c r="AO37" s="665">
        <f>Leger1!AO37</f>
        <v>0</v>
      </c>
      <c r="AP37" s="646">
        <f>Leger1!AP37</f>
        <v>0</v>
      </c>
      <c r="AQ37" s="662">
        <f>Leger1!AQ37</f>
        <v>0</v>
      </c>
      <c r="AR37" s="665">
        <f>Leger1!AR37</f>
        <v>0</v>
      </c>
      <c r="AS37" s="646">
        <f>Leger1!AS37</f>
        <v>0</v>
      </c>
      <c r="AT37" s="662">
        <f>Leger1!AT37</f>
        <v>0</v>
      </c>
      <c r="AU37" s="665">
        <f>Leger1!AU37</f>
        <v>0</v>
      </c>
      <c r="AV37" s="646">
        <f>Leger1!AV37</f>
        <v>0</v>
      </c>
      <c r="AW37" s="662">
        <f>Leger1!AW37</f>
        <v>0</v>
      </c>
      <c r="AX37" s="665">
        <f>Leger1!AX37</f>
        <v>0</v>
      </c>
      <c r="AY37" s="646">
        <f>Leger1!AY37</f>
        <v>0</v>
      </c>
      <c r="AZ37" s="662">
        <f>Leger1!AZ37</f>
        <v>0</v>
      </c>
      <c r="BA37" s="670" t="str">
        <f t="shared" si="2"/>
        <v>D</v>
      </c>
      <c r="BB37" s="389" t="str">
        <f>IF(G37="","",IF(I37+L37+O37+R37+U37+X37+AA37+AD37+AG37+AJ37+AM37+AP37+AS37+AV37+AY37=0,"",I37+L37+O37+R37+U37+X37+AA37+AD37+AG37+AJ37+AM37+AP37+AS37+AV37+AY37))</f>
        <v/>
      </c>
      <c r="BC37" s="390" t="str">
        <f t="shared" si="1"/>
        <v/>
      </c>
      <c r="BD37" s="214" t="str">
        <f t="shared" si="3"/>
        <v/>
      </c>
    </row>
    <row r="38" spans="2:56" ht="16.5">
      <c r="E38" s="211" t="str">
        <f>Biodata!B37</f>
        <v/>
      </c>
      <c r="F38" s="212" t="str">
        <f>IF(Biodata!C37="","",VLOOKUP(E38,Biodata_Siswa,2,FALSE))</f>
        <v/>
      </c>
      <c r="G38" s="891" t="str">
        <f>IF(Biodata!E37="","",PROPER(VLOOKUP(E38,Biodata_Siswa,4,FALSE)))</f>
        <v/>
      </c>
      <c r="H38" s="892"/>
      <c r="I38" s="646">
        <f>Leger1!I38</f>
        <v>0</v>
      </c>
      <c r="J38" s="662">
        <f>Leger1!J38</f>
        <v>0</v>
      </c>
      <c r="K38" s="665">
        <f>Leger1!K38</f>
        <v>0</v>
      </c>
      <c r="L38" s="646">
        <f>Leger1!L38</f>
        <v>0</v>
      </c>
      <c r="M38" s="662">
        <f>Leger1!M38</f>
        <v>0</v>
      </c>
      <c r="N38" s="673">
        <f>Leger1!N38</f>
        <v>0</v>
      </c>
      <c r="O38" s="659">
        <f>Leger1!O38</f>
        <v>0</v>
      </c>
      <c r="P38" s="647">
        <f>Leger1!P38</f>
        <v>0</v>
      </c>
      <c r="Q38" s="668">
        <f>Leger1!Q38</f>
        <v>0</v>
      </c>
      <c r="R38" s="646">
        <f>Leger1!R38</f>
        <v>0</v>
      </c>
      <c r="S38" s="662">
        <f>Leger1!S38</f>
        <v>0</v>
      </c>
      <c r="T38" s="665">
        <f>Leger1!T38</f>
        <v>0</v>
      </c>
      <c r="U38" s="646">
        <f>Leger1!U38</f>
        <v>0</v>
      </c>
      <c r="V38" s="662">
        <f>Leger1!V38</f>
        <v>0</v>
      </c>
      <c r="W38" s="665">
        <f>Leger1!W38</f>
        <v>0</v>
      </c>
      <c r="X38" s="646">
        <f>Leger1!X38</f>
        <v>0</v>
      </c>
      <c r="Y38" s="662">
        <f>Leger1!Y38</f>
        <v>0</v>
      </c>
      <c r="Z38" s="665">
        <f>Leger1!Z38</f>
        <v>0</v>
      </c>
      <c r="AA38" s="646">
        <f>Leger1!AA38</f>
        <v>0</v>
      </c>
      <c r="AB38" s="662">
        <f>Leger1!AB38</f>
        <v>0</v>
      </c>
      <c r="AC38" s="665">
        <f>Leger1!AC38</f>
        <v>0</v>
      </c>
      <c r="AD38" s="646">
        <f>Leger1!AD38</f>
        <v>0</v>
      </c>
      <c r="AE38" s="662">
        <f>Leger1!AE38</f>
        <v>0</v>
      </c>
      <c r="AF38" s="665">
        <f>Leger1!AF38</f>
        <v>0</v>
      </c>
      <c r="AG38" s="646">
        <f>Leger1!AG38</f>
        <v>0</v>
      </c>
      <c r="AH38" s="662">
        <f>Leger1!AH38</f>
        <v>0</v>
      </c>
      <c r="AI38" s="665">
        <f>Leger1!AI38</f>
        <v>0</v>
      </c>
      <c r="AJ38" s="646">
        <f>Leger1!AJ38</f>
        <v>0</v>
      </c>
      <c r="AK38" s="662">
        <f>Leger1!AK38</f>
        <v>0</v>
      </c>
      <c r="AL38" s="665">
        <f>Leger1!AL38</f>
        <v>0</v>
      </c>
      <c r="AM38" s="646">
        <f>Leger1!AM38</f>
        <v>0</v>
      </c>
      <c r="AN38" s="662">
        <f>Leger1!AN38</f>
        <v>0</v>
      </c>
      <c r="AO38" s="665">
        <f>Leger1!AO38</f>
        <v>0</v>
      </c>
      <c r="AP38" s="646">
        <f>Leger1!AP38</f>
        <v>0</v>
      </c>
      <c r="AQ38" s="662">
        <f>Leger1!AQ38</f>
        <v>0</v>
      </c>
      <c r="AR38" s="665">
        <f>Leger1!AR38</f>
        <v>0</v>
      </c>
      <c r="AS38" s="646">
        <f>Leger1!AS38</f>
        <v>0</v>
      </c>
      <c r="AT38" s="662">
        <f>Leger1!AT38</f>
        <v>0</v>
      </c>
      <c r="AU38" s="665">
        <f>Leger1!AU38</f>
        <v>0</v>
      </c>
      <c r="AV38" s="646">
        <f>Leger1!AV38</f>
        <v>0</v>
      </c>
      <c r="AW38" s="662">
        <f>Leger1!AW38</f>
        <v>0</v>
      </c>
      <c r="AX38" s="665">
        <f>Leger1!AX38</f>
        <v>0</v>
      </c>
      <c r="AY38" s="646">
        <f>Leger1!AY38</f>
        <v>0</v>
      </c>
      <c r="AZ38" s="662">
        <f>Leger1!AZ38</f>
        <v>0</v>
      </c>
      <c r="BA38" s="670" t="str">
        <f t="shared" si="2"/>
        <v>D</v>
      </c>
      <c r="BB38" s="389" t="str">
        <f t="shared" si="0"/>
        <v/>
      </c>
      <c r="BC38" s="390" t="str">
        <f t="shared" si="1"/>
        <v/>
      </c>
      <c r="BD38" s="214" t="str">
        <f t="shared" si="3"/>
        <v/>
      </c>
    </row>
    <row r="39" spans="2:56" ht="16.5">
      <c r="E39" s="211" t="str">
        <f>Biodata!B38</f>
        <v/>
      </c>
      <c r="F39" s="212" t="str">
        <f>IF(Biodata!C38="","",VLOOKUP(E39,Biodata_Siswa,2,FALSE))</f>
        <v/>
      </c>
      <c r="G39" s="891" t="str">
        <f>IF(Biodata!E38="","",PROPER(VLOOKUP(E39,Biodata_Siswa,4,FALSE)))</f>
        <v/>
      </c>
      <c r="H39" s="892"/>
      <c r="I39" s="646">
        <f>Leger1!I39</f>
        <v>0</v>
      </c>
      <c r="J39" s="662">
        <f>Leger1!J39</f>
        <v>0</v>
      </c>
      <c r="K39" s="665">
        <f>Leger1!K39</f>
        <v>0</v>
      </c>
      <c r="L39" s="646">
        <f>Leger1!L39</f>
        <v>0</v>
      </c>
      <c r="M39" s="662">
        <f>Leger1!M39</f>
        <v>0</v>
      </c>
      <c r="N39" s="673">
        <f>Leger1!N39</f>
        <v>0</v>
      </c>
      <c r="O39" s="659">
        <f>Leger1!O39</f>
        <v>0</v>
      </c>
      <c r="P39" s="647">
        <f>Leger1!P39</f>
        <v>0</v>
      </c>
      <c r="Q39" s="668">
        <f>Leger1!Q39</f>
        <v>0</v>
      </c>
      <c r="R39" s="646">
        <f>Leger1!R39</f>
        <v>0</v>
      </c>
      <c r="S39" s="662">
        <f>Leger1!S39</f>
        <v>0</v>
      </c>
      <c r="T39" s="665">
        <f>Leger1!T39</f>
        <v>0</v>
      </c>
      <c r="U39" s="646">
        <f>Leger1!U39</f>
        <v>0</v>
      </c>
      <c r="V39" s="662">
        <f>Leger1!V39</f>
        <v>0</v>
      </c>
      <c r="W39" s="665">
        <f>Leger1!W39</f>
        <v>0</v>
      </c>
      <c r="X39" s="646">
        <f>Leger1!X39</f>
        <v>0</v>
      </c>
      <c r="Y39" s="662">
        <f>Leger1!Y39</f>
        <v>0</v>
      </c>
      <c r="Z39" s="665">
        <f>Leger1!Z39</f>
        <v>0</v>
      </c>
      <c r="AA39" s="646">
        <f>Leger1!AA39</f>
        <v>0</v>
      </c>
      <c r="AB39" s="662">
        <f>Leger1!AB39</f>
        <v>0</v>
      </c>
      <c r="AC39" s="665">
        <f>Leger1!AC39</f>
        <v>0</v>
      </c>
      <c r="AD39" s="646">
        <f>Leger1!AD39</f>
        <v>0</v>
      </c>
      <c r="AE39" s="662">
        <f>Leger1!AE39</f>
        <v>0</v>
      </c>
      <c r="AF39" s="665">
        <f>Leger1!AF39</f>
        <v>0</v>
      </c>
      <c r="AG39" s="646">
        <f>Leger1!AG39</f>
        <v>0</v>
      </c>
      <c r="AH39" s="662">
        <f>Leger1!AH39</f>
        <v>0</v>
      </c>
      <c r="AI39" s="665">
        <f>Leger1!AI39</f>
        <v>0</v>
      </c>
      <c r="AJ39" s="646">
        <f>Leger1!AJ39</f>
        <v>0</v>
      </c>
      <c r="AK39" s="662">
        <f>Leger1!AK39</f>
        <v>0</v>
      </c>
      <c r="AL39" s="665">
        <f>Leger1!AL39</f>
        <v>0</v>
      </c>
      <c r="AM39" s="646">
        <f>Leger1!AM39</f>
        <v>0</v>
      </c>
      <c r="AN39" s="662">
        <f>Leger1!AN39</f>
        <v>0</v>
      </c>
      <c r="AO39" s="665">
        <f>Leger1!AO39</f>
        <v>0</v>
      </c>
      <c r="AP39" s="646">
        <f>Leger1!AP39</f>
        <v>0</v>
      </c>
      <c r="AQ39" s="662">
        <f>Leger1!AQ39</f>
        <v>0</v>
      </c>
      <c r="AR39" s="665">
        <f>Leger1!AR39</f>
        <v>0</v>
      </c>
      <c r="AS39" s="646">
        <f>Leger1!AS39</f>
        <v>0</v>
      </c>
      <c r="AT39" s="662">
        <f>Leger1!AT39</f>
        <v>0</v>
      </c>
      <c r="AU39" s="665">
        <f>Leger1!AU39</f>
        <v>0</v>
      </c>
      <c r="AV39" s="646">
        <f>Leger1!AV39</f>
        <v>0</v>
      </c>
      <c r="AW39" s="662">
        <f>Leger1!AW39</f>
        <v>0</v>
      </c>
      <c r="AX39" s="665">
        <f>Leger1!AX39</f>
        <v>0</v>
      </c>
      <c r="AY39" s="646">
        <f>Leger1!AY39</f>
        <v>0</v>
      </c>
      <c r="AZ39" s="662">
        <f>Leger1!AZ39</f>
        <v>0</v>
      </c>
      <c r="BA39" s="670" t="str">
        <f t="shared" si="2"/>
        <v>D</v>
      </c>
      <c r="BB39" s="389" t="str">
        <f t="shared" si="0"/>
        <v/>
      </c>
      <c r="BC39" s="390" t="str">
        <f t="shared" si="1"/>
        <v/>
      </c>
      <c r="BD39" s="214" t="str">
        <f t="shared" si="3"/>
        <v/>
      </c>
    </row>
    <row r="40" spans="2:56" ht="16.5">
      <c r="E40" s="211" t="str">
        <f>Biodata!B39</f>
        <v/>
      </c>
      <c r="F40" s="212" t="str">
        <f>IF(Biodata!C39="","",VLOOKUP(E40,Biodata_Siswa,2,FALSE))</f>
        <v/>
      </c>
      <c r="G40" s="891" t="str">
        <f>IF(Biodata!E39="","",PROPER(VLOOKUP(E40,Biodata_Siswa,4,FALSE)))</f>
        <v/>
      </c>
      <c r="H40" s="892"/>
      <c r="I40" s="646">
        <f>Leger1!I40</f>
        <v>0</v>
      </c>
      <c r="J40" s="662">
        <f>Leger1!J40</f>
        <v>0</v>
      </c>
      <c r="K40" s="665">
        <f>Leger1!K40</f>
        <v>0</v>
      </c>
      <c r="L40" s="646">
        <f>Leger1!L40</f>
        <v>0</v>
      </c>
      <c r="M40" s="662">
        <f>Leger1!M40</f>
        <v>0</v>
      </c>
      <c r="N40" s="673">
        <f>Leger1!N40</f>
        <v>0</v>
      </c>
      <c r="O40" s="659">
        <f>Leger1!O40</f>
        <v>0</v>
      </c>
      <c r="P40" s="647">
        <f>Leger1!P40</f>
        <v>0</v>
      </c>
      <c r="Q40" s="668">
        <f>Leger1!Q40</f>
        <v>0</v>
      </c>
      <c r="R40" s="646">
        <f>Leger1!R40</f>
        <v>0</v>
      </c>
      <c r="S40" s="662">
        <f>Leger1!S40</f>
        <v>0</v>
      </c>
      <c r="T40" s="665">
        <f>Leger1!T40</f>
        <v>0</v>
      </c>
      <c r="U40" s="646">
        <f>Leger1!U40</f>
        <v>0</v>
      </c>
      <c r="V40" s="662">
        <f>Leger1!V40</f>
        <v>0</v>
      </c>
      <c r="W40" s="665">
        <f>Leger1!W40</f>
        <v>0</v>
      </c>
      <c r="X40" s="646">
        <f>Leger1!X40</f>
        <v>0</v>
      </c>
      <c r="Y40" s="662">
        <f>Leger1!Y40</f>
        <v>0</v>
      </c>
      <c r="Z40" s="665">
        <f>Leger1!Z40</f>
        <v>0</v>
      </c>
      <c r="AA40" s="646">
        <f>Leger1!AA40</f>
        <v>0</v>
      </c>
      <c r="AB40" s="662">
        <f>Leger1!AB40</f>
        <v>0</v>
      </c>
      <c r="AC40" s="665">
        <f>Leger1!AC40</f>
        <v>0</v>
      </c>
      <c r="AD40" s="646">
        <f>Leger1!AD40</f>
        <v>0</v>
      </c>
      <c r="AE40" s="662">
        <f>Leger1!AE40</f>
        <v>0</v>
      </c>
      <c r="AF40" s="665">
        <f>Leger1!AF40</f>
        <v>0</v>
      </c>
      <c r="AG40" s="646">
        <f>Leger1!AG40</f>
        <v>0</v>
      </c>
      <c r="AH40" s="662">
        <f>Leger1!AH40</f>
        <v>0</v>
      </c>
      <c r="AI40" s="665">
        <f>Leger1!AI40</f>
        <v>0</v>
      </c>
      <c r="AJ40" s="646">
        <f>Leger1!AJ40</f>
        <v>0</v>
      </c>
      <c r="AK40" s="662">
        <f>Leger1!AK40</f>
        <v>0</v>
      </c>
      <c r="AL40" s="665">
        <f>Leger1!AL40</f>
        <v>0</v>
      </c>
      <c r="AM40" s="646">
        <f>Leger1!AM40</f>
        <v>0</v>
      </c>
      <c r="AN40" s="662">
        <f>Leger1!AN40</f>
        <v>0</v>
      </c>
      <c r="AO40" s="665">
        <f>Leger1!AO40</f>
        <v>0</v>
      </c>
      <c r="AP40" s="646">
        <f>Leger1!AP40</f>
        <v>0</v>
      </c>
      <c r="AQ40" s="662">
        <f>Leger1!AQ40</f>
        <v>0</v>
      </c>
      <c r="AR40" s="665">
        <f>Leger1!AR40</f>
        <v>0</v>
      </c>
      <c r="AS40" s="646">
        <f>Leger1!AS40</f>
        <v>0</v>
      </c>
      <c r="AT40" s="662">
        <f>Leger1!AT40</f>
        <v>0</v>
      </c>
      <c r="AU40" s="665">
        <f>Leger1!AU40</f>
        <v>0</v>
      </c>
      <c r="AV40" s="646">
        <f>Leger1!AV40</f>
        <v>0</v>
      </c>
      <c r="AW40" s="662">
        <f>Leger1!AW40</f>
        <v>0</v>
      </c>
      <c r="AX40" s="665">
        <f>Leger1!AX40</f>
        <v>0</v>
      </c>
      <c r="AY40" s="646">
        <f>Leger1!AY40</f>
        <v>0</v>
      </c>
      <c r="AZ40" s="662">
        <f>Leger1!AZ40</f>
        <v>0</v>
      </c>
      <c r="BA40" s="670" t="str">
        <f t="shared" si="2"/>
        <v>D</v>
      </c>
      <c r="BB40" s="389" t="str">
        <f t="shared" si="0"/>
        <v/>
      </c>
      <c r="BC40" s="390" t="str">
        <f t="shared" si="1"/>
        <v/>
      </c>
      <c r="BD40" s="214" t="str">
        <f t="shared" si="3"/>
        <v/>
      </c>
    </row>
    <row r="41" spans="2:56" ht="16.5">
      <c r="B41" s="948"/>
      <c r="C41" s="948"/>
      <c r="E41" s="211" t="str">
        <f>Biodata!B40</f>
        <v/>
      </c>
      <c r="F41" s="212" t="str">
        <f>IF(Biodata!C40="","",VLOOKUP(E41,Biodata_Siswa,2,FALSE))</f>
        <v/>
      </c>
      <c r="G41" s="891" t="str">
        <f>IF(Biodata!E40="","",PROPER(VLOOKUP(E41,Biodata_Siswa,4,FALSE)))</f>
        <v/>
      </c>
      <c r="H41" s="892"/>
      <c r="I41" s="646">
        <f>Leger1!I41</f>
        <v>0</v>
      </c>
      <c r="J41" s="662">
        <f>Leger1!J41</f>
        <v>0</v>
      </c>
      <c r="K41" s="665">
        <f>Leger1!K41</f>
        <v>0</v>
      </c>
      <c r="L41" s="646">
        <f>Leger1!L41</f>
        <v>0</v>
      </c>
      <c r="M41" s="662">
        <f>Leger1!M41</f>
        <v>0</v>
      </c>
      <c r="N41" s="673">
        <f>Leger1!N41</f>
        <v>0</v>
      </c>
      <c r="O41" s="659">
        <f>Leger1!O41</f>
        <v>0</v>
      </c>
      <c r="P41" s="647">
        <f>Leger1!P41</f>
        <v>0</v>
      </c>
      <c r="Q41" s="668">
        <f>Leger1!Q41</f>
        <v>0</v>
      </c>
      <c r="R41" s="646">
        <f>Leger1!R41</f>
        <v>0</v>
      </c>
      <c r="S41" s="662">
        <f>Leger1!S41</f>
        <v>0</v>
      </c>
      <c r="T41" s="665">
        <f>Leger1!T41</f>
        <v>0</v>
      </c>
      <c r="U41" s="646">
        <f>Leger1!U41</f>
        <v>0</v>
      </c>
      <c r="V41" s="662">
        <f>Leger1!V41</f>
        <v>0</v>
      </c>
      <c r="W41" s="665">
        <f>Leger1!W41</f>
        <v>0</v>
      </c>
      <c r="X41" s="646">
        <f>Leger1!X41</f>
        <v>0</v>
      </c>
      <c r="Y41" s="662">
        <f>Leger1!Y41</f>
        <v>0</v>
      </c>
      <c r="Z41" s="665">
        <f>Leger1!Z41</f>
        <v>0</v>
      </c>
      <c r="AA41" s="646">
        <f>Leger1!AA41</f>
        <v>0</v>
      </c>
      <c r="AB41" s="662">
        <f>Leger1!AB41</f>
        <v>0</v>
      </c>
      <c r="AC41" s="665">
        <f>Leger1!AC41</f>
        <v>0</v>
      </c>
      <c r="AD41" s="646">
        <f>Leger1!AD41</f>
        <v>0</v>
      </c>
      <c r="AE41" s="662">
        <f>Leger1!AE41</f>
        <v>0</v>
      </c>
      <c r="AF41" s="665">
        <f>Leger1!AF41</f>
        <v>0</v>
      </c>
      <c r="AG41" s="646">
        <f>Leger1!AG41</f>
        <v>0</v>
      </c>
      <c r="AH41" s="662">
        <f>Leger1!AH41</f>
        <v>0</v>
      </c>
      <c r="AI41" s="665">
        <f>Leger1!AI41</f>
        <v>0</v>
      </c>
      <c r="AJ41" s="646">
        <f>Leger1!AJ41</f>
        <v>0</v>
      </c>
      <c r="AK41" s="662">
        <f>Leger1!AK41</f>
        <v>0</v>
      </c>
      <c r="AL41" s="665">
        <f>Leger1!AL41</f>
        <v>0</v>
      </c>
      <c r="AM41" s="646">
        <f>Leger1!AM41</f>
        <v>0</v>
      </c>
      <c r="AN41" s="662">
        <f>Leger1!AN41</f>
        <v>0</v>
      </c>
      <c r="AO41" s="665">
        <f>Leger1!AO41</f>
        <v>0</v>
      </c>
      <c r="AP41" s="646">
        <f>Leger1!AP41</f>
        <v>0</v>
      </c>
      <c r="AQ41" s="662">
        <f>Leger1!AQ41</f>
        <v>0</v>
      </c>
      <c r="AR41" s="665">
        <f>Leger1!AR41</f>
        <v>0</v>
      </c>
      <c r="AS41" s="646">
        <f>Leger1!AS41</f>
        <v>0</v>
      </c>
      <c r="AT41" s="662">
        <f>Leger1!AT41</f>
        <v>0</v>
      </c>
      <c r="AU41" s="665">
        <f>Leger1!AU41</f>
        <v>0</v>
      </c>
      <c r="AV41" s="646">
        <f>Leger1!AV41</f>
        <v>0</v>
      </c>
      <c r="AW41" s="662">
        <f>Leger1!AW41</f>
        <v>0</v>
      </c>
      <c r="AX41" s="665">
        <f>Leger1!AX41</f>
        <v>0</v>
      </c>
      <c r="AY41" s="646">
        <f>Leger1!AY41</f>
        <v>0</v>
      </c>
      <c r="AZ41" s="662">
        <f>Leger1!AZ41</f>
        <v>0</v>
      </c>
      <c r="BA41" s="670" t="str">
        <f t="shared" si="2"/>
        <v>D</v>
      </c>
      <c r="BB41" s="389" t="str">
        <f t="shared" si="0"/>
        <v/>
      </c>
      <c r="BC41" s="390" t="str">
        <f t="shared" si="1"/>
        <v/>
      </c>
      <c r="BD41" s="214" t="str">
        <f t="shared" si="3"/>
        <v/>
      </c>
    </row>
    <row r="42" spans="2:56" ht="16.5">
      <c r="E42" s="211" t="str">
        <f>Biodata!B41</f>
        <v/>
      </c>
      <c r="F42" s="212" t="str">
        <f>IF(Biodata!C41="","",VLOOKUP(E42,Biodata_Siswa,2,FALSE))</f>
        <v/>
      </c>
      <c r="G42" s="891" t="str">
        <f>IF(Biodata!E41="","",PROPER(VLOOKUP(E42,Biodata_Siswa,4,FALSE)))</f>
        <v/>
      </c>
      <c r="H42" s="892"/>
      <c r="I42" s="646">
        <f>Leger1!I42</f>
        <v>0</v>
      </c>
      <c r="J42" s="662">
        <f>Leger1!J42</f>
        <v>0</v>
      </c>
      <c r="K42" s="665">
        <f>Leger1!K42</f>
        <v>0</v>
      </c>
      <c r="L42" s="646">
        <f>Leger1!L42</f>
        <v>0</v>
      </c>
      <c r="M42" s="662">
        <f>Leger1!M42</f>
        <v>0</v>
      </c>
      <c r="N42" s="673">
        <f>Leger1!N42</f>
        <v>0</v>
      </c>
      <c r="O42" s="659">
        <f>Leger1!O42</f>
        <v>0</v>
      </c>
      <c r="P42" s="647">
        <f>Leger1!P42</f>
        <v>0</v>
      </c>
      <c r="Q42" s="668">
        <f>Leger1!Q42</f>
        <v>0</v>
      </c>
      <c r="R42" s="646">
        <f>Leger1!R42</f>
        <v>0</v>
      </c>
      <c r="S42" s="662">
        <f>Leger1!S42</f>
        <v>0</v>
      </c>
      <c r="T42" s="665">
        <f>Leger1!T42</f>
        <v>0</v>
      </c>
      <c r="U42" s="646">
        <f>Leger1!U42</f>
        <v>0</v>
      </c>
      <c r="V42" s="662">
        <f>Leger1!V42</f>
        <v>0</v>
      </c>
      <c r="W42" s="665">
        <f>Leger1!W42</f>
        <v>0</v>
      </c>
      <c r="X42" s="646">
        <f>Leger1!X42</f>
        <v>0</v>
      </c>
      <c r="Y42" s="662">
        <f>Leger1!Y42</f>
        <v>0</v>
      </c>
      <c r="Z42" s="665">
        <f>Leger1!Z42</f>
        <v>0</v>
      </c>
      <c r="AA42" s="646">
        <f>Leger1!AA42</f>
        <v>0</v>
      </c>
      <c r="AB42" s="662">
        <f>Leger1!AB42</f>
        <v>0</v>
      </c>
      <c r="AC42" s="665">
        <f>Leger1!AC42</f>
        <v>0</v>
      </c>
      <c r="AD42" s="646">
        <f>Leger1!AD42</f>
        <v>0</v>
      </c>
      <c r="AE42" s="662">
        <f>Leger1!AE42</f>
        <v>0</v>
      </c>
      <c r="AF42" s="665">
        <f>Leger1!AF42</f>
        <v>0</v>
      </c>
      <c r="AG42" s="646">
        <f>Leger1!AG42</f>
        <v>0</v>
      </c>
      <c r="AH42" s="662">
        <f>Leger1!AH42</f>
        <v>0</v>
      </c>
      <c r="AI42" s="665">
        <f>Leger1!AI42</f>
        <v>0</v>
      </c>
      <c r="AJ42" s="646">
        <f>Leger1!AJ42</f>
        <v>0</v>
      </c>
      <c r="AK42" s="662">
        <f>Leger1!AK42</f>
        <v>0</v>
      </c>
      <c r="AL42" s="665">
        <f>Leger1!AL42</f>
        <v>0</v>
      </c>
      <c r="AM42" s="646">
        <f>Leger1!AM42</f>
        <v>0</v>
      </c>
      <c r="AN42" s="662">
        <f>Leger1!AN42</f>
        <v>0</v>
      </c>
      <c r="AO42" s="665">
        <f>Leger1!AO42</f>
        <v>0</v>
      </c>
      <c r="AP42" s="646">
        <f>Leger1!AP42</f>
        <v>0</v>
      </c>
      <c r="AQ42" s="662">
        <f>Leger1!AQ42</f>
        <v>0</v>
      </c>
      <c r="AR42" s="665">
        <f>Leger1!AR42</f>
        <v>0</v>
      </c>
      <c r="AS42" s="646">
        <f>Leger1!AS42</f>
        <v>0</v>
      </c>
      <c r="AT42" s="662">
        <f>Leger1!AT42</f>
        <v>0</v>
      </c>
      <c r="AU42" s="665">
        <f>Leger1!AU42</f>
        <v>0</v>
      </c>
      <c r="AV42" s="646">
        <f>Leger1!AV42</f>
        <v>0</v>
      </c>
      <c r="AW42" s="662">
        <f>Leger1!AW42</f>
        <v>0</v>
      </c>
      <c r="AX42" s="665">
        <f>Leger1!AX42</f>
        <v>0</v>
      </c>
      <c r="AY42" s="646">
        <f>Leger1!AY42</f>
        <v>0</v>
      </c>
      <c r="AZ42" s="662">
        <f>Leger1!AZ42</f>
        <v>0</v>
      </c>
      <c r="BA42" s="670" t="str">
        <f t="shared" si="2"/>
        <v>D</v>
      </c>
      <c r="BB42" s="389" t="str">
        <f t="shared" si="0"/>
        <v/>
      </c>
      <c r="BC42" s="390" t="str">
        <f t="shared" si="1"/>
        <v/>
      </c>
      <c r="BD42" s="214" t="str">
        <f t="shared" si="3"/>
        <v/>
      </c>
    </row>
    <row r="43" spans="2:56" ht="16.5">
      <c r="E43" s="211" t="str">
        <f>Biodata!B42</f>
        <v/>
      </c>
      <c r="F43" s="212" t="str">
        <f>IF(Biodata!C42="","",VLOOKUP(E43,Biodata_Siswa,2,FALSE))</f>
        <v/>
      </c>
      <c r="G43" s="891" t="str">
        <f>IF(Biodata!E42="","",PROPER(VLOOKUP(E43,Biodata_Siswa,4,FALSE)))</f>
        <v/>
      </c>
      <c r="H43" s="892"/>
      <c r="I43" s="646">
        <f>Leger1!I43</f>
        <v>0</v>
      </c>
      <c r="J43" s="662">
        <f>Leger1!J43</f>
        <v>0</v>
      </c>
      <c r="K43" s="665">
        <f>Leger1!K43</f>
        <v>0</v>
      </c>
      <c r="L43" s="646">
        <f>Leger1!L43</f>
        <v>0</v>
      </c>
      <c r="M43" s="662">
        <f>Leger1!M43</f>
        <v>0</v>
      </c>
      <c r="N43" s="673">
        <f>Leger1!N43</f>
        <v>0</v>
      </c>
      <c r="O43" s="659">
        <f>Leger1!O43</f>
        <v>0</v>
      </c>
      <c r="P43" s="647">
        <f>Leger1!P43</f>
        <v>0</v>
      </c>
      <c r="Q43" s="668">
        <f>Leger1!Q43</f>
        <v>0</v>
      </c>
      <c r="R43" s="646">
        <f>Leger1!R43</f>
        <v>0</v>
      </c>
      <c r="S43" s="662">
        <f>Leger1!S43</f>
        <v>0</v>
      </c>
      <c r="T43" s="665">
        <f>Leger1!T43</f>
        <v>0</v>
      </c>
      <c r="U43" s="646">
        <f>Leger1!U43</f>
        <v>0</v>
      </c>
      <c r="V43" s="662">
        <f>Leger1!V43</f>
        <v>0</v>
      </c>
      <c r="W43" s="665">
        <f>Leger1!W43</f>
        <v>0</v>
      </c>
      <c r="X43" s="646">
        <f>Leger1!X43</f>
        <v>0</v>
      </c>
      <c r="Y43" s="662">
        <f>Leger1!Y43</f>
        <v>0</v>
      </c>
      <c r="Z43" s="665">
        <f>Leger1!Z43</f>
        <v>0</v>
      </c>
      <c r="AA43" s="646">
        <f>Leger1!AA43</f>
        <v>0</v>
      </c>
      <c r="AB43" s="662">
        <f>Leger1!AB43</f>
        <v>0</v>
      </c>
      <c r="AC43" s="665">
        <f>Leger1!AC43</f>
        <v>0</v>
      </c>
      <c r="AD43" s="646">
        <f>Leger1!AD43</f>
        <v>0</v>
      </c>
      <c r="AE43" s="662">
        <f>Leger1!AE43</f>
        <v>0</v>
      </c>
      <c r="AF43" s="665">
        <f>Leger1!AF43</f>
        <v>0</v>
      </c>
      <c r="AG43" s="646">
        <f>Leger1!AG43</f>
        <v>0</v>
      </c>
      <c r="AH43" s="662">
        <f>Leger1!AH43</f>
        <v>0</v>
      </c>
      <c r="AI43" s="665">
        <f>Leger1!AI43</f>
        <v>0</v>
      </c>
      <c r="AJ43" s="646">
        <f>Leger1!AJ43</f>
        <v>0</v>
      </c>
      <c r="AK43" s="662">
        <f>Leger1!AK43</f>
        <v>0</v>
      </c>
      <c r="AL43" s="665">
        <f>Leger1!AL43</f>
        <v>0</v>
      </c>
      <c r="AM43" s="646">
        <f>Leger1!AM43</f>
        <v>0</v>
      </c>
      <c r="AN43" s="662">
        <f>Leger1!AN43</f>
        <v>0</v>
      </c>
      <c r="AO43" s="665">
        <f>Leger1!AO43</f>
        <v>0</v>
      </c>
      <c r="AP43" s="646">
        <f>Leger1!AP43</f>
        <v>0</v>
      </c>
      <c r="AQ43" s="662">
        <f>Leger1!AQ43</f>
        <v>0</v>
      </c>
      <c r="AR43" s="665">
        <f>Leger1!AR43</f>
        <v>0</v>
      </c>
      <c r="AS43" s="646">
        <f>Leger1!AS43</f>
        <v>0</v>
      </c>
      <c r="AT43" s="662">
        <f>Leger1!AT43</f>
        <v>0</v>
      </c>
      <c r="AU43" s="665">
        <f>Leger1!AU43</f>
        <v>0</v>
      </c>
      <c r="AV43" s="646">
        <f>Leger1!AV43</f>
        <v>0</v>
      </c>
      <c r="AW43" s="662">
        <f>Leger1!AW43</f>
        <v>0</v>
      </c>
      <c r="AX43" s="665">
        <f>Leger1!AX43</f>
        <v>0</v>
      </c>
      <c r="AY43" s="646">
        <f>Leger1!AY43</f>
        <v>0</v>
      </c>
      <c r="AZ43" s="662">
        <f>Leger1!AZ43</f>
        <v>0</v>
      </c>
      <c r="BA43" s="670" t="str">
        <f t="shared" si="2"/>
        <v>D</v>
      </c>
      <c r="BB43" s="389" t="str">
        <f t="shared" si="0"/>
        <v/>
      </c>
      <c r="BC43" s="390" t="str">
        <f t="shared" si="1"/>
        <v/>
      </c>
      <c r="BD43" s="214" t="str">
        <f t="shared" si="3"/>
        <v/>
      </c>
    </row>
    <row r="44" spans="2:56" ht="16.5">
      <c r="E44" s="211" t="str">
        <f>Biodata!B43</f>
        <v/>
      </c>
      <c r="F44" s="212" t="str">
        <f>IF(Biodata!C43="","",VLOOKUP(E44,Biodata_Siswa,2,FALSE))</f>
        <v/>
      </c>
      <c r="G44" s="891" t="str">
        <f>IF(Biodata!E43="","",PROPER(VLOOKUP(E44,Biodata_Siswa,4,FALSE)))</f>
        <v/>
      </c>
      <c r="H44" s="892"/>
      <c r="I44" s="646">
        <f>Leger1!I44</f>
        <v>0</v>
      </c>
      <c r="J44" s="662">
        <f>Leger1!J44</f>
        <v>0</v>
      </c>
      <c r="K44" s="665">
        <f>Leger1!K44</f>
        <v>0</v>
      </c>
      <c r="L44" s="646">
        <f>Leger1!L44</f>
        <v>0</v>
      </c>
      <c r="M44" s="662">
        <f>Leger1!M44</f>
        <v>0</v>
      </c>
      <c r="N44" s="673">
        <f>Leger1!N44</f>
        <v>0</v>
      </c>
      <c r="O44" s="659">
        <f>Leger1!O44</f>
        <v>0</v>
      </c>
      <c r="P44" s="647">
        <f>Leger1!P44</f>
        <v>0</v>
      </c>
      <c r="Q44" s="668">
        <f>Leger1!Q44</f>
        <v>0</v>
      </c>
      <c r="R44" s="646">
        <f>Leger1!R44</f>
        <v>0</v>
      </c>
      <c r="S44" s="662">
        <f>Leger1!S44</f>
        <v>0</v>
      </c>
      <c r="T44" s="665">
        <f>Leger1!T44</f>
        <v>0</v>
      </c>
      <c r="U44" s="646">
        <f>Leger1!U44</f>
        <v>0</v>
      </c>
      <c r="V44" s="662">
        <f>Leger1!V44</f>
        <v>0</v>
      </c>
      <c r="W44" s="665">
        <f>Leger1!W44</f>
        <v>0</v>
      </c>
      <c r="X44" s="646">
        <f>Leger1!X44</f>
        <v>0</v>
      </c>
      <c r="Y44" s="662">
        <f>Leger1!Y44</f>
        <v>0</v>
      </c>
      <c r="Z44" s="665">
        <f>Leger1!Z44</f>
        <v>0</v>
      </c>
      <c r="AA44" s="646">
        <f>Leger1!AA44</f>
        <v>0</v>
      </c>
      <c r="AB44" s="662">
        <f>Leger1!AB44</f>
        <v>0</v>
      </c>
      <c r="AC44" s="665">
        <f>Leger1!AC44</f>
        <v>0</v>
      </c>
      <c r="AD44" s="646">
        <f>Leger1!AD44</f>
        <v>0</v>
      </c>
      <c r="AE44" s="662">
        <f>Leger1!AE44</f>
        <v>0</v>
      </c>
      <c r="AF44" s="665">
        <f>Leger1!AF44</f>
        <v>0</v>
      </c>
      <c r="AG44" s="646">
        <f>Leger1!AG44</f>
        <v>0</v>
      </c>
      <c r="AH44" s="662">
        <f>Leger1!AH44</f>
        <v>0</v>
      </c>
      <c r="AI44" s="665">
        <f>Leger1!AI44</f>
        <v>0</v>
      </c>
      <c r="AJ44" s="646">
        <f>Leger1!AJ44</f>
        <v>0</v>
      </c>
      <c r="AK44" s="662">
        <f>Leger1!AK44</f>
        <v>0</v>
      </c>
      <c r="AL44" s="665">
        <f>Leger1!AL44</f>
        <v>0</v>
      </c>
      <c r="AM44" s="646">
        <f>Leger1!AM44</f>
        <v>0</v>
      </c>
      <c r="AN44" s="662">
        <f>Leger1!AN44</f>
        <v>0</v>
      </c>
      <c r="AO44" s="665">
        <f>Leger1!AO44</f>
        <v>0</v>
      </c>
      <c r="AP44" s="646">
        <f>Leger1!AP44</f>
        <v>0</v>
      </c>
      <c r="AQ44" s="662">
        <f>Leger1!AQ44</f>
        <v>0</v>
      </c>
      <c r="AR44" s="665">
        <f>Leger1!AR44</f>
        <v>0</v>
      </c>
      <c r="AS44" s="646">
        <f>Leger1!AS44</f>
        <v>0</v>
      </c>
      <c r="AT44" s="662">
        <f>Leger1!AT44</f>
        <v>0</v>
      </c>
      <c r="AU44" s="665">
        <f>Leger1!AU44</f>
        <v>0</v>
      </c>
      <c r="AV44" s="646">
        <f>Leger1!AV44</f>
        <v>0</v>
      </c>
      <c r="AW44" s="662">
        <f>Leger1!AW44</f>
        <v>0</v>
      </c>
      <c r="AX44" s="665">
        <f>Leger1!AX44</f>
        <v>0</v>
      </c>
      <c r="AY44" s="646">
        <f>Leger1!AY44</f>
        <v>0</v>
      </c>
      <c r="AZ44" s="662">
        <f>Leger1!AZ44</f>
        <v>0</v>
      </c>
      <c r="BA44" s="670" t="str">
        <f t="shared" si="2"/>
        <v>D</v>
      </c>
      <c r="BB44" s="389" t="str">
        <f t="shared" si="0"/>
        <v/>
      </c>
      <c r="BC44" s="390" t="str">
        <f t="shared" si="1"/>
        <v/>
      </c>
      <c r="BD44" s="214" t="str">
        <f t="shared" si="3"/>
        <v/>
      </c>
    </row>
    <row r="45" spans="2:56" ht="16.5">
      <c r="E45" s="211" t="str">
        <f>Biodata!B44</f>
        <v/>
      </c>
      <c r="F45" s="212" t="str">
        <f>IF(Biodata!C44="","",VLOOKUP(E45,Biodata_Siswa,2,FALSE))</f>
        <v/>
      </c>
      <c r="G45" s="891" t="str">
        <f>IF(Biodata!E44="","",PROPER(VLOOKUP(E45,Biodata_Siswa,4,FALSE)))</f>
        <v/>
      </c>
      <c r="H45" s="892"/>
      <c r="I45" s="646">
        <f>Leger1!I45</f>
        <v>0</v>
      </c>
      <c r="J45" s="662">
        <f>Leger1!J45</f>
        <v>0</v>
      </c>
      <c r="K45" s="665">
        <f>Leger1!K45</f>
        <v>0</v>
      </c>
      <c r="L45" s="646">
        <f>Leger1!L45</f>
        <v>0</v>
      </c>
      <c r="M45" s="662">
        <f>Leger1!M45</f>
        <v>0</v>
      </c>
      <c r="N45" s="673">
        <f>Leger1!N45</f>
        <v>0</v>
      </c>
      <c r="O45" s="659">
        <f>Leger1!O45</f>
        <v>0</v>
      </c>
      <c r="P45" s="647">
        <f>Leger1!P45</f>
        <v>0</v>
      </c>
      <c r="Q45" s="668">
        <f>Leger1!Q45</f>
        <v>0</v>
      </c>
      <c r="R45" s="646">
        <f>Leger1!R45</f>
        <v>0</v>
      </c>
      <c r="S45" s="662">
        <f>Leger1!S45</f>
        <v>0</v>
      </c>
      <c r="T45" s="665">
        <f>Leger1!T45</f>
        <v>0</v>
      </c>
      <c r="U45" s="646">
        <f>Leger1!U45</f>
        <v>0</v>
      </c>
      <c r="V45" s="662">
        <f>Leger1!V45</f>
        <v>0</v>
      </c>
      <c r="W45" s="665">
        <f>Leger1!W45</f>
        <v>0</v>
      </c>
      <c r="X45" s="646">
        <f>Leger1!X45</f>
        <v>0</v>
      </c>
      <c r="Y45" s="662">
        <f>Leger1!Y45</f>
        <v>0</v>
      </c>
      <c r="Z45" s="665">
        <f>Leger1!Z45</f>
        <v>0</v>
      </c>
      <c r="AA45" s="646">
        <f>Leger1!AA45</f>
        <v>0</v>
      </c>
      <c r="AB45" s="662">
        <f>Leger1!AB45</f>
        <v>0</v>
      </c>
      <c r="AC45" s="665">
        <f>Leger1!AC45</f>
        <v>0</v>
      </c>
      <c r="AD45" s="646">
        <f>Leger1!AD45</f>
        <v>0</v>
      </c>
      <c r="AE45" s="662">
        <f>Leger1!AE45</f>
        <v>0</v>
      </c>
      <c r="AF45" s="665">
        <f>Leger1!AF45</f>
        <v>0</v>
      </c>
      <c r="AG45" s="646">
        <f>Leger1!AG45</f>
        <v>0</v>
      </c>
      <c r="AH45" s="662">
        <f>Leger1!AH45</f>
        <v>0</v>
      </c>
      <c r="AI45" s="665">
        <f>Leger1!AI45</f>
        <v>0</v>
      </c>
      <c r="AJ45" s="646">
        <f>Leger1!AJ45</f>
        <v>0</v>
      </c>
      <c r="AK45" s="662">
        <f>Leger1!AK45</f>
        <v>0</v>
      </c>
      <c r="AL45" s="665">
        <f>Leger1!AL45</f>
        <v>0</v>
      </c>
      <c r="AM45" s="646">
        <f>Leger1!AM45</f>
        <v>0</v>
      </c>
      <c r="AN45" s="662">
        <f>Leger1!AN45</f>
        <v>0</v>
      </c>
      <c r="AO45" s="665">
        <f>Leger1!AO45</f>
        <v>0</v>
      </c>
      <c r="AP45" s="646">
        <f>Leger1!AP45</f>
        <v>0</v>
      </c>
      <c r="AQ45" s="662">
        <f>Leger1!AQ45</f>
        <v>0</v>
      </c>
      <c r="AR45" s="665">
        <f>Leger1!AR45</f>
        <v>0</v>
      </c>
      <c r="AS45" s="646">
        <f>Leger1!AS45</f>
        <v>0</v>
      </c>
      <c r="AT45" s="662">
        <f>Leger1!AT45</f>
        <v>0</v>
      </c>
      <c r="AU45" s="665">
        <f>Leger1!AU45</f>
        <v>0</v>
      </c>
      <c r="AV45" s="646">
        <f>Leger1!AV45</f>
        <v>0</v>
      </c>
      <c r="AW45" s="662">
        <f>Leger1!AW45</f>
        <v>0</v>
      </c>
      <c r="AX45" s="665">
        <f>Leger1!AX45</f>
        <v>0</v>
      </c>
      <c r="AY45" s="646">
        <f>Leger1!AY45</f>
        <v>0</v>
      </c>
      <c r="AZ45" s="662">
        <f>Leger1!AZ45</f>
        <v>0</v>
      </c>
      <c r="BA45" s="670" t="str">
        <f t="shared" si="2"/>
        <v>D</v>
      </c>
      <c r="BB45" s="389" t="str">
        <f t="shared" si="0"/>
        <v/>
      </c>
      <c r="BC45" s="390" t="str">
        <f t="shared" si="1"/>
        <v/>
      </c>
      <c r="BD45" s="214" t="str">
        <f t="shared" si="3"/>
        <v/>
      </c>
    </row>
    <row r="46" spans="2:56" ht="17.25" thickBot="1">
      <c r="E46" s="218" t="str">
        <f>Biodata!B45</f>
        <v/>
      </c>
      <c r="F46" s="219" t="str">
        <f>IF(Biodata!C45="","",VLOOKUP(E46,Biodata_Siswa,2,FALSE))</f>
        <v/>
      </c>
      <c r="G46" s="899" t="str">
        <f>IF(Biodata!E45="","",PROPER(VLOOKUP(E46,Biodata_Siswa,4,FALSE)))</f>
        <v/>
      </c>
      <c r="H46" s="900"/>
      <c r="I46" s="648">
        <f>Leger1!I46</f>
        <v>0</v>
      </c>
      <c r="J46" s="663">
        <f>Leger1!J46</f>
        <v>0</v>
      </c>
      <c r="K46" s="666">
        <f>Leger1!K46</f>
        <v>0</v>
      </c>
      <c r="L46" s="648">
        <f>Leger1!L46</f>
        <v>0</v>
      </c>
      <c r="M46" s="663">
        <f>Leger1!M46</f>
        <v>0</v>
      </c>
      <c r="N46" s="674">
        <f>Leger1!N46</f>
        <v>0</v>
      </c>
      <c r="O46" s="660">
        <f>Leger1!O46</f>
        <v>0</v>
      </c>
      <c r="P46" s="649">
        <f>Leger1!P46</f>
        <v>0</v>
      </c>
      <c r="Q46" s="669">
        <f>Leger1!Q46</f>
        <v>0</v>
      </c>
      <c r="R46" s="648">
        <f>Leger1!R46</f>
        <v>0</v>
      </c>
      <c r="S46" s="663">
        <f>Leger1!S46</f>
        <v>0</v>
      </c>
      <c r="T46" s="666">
        <f>Leger1!T46</f>
        <v>0</v>
      </c>
      <c r="U46" s="648">
        <f>Leger1!U46</f>
        <v>0</v>
      </c>
      <c r="V46" s="663">
        <f>Leger1!V46</f>
        <v>0</v>
      </c>
      <c r="W46" s="666">
        <f>Leger1!W46</f>
        <v>0</v>
      </c>
      <c r="X46" s="648">
        <f>Leger1!X46</f>
        <v>0</v>
      </c>
      <c r="Y46" s="663">
        <f>Leger1!Y46</f>
        <v>0</v>
      </c>
      <c r="Z46" s="666">
        <f>Leger1!Z46</f>
        <v>0</v>
      </c>
      <c r="AA46" s="648">
        <f>Leger1!AA46</f>
        <v>0</v>
      </c>
      <c r="AB46" s="663">
        <f>Leger1!AB46</f>
        <v>0</v>
      </c>
      <c r="AC46" s="666">
        <f>Leger1!AC46</f>
        <v>0</v>
      </c>
      <c r="AD46" s="648">
        <f>Leger1!AD46</f>
        <v>0</v>
      </c>
      <c r="AE46" s="663">
        <f>Leger1!AE46</f>
        <v>0</v>
      </c>
      <c r="AF46" s="666">
        <f>Leger1!AF46</f>
        <v>0</v>
      </c>
      <c r="AG46" s="648">
        <f>Leger1!AG46</f>
        <v>0</v>
      </c>
      <c r="AH46" s="663">
        <f>Leger1!AH46</f>
        <v>0</v>
      </c>
      <c r="AI46" s="666">
        <f>Leger1!AI46</f>
        <v>0</v>
      </c>
      <c r="AJ46" s="648">
        <f>Leger1!AJ46</f>
        <v>0</v>
      </c>
      <c r="AK46" s="663">
        <f>Leger1!AK46</f>
        <v>0</v>
      </c>
      <c r="AL46" s="666">
        <f>Leger1!AL46</f>
        <v>0</v>
      </c>
      <c r="AM46" s="648">
        <f>Leger1!AM46</f>
        <v>0</v>
      </c>
      <c r="AN46" s="663">
        <f>Leger1!AN46</f>
        <v>0</v>
      </c>
      <c r="AO46" s="666">
        <f>Leger1!AO46</f>
        <v>0</v>
      </c>
      <c r="AP46" s="648">
        <f>Leger1!AP46</f>
        <v>0</v>
      </c>
      <c r="AQ46" s="663">
        <f>Leger1!AQ46</f>
        <v>0</v>
      </c>
      <c r="AR46" s="666">
        <f>Leger1!AR46</f>
        <v>0</v>
      </c>
      <c r="AS46" s="648">
        <f>Leger1!AS46</f>
        <v>0</v>
      </c>
      <c r="AT46" s="663">
        <f>Leger1!AT46</f>
        <v>0</v>
      </c>
      <c r="AU46" s="666">
        <f>Leger1!AU46</f>
        <v>0</v>
      </c>
      <c r="AV46" s="648">
        <f>Leger1!AV46</f>
        <v>0</v>
      </c>
      <c r="AW46" s="663">
        <f>Leger1!AW46</f>
        <v>0</v>
      </c>
      <c r="AX46" s="666">
        <f>Leger1!AX46</f>
        <v>0</v>
      </c>
      <c r="AY46" s="648">
        <f>Leger1!AY46</f>
        <v>0</v>
      </c>
      <c r="AZ46" s="663">
        <f>Leger1!AZ46</f>
        <v>0</v>
      </c>
      <c r="BA46" s="671" t="str">
        <f t="shared" si="2"/>
        <v>D</v>
      </c>
      <c r="BB46" s="391" t="str">
        <f t="shared" si="0"/>
        <v/>
      </c>
      <c r="BC46" s="392" t="str">
        <f t="shared" si="1"/>
        <v/>
      </c>
      <c r="BD46" s="221" t="str">
        <f t="shared" si="3"/>
        <v/>
      </c>
    </row>
    <row r="47" spans="2:56" ht="16.5">
      <c r="E47" s="223">
        <f>MAX(E7:E46)</f>
        <v>29</v>
      </c>
    </row>
    <row r="48" spans="2:56" ht="16.5" hidden="1"/>
    <row r="49" ht="16.5" hidden="1"/>
    <row r="50" ht="16.5" hidden="1"/>
    <row r="51" ht="16.5" hidden="1"/>
    <row r="52" ht="16.5" hidden="1"/>
    <row r="53" ht="16.5" hidden="1"/>
    <row r="54" ht="16.5" hidden="1"/>
    <row r="55" ht="16.5" hidden="1"/>
    <row r="56" ht="16.5" hidden="1"/>
    <row r="57" ht="16.5" hidden="1"/>
    <row r="58" ht="16.5" hidden="1"/>
    <row r="59" ht="16.5" hidden="1"/>
    <row r="60" ht="16.5" hidden="1"/>
    <row r="61" ht="16.5" hidden="1"/>
    <row r="62" ht="16.5" hidden="1"/>
    <row r="63" ht="16.5" hidden="1"/>
    <row r="64" ht="16.5" hidden="1"/>
    <row r="65" spans="2:53" ht="16.5" hidden="1"/>
    <row r="66" spans="2:53" ht="16.5" hidden="1"/>
    <row r="67" spans="2:53" ht="16.5" hidden="1"/>
    <row r="68" spans="2:53" ht="16.5" hidden="1"/>
    <row r="69" spans="2:53" ht="16.5" hidden="1"/>
    <row r="70" spans="2:53" ht="16.5" hidden="1"/>
    <row r="71" spans="2:53" ht="16.5" hidden="1"/>
    <row r="72" spans="2:53" s="199" customFormat="1" ht="16.5" hidden="1">
      <c r="B72" s="224"/>
      <c r="E72" s="199">
        <f>DL!M32</f>
        <v>0</v>
      </c>
      <c r="I72" s="645"/>
      <c r="J72" s="645"/>
      <c r="K72" s="645"/>
      <c r="L72" s="645"/>
      <c r="M72" s="645"/>
      <c r="N72" s="645"/>
      <c r="O72" s="645"/>
      <c r="P72" s="645"/>
      <c r="Q72" s="645"/>
      <c r="R72" s="645"/>
      <c r="S72" s="645"/>
      <c r="T72" s="645"/>
      <c r="U72" s="645"/>
      <c r="V72" s="645"/>
      <c r="W72" s="645"/>
      <c r="X72" s="645"/>
      <c r="Y72" s="645"/>
      <c r="Z72" s="645"/>
      <c r="AA72" s="645"/>
      <c r="AB72" s="645"/>
      <c r="AC72" s="645"/>
      <c r="AD72" s="645"/>
      <c r="AE72" s="645"/>
      <c r="AF72" s="645"/>
      <c r="AG72" s="645"/>
      <c r="AH72" s="645"/>
      <c r="AI72" s="645"/>
      <c r="AJ72" s="645"/>
      <c r="AK72" s="645"/>
      <c r="AL72" s="645"/>
      <c r="AM72" s="645"/>
      <c r="AN72" s="645"/>
      <c r="AO72" s="645"/>
      <c r="AP72" s="645"/>
      <c r="AQ72" s="645"/>
      <c r="AR72" s="645"/>
      <c r="AS72" s="645"/>
      <c r="AT72" s="645"/>
      <c r="AU72" s="645"/>
      <c r="AV72" s="645"/>
      <c r="AW72" s="645"/>
      <c r="AX72" s="645"/>
      <c r="AY72" s="645"/>
      <c r="AZ72" s="645"/>
      <c r="BA72" s="198"/>
    </row>
  </sheetData>
  <sheetProtection password="CE75" sheet="1" objects="1" scenarios="1" selectLockedCells="1"/>
  <dataConsolidate/>
  <mergeCells count="85">
    <mergeCell ref="AP2:BA2"/>
    <mergeCell ref="BB2:BD3"/>
    <mergeCell ref="AD3:AF3"/>
    <mergeCell ref="AG3:AI3"/>
    <mergeCell ref="AJ3:AL3"/>
    <mergeCell ref="AM3:AO3"/>
    <mergeCell ref="X3:Z3"/>
    <mergeCell ref="AA3:AC3"/>
    <mergeCell ref="C2:C3"/>
    <mergeCell ref="E2:G3"/>
    <mergeCell ref="H2:H3"/>
    <mergeCell ref="I2:AO2"/>
    <mergeCell ref="U4:W5"/>
    <mergeCell ref="I3:K3"/>
    <mergeCell ref="L3:N3"/>
    <mergeCell ref="O3:Q3"/>
    <mergeCell ref="R3:T3"/>
    <mergeCell ref="U3:W3"/>
    <mergeCell ref="E4:H4"/>
    <mergeCell ref="I4:K5"/>
    <mergeCell ref="L4:N5"/>
    <mergeCell ref="O4:Q5"/>
    <mergeCell ref="R4:T5"/>
    <mergeCell ref="AM4:AO5"/>
    <mergeCell ref="AP3:AR3"/>
    <mergeCell ref="AS3:AU3"/>
    <mergeCell ref="AV3:AX3"/>
    <mergeCell ref="AY3:BA3"/>
    <mergeCell ref="BD4:BD6"/>
    <mergeCell ref="C5:C6"/>
    <mergeCell ref="E5:E6"/>
    <mergeCell ref="F5:F6"/>
    <mergeCell ref="G5:H6"/>
    <mergeCell ref="AP4:AR5"/>
    <mergeCell ref="AS4:AU5"/>
    <mergeCell ref="AV4:AX5"/>
    <mergeCell ref="AY4:BA5"/>
    <mergeCell ref="BB4:BB6"/>
    <mergeCell ref="BC4:BC6"/>
    <mergeCell ref="X4:Z5"/>
    <mergeCell ref="AA4:AC5"/>
    <mergeCell ref="AD4:AF5"/>
    <mergeCell ref="AG4:AI5"/>
    <mergeCell ref="AJ4:AL5"/>
    <mergeCell ref="G10:H10"/>
    <mergeCell ref="G11:H11"/>
    <mergeCell ref="G12:H12"/>
    <mergeCell ref="G7:H7"/>
    <mergeCell ref="G8:H8"/>
    <mergeCell ref="G9:H9"/>
    <mergeCell ref="G16:H16"/>
    <mergeCell ref="G17:H17"/>
    <mergeCell ref="G18:H18"/>
    <mergeCell ref="G13:H13"/>
    <mergeCell ref="G14:H14"/>
    <mergeCell ref="G15:H15"/>
    <mergeCell ref="G22:H22"/>
    <mergeCell ref="G23:H23"/>
    <mergeCell ref="G24:H24"/>
    <mergeCell ref="G19:H19"/>
    <mergeCell ref="G20:H20"/>
    <mergeCell ref="G21:H21"/>
    <mergeCell ref="G25:H25"/>
    <mergeCell ref="G26:H26"/>
    <mergeCell ref="G27:H27"/>
    <mergeCell ref="G28:H28"/>
    <mergeCell ref="G29:H29"/>
    <mergeCell ref="B41:C41"/>
    <mergeCell ref="G41:H41"/>
    <mergeCell ref="G30:H30"/>
    <mergeCell ref="G31:H31"/>
    <mergeCell ref="G32:H32"/>
    <mergeCell ref="G33:H33"/>
    <mergeCell ref="G34:H34"/>
    <mergeCell ref="G35:H35"/>
    <mergeCell ref="G36:H36"/>
    <mergeCell ref="G37:H37"/>
    <mergeCell ref="G38:H38"/>
    <mergeCell ref="G39:H39"/>
    <mergeCell ref="G40:H40"/>
    <mergeCell ref="G42:H42"/>
    <mergeCell ref="G43:H43"/>
    <mergeCell ref="G44:H44"/>
    <mergeCell ref="G45:H45"/>
    <mergeCell ref="G46:H46"/>
  </mergeCells>
  <conditionalFormatting sqref="I7:AZ46">
    <cfRule type="cellIs" dxfId="125" priority="3" operator="lessThan">
      <formula>$C$4</formula>
    </cfRule>
    <cfRule type="cellIs" dxfId="124" priority="2" operator="lessThan">
      <formula>1</formula>
    </cfRule>
    <cfRule type="cellIs" dxfId="123" priority="1" operator="greaterThan">
      <formula>100</formula>
    </cfRule>
  </conditionalFormatting>
  <pageMargins left="0.42" right="0.24" top="0.35" bottom="0.36" header="0.3" footer="0.3"/>
  <pageSetup paperSize="9" scale="73" orientation="landscape" r:id="rId1"/>
  <drawing r:id="rId2"/>
</worksheet>
</file>

<file path=xl/worksheets/sheet17.xml><?xml version="1.0" encoding="utf-8"?>
<worksheet xmlns="http://schemas.openxmlformats.org/spreadsheetml/2006/main" xmlns:r="http://schemas.openxmlformats.org/officeDocument/2006/relationships">
  <sheetPr codeName="Sheet16">
    <tabColor theme="1"/>
  </sheetPr>
  <dimension ref="A1:H46"/>
  <sheetViews>
    <sheetView showGridLines="0" showRowColHeaders="0" topLeftCell="A25" workbookViewId="0">
      <selection activeCell="G30" sqref="G30"/>
    </sheetView>
  </sheetViews>
  <sheetFormatPr defaultColWidth="0" defaultRowHeight="15" zeroHeight="1"/>
  <cols>
    <col min="1" max="2" width="9.140625" customWidth="1"/>
    <col min="3" max="3" width="30.5703125" customWidth="1"/>
    <col min="4" max="7" width="35" customWidth="1"/>
    <col min="8" max="8" width="12.7109375" customWidth="1"/>
    <col min="9" max="16384" width="9.140625" hidden="1"/>
  </cols>
  <sheetData>
    <row r="1" spans="2:7"/>
    <row r="2" spans="2:7" ht="23.25">
      <c r="B2" s="75" t="s">
        <v>131</v>
      </c>
    </row>
    <row r="3" spans="2:7" ht="18.75">
      <c r="B3" s="76" t="str">
        <f>"SEMESTER "&amp;UPPER(DK!D9)</f>
        <v>SEMESTER 3 (TIGA)</v>
      </c>
    </row>
    <row r="4" spans="2:7"/>
    <row r="5" spans="2:7">
      <c r="B5" s="67" t="s">
        <v>127</v>
      </c>
    </row>
    <row r="6" spans="2:7" ht="7.5" customHeight="1"/>
    <row r="7" spans="2:7">
      <c r="B7" s="1096" t="s">
        <v>129</v>
      </c>
      <c r="C7" s="1095" t="s">
        <v>119</v>
      </c>
      <c r="D7" s="1094" t="s">
        <v>128</v>
      </c>
      <c r="E7" s="1094"/>
      <c r="F7" s="1094"/>
      <c r="G7" s="1094"/>
    </row>
    <row r="8" spans="2:7">
      <c r="B8" s="1096"/>
      <c r="C8" s="1095"/>
      <c r="D8" s="66" t="s">
        <v>79</v>
      </c>
      <c r="E8" s="66" t="s">
        <v>83</v>
      </c>
      <c r="F8" s="66" t="s">
        <v>82</v>
      </c>
      <c r="G8" s="66" t="s">
        <v>81</v>
      </c>
    </row>
    <row r="9" spans="2:7" ht="61.5" customHeight="1">
      <c r="B9" s="72">
        <v>1</v>
      </c>
      <c r="C9" s="72" t="str">
        <f>_MP1</f>
        <v>Pendidikan Agama Islam</v>
      </c>
      <c r="D9" s="73" t="str">
        <f>"Sangat menguasai KD "&amp;'IKD1'!D8</f>
        <v>Sangat menguasai KD FFFF</v>
      </c>
      <c r="E9" s="74" t="str">
        <f>"Menguasai KD "&amp;'IKD1'!D8</f>
        <v>Menguasai KD FFFF</v>
      </c>
      <c r="F9" s="74" t="str">
        <f>"Cukup menguasai KD "&amp;'IKD1'!D8</f>
        <v>Cukup menguasai KD FFFF</v>
      </c>
      <c r="G9" s="74" t="str">
        <f>"Perlu ditingkatkan KD "&amp;'IKD1'!D8</f>
        <v>Perlu ditingkatkan KD FFFF</v>
      </c>
    </row>
    <row r="10" spans="2:7" ht="61.5" customHeight="1">
      <c r="B10" s="72">
        <v>2</v>
      </c>
      <c r="C10" s="72" t="str">
        <f>_MP2</f>
        <v>Pendidikan Agama Kristen</v>
      </c>
      <c r="D10" s="73" t="str">
        <f>"Sangat menguasai KD "&amp;'IKD1'!D9</f>
        <v xml:space="preserve">Sangat menguasai KD </v>
      </c>
      <c r="E10" s="74" t="str">
        <f>"Menguasai KD "&amp;'IKD1'!D9</f>
        <v xml:space="preserve">Menguasai KD </v>
      </c>
      <c r="F10" s="74" t="str">
        <f>"Cukup menguasai KD "&amp;'IKD1'!D9</f>
        <v xml:space="preserve">Cukup menguasai KD </v>
      </c>
      <c r="G10" s="74" t="str">
        <f>"Perlu ditingkatkan KD "&amp;'IKD1'!D9</f>
        <v xml:space="preserve">Perlu ditingkatkan KD </v>
      </c>
    </row>
    <row r="11" spans="2:7" ht="61.5" customHeight="1">
      <c r="B11" s="72">
        <v>3</v>
      </c>
      <c r="C11" s="72" t="str">
        <f>_MP3</f>
        <v>Pendidikan Agama Katolik</v>
      </c>
      <c r="D11" s="73" t="str">
        <f>"Sangat menguasai KD "&amp;'IKD1'!D10</f>
        <v xml:space="preserve">Sangat menguasai KD </v>
      </c>
      <c r="E11" s="74" t="str">
        <f>"Menguasai KD "&amp;'IKD1'!D10</f>
        <v xml:space="preserve">Menguasai KD </v>
      </c>
      <c r="F11" s="74" t="str">
        <f>"Cukup menguasai KD "&amp;'IKD1'!D10</f>
        <v xml:space="preserve">Cukup menguasai KD </v>
      </c>
      <c r="G11" s="74" t="str">
        <f>"Perlu ditingkatkan KD "&amp;'IKD1'!D10</f>
        <v xml:space="preserve">Perlu ditingkatkan KD </v>
      </c>
    </row>
    <row r="12" spans="2:7" ht="61.5" customHeight="1">
      <c r="B12" s="72">
        <v>4</v>
      </c>
      <c r="C12" s="72" t="str">
        <f>_MP4</f>
        <v>Pendidikan Agama Hindu</v>
      </c>
      <c r="D12" s="73" t="str">
        <f>"Sangat menguasai KD "&amp;'IKD1'!D11</f>
        <v xml:space="preserve">Sangat menguasai KD </v>
      </c>
      <c r="E12" s="74" t="str">
        <f>"Menguasai KD "&amp;'IKD1'!D11</f>
        <v xml:space="preserve">Menguasai KD </v>
      </c>
      <c r="F12" s="74" t="str">
        <f>"Cukup menguasai KD "&amp;'IKD1'!D11</f>
        <v xml:space="preserve">Cukup menguasai KD </v>
      </c>
      <c r="G12" s="74" t="str">
        <f>"Perlu ditingkatkan KD "&amp;'IKD1'!D11</f>
        <v xml:space="preserve">Perlu ditingkatkan KD </v>
      </c>
    </row>
    <row r="13" spans="2:7" ht="61.5" customHeight="1">
      <c r="B13" s="72">
        <v>5</v>
      </c>
      <c r="C13" s="72" t="str">
        <f>_MP5</f>
        <v>Pendidikan Agama Budha</v>
      </c>
      <c r="D13" s="73" t="str">
        <f>"Sangat menguasai KD "&amp;'IKD1'!D12</f>
        <v xml:space="preserve">Sangat menguasai KD </v>
      </c>
      <c r="E13" s="74" t="str">
        <f>"Menguasai KD "&amp;'IKD1'!D12</f>
        <v xml:space="preserve">Menguasai KD </v>
      </c>
      <c r="F13" s="74" t="str">
        <f>"Cukup menguasai KD "&amp;'IKD1'!D12</f>
        <v xml:space="preserve">Cukup menguasai KD </v>
      </c>
      <c r="G13" s="74" t="str">
        <f>"Perlu ditingkatkan KD "&amp;'IKD1'!D12</f>
        <v xml:space="preserve">Perlu ditingkatkan KD </v>
      </c>
    </row>
    <row r="14" spans="2:7" ht="61.5" customHeight="1">
      <c r="B14" s="68">
        <v>6</v>
      </c>
      <c r="C14" s="68" t="str">
        <f>_MP6</f>
        <v>PKn</v>
      </c>
      <c r="D14" s="69" t="str">
        <f>"Sangat menguasai KD "&amp;'IKD1'!D13</f>
        <v xml:space="preserve">Sangat menguasai KD </v>
      </c>
      <c r="E14" s="70" t="str">
        <f>"Menguasai KD "&amp;'IKD1'!D13</f>
        <v xml:space="preserve">Menguasai KD </v>
      </c>
      <c r="F14" s="70" t="str">
        <f>"Cukup menguasai KD "&amp;'IKD1'!D13</f>
        <v xml:space="preserve">Cukup menguasai KD </v>
      </c>
      <c r="G14" s="70" t="str">
        <f>"Perlu ditingkatkan KD "&amp;'IKD1'!D13</f>
        <v xml:space="preserve">Perlu ditingkatkan KD </v>
      </c>
    </row>
    <row r="15" spans="2:7" ht="61.5" customHeight="1">
      <c r="B15" s="68">
        <v>7</v>
      </c>
      <c r="C15" s="68" t="str">
        <f>_MP7</f>
        <v xml:space="preserve">Bahasa Indonesia </v>
      </c>
      <c r="D15" s="69" t="str">
        <f>"Sangat menguasai KD "&amp;'IKD1'!D14</f>
        <v xml:space="preserve">Sangat menguasai KD </v>
      </c>
      <c r="E15" s="70" t="str">
        <f>"Menguasai KD "&amp;'IKD1'!D14</f>
        <v xml:space="preserve">Menguasai KD </v>
      </c>
      <c r="F15" s="70" t="str">
        <f>"Cukup menguasai KD "&amp;'IKD1'!D14</f>
        <v xml:space="preserve">Cukup menguasai KD </v>
      </c>
      <c r="G15" s="70" t="str">
        <f>"Perlu ditingkatkan KD "&amp;'IKD1'!D14</f>
        <v xml:space="preserve">Perlu ditingkatkan KD </v>
      </c>
    </row>
    <row r="16" spans="2:7" ht="61.5" customHeight="1">
      <c r="B16" s="68">
        <v>8</v>
      </c>
      <c r="C16" s="68" t="str">
        <f>_MP8</f>
        <v xml:space="preserve">Matematika </v>
      </c>
      <c r="D16" s="69" t="str">
        <f>"Sangat menguasai KD "&amp;'IKD1'!D15</f>
        <v xml:space="preserve">Sangat menguasai KD </v>
      </c>
      <c r="E16" s="70" t="str">
        <f>"Menguasai KD "&amp;'IKD1'!D15</f>
        <v xml:space="preserve">Menguasai KD </v>
      </c>
      <c r="F16" s="70" t="str">
        <f>"Cukup menguasai KD "&amp;'IKD1'!D15</f>
        <v xml:space="preserve">Cukup menguasai KD </v>
      </c>
      <c r="G16" s="70" t="str">
        <f>"Perlu ditingkatkan KD "&amp;'IKD1'!D15</f>
        <v xml:space="preserve">Perlu ditingkatkan KD </v>
      </c>
    </row>
    <row r="17" spans="2:7" ht="61.5" customHeight="1">
      <c r="B17" s="68">
        <v>9</v>
      </c>
      <c r="C17" s="68" t="str">
        <f>_MP9</f>
        <v xml:space="preserve">Ilmu Pengetahuan Alam </v>
      </c>
      <c r="D17" s="69" t="str">
        <f>"Sangat menguasai KD "&amp;'IKD1'!D16</f>
        <v xml:space="preserve">Sangat menguasai KD </v>
      </c>
      <c r="E17" s="70" t="str">
        <f>"Menguasai KD "&amp;'IKD1'!D16</f>
        <v xml:space="preserve">Menguasai KD </v>
      </c>
      <c r="F17" s="70" t="str">
        <f>"Cukup menguasai KD "&amp;'IKD1'!D16</f>
        <v xml:space="preserve">Cukup menguasai KD </v>
      </c>
      <c r="G17" s="70" t="str">
        <f>"Perlu ditingkatkan KD "&amp;'IKD1'!D16</f>
        <v xml:space="preserve">Perlu ditingkatkan KD </v>
      </c>
    </row>
    <row r="18" spans="2:7" ht="61.5" customHeight="1">
      <c r="B18" s="68">
        <v>10</v>
      </c>
      <c r="C18" s="68" t="str">
        <f>_MP10</f>
        <v xml:space="preserve">Ilmu Pengetahuan Sosial </v>
      </c>
      <c r="D18" s="69" t="str">
        <f>"Sangat menguasai KD "&amp;'IKD1'!D17</f>
        <v xml:space="preserve">Sangat menguasai KD </v>
      </c>
      <c r="E18" s="70" t="str">
        <f>"Menguasai KD "&amp;'IKD1'!D17</f>
        <v xml:space="preserve">Menguasai KD </v>
      </c>
      <c r="F18" s="70" t="str">
        <f>"Cukup menguasai KD "&amp;'IKD1'!D17</f>
        <v xml:space="preserve">Cukup menguasai KD </v>
      </c>
      <c r="G18" s="70" t="str">
        <f>"Perlu ditingkatkan KD "&amp;'IKD1'!D17</f>
        <v xml:space="preserve">Perlu ditingkatkan KD </v>
      </c>
    </row>
    <row r="19" spans="2:7" ht="61.5" customHeight="1">
      <c r="B19" s="68">
        <v>11</v>
      </c>
      <c r="C19" s="68" t="str">
        <f>_MP11</f>
        <v xml:space="preserve">Bahasa Inggris </v>
      </c>
      <c r="D19" s="69" t="str">
        <f>"Sangat menguasai KD "&amp;'IKD1'!D18</f>
        <v xml:space="preserve">Sangat menguasai KD </v>
      </c>
      <c r="E19" s="70" t="str">
        <f>"Menguasai KD "&amp;'IKD1'!D18</f>
        <v xml:space="preserve">Menguasai KD </v>
      </c>
      <c r="F19" s="70" t="str">
        <f>"Cukup menguasai KD "&amp;'IKD1'!D18</f>
        <v xml:space="preserve">Cukup menguasai KD </v>
      </c>
      <c r="G19" s="70" t="str">
        <f>"Perlu ditingkatkan KD "&amp;'IKD1'!D18</f>
        <v xml:space="preserve">Perlu ditingkatkan KD </v>
      </c>
    </row>
    <row r="20" spans="2:7" ht="61.5" customHeight="1">
      <c r="B20" s="68">
        <v>12</v>
      </c>
      <c r="C20" s="68" t="str">
        <f>_MP12</f>
        <v>Seni Budaya</v>
      </c>
      <c r="D20" s="69" t="str">
        <f>"Sangat menguasai KD "&amp;'IKD1'!D19</f>
        <v xml:space="preserve">Sangat menguasai KD </v>
      </c>
      <c r="E20" s="70" t="str">
        <f>"Menguasai KD "&amp;'IKD1'!D19</f>
        <v xml:space="preserve">Menguasai KD </v>
      </c>
      <c r="F20" s="70" t="str">
        <f>"Cukup menguasai KD "&amp;'IKD1'!D19</f>
        <v xml:space="preserve">Cukup menguasai KD </v>
      </c>
      <c r="G20" s="70" t="str">
        <f>"Perlu ditingkatkan KD "&amp;'IKD1'!D19</f>
        <v xml:space="preserve">Perlu ditingkatkan KD </v>
      </c>
    </row>
    <row r="21" spans="2:7" ht="61.5" customHeight="1">
      <c r="B21" s="68">
        <v>13</v>
      </c>
      <c r="C21" s="68" t="str">
        <f>_MP13</f>
        <v>Penjaskes</v>
      </c>
      <c r="D21" s="69" t="str">
        <f>"Sangat menguasai KD "&amp;'IKD1'!D20</f>
        <v xml:space="preserve">Sangat menguasai KD </v>
      </c>
      <c r="E21" s="70" t="str">
        <f>"Menguasai KD "&amp;'IKD1'!D20</f>
        <v xml:space="preserve">Menguasai KD </v>
      </c>
      <c r="F21" s="70" t="str">
        <f>"Cukup menguasai KD "&amp;'IKD1'!D20</f>
        <v xml:space="preserve">Cukup menguasai KD </v>
      </c>
      <c r="G21" s="70" t="str">
        <f>"Perlu ditingkatkan KD "&amp;'IKD1'!D20</f>
        <v xml:space="preserve">Perlu ditingkatkan KD </v>
      </c>
    </row>
    <row r="22" spans="2:7" ht="61.5" customHeight="1">
      <c r="B22" s="68">
        <v>14</v>
      </c>
      <c r="C22" s="68" t="str">
        <f>_MP14</f>
        <v>Prakarya</v>
      </c>
      <c r="D22" s="69" t="str">
        <f>"Sangat menguasai KD "&amp;'IKD1'!D21</f>
        <v xml:space="preserve">Sangat menguasai KD </v>
      </c>
      <c r="E22" s="70" t="str">
        <f>"Menguasai KD "&amp;'IKD1'!D21</f>
        <v xml:space="preserve">Menguasai KD </v>
      </c>
      <c r="F22" s="70" t="str">
        <f>"Cukup menguasai KD "&amp;'IKD1'!D21</f>
        <v xml:space="preserve">Cukup menguasai KD </v>
      </c>
      <c r="G22" s="70" t="str">
        <f>"Perlu ditingkatkan KD "&amp;'IKD1'!D21</f>
        <v xml:space="preserve">Perlu ditingkatkan KD </v>
      </c>
    </row>
    <row r="23" spans="2:7" ht="61.5" customHeight="1">
      <c r="B23" s="68">
        <v>15</v>
      </c>
      <c r="C23" s="68" t="str">
        <f>_MP15</f>
        <v>Bahasa dan Aksara Lampung</v>
      </c>
      <c r="D23" s="69" t="str">
        <f>"Sangat menguasai KD "&amp;'IKD1'!D22</f>
        <v xml:space="preserve">Sangat menguasai KD </v>
      </c>
      <c r="E23" s="70" t="str">
        <f>"Menguasai KD "&amp;'IKD1'!D22</f>
        <v xml:space="preserve">Menguasai KD </v>
      </c>
      <c r="F23" s="70" t="str">
        <f>"Cukup menguasai KD "&amp;'IKD1'!D22</f>
        <v xml:space="preserve">Cukup menguasai KD </v>
      </c>
      <c r="G23" s="70" t="str">
        <f>"Perlu ditingkatkan KD "&amp;'IKD1'!D22</f>
        <v xml:space="preserve">Perlu ditingkatkan KD </v>
      </c>
    </row>
    <row r="24" spans="2:7"/>
    <row r="25" spans="2:7"/>
    <row r="26" spans="2:7">
      <c r="B26" s="67" t="s">
        <v>130</v>
      </c>
    </row>
    <row r="27" spans="2:7"/>
    <row r="28" spans="2:7">
      <c r="B28" s="1096" t="s">
        <v>129</v>
      </c>
      <c r="C28" s="1095" t="s">
        <v>119</v>
      </c>
      <c r="D28" s="1094" t="s">
        <v>122</v>
      </c>
      <c r="E28" s="1094"/>
      <c r="F28" s="1094"/>
      <c r="G28" s="1094"/>
    </row>
    <row r="29" spans="2:7">
      <c r="B29" s="1096"/>
      <c r="C29" s="1095"/>
      <c r="D29" s="66" t="s">
        <v>79</v>
      </c>
      <c r="E29" s="66" t="s">
        <v>83</v>
      </c>
      <c r="F29" s="66" t="s">
        <v>82</v>
      </c>
      <c r="G29" s="66" t="s">
        <v>81</v>
      </c>
    </row>
    <row r="30" spans="2:7" ht="61.5" customHeight="1">
      <c r="B30" s="72">
        <v>1</v>
      </c>
      <c r="C30" s="72" t="str">
        <f>_MP1</f>
        <v>Pendidikan Agama Islam</v>
      </c>
      <c r="D30" s="73" t="str">
        <f>"Sangat terampil dalam KD "&amp;'IKD1'!E8</f>
        <v xml:space="preserve">Sangat terampil dalam KD </v>
      </c>
      <c r="E30" s="74" t="str">
        <f>"Terampil dalam KD "&amp;'IKD1'!E8</f>
        <v xml:space="preserve">Terampil dalam KD </v>
      </c>
      <c r="F30" s="74" t="str">
        <f>"Cukup terampil dalam KD "&amp;'IKD1'!E8</f>
        <v xml:space="preserve">Cukup terampil dalam KD </v>
      </c>
      <c r="G30" s="74" t="str">
        <f>"Perlu ditingkatkan KD "&amp;'IKD1'!E8</f>
        <v xml:space="preserve">Perlu ditingkatkan KD </v>
      </c>
    </row>
    <row r="31" spans="2:7" ht="61.5" customHeight="1">
      <c r="B31" s="72">
        <v>2</v>
      </c>
      <c r="C31" s="72" t="str">
        <f>_MP2</f>
        <v>Pendidikan Agama Kristen</v>
      </c>
      <c r="D31" s="73" t="str">
        <f>"Sangat terampil dalam KD "&amp;'IKD1'!E9</f>
        <v xml:space="preserve">Sangat terampil dalam KD </v>
      </c>
      <c r="E31" s="74" t="str">
        <f>"Terampil dalam KD "&amp;'IKD1'!E9</f>
        <v xml:space="preserve">Terampil dalam KD </v>
      </c>
      <c r="F31" s="74" t="str">
        <f>"Cukup terampil dalam KD "&amp;'IKD1'!E9</f>
        <v xml:space="preserve">Cukup terampil dalam KD </v>
      </c>
      <c r="G31" s="74" t="str">
        <f>"Perlu ditingkatkan KD "&amp;'IKD1'!E9</f>
        <v xml:space="preserve">Perlu ditingkatkan KD </v>
      </c>
    </row>
    <row r="32" spans="2:7" ht="61.5" customHeight="1">
      <c r="B32" s="72">
        <v>3</v>
      </c>
      <c r="C32" s="72" t="str">
        <f>_MP3</f>
        <v>Pendidikan Agama Katolik</v>
      </c>
      <c r="D32" s="73" t="str">
        <f>"Sangat terampil dalam KD "&amp;'IKD1'!E10</f>
        <v xml:space="preserve">Sangat terampil dalam KD </v>
      </c>
      <c r="E32" s="74" t="str">
        <f>"Terampil dalam KD "&amp;'IKD1'!E10</f>
        <v xml:space="preserve">Terampil dalam KD </v>
      </c>
      <c r="F32" s="74" t="str">
        <f>"Cukup terampil dalam KD "&amp;'IKD1'!E10</f>
        <v xml:space="preserve">Cukup terampil dalam KD </v>
      </c>
      <c r="G32" s="74" t="str">
        <f>"Perlu ditingkatkan KD "&amp;'IKD1'!E10</f>
        <v xml:space="preserve">Perlu ditingkatkan KD </v>
      </c>
    </row>
    <row r="33" spans="2:7" ht="61.5" customHeight="1">
      <c r="B33" s="72">
        <v>4</v>
      </c>
      <c r="C33" s="72" t="str">
        <f>_MP4</f>
        <v>Pendidikan Agama Hindu</v>
      </c>
      <c r="D33" s="73" t="str">
        <f>"Sangat terampil dalam KD "&amp;'IKD1'!E11</f>
        <v xml:space="preserve">Sangat terampil dalam KD </v>
      </c>
      <c r="E33" s="74" t="str">
        <f>"Terampil dalam KD "&amp;'IKD1'!E11</f>
        <v xml:space="preserve">Terampil dalam KD </v>
      </c>
      <c r="F33" s="74" t="str">
        <f>"Cukup terampil dalam KD "&amp;'IKD1'!E11</f>
        <v xml:space="preserve">Cukup terampil dalam KD </v>
      </c>
      <c r="G33" s="74" t="str">
        <f>"Perlu ditingkatkan KD "&amp;'IKD1'!E11</f>
        <v xml:space="preserve">Perlu ditingkatkan KD </v>
      </c>
    </row>
    <row r="34" spans="2:7" ht="61.5" customHeight="1">
      <c r="B34" s="72">
        <v>5</v>
      </c>
      <c r="C34" s="72" t="str">
        <f>_MP5</f>
        <v>Pendidikan Agama Budha</v>
      </c>
      <c r="D34" s="73" t="str">
        <f>"Sangat terampil dalam KD "&amp;'IKD1'!E12</f>
        <v xml:space="preserve">Sangat terampil dalam KD </v>
      </c>
      <c r="E34" s="74" t="str">
        <f>"Terampil dalam KD "&amp;'IKD1'!E12</f>
        <v xml:space="preserve">Terampil dalam KD </v>
      </c>
      <c r="F34" s="74" t="str">
        <f>"Cukup terampil dalam KD "&amp;'IKD1'!E12</f>
        <v xml:space="preserve">Cukup terampil dalam KD </v>
      </c>
      <c r="G34" s="74" t="str">
        <f>"Perlu ditingkatkan KD "&amp;'IKD1'!E12</f>
        <v xml:space="preserve">Perlu ditingkatkan KD </v>
      </c>
    </row>
    <row r="35" spans="2:7" ht="61.5" customHeight="1">
      <c r="B35" s="68">
        <v>6</v>
      </c>
      <c r="C35" s="68" t="str">
        <f>_MP6</f>
        <v>PKn</v>
      </c>
      <c r="D35" s="73" t="str">
        <f>"Sangat terampil dalam KD "&amp;'IKD1'!E13</f>
        <v xml:space="preserve">Sangat terampil dalam KD </v>
      </c>
      <c r="E35" s="74" t="str">
        <f>"Terampil dalam KD "&amp;'IKD1'!E13</f>
        <v xml:space="preserve">Terampil dalam KD </v>
      </c>
      <c r="F35" s="74" t="str">
        <f>"Cukup terampil dalam KD "&amp;'IKD1'!E13</f>
        <v xml:space="preserve">Cukup terampil dalam KD </v>
      </c>
      <c r="G35" s="77" t="str">
        <f>"Perlu ditingkatkan KD "&amp;'IKD1'!E13</f>
        <v xml:space="preserve">Perlu ditingkatkan KD </v>
      </c>
    </row>
    <row r="36" spans="2:7" ht="61.5" customHeight="1">
      <c r="B36" s="68">
        <v>7</v>
      </c>
      <c r="C36" s="68" t="str">
        <f>_MP7</f>
        <v xml:space="preserve">Bahasa Indonesia </v>
      </c>
      <c r="D36" s="73" t="str">
        <f>"Sangat terampil dalam KD "&amp;'IKD1'!E14</f>
        <v xml:space="preserve">Sangat terampil dalam KD </v>
      </c>
      <c r="E36" s="74" t="str">
        <f>"Terampil dalam KD "&amp;'IKD1'!E14</f>
        <v xml:space="preserve">Terampil dalam KD </v>
      </c>
      <c r="F36" s="74" t="str">
        <f>"Cukup terampil dalam KD "&amp;'IKD1'!E14</f>
        <v xml:space="preserve">Cukup terampil dalam KD </v>
      </c>
      <c r="G36" s="77" t="str">
        <f>"Perlu ditingkatkan KD "&amp;'IKD1'!E14</f>
        <v xml:space="preserve">Perlu ditingkatkan KD </v>
      </c>
    </row>
    <row r="37" spans="2:7" ht="61.5" customHeight="1">
      <c r="B37" s="68">
        <v>8</v>
      </c>
      <c r="C37" s="68" t="str">
        <f>_MP8</f>
        <v xml:space="preserve">Matematika </v>
      </c>
      <c r="D37" s="73" t="str">
        <f>"Sangat terampil dalam KD "&amp;'IKD1'!E15</f>
        <v xml:space="preserve">Sangat terampil dalam KD </v>
      </c>
      <c r="E37" s="74" t="str">
        <f>"Terampil dalam KD "&amp;'IKD1'!E15</f>
        <v xml:space="preserve">Terampil dalam KD </v>
      </c>
      <c r="F37" s="74" t="str">
        <f>"Cukup terampil dalam KD "&amp;'IKD1'!E15</f>
        <v xml:space="preserve">Cukup terampil dalam KD </v>
      </c>
      <c r="G37" s="77" t="str">
        <f>"Perlu ditingkatkan KD "&amp;'IKD1'!E15</f>
        <v xml:space="preserve">Perlu ditingkatkan KD </v>
      </c>
    </row>
    <row r="38" spans="2:7" ht="61.5" customHeight="1">
      <c r="B38" s="68">
        <v>9</v>
      </c>
      <c r="C38" s="68" t="str">
        <f>_MP9</f>
        <v xml:space="preserve">Ilmu Pengetahuan Alam </v>
      </c>
      <c r="D38" s="73" t="str">
        <f>"Sangat terampil dalam KD "&amp;'IKD1'!E16</f>
        <v xml:space="preserve">Sangat terampil dalam KD </v>
      </c>
      <c r="E38" s="74" t="str">
        <f>"Terampil dalam KD "&amp;'IKD1'!E16</f>
        <v xml:space="preserve">Terampil dalam KD </v>
      </c>
      <c r="F38" s="74" t="str">
        <f>"Cukup terampil dalam KD "&amp;'IKD1'!E16</f>
        <v xml:space="preserve">Cukup terampil dalam KD </v>
      </c>
      <c r="G38" s="77" t="str">
        <f>"Perlu ditingkatkan KD "&amp;'IKD1'!E16</f>
        <v xml:space="preserve">Perlu ditingkatkan KD </v>
      </c>
    </row>
    <row r="39" spans="2:7" ht="61.5" customHeight="1">
      <c r="B39" s="68">
        <v>10</v>
      </c>
      <c r="C39" s="68" t="str">
        <f>_MP10</f>
        <v xml:space="preserve">Ilmu Pengetahuan Sosial </v>
      </c>
      <c r="D39" s="73" t="str">
        <f>"Sangat terampil dalam KD "&amp;'IKD1'!E17</f>
        <v xml:space="preserve">Sangat terampil dalam KD </v>
      </c>
      <c r="E39" s="74" t="str">
        <f>"Terampil dalam KD "&amp;'IKD1'!E17</f>
        <v xml:space="preserve">Terampil dalam KD </v>
      </c>
      <c r="F39" s="74" t="str">
        <f>"Cukup terampil dalam KD "&amp;'IKD1'!E17</f>
        <v xml:space="preserve">Cukup terampil dalam KD </v>
      </c>
      <c r="G39" s="77" t="str">
        <f>"Perlu ditingkatkan KD "&amp;'IKD1'!E17</f>
        <v xml:space="preserve">Perlu ditingkatkan KD </v>
      </c>
    </row>
    <row r="40" spans="2:7" ht="61.5" customHeight="1">
      <c r="B40" s="68">
        <v>11</v>
      </c>
      <c r="C40" s="68" t="str">
        <f>_MP11</f>
        <v xml:space="preserve">Bahasa Inggris </v>
      </c>
      <c r="D40" s="73" t="str">
        <f>"Sangat terampil dalam KD "&amp;'IKD1'!E18</f>
        <v xml:space="preserve">Sangat terampil dalam KD </v>
      </c>
      <c r="E40" s="74" t="str">
        <f>"Terampil dalam KD "&amp;'IKD1'!E18</f>
        <v xml:space="preserve">Terampil dalam KD </v>
      </c>
      <c r="F40" s="74" t="str">
        <f>"Cukup terampil dalam KD "&amp;'IKD1'!E18</f>
        <v xml:space="preserve">Cukup terampil dalam KD </v>
      </c>
      <c r="G40" s="77" t="str">
        <f>"Perlu ditingkatkan KD "&amp;'IKD1'!E18</f>
        <v xml:space="preserve">Perlu ditingkatkan KD </v>
      </c>
    </row>
    <row r="41" spans="2:7" ht="61.5" customHeight="1">
      <c r="B41" s="68">
        <v>12</v>
      </c>
      <c r="C41" s="68" t="str">
        <f>_MP12</f>
        <v>Seni Budaya</v>
      </c>
      <c r="D41" s="73" t="str">
        <f>"Sangat terampil dalam KD "&amp;'IKD1'!E19</f>
        <v xml:space="preserve">Sangat terampil dalam KD </v>
      </c>
      <c r="E41" s="74" t="str">
        <f>"Terampil dalam KD "&amp;'IKD1'!E19</f>
        <v xml:space="preserve">Terampil dalam KD </v>
      </c>
      <c r="F41" s="74" t="str">
        <f>"Cukup terampil dalam KD "&amp;'IKD1'!E19</f>
        <v xml:space="preserve">Cukup terampil dalam KD </v>
      </c>
      <c r="G41" s="77" t="str">
        <f>"Perlu ditingkatkan KD "&amp;'IKD1'!E19</f>
        <v xml:space="preserve">Perlu ditingkatkan KD </v>
      </c>
    </row>
    <row r="42" spans="2:7" ht="61.5" customHeight="1">
      <c r="B42" s="68">
        <v>13</v>
      </c>
      <c r="C42" s="68" t="str">
        <f>_MP13</f>
        <v>Penjaskes</v>
      </c>
      <c r="D42" s="73" t="str">
        <f>"Sangat terampil dalam KD "&amp;'IKD1'!E20</f>
        <v xml:space="preserve">Sangat terampil dalam KD </v>
      </c>
      <c r="E42" s="74" t="str">
        <f>"Terampil dalam KD "&amp;'IKD1'!E20</f>
        <v xml:space="preserve">Terampil dalam KD </v>
      </c>
      <c r="F42" s="74" t="str">
        <f>"Cukup terampil dalam KD "&amp;'IKD1'!E20</f>
        <v xml:space="preserve">Cukup terampil dalam KD </v>
      </c>
      <c r="G42" s="77" t="str">
        <f>"Perlu ditingkatkan KD "&amp;'IKD1'!E20</f>
        <v xml:space="preserve">Perlu ditingkatkan KD </v>
      </c>
    </row>
    <row r="43" spans="2:7" ht="61.5" customHeight="1">
      <c r="B43" s="68">
        <v>14</v>
      </c>
      <c r="C43" s="68" t="str">
        <f>_MP14</f>
        <v>Prakarya</v>
      </c>
      <c r="D43" s="73" t="str">
        <f>"Sangat terampil dalam KD "&amp;'IKD1'!E21</f>
        <v xml:space="preserve">Sangat terampil dalam KD </v>
      </c>
      <c r="E43" s="74" t="str">
        <f>"Terampil dalam KD "&amp;'IKD1'!E21</f>
        <v xml:space="preserve">Terampil dalam KD </v>
      </c>
      <c r="F43" s="74" t="str">
        <f>"Cukup terampil dalam KD "&amp;'IKD1'!E21</f>
        <v xml:space="preserve">Cukup terampil dalam KD </v>
      </c>
      <c r="G43" s="77" t="str">
        <f>"Perlu ditingkatkan KD "&amp;'IKD1'!E21</f>
        <v xml:space="preserve">Perlu ditingkatkan KD </v>
      </c>
    </row>
    <row r="44" spans="2:7" ht="61.5" customHeight="1">
      <c r="B44" s="68">
        <v>15</v>
      </c>
      <c r="C44" s="68" t="str">
        <f>_MP15</f>
        <v>Bahasa dan Aksara Lampung</v>
      </c>
      <c r="D44" s="73" t="str">
        <f>"Sangat terampil dalam KD "&amp;'IKD1'!E22</f>
        <v xml:space="preserve">Sangat terampil dalam KD </v>
      </c>
      <c r="E44" s="74" t="str">
        <f>"Terampil dalam KD "&amp;'IKD1'!E22</f>
        <v xml:space="preserve">Terampil dalam KD </v>
      </c>
      <c r="F44" s="74" t="str">
        <f>"Cukup terampil dalam KD "&amp;'IKD1'!E22</f>
        <v xml:space="preserve">Cukup terampil dalam KD </v>
      </c>
      <c r="G44" s="77" t="str">
        <f>"Perlu ditingkatkan KD "&amp;'IKD1'!E22</f>
        <v xml:space="preserve">Perlu ditingkatkan KD </v>
      </c>
    </row>
    <row r="45" spans="2:7"/>
    <row r="46" spans="2:7" ht="35.25" customHeight="1"/>
  </sheetData>
  <sheetProtection password="CE75" sheet="1" objects="1" scenarios="1" selectLockedCells="1"/>
  <mergeCells count="6">
    <mergeCell ref="D7:G7"/>
    <mergeCell ref="C7:C8"/>
    <mergeCell ref="B7:B8"/>
    <mergeCell ref="B28:B29"/>
    <mergeCell ref="C28:C29"/>
    <mergeCell ref="D28:G28"/>
  </mergeCell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31"/>
  <dimension ref="A1:BC197"/>
  <sheetViews>
    <sheetView showRowColHeaders="0" zoomScale="115" zoomScaleNormal="115" workbookViewId="0">
      <selection activeCell="E118" sqref="E118:F121"/>
    </sheetView>
  </sheetViews>
  <sheetFormatPr defaultColWidth="0" defaultRowHeight="15" zeroHeight="1"/>
  <cols>
    <col min="1" max="1" width="14.7109375" style="16" customWidth="1"/>
    <col min="2" max="2" width="6.42578125" style="16" customWidth="1"/>
    <col min="3" max="3" width="2.7109375" style="16" customWidth="1"/>
    <col min="4" max="4" width="2.7109375" style="429" customWidth="1"/>
    <col min="5" max="5" width="4.28515625" style="429" customWidth="1"/>
    <col min="6" max="6" width="2.85546875" style="16" customWidth="1"/>
    <col min="7" max="7" width="1" style="16" customWidth="1"/>
    <col min="8" max="8" width="5.7109375" style="16" customWidth="1"/>
    <col min="9" max="9" width="3" style="16" customWidth="1"/>
    <col min="10" max="10" width="1.28515625" style="16" customWidth="1"/>
    <col min="11" max="11" width="5.7109375" style="16" customWidth="1"/>
    <col min="12" max="12" width="17.5703125" style="16" customWidth="1"/>
    <col min="13" max="13" width="7.28515625" style="16" customWidth="1"/>
    <col min="14" max="15" width="0.7109375" style="16" customWidth="1"/>
    <col min="16" max="16" width="4.140625" style="16" customWidth="1"/>
    <col min="17" max="19" width="5.140625" style="16" customWidth="1"/>
    <col min="20" max="20" width="6.28515625" style="16" customWidth="1"/>
    <col min="21" max="37" width="0.28515625" style="16" customWidth="1"/>
    <col min="38" max="38" width="12.28515625" style="16" customWidth="1"/>
    <col min="39" max="39" width="7.28515625" style="16" customWidth="1"/>
    <col min="40" max="40" width="1.28515625" style="16" customWidth="1"/>
    <col min="41" max="41" width="1.85546875" style="16" customWidth="1"/>
    <col min="42" max="42" width="7.5703125" style="16" customWidth="1"/>
    <col min="43" max="43" width="2.28515625" style="16" customWidth="1"/>
    <col min="44" max="44" width="6.28515625" style="16" customWidth="1"/>
    <col min="45" max="46" width="9.140625" style="16" customWidth="1"/>
    <col min="47" max="47" width="6.7109375" style="16" customWidth="1"/>
    <col min="48" max="48" width="9" style="16" hidden="1" customWidth="1"/>
    <col min="49" max="16384" width="9.140625" style="16" hidden="1"/>
  </cols>
  <sheetData>
    <row r="1" spans="1:55" ht="15.75" thickBot="1">
      <c r="A1" s="467"/>
      <c r="B1" s="440"/>
      <c r="C1" s="440"/>
      <c r="D1" s="441"/>
      <c r="E1" s="441"/>
      <c r="F1" s="440"/>
      <c r="G1" s="440"/>
      <c r="H1" s="440"/>
      <c r="I1" s="440"/>
      <c r="J1" s="440"/>
      <c r="K1" s="440"/>
      <c r="L1" s="1097"/>
      <c r="M1" s="440"/>
      <c r="N1" s="440"/>
      <c r="O1" s="440"/>
      <c r="P1" s="440"/>
      <c r="Q1" s="440"/>
      <c r="R1" s="440"/>
      <c r="S1" s="440"/>
      <c r="T1" s="440"/>
      <c r="U1" s="440"/>
      <c r="V1" s="440"/>
      <c r="W1" s="440"/>
      <c r="X1" s="440"/>
      <c r="Y1" s="440"/>
      <c r="Z1" s="440"/>
      <c r="AA1" s="440"/>
      <c r="AB1" s="440"/>
      <c r="AC1" s="440"/>
      <c r="AD1" s="440"/>
      <c r="AE1" s="440"/>
      <c r="AF1" s="440"/>
      <c r="AG1" s="440"/>
      <c r="AH1" s="440"/>
      <c r="AI1" s="440"/>
      <c r="AJ1" s="440"/>
      <c r="AK1" s="440"/>
      <c r="AL1" s="440"/>
      <c r="AM1" s="440"/>
      <c r="AN1" s="440"/>
      <c r="AO1" s="440"/>
      <c r="AP1" s="440"/>
      <c r="AQ1" s="440"/>
      <c r="AR1" s="440"/>
      <c r="AS1" s="440"/>
      <c r="AT1" s="440"/>
      <c r="AU1" s="442"/>
    </row>
    <row r="2" spans="1:55" ht="24" thickBot="1">
      <c r="A2" s="443"/>
      <c r="B2" s="444"/>
      <c r="C2" s="444"/>
      <c r="D2" s="445" t="s">
        <v>403</v>
      </c>
      <c r="E2" s="439"/>
      <c r="F2" s="444"/>
      <c r="G2" s="444"/>
      <c r="H2" s="444"/>
      <c r="I2" s="444"/>
      <c r="J2" s="444"/>
      <c r="K2" s="444"/>
      <c r="L2" s="1098"/>
      <c r="M2" s="444"/>
      <c r="N2" s="444"/>
      <c r="O2" s="444"/>
      <c r="P2" s="444"/>
      <c r="Q2" s="444"/>
      <c r="R2" s="444"/>
      <c r="S2" s="444"/>
      <c r="T2" s="444"/>
      <c r="U2" s="444"/>
      <c r="V2" s="444"/>
      <c r="W2" s="444"/>
      <c r="X2" s="444"/>
      <c r="Y2" s="444"/>
      <c r="Z2" s="444"/>
      <c r="AA2" s="444"/>
      <c r="AB2" s="444"/>
      <c r="AC2" s="444"/>
      <c r="AD2" s="444"/>
      <c r="AE2" s="444"/>
      <c r="AF2" s="444"/>
      <c r="AG2" s="444"/>
      <c r="AH2" s="444"/>
      <c r="AI2" s="444"/>
      <c r="AJ2" s="444"/>
      <c r="AK2" s="444"/>
      <c r="AL2" s="444"/>
      <c r="AM2" s="444"/>
      <c r="AN2" s="444"/>
      <c r="AO2" s="444"/>
      <c r="AP2" s="426" t="s">
        <v>419</v>
      </c>
      <c r="AQ2" s="1099" t="str">
        <f>VLOOKUP(AP4,_kartu_pelajar,2,FALSE)</f>
        <v>1 s.d. 4</v>
      </c>
      <c r="AR2" s="1100"/>
      <c r="AS2" s="444"/>
      <c r="AT2" s="444"/>
      <c r="AU2" s="446"/>
    </row>
    <row r="3" spans="1:55" ht="23.25" thickBot="1">
      <c r="A3" s="443"/>
      <c r="B3" s="444"/>
      <c r="C3" s="444"/>
      <c r="D3" s="447" t="str">
        <f>"Kelas "&amp;_kelas</f>
        <v>Kelas VIII A</v>
      </c>
      <c r="E3" s="439"/>
      <c r="F3" s="444"/>
      <c r="G3" s="444"/>
      <c r="H3" s="444"/>
      <c r="I3" s="444"/>
      <c r="J3" s="444"/>
      <c r="K3" s="444"/>
      <c r="L3" s="444"/>
      <c r="M3" s="444"/>
      <c r="N3" s="444"/>
      <c r="O3" s="444"/>
      <c r="P3" s="444"/>
      <c r="Q3" s="444"/>
      <c r="R3" s="444"/>
      <c r="S3" s="444"/>
      <c r="T3" s="444"/>
      <c r="U3" s="444"/>
      <c r="V3" s="444"/>
      <c r="W3" s="444"/>
      <c r="X3" s="444"/>
      <c r="Y3" s="444"/>
      <c r="Z3" s="444"/>
      <c r="AA3" s="444"/>
      <c r="AB3" s="444"/>
      <c r="AC3" s="444"/>
      <c r="AD3" s="444"/>
      <c r="AE3" s="444"/>
      <c r="AF3" s="444"/>
      <c r="AG3" s="444"/>
      <c r="AH3" s="444"/>
      <c r="AI3" s="444"/>
      <c r="AJ3" s="444"/>
      <c r="AK3" s="444"/>
      <c r="AL3" s="444"/>
      <c r="AM3" s="444"/>
      <c r="AN3" s="444"/>
      <c r="AO3" s="444"/>
      <c r="AP3" s="1101" t="s">
        <v>416</v>
      </c>
      <c r="AQ3" s="1101"/>
      <c r="AR3" s="1101"/>
      <c r="AS3" s="444"/>
      <c r="AT3" s="444"/>
      <c r="AU3" s="446"/>
    </row>
    <row r="4" spans="1:55">
      <c r="A4" s="443"/>
      <c r="B4" s="1102">
        <f>VLOOKUP($AP$4,_kartu_pelajar,3,FALSE)</f>
        <v>1</v>
      </c>
      <c r="C4" s="444"/>
      <c r="D4" s="1104" t="s">
        <v>404</v>
      </c>
      <c r="E4" s="1105"/>
      <c r="F4" s="1105"/>
      <c r="G4" s="1105"/>
      <c r="H4" s="1105"/>
      <c r="I4" s="1105"/>
      <c r="J4" s="1105"/>
      <c r="K4" s="1105"/>
      <c r="L4" s="1105"/>
      <c r="M4" s="1106"/>
      <c r="N4" s="1107"/>
      <c r="O4" s="401"/>
      <c r="P4" s="1108" t="s">
        <v>409</v>
      </c>
      <c r="Q4" s="1109"/>
      <c r="R4" s="1109"/>
      <c r="S4" s="1109"/>
      <c r="T4" s="1109"/>
      <c r="U4" s="1109"/>
      <c r="V4" s="1109"/>
      <c r="W4" s="1109"/>
      <c r="X4" s="1109"/>
      <c r="Y4" s="1109"/>
      <c r="Z4" s="1109"/>
      <c r="AA4" s="1109"/>
      <c r="AB4" s="1109"/>
      <c r="AC4" s="1109"/>
      <c r="AD4" s="1109"/>
      <c r="AE4" s="1109">
        <v>1</v>
      </c>
      <c r="AF4" s="1109"/>
      <c r="AG4" s="1109"/>
      <c r="AH4" s="1109"/>
      <c r="AI4" s="1109"/>
      <c r="AJ4" s="1109"/>
      <c r="AK4" s="1109"/>
      <c r="AL4" s="1109"/>
      <c r="AM4" s="1109"/>
      <c r="AN4" s="1110"/>
      <c r="AO4" s="444"/>
      <c r="AP4" s="1117">
        <v>1</v>
      </c>
      <c r="AQ4" s="1118"/>
      <c r="AR4" s="1119"/>
      <c r="AS4" s="444"/>
      <c r="AT4" s="444"/>
      <c r="AU4" s="446"/>
    </row>
    <row r="5" spans="1:55" ht="10.5" customHeight="1" thickBot="1">
      <c r="A5" s="443"/>
      <c r="B5" s="1103"/>
      <c r="C5" s="444"/>
      <c r="D5" s="1126" t="s">
        <v>405</v>
      </c>
      <c r="E5" s="1127"/>
      <c r="F5" s="1127"/>
      <c r="G5" s="1127"/>
      <c r="H5" s="1127"/>
      <c r="I5" s="1127"/>
      <c r="J5" s="1127"/>
      <c r="K5" s="1127"/>
      <c r="L5" s="1127"/>
      <c r="M5" s="1128"/>
      <c r="N5" s="1107"/>
      <c r="O5" s="401"/>
      <c r="P5" s="1111"/>
      <c r="Q5" s="1112"/>
      <c r="R5" s="1112"/>
      <c r="S5" s="1112"/>
      <c r="T5" s="1112"/>
      <c r="U5" s="1112"/>
      <c r="V5" s="1112"/>
      <c r="W5" s="1112"/>
      <c r="X5" s="1112"/>
      <c r="Y5" s="1112"/>
      <c r="Z5" s="1112"/>
      <c r="AA5" s="1112"/>
      <c r="AB5" s="1112"/>
      <c r="AC5" s="1112"/>
      <c r="AD5" s="1112"/>
      <c r="AE5" s="1112"/>
      <c r="AF5" s="1112"/>
      <c r="AG5" s="1112"/>
      <c r="AH5" s="1112"/>
      <c r="AI5" s="1112"/>
      <c r="AJ5" s="1112"/>
      <c r="AK5" s="1112"/>
      <c r="AL5" s="1112"/>
      <c r="AM5" s="1112"/>
      <c r="AN5" s="1113"/>
      <c r="AO5" s="444"/>
      <c r="AP5" s="1120"/>
      <c r="AQ5" s="1121"/>
      <c r="AR5" s="1122"/>
      <c r="AS5" s="444"/>
      <c r="AT5" s="444"/>
      <c r="AU5" s="446"/>
      <c r="BC5" s="1182"/>
    </row>
    <row r="6" spans="1:55" ht="11.25" customHeight="1">
      <c r="A6" s="443"/>
      <c r="B6" s="444"/>
      <c r="C6" s="444"/>
      <c r="D6" s="1129" t="str">
        <f>_nama_sekolah</f>
        <v>SMP NEGERI 1 ABUNG SURAKARTA</v>
      </c>
      <c r="E6" s="1130"/>
      <c r="F6" s="1130"/>
      <c r="G6" s="1130"/>
      <c r="H6" s="1130"/>
      <c r="I6" s="1130"/>
      <c r="J6" s="1130"/>
      <c r="K6" s="1130"/>
      <c r="L6" s="1130"/>
      <c r="M6" s="1131"/>
      <c r="N6" s="1107"/>
      <c r="O6" s="401"/>
      <c r="P6" s="1111"/>
      <c r="Q6" s="1112"/>
      <c r="R6" s="1112"/>
      <c r="S6" s="1112"/>
      <c r="T6" s="1112"/>
      <c r="U6" s="1112"/>
      <c r="V6" s="1112"/>
      <c r="W6" s="1112"/>
      <c r="X6" s="1112"/>
      <c r="Y6" s="1112"/>
      <c r="Z6" s="1112"/>
      <c r="AA6" s="1112"/>
      <c r="AB6" s="1112"/>
      <c r="AC6" s="1112"/>
      <c r="AD6" s="1112"/>
      <c r="AE6" s="1112"/>
      <c r="AF6" s="1112"/>
      <c r="AG6" s="1112"/>
      <c r="AH6" s="1112"/>
      <c r="AI6" s="1112"/>
      <c r="AJ6" s="1112"/>
      <c r="AK6" s="1112"/>
      <c r="AL6" s="1112"/>
      <c r="AM6" s="1112"/>
      <c r="AN6" s="1113"/>
      <c r="AO6" s="444"/>
      <c r="AP6" s="1120"/>
      <c r="AQ6" s="1121"/>
      <c r="AR6" s="1122"/>
      <c r="AS6" s="444"/>
      <c r="AT6" s="444"/>
      <c r="AU6" s="446"/>
      <c r="BC6" s="1182"/>
    </row>
    <row r="7" spans="1:55" ht="3.75" customHeight="1" thickBot="1">
      <c r="A7" s="443"/>
      <c r="B7" s="444"/>
      <c r="C7" s="444"/>
      <c r="D7" s="1148"/>
      <c r="E7" s="1149"/>
      <c r="F7" s="1149"/>
      <c r="G7" s="1149"/>
      <c r="H7" s="1149"/>
      <c r="I7" s="1149"/>
      <c r="J7" s="1149"/>
      <c r="K7" s="1149"/>
      <c r="L7" s="1149"/>
      <c r="M7" s="1150"/>
      <c r="N7" s="1107"/>
      <c r="O7" s="401"/>
      <c r="P7" s="1114"/>
      <c r="Q7" s="1115"/>
      <c r="R7" s="1115"/>
      <c r="S7" s="1115"/>
      <c r="T7" s="1115"/>
      <c r="U7" s="1115"/>
      <c r="V7" s="1115"/>
      <c r="W7" s="1115"/>
      <c r="X7" s="1115"/>
      <c r="Y7" s="1115"/>
      <c r="Z7" s="1115"/>
      <c r="AA7" s="1115"/>
      <c r="AB7" s="1115"/>
      <c r="AC7" s="1115"/>
      <c r="AD7" s="1115"/>
      <c r="AE7" s="1115"/>
      <c r="AF7" s="1115"/>
      <c r="AG7" s="1115"/>
      <c r="AH7" s="1115"/>
      <c r="AI7" s="1115"/>
      <c r="AJ7" s="1115"/>
      <c r="AK7" s="1115"/>
      <c r="AL7" s="1115"/>
      <c r="AM7" s="1115"/>
      <c r="AN7" s="1116"/>
      <c r="AO7" s="444"/>
      <c r="AP7" s="1120"/>
      <c r="AQ7" s="1121"/>
      <c r="AR7" s="1122"/>
      <c r="AS7" s="444"/>
      <c r="AT7" s="444"/>
      <c r="AU7" s="446"/>
      <c r="BC7" s="1182"/>
    </row>
    <row r="8" spans="1:55" ht="16.5" customHeight="1" thickBot="1">
      <c r="A8" s="443"/>
      <c r="B8" s="444"/>
      <c r="C8" s="444"/>
      <c r="D8" s="1151" t="s">
        <v>403</v>
      </c>
      <c r="E8" s="1152"/>
      <c r="F8" s="1152"/>
      <c r="G8" s="1152"/>
      <c r="H8" s="1152"/>
      <c r="I8" s="1152"/>
      <c r="J8" s="1152"/>
      <c r="K8" s="1152"/>
      <c r="L8" s="1152"/>
      <c r="M8" s="1153"/>
      <c r="N8" s="1107"/>
      <c r="O8" s="401"/>
      <c r="P8" s="413" t="s">
        <v>303</v>
      </c>
      <c r="Q8" s="1154" t="s">
        <v>412</v>
      </c>
      <c r="R8" s="1154"/>
      <c r="S8" s="1154"/>
      <c r="T8" s="1154"/>
      <c r="U8" s="1154"/>
      <c r="V8" s="1154"/>
      <c r="W8" s="1154"/>
      <c r="X8" s="1154"/>
      <c r="Y8" s="1154"/>
      <c r="Z8" s="1154"/>
      <c r="AA8" s="1154"/>
      <c r="AB8" s="1154"/>
      <c r="AC8" s="1154"/>
      <c r="AD8" s="1154"/>
      <c r="AE8" s="1154"/>
      <c r="AF8" s="1154"/>
      <c r="AG8" s="1154"/>
      <c r="AH8" s="1154"/>
      <c r="AI8" s="1154"/>
      <c r="AJ8" s="1154"/>
      <c r="AK8" s="1154"/>
      <c r="AL8" s="1154"/>
      <c r="AM8" s="1154"/>
      <c r="AN8" s="1155"/>
      <c r="AO8" s="444"/>
      <c r="AP8" s="1120"/>
      <c r="AQ8" s="1121"/>
      <c r="AR8" s="1122"/>
      <c r="AS8" s="444"/>
      <c r="AT8" s="444"/>
      <c r="AU8" s="446"/>
    </row>
    <row r="9" spans="1:55" ht="3.75" customHeight="1">
      <c r="A9" s="443"/>
      <c r="B9" s="444"/>
      <c r="C9" s="444"/>
      <c r="D9" s="400"/>
      <c r="E9" s="401"/>
      <c r="F9" s="401"/>
      <c r="G9" s="401"/>
      <c r="H9" s="401"/>
      <c r="I9" s="401"/>
      <c r="J9" s="401"/>
      <c r="K9" s="401"/>
      <c r="L9" s="401"/>
      <c r="M9" s="402"/>
      <c r="N9" s="1107"/>
      <c r="O9" s="401"/>
      <c r="P9" s="1156" t="s">
        <v>316</v>
      </c>
      <c r="Q9" s="1158" t="s">
        <v>413</v>
      </c>
      <c r="R9" s="1158"/>
      <c r="S9" s="1158"/>
      <c r="T9" s="1158"/>
      <c r="U9" s="1158"/>
      <c r="V9" s="1158"/>
      <c r="W9" s="1158"/>
      <c r="X9" s="1158"/>
      <c r="Y9" s="1158"/>
      <c r="Z9" s="1158"/>
      <c r="AA9" s="1158"/>
      <c r="AB9" s="1158"/>
      <c r="AC9" s="1158"/>
      <c r="AD9" s="1158"/>
      <c r="AE9" s="1158"/>
      <c r="AF9" s="1158"/>
      <c r="AG9" s="1158"/>
      <c r="AH9" s="1158"/>
      <c r="AI9" s="1158"/>
      <c r="AJ9" s="1158"/>
      <c r="AK9" s="1158"/>
      <c r="AL9" s="1158"/>
      <c r="AM9" s="1158"/>
      <c r="AN9" s="1159"/>
      <c r="AO9" s="444"/>
      <c r="AP9" s="1120"/>
      <c r="AQ9" s="1121"/>
      <c r="AR9" s="1122"/>
      <c r="AS9" s="444"/>
      <c r="AT9" s="444"/>
      <c r="AU9" s="446"/>
    </row>
    <row r="10" spans="1:55" ht="9.75" customHeight="1" thickBot="1">
      <c r="A10" s="443"/>
      <c r="B10" s="444"/>
      <c r="C10" s="444"/>
      <c r="D10" s="403"/>
      <c r="E10" s="1160"/>
      <c r="F10" s="1161"/>
      <c r="G10" s="401"/>
      <c r="H10" s="406" t="s">
        <v>166</v>
      </c>
      <c r="I10" s="404"/>
      <c r="J10" s="404" t="s">
        <v>2</v>
      </c>
      <c r="K10" s="1132" t="str">
        <f>IFERROR(VLOOKUP(B4,_Biodata_Lengkap,2,FALSE),"-")&amp;" / "&amp;IFERROR(VLOOKUP(B4,_Biodata_Lengkap,3,FALSE),"-")</f>
        <v>7057 / 0061139155</v>
      </c>
      <c r="L10" s="1132"/>
      <c r="M10" s="1133"/>
      <c r="N10" s="1107"/>
      <c r="O10" s="401"/>
      <c r="P10" s="1157"/>
      <c r="Q10" s="1158"/>
      <c r="R10" s="1158"/>
      <c r="S10" s="1158"/>
      <c r="T10" s="1158"/>
      <c r="U10" s="1158"/>
      <c r="V10" s="1158"/>
      <c r="W10" s="1158"/>
      <c r="X10" s="1158"/>
      <c r="Y10" s="1158"/>
      <c r="Z10" s="1158"/>
      <c r="AA10" s="1158"/>
      <c r="AB10" s="1158"/>
      <c r="AC10" s="1158"/>
      <c r="AD10" s="1158"/>
      <c r="AE10" s="1158"/>
      <c r="AF10" s="1158"/>
      <c r="AG10" s="1158"/>
      <c r="AH10" s="1158"/>
      <c r="AI10" s="1158"/>
      <c r="AJ10" s="1158"/>
      <c r="AK10" s="1158"/>
      <c r="AL10" s="1158"/>
      <c r="AM10" s="1158"/>
      <c r="AN10" s="1159"/>
      <c r="AO10" s="444"/>
      <c r="AP10" s="1123"/>
      <c r="AQ10" s="1124"/>
      <c r="AR10" s="1125"/>
      <c r="AS10" s="444"/>
      <c r="AT10" s="444"/>
      <c r="AU10" s="446"/>
    </row>
    <row r="11" spans="1:55" ht="12" customHeight="1">
      <c r="A11" s="443"/>
      <c r="B11" s="444"/>
      <c r="C11" s="444"/>
      <c r="D11" s="403"/>
      <c r="E11" s="1162"/>
      <c r="F11" s="1163"/>
      <c r="G11" s="401"/>
      <c r="H11" s="406" t="s">
        <v>406</v>
      </c>
      <c r="I11" s="406"/>
      <c r="J11" s="406" t="s">
        <v>2</v>
      </c>
      <c r="K11" s="1132" t="str">
        <f>IFERROR(VLOOKUP(B4,_Biodata_Lengkap,5,FALSE),"-")&amp;", "&amp;IFERROR(VLOOKUP(B4,_Biodata_Lengkap,6,FALSE),"-")</f>
        <v>SURAKARTA, 26/01/2006</v>
      </c>
      <c r="L11" s="1132"/>
      <c r="M11" s="1133"/>
      <c r="N11" s="1107"/>
      <c r="O11" s="401"/>
      <c r="P11" s="1166" t="s">
        <v>327</v>
      </c>
      <c r="Q11" s="1134" t="s">
        <v>420</v>
      </c>
      <c r="R11" s="1134"/>
      <c r="S11" s="1134"/>
      <c r="T11" s="1134"/>
      <c r="U11" s="1134"/>
      <c r="V11" s="1134"/>
      <c r="W11" s="1134"/>
      <c r="X11" s="1134"/>
      <c r="Y11" s="1134"/>
      <c r="Z11" s="1134"/>
      <c r="AA11" s="1134"/>
      <c r="AB11" s="1134"/>
      <c r="AC11" s="1134"/>
      <c r="AD11" s="1134"/>
      <c r="AE11" s="1134"/>
      <c r="AF11" s="1134"/>
      <c r="AG11" s="1134"/>
      <c r="AH11" s="1134"/>
      <c r="AI11" s="1134"/>
      <c r="AJ11" s="1134"/>
      <c r="AK11" s="1134"/>
      <c r="AL11" s="1134"/>
      <c r="AM11" s="432"/>
      <c r="AN11" s="434"/>
      <c r="AO11" s="444"/>
      <c r="AP11" s="444"/>
      <c r="AQ11" s="444"/>
      <c r="AR11" s="444"/>
      <c r="AS11" s="444"/>
      <c r="AT11" s="444"/>
      <c r="AU11" s="446"/>
    </row>
    <row r="12" spans="1:55" ht="13.5" customHeight="1">
      <c r="A12" s="443"/>
      <c r="B12" s="444"/>
      <c r="C12" s="444"/>
      <c r="D12" s="403"/>
      <c r="E12" s="1162"/>
      <c r="F12" s="1163"/>
      <c r="G12" s="401"/>
      <c r="H12" s="406" t="s">
        <v>407</v>
      </c>
      <c r="I12" s="407"/>
      <c r="J12" s="407" t="s">
        <v>2</v>
      </c>
      <c r="K12" s="1132" t="str">
        <f>IFERROR(IF(VLOOKUP(B4,_Biodata_Lengkap,7,FALSE)=0,"-",(VLOOKUP(B4,_Biodata_Lengkap,7,FALSE))),"-")</f>
        <v>Laki-Laki</v>
      </c>
      <c r="L12" s="1132"/>
      <c r="M12" s="1133"/>
      <c r="N12" s="1107"/>
      <c r="O12" s="401"/>
      <c r="P12" s="1167"/>
      <c r="Q12" s="1134" t="s">
        <v>421</v>
      </c>
      <c r="R12" s="1134"/>
      <c r="S12" s="1134"/>
      <c r="T12" s="1134"/>
      <c r="U12" s="1134"/>
      <c r="V12" s="1134"/>
      <c r="W12" s="1134"/>
      <c r="X12" s="1134"/>
      <c r="Y12" s="1134"/>
      <c r="Z12" s="1134"/>
      <c r="AA12" s="1134"/>
      <c r="AB12" s="1134"/>
      <c r="AC12" s="1134"/>
      <c r="AD12" s="1134"/>
      <c r="AE12" s="1134"/>
      <c r="AF12" s="1134"/>
      <c r="AG12" s="1134"/>
      <c r="AH12" s="1134"/>
      <c r="AI12" s="1134"/>
      <c r="AJ12" s="1134"/>
      <c r="AK12" s="1134"/>
      <c r="AL12" s="1134"/>
      <c r="AM12" s="432"/>
      <c r="AN12" s="434"/>
      <c r="AO12" s="444"/>
      <c r="AP12" s="444"/>
      <c r="AQ12" s="444"/>
      <c r="AR12" s="444"/>
      <c r="AS12" s="444"/>
      <c r="AT12" s="444"/>
      <c r="AU12" s="446"/>
    </row>
    <row r="13" spans="1:55" ht="12.75" customHeight="1">
      <c r="A13" s="443"/>
      <c r="B13" s="444"/>
      <c r="C13" s="444"/>
      <c r="D13" s="403"/>
      <c r="E13" s="1164"/>
      <c r="F13" s="1165"/>
      <c r="G13" s="401"/>
      <c r="H13" s="406" t="s">
        <v>143</v>
      </c>
      <c r="I13" s="404"/>
      <c r="J13" s="404" t="s">
        <v>2</v>
      </c>
      <c r="K13" s="1132" t="str">
        <f>IFERROR(IF(VLOOKUP(B4,_Biodata_Lengkap,11,FALSE)=0,"-",(VLOOKUP(B4,_Biodata_Lengkap,11,FALSE))),"-")</f>
        <v>SURAKARTA</v>
      </c>
      <c r="L13" s="1132"/>
      <c r="M13" s="1133"/>
      <c r="N13" s="1107"/>
      <c r="O13" s="401"/>
      <c r="P13" s="430" t="s">
        <v>410</v>
      </c>
      <c r="Q13" s="1134" t="s">
        <v>414</v>
      </c>
      <c r="R13" s="1134"/>
      <c r="S13" s="1134"/>
      <c r="T13" s="1134"/>
      <c r="U13" s="1134"/>
      <c r="V13" s="1134"/>
      <c r="W13" s="1134"/>
      <c r="X13" s="1134"/>
      <c r="Y13" s="1134"/>
      <c r="Z13" s="1134"/>
      <c r="AA13" s="1134"/>
      <c r="AB13" s="1134"/>
      <c r="AC13" s="1134"/>
      <c r="AD13" s="1134"/>
      <c r="AE13" s="1134"/>
      <c r="AF13" s="1134"/>
      <c r="AG13" s="1134"/>
      <c r="AH13" s="1134"/>
      <c r="AI13" s="1134"/>
      <c r="AJ13" s="1134"/>
      <c r="AK13" s="1134"/>
      <c r="AL13" s="1134"/>
      <c r="AM13" s="1134"/>
      <c r="AN13" s="1135"/>
      <c r="AO13" s="444"/>
      <c r="AP13" s="444"/>
      <c r="AQ13" s="444"/>
      <c r="AR13" s="444"/>
      <c r="AS13" s="444"/>
      <c r="AT13" s="444"/>
      <c r="AU13" s="446"/>
    </row>
    <row r="14" spans="1:55" ht="3.75" customHeight="1">
      <c r="A14" s="443"/>
      <c r="B14" s="444"/>
      <c r="C14" s="444"/>
      <c r="D14" s="403"/>
      <c r="E14" s="428"/>
      <c r="F14" s="401"/>
      <c r="G14" s="401"/>
      <c r="H14" s="404"/>
      <c r="I14" s="404"/>
      <c r="J14" s="404"/>
      <c r="K14" s="404"/>
      <c r="L14" s="404"/>
      <c r="M14" s="405"/>
      <c r="N14" s="1107"/>
      <c r="O14" s="401"/>
      <c r="P14" s="1136" t="s">
        <v>411</v>
      </c>
      <c r="Q14" s="1134" t="s">
        <v>415</v>
      </c>
      <c r="R14" s="1134"/>
      <c r="S14" s="1134"/>
      <c r="T14" s="1134"/>
      <c r="U14" s="411"/>
      <c r="V14" s="411"/>
      <c r="W14" s="411"/>
      <c r="X14" s="411"/>
      <c r="Y14" s="411"/>
      <c r="Z14" s="411"/>
      <c r="AA14" s="411"/>
      <c r="AB14" s="411"/>
      <c r="AC14" s="411"/>
      <c r="AD14" s="401"/>
      <c r="AE14" s="401"/>
      <c r="AF14" s="401"/>
      <c r="AG14" s="401"/>
      <c r="AH14" s="401"/>
      <c r="AI14" s="401"/>
      <c r="AJ14" s="401"/>
      <c r="AK14" s="401"/>
      <c r="AL14" s="401"/>
      <c r="AM14" s="401"/>
      <c r="AN14" s="402"/>
      <c r="AO14" s="444"/>
      <c r="AP14" s="444"/>
      <c r="AQ14" s="444"/>
      <c r="AR14" s="444"/>
      <c r="AS14" s="444"/>
      <c r="AT14" s="444"/>
      <c r="AU14" s="446"/>
    </row>
    <row r="15" spans="1:55" ht="9" customHeight="1" thickBot="1">
      <c r="A15" s="443"/>
      <c r="B15" s="444"/>
      <c r="C15" s="444"/>
      <c r="D15" s="1139" t="str">
        <f>IFERROR(VLOOKUP(B4,_Biodata_Lengkap,4,FALSE),"-")</f>
        <v>Ahmad Zaki Aufa</v>
      </c>
      <c r="E15" s="1140"/>
      <c r="F15" s="1140"/>
      <c r="G15" s="1140"/>
      <c r="H15" s="1140"/>
      <c r="I15" s="1140"/>
      <c r="J15" s="1140"/>
      <c r="K15" s="1140"/>
      <c r="L15" s="1140"/>
      <c r="M15" s="1141"/>
      <c r="N15" s="1107"/>
      <c r="O15" s="401"/>
      <c r="P15" s="1136"/>
      <c r="Q15" s="1134"/>
      <c r="R15" s="1134"/>
      <c r="S15" s="1134"/>
      <c r="T15" s="1134"/>
      <c r="U15" s="411"/>
      <c r="V15" s="411"/>
      <c r="W15" s="411"/>
      <c r="X15" s="411"/>
      <c r="Y15" s="411"/>
      <c r="Z15" s="411"/>
      <c r="AA15" s="411"/>
      <c r="AB15" s="411"/>
      <c r="AC15" s="411"/>
      <c r="AD15" s="411"/>
      <c r="AE15" s="411"/>
      <c r="AF15" s="411"/>
      <c r="AG15" s="411"/>
      <c r="AH15" s="411"/>
      <c r="AI15" s="411"/>
      <c r="AJ15" s="411"/>
      <c r="AK15" s="1145"/>
      <c r="AL15" s="1145"/>
      <c r="AM15" s="1145"/>
      <c r="AN15" s="1146"/>
      <c r="AO15" s="444"/>
      <c r="AP15" s="444"/>
      <c r="AQ15" s="444"/>
      <c r="AR15" s="444"/>
      <c r="AS15" s="444"/>
      <c r="AT15" s="444"/>
      <c r="AU15" s="446"/>
    </row>
    <row r="16" spans="1:55" ht="0.95" customHeight="1" thickTop="1" thickBot="1">
      <c r="A16" s="443"/>
      <c r="B16" s="444"/>
      <c r="C16" s="444"/>
      <c r="D16" s="1139"/>
      <c r="E16" s="1140"/>
      <c r="F16" s="1140"/>
      <c r="G16" s="1140"/>
      <c r="H16" s="1140"/>
      <c r="I16" s="1140"/>
      <c r="J16" s="1140"/>
      <c r="K16" s="1140"/>
      <c r="L16" s="1140"/>
      <c r="M16" s="1141"/>
      <c r="N16" s="1107"/>
      <c r="O16" s="401"/>
      <c r="P16" s="1136"/>
      <c r="Q16" s="1134"/>
      <c r="R16" s="1134"/>
      <c r="S16" s="1134"/>
      <c r="T16" s="1134"/>
      <c r="U16" s="411"/>
      <c r="V16" s="411"/>
      <c r="W16" s="411"/>
      <c r="X16" s="411"/>
      <c r="Y16" s="411"/>
      <c r="Z16" s="411"/>
      <c r="AA16" s="411"/>
      <c r="AB16" s="411"/>
      <c r="AC16" s="411"/>
      <c r="AD16" s="411"/>
      <c r="AE16" s="411"/>
      <c r="AF16" s="411"/>
      <c r="AG16" s="411"/>
      <c r="AH16" s="411"/>
      <c r="AI16" s="411"/>
      <c r="AJ16" s="412"/>
      <c r="AK16" s="409"/>
      <c r="AL16" s="409"/>
      <c r="AM16" s="409"/>
      <c r="AN16" s="410"/>
      <c r="AO16" s="444"/>
      <c r="AP16" s="444"/>
      <c r="AQ16" s="444"/>
      <c r="AR16" s="444"/>
      <c r="AS16" s="444"/>
      <c r="AT16" s="444"/>
      <c r="AU16" s="446"/>
    </row>
    <row r="17" spans="1:47" ht="0.95" customHeight="1" thickTop="1" thickBot="1">
      <c r="A17" s="443"/>
      <c r="B17" s="444"/>
      <c r="C17" s="444"/>
      <c r="D17" s="1139"/>
      <c r="E17" s="1140"/>
      <c r="F17" s="1140"/>
      <c r="G17" s="1140"/>
      <c r="H17" s="1140"/>
      <c r="I17" s="1140"/>
      <c r="J17" s="1140"/>
      <c r="K17" s="1140"/>
      <c r="L17" s="1140"/>
      <c r="M17" s="1141"/>
      <c r="N17" s="1107"/>
      <c r="O17" s="401"/>
      <c r="P17" s="1136"/>
      <c r="Q17" s="1134"/>
      <c r="R17" s="1134"/>
      <c r="S17" s="1134"/>
      <c r="T17" s="1134"/>
      <c r="U17" s="411"/>
      <c r="V17" s="411"/>
      <c r="W17" s="411"/>
      <c r="X17" s="411"/>
      <c r="Y17" s="411"/>
      <c r="Z17" s="411"/>
      <c r="AA17" s="411"/>
      <c r="AB17" s="411"/>
      <c r="AC17" s="411"/>
      <c r="AD17" s="411"/>
      <c r="AE17" s="411"/>
      <c r="AF17" s="411"/>
      <c r="AG17" s="411"/>
      <c r="AH17" s="411"/>
      <c r="AI17" s="412"/>
      <c r="AJ17" s="409"/>
      <c r="AK17" s="409"/>
      <c r="AL17" s="409"/>
      <c r="AM17" s="409"/>
      <c r="AN17" s="410"/>
      <c r="AO17" s="444"/>
      <c r="AP17" s="444"/>
      <c r="AQ17" s="444"/>
      <c r="AR17" s="444"/>
      <c r="AS17" s="444"/>
      <c r="AT17" s="444"/>
      <c r="AU17" s="446"/>
    </row>
    <row r="18" spans="1:47" ht="0.95" customHeight="1" thickTop="1" thickBot="1">
      <c r="A18" s="443"/>
      <c r="B18" s="444"/>
      <c r="C18" s="444"/>
      <c r="D18" s="1139"/>
      <c r="E18" s="1140"/>
      <c r="F18" s="1140"/>
      <c r="G18" s="1140"/>
      <c r="H18" s="1140"/>
      <c r="I18" s="1140"/>
      <c r="J18" s="1140"/>
      <c r="K18" s="1140"/>
      <c r="L18" s="1140"/>
      <c r="M18" s="1141"/>
      <c r="N18" s="1107"/>
      <c r="O18" s="401"/>
      <c r="P18" s="1136"/>
      <c r="Q18" s="1134"/>
      <c r="R18" s="1134"/>
      <c r="S18" s="1134"/>
      <c r="T18" s="1134"/>
      <c r="U18" s="411"/>
      <c r="V18" s="411"/>
      <c r="W18" s="411"/>
      <c r="X18" s="411"/>
      <c r="Y18" s="411"/>
      <c r="Z18" s="411"/>
      <c r="AA18" s="411"/>
      <c r="AB18" s="411"/>
      <c r="AC18" s="411"/>
      <c r="AD18" s="411"/>
      <c r="AE18" s="411"/>
      <c r="AF18" s="411"/>
      <c r="AG18" s="411"/>
      <c r="AH18" s="412"/>
      <c r="AI18" s="409"/>
      <c r="AJ18" s="409"/>
      <c r="AK18" s="409"/>
      <c r="AL18" s="409"/>
      <c r="AM18" s="409"/>
      <c r="AN18" s="410"/>
      <c r="AO18" s="444"/>
      <c r="AP18" s="444"/>
      <c r="AQ18" s="444"/>
      <c r="AR18" s="444"/>
      <c r="AS18" s="444"/>
      <c r="AT18" s="444"/>
      <c r="AU18" s="446"/>
    </row>
    <row r="19" spans="1:47" ht="0.95" customHeight="1" thickTop="1" thickBot="1">
      <c r="A19" s="443"/>
      <c r="B19" s="444"/>
      <c r="C19" s="444"/>
      <c r="D19" s="1139"/>
      <c r="E19" s="1140"/>
      <c r="F19" s="1140"/>
      <c r="G19" s="1140"/>
      <c r="H19" s="1140"/>
      <c r="I19" s="1140"/>
      <c r="J19" s="1140"/>
      <c r="K19" s="1140"/>
      <c r="L19" s="1140"/>
      <c r="M19" s="1141"/>
      <c r="N19" s="1107"/>
      <c r="O19" s="401"/>
      <c r="P19" s="1136"/>
      <c r="Q19" s="1134"/>
      <c r="R19" s="1134"/>
      <c r="S19" s="1134"/>
      <c r="T19" s="1134"/>
      <c r="U19" s="411"/>
      <c r="V19" s="411"/>
      <c r="W19" s="411"/>
      <c r="X19" s="411"/>
      <c r="Y19" s="411"/>
      <c r="Z19" s="411"/>
      <c r="AA19" s="411"/>
      <c r="AB19" s="411"/>
      <c r="AC19" s="411"/>
      <c r="AD19" s="411"/>
      <c r="AE19" s="411"/>
      <c r="AF19" s="411"/>
      <c r="AG19" s="412"/>
      <c r="AH19" s="409"/>
      <c r="AI19" s="409"/>
      <c r="AJ19" s="409"/>
      <c r="AK19" s="409"/>
      <c r="AL19" s="409"/>
      <c r="AM19" s="409"/>
      <c r="AN19" s="410"/>
      <c r="AO19" s="444"/>
      <c r="AP19" s="444"/>
      <c r="AQ19" s="444"/>
      <c r="AR19" s="444"/>
      <c r="AS19" s="444"/>
      <c r="AT19" s="444"/>
      <c r="AU19" s="446"/>
    </row>
    <row r="20" spans="1:47" ht="0.95" customHeight="1" thickTop="1" thickBot="1">
      <c r="A20" s="443"/>
      <c r="B20" s="444"/>
      <c r="C20" s="444"/>
      <c r="D20" s="1139"/>
      <c r="E20" s="1140"/>
      <c r="F20" s="1140"/>
      <c r="G20" s="1140"/>
      <c r="H20" s="1140"/>
      <c r="I20" s="1140"/>
      <c r="J20" s="1140"/>
      <c r="K20" s="1140"/>
      <c r="L20" s="1140"/>
      <c r="M20" s="1141"/>
      <c r="N20" s="1107"/>
      <c r="O20" s="401"/>
      <c r="P20" s="1136"/>
      <c r="Q20" s="1134"/>
      <c r="R20" s="1134"/>
      <c r="S20" s="1134"/>
      <c r="T20" s="1134"/>
      <c r="U20" s="411"/>
      <c r="V20" s="411"/>
      <c r="W20" s="411"/>
      <c r="X20" s="411"/>
      <c r="Y20" s="411"/>
      <c r="Z20" s="411"/>
      <c r="AA20" s="411"/>
      <c r="AB20" s="411"/>
      <c r="AC20" s="411"/>
      <c r="AD20" s="411"/>
      <c r="AE20" s="411"/>
      <c r="AF20" s="412"/>
      <c r="AG20" s="409"/>
      <c r="AH20" s="409"/>
      <c r="AI20" s="409"/>
      <c r="AJ20" s="409"/>
      <c r="AK20" s="409"/>
      <c r="AL20" s="409"/>
      <c r="AM20" s="409"/>
      <c r="AN20" s="410"/>
      <c r="AO20" s="444"/>
      <c r="AP20" s="444"/>
      <c r="AQ20" s="444"/>
      <c r="AR20" s="444"/>
      <c r="AS20" s="444"/>
      <c r="AT20" s="444"/>
      <c r="AU20" s="446"/>
    </row>
    <row r="21" spans="1:47" ht="0.95" customHeight="1" thickTop="1" thickBot="1">
      <c r="A21" s="443"/>
      <c r="B21" s="444"/>
      <c r="C21" s="444"/>
      <c r="D21" s="1139"/>
      <c r="E21" s="1140"/>
      <c r="F21" s="1140"/>
      <c r="G21" s="1140"/>
      <c r="H21" s="1140"/>
      <c r="I21" s="1140"/>
      <c r="J21" s="1140"/>
      <c r="K21" s="1140"/>
      <c r="L21" s="1140"/>
      <c r="M21" s="1141"/>
      <c r="N21" s="1107"/>
      <c r="O21" s="401"/>
      <c r="P21" s="1136"/>
      <c r="Q21" s="1134"/>
      <c r="R21" s="1134"/>
      <c r="S21" s="1134"/>
      <c r="T21" s="1134"/>
      <c r="U21" s="411"/>
      <c r="V21" s="411"/>
      <c r="W21" s="411"/>
      <c r="X21" s="411"/>
      <c r="Y21" s="411"/>
      <c r="Z21" s="411"/>
      <c r="AA21" s="411"/>
      <c r="AB21" s="411"/>
      <c r="AC21" s="411"/>
      <c r="AD21" s="411"/>
      <c r="AE21" s="412"/>
      <c r="AF21" s="409"/>
      <c r="AG21" s="409"/>
      <c r="AH21" s="409"/>
      <c r="AI21" s="409"/>
      <c r="AJ21" s="409"/>
      <c r="AK21" s="409"/>
      <c r="AL21" s="409"/>
      <c r="AM21" s="409"/>
      <c r="AN21" s="410"/>
      <c r="AO21" s="444"/>
      <c r="AP21" s="444"/>
      <c r="AQ21" s="444"/>
      <c r="AR21" s="444"/>
      <c r="AS21" s="444"/>
      <c r="AT21" s="444"/>
      <c r="AU21" s="446"/>
    </row>
    <row r="22" spans="1:47" ht="0.95" customHeight="1" thickTop="1" thickBot="1">
      <c r="A22" s="443"/>
      <c r="B22" s="444"/>
      <c r="C22" s="444"/>
      <c r="D22" s="1139"/>
      <c r="E22" s="1140"/>
      <c r="F22" s="1140"/>
      <c r="G22" s="1140"/>
      <c r="H22" s="1140"/>
      <c r="I22" s="1140"/>
      <c r="J22" s="1140"/>
      <c r="K22" s="1140"/>
      <c r="L22" s="1140"/>
      <c r="M22" s="1141"/>
      <c r="N22" s="1107"/>
      <c r="O22" s="401"/>
      <c r="P22" s="1136"/>
      <c r="Q22" s="1134"/>
      <c r="R22" s="1134"/>
      <c r="S22" s="1134"/>
      <c r="T22" s="1134"/>
      <c r="U22" s="411"/>
      <c r="V22" s="411"/>
      <c r="W22" s="411"/>
      <c r="X22" s="411"/>
      <c r="Y22" s="411"/>
      <c r="Z22" s="411"/>
      <c r="AA22" s="411"/>
      <c r="AB22" s="411"/>
      <c r="AC22" s="411"/>
      <c r="AD22" s="412"/>
      <c r="AE22" s="409"/>
      <c r="AF22" s="409"/>
      <c r="AG22" s="1147" t="str">
        <f>_tempat_penyerahan&amp;", "&amp;IFERROR(VLOOKUP($B$4,_Biodata_Lengkap,15,FALSE),"-")</f>
        <v>Abung Surakarta, 16/07/2018</v>
      </c>
      <c r="AH22" s="1147"/>
      <c r="AI22" s="1147"/>
      <c r="AJ22" s="1147"/>
      <c r="AK22" s="1147"/>
      <c r="AL22" s="1147"/>
      <c r="AM22" s="1147"/>
      <c r="AN22" s="410"/>
      <c r="AO22" s="444"/>
      <c r="AP22" s="444"/>
      <c r="AQ22" s="444"/>
      <c r="AR22" s="444"/>
      <c r="AS22" s="444"/>
      <c r="AT22" s="444"/>
      <c r="AU22" s="446"/>
    </row>
    <row r="23" spans="1:47" ht="0.95" customHeight="1" thickTop="1" thickBot="1">
      <c r="A23" s="443"/>
      <c r="B23" s="444"/>
      <c r="C23" s="444"/>
      <c r="D23" s="1139"/>
      <c r="E23" s="1140"/>
      <c r="F23" s="1140"/>
      <c r="G23" s="1140"/>
      <c r="H23" s="1140"/>
      <c r="I23" s="1140"/>
      <c r="J23" s="1140"/>
      <c r="K23" s="1140"/>
      <c r="L23" s="1140"/>
      <c r="M23" s="1141"/>
      <c r="N23" s="1107"/>
      <c r="O23" s="401"/>
      <c r="P23" s="1136"/>
      <c r="Q23" s="1134"/>
      <c r="R23" s="1134"/>
      <c r="S23" s="1134"/>
      <c r="T23" s="1134"/>
      <c r="U23" s="411"/>
      <c r="V23" s="411"/>
      <c r="W23" s="411"/>
      <c r="X23" s="411"/>
      <c r="Y23" s="411"/>
      <c r="Z23" s="411"/>
      <c r="AA23" s="411"/>
      <c r="AB23" s="411"/>
      <c r="AC23" s="412"/>
      <c r="AD23" s="409"/>
      <c r="AE23" s="409"/>
      <c r="AF23" s="409"/>
      <c r="AG23" s="1147"/>
      <c r="AH23" s="1147"/>
      <c r="AI23" s="1147"/>
      <c r="AJ23" s="1147"/>
      <c r="AK23" s="1147"/>
      <c r="AL23" s="1147"/>
      <c r="AM23" s="1147"/>
      <c r="AN23" s="410"/>
      <c r="AO23" s="444"/>
      <c r="AP23" s="444"/>
      <c r="AQ23" s="444"/>
      <c r="AR23" s="444"/>
      <c r="AS23" s="444"/>
      <c r="AT23" s="444"/>
      <c r="AU23" s="446"/>
    </row>
    <row r="24" spans="1:47" ht="0.95" customHeight="1" thickTop="1" thickBot="1">
      <c r="A24" s="443"/>
      <c r="B24" s="444"/>
      <c r="C24" s="444"/>
      <c r="D24" s="1139"/>
      <c r="E24" s="1140"/>
      <c r="F24" s="1140"/>
      <c r="G24" s="1140"/>
      <c r="H24" s="1140"/>
      <c r="I24" s="1140"/>
      <c r="J24" s="1140"/>
      <c r="K24" s="1140"/>
      <c r="L24" s="1140"/>
      <c r="M24" s="1141"/>
      <c r="N24" s="1107"/>
      <c r="O24" s="401"/>
      <c r="P24" s="1136"/>
      <c r="Q24" s="1134"/>
      <c r="R24" s="1134"/>
      <c r="S24" s="1134"/>
      <c r="T24" s="1134"/>
      <c r="U24" s="432"/>
      <c r="V24" s="432"/>
      <c r="W24" s="432"/>
      <c r="X24" s="432"/>
      <c r="Y24" s="432"/>
      <c r="Z24" s="401"/>
      <c r="AA24" s="401"/>
      <c r="AB24" s="412"/>
      <c r="AC24" s="409"/>
      <c r="AD24" s="409"/>
      <c r="AE24" s="409"/>
      <c r="AF24" s="409"/>
      <c r="AG24" s="1147"/>
      <c r="AH24" s="1147"/>
      <c r="AI24" s="1147"/>
      <c r="AJ24" s="1147"/>
      <c r="AK24" s="1147"/>
      <c r="AL24" s="1147"/>
      <c r="AM24" s="1147"/>
      <c r="AN24" s="410"/>
      <c r="AO24" s="444"/>
      <c r="AP24" s="444"/>
      <c r="AQ24" s="444"/>
      <c r="AR24" s="444"/>
      <c r="AS24" s="444"/>
      <c r="AT24" s="444"/>
      <c r="AU24" s="446"/>
    </row>
    <row r="25" spans="1:47" ht="0.95" customHeight="1" thickTop="1" thickBot="1">
      <c r="A25" s="443"/>
      <c r="B25" s="444"/>
      <c r="C25" s="444"/>
      <c r="D25" s="1139"/>
      <c r="E25" s="1140"/>
      <c r="F25" s="1140"/>
      <c r="G25" s="1140"/>
      <c r="H25" s="1140"/>
      <c r="I25" s="1140"/>
      <c r="J25" s="1140"/>
      <c r="K25" s="1140"/>
      <c r="L25" s="1140"/>
      <c r="M25" s="1141"/>
      <c r="N25" s="1107"/>
      <c r="O25" s="401"/>
      <c r="P25" s="1136"/>
      <c r="Q25" s="1134"/>
      <c r="R25" s="1134"/>
      <c r="S25" s="1134"/>
      <c r="T25" s="1134"/>
      <c r="U25" s="432"/>
      <c r="V25" s="432"/>
      <c r="W25" s="432"/>
      <c r="X25" s="432"/>
      <c r="Y25" s="432"/>
      <c r="Z25" s="401"/>
      <c r="AA25" s="412"/>
      <c r="AB25" s="409"/>
      <c r="AC25" s="409"/>
      <c r="AD25" s="409"/>
      <c r="AE25" s="409"/>
      <c r="AF25" s="409"/>
      <c r="AG25" s="1147"/>
      <c r="AH25" s="1147"/>
      <c r="AI25" s="1147"/>
      <c r="AJ25" s="1147"/>
      <c r="AK25" s="1147"/>
      <c r="AL25" s="1147"/>
      <c r="AM25" s="1147"/>
      <c r="AN25" s="410"/>
      <c r="AO25" s="444"/>
      <c r="AP25" s="444"/>
      <c r="AQ25" s="444"/>
      <c r="AR25" s="444"/>
      <c r="AS25" s="444"/>
      <c r="AT25" s="444"/>
      <c r="AU25" s="446"/>
    </row>
    <row r="26" spans="1:47" ht="0.95" customHeight="1" thickTop="1" thickBot="1">
      <c r="A26" s="443"/>
      <c r="B26" s="444"/>
      <c r="C26" s="444"/>
      <c r="D26" s="1139"/>
      <c r="E26" s="1140"/>
      <c r="F26" s="1140"/>
      <c r="G26" s="1140"/>
      <c r="H26" s="1140"/>
      <c r="I26" s="1140"/>
      <c r="J26" s="1140"/>
      <c r="K26" s="1140"/>
      <c r="L26" s="1140"/>
      <c r="M26" s="1141"/>
      <c r="N26" s="1107"/>
      <c r="O26" s="401"/>
      <c r="P26" s="1136"/>
      <c r="Q26" s="1134"/>
      <c r="R26" s="1134"/>
      <c r="S26" s="1134"/>
      <c r="T26" s="1134"/>
      <c r="U26" s="432"/>
      <c r="V26" s="432">
        <v>111</v>
      </c>
      <c r="W26" s="432"/>
      <c r="X26" s="432">
        <v>11</v>
      </c>
      <c r="Y26" s="433"/>
      <c r="Z26" s="412"/>
      <c r="AA26" s="409"/>
      <c r="AB26" s="409"/>
      <c r="AC26" s="409"/>
      <c r="AD26" s="409"/>
      <c r="AE26" s="409"/>
      <c r="AF26" s="409"/>
      <c r="AG26" s="1147"/>
      <c r="AH26" s="1147"/>
      <c r="AI26" s="1147"/>
      <c r="AJ26" s="1147"/>
      <c r="AK26" s="1147"/>
      <c r="AL26" s="1147"/>
      <c r="AM26" s="1147"/>
      <c r="AN26" s="410"/>
      <c r="AO26" s="444"/>
      <c r="AP26" s="444"/>
      <c r="AQ26" s="444"/>
      <c r="AR26" s="444"/>
      <c r="AS26" s="444"/>
      <c r="AT26" s="444"/>
      <c r="AU26" s="446"/>
    </row>
    <row r="27" spans="1:47" ht="0.95" customHeight="1" thickTop="1" thickBot="1">
      <c r="A27" s="443"/>
      <c r="B27" s="444"/>
      <c r="C27" s="444"/>
      <c r="D27" s="1139"/>
      <c r="E27" s="1140"/>
      <c r="F27" s="1140"/>
      <c r="G27" s="1140"/>
      <c r="H27" s="1140"/>
      <c r="I27" s="1140"/>
      <c r="J27" s="1140"/>
      <c r="K27" s="1140"/>
      <c r="L27" s="1140"/>
      <c r="M27" s="1141"/>
      <c r="N27" s="1107"/>
      <c r="O27" s="401"/>
      <c r="P27" s="1136"/>
      <c r="Q27" s="1134"/>
      <c r="R27" s="1134"/>
      <c r="S27" s="1134"/>
      <c r="T27" s="1134"/>
      <c r="U27" s="432"/>
      <c r="V27" s="432"/>
      <c r="W27" s="432"/>
      <c r="X27" s="432"/>
      <c r="Y27" s="412"/>
      <c r="Z27" s="409"/>
      <c r="AA27" s="409"/>
      <c r="AB27" s="409"/>
      <c r="AC27" s="409"/>
      <c r="AD27" s="409"/>
      <c r="AE27" s="409"/>
      <c r="AF27" s="409"/>
      <c r="AG27" s="1147"/>
      <c r="AH27" s="1147"/>
      <c r="AI27" s="1147"/>
      <c r="AJ27" s="1147"/>
      <c r="AK27" s="1147"/>
      <c r="AL27" s="1147"/>
      <c r="AM27" s="1147"/>
      <c r="AN27" s="410"/>
      <c r="AO27" s="444"/>
      <c r="AP27" s="444"/>
      <c r="AQ27" s="444"/>
      <c r="AR27" s="444"/>
      <c r="AS27" s="444"/>
      <c r="AT27" s="444"/>
      <c r="AU27" s="446"/>
    </row>
    <row r="28" spans="1:47" ht="0.95" customHeight="1" thickTop="1" thickBot="1">
      <c r="A28" s="443"/>
      <c r="B28" s="444"/>
      <c r="C28" s="444"/>
      <c r="D28" s="1142"/>
      <c r="E28" s="1143"/>
      <c r="F28" s="1143"/>
      <c r="G28" s="1143"/>
      <c r="H28" s="1143"/>
      <c r="I28" s="1143"/>
      <c r="J28" s="1143"/>
      <c r="K28" s="1143"/>
      <c r="L28" s="1143"/>
      <c r="M28" s="1144"/>
      <c r="N28" s="1107"/>
      <c r="O28" s="401"/>
      <c r="P28" s="1136"/>
      <c r="Q28" s="1134"/>
      <c r="R28" s="1134"/>
      <c r="S28" s="1134"/>
      <c r="T28" s="1134"/>
      <c r="U28" s="432"/>
      <c r="V28" s="432"/>
      <c r="W28" s="432"/>
      <c r="X28" s="412"/>
      <c r="Y28" s="409"/>
      <c r="Z28" s="409"/>
      <c r="AA28" s="409"/>
      <c r="AB28" s="409"/>
      <c r="AC28" s="409"/>
      <c r="AD28" s="409"/>
      <c r="AE28" s="409"/>
      <c r="AF28" s="409"/>
      <c r="AG28" s="1147"/>
      <c r="AH28" s="1147"/>
      <c r="AI28" s="1147"/>
      <c r="AJ28" s="1147"/>
      <c r="AK28" s="1147"/>
      <c r="AL28" s="1147"/>
      <c r="AM28" s="1147"/>
      <c r="AN28" s="410"/>
      <c r="AO28" s="444"/>
      <c r="AP28" s="444"/>
      <c r="AQ28" s="444"/>
      <c r="AR28" s="444"/>
      <c r="AS28" s="444"/>
      <c r="AT28" s="444"/>
      <c r="AU28" s="446"/>
    </row>
    <row r="29" spans="1:47" ht="0.95" customHeight="1" thickTop="1" thickBot="1">
      <c r="A29" s="443"/>
      <c r="B29" s="444"/>
      <c r="C29" s="444"/>
      <c r="D29" s="419"/>
      <c r="E29" s="420"/>
      <c r="F29" s="420"/>
      <c r="G29" s="420"/>
      <c r="H29" s="420"/>
      <c r="I29" s="420"/>
      <c r="J29" s="420"/>
      <c r="K29" s="420"/>
      <c r="L29" s="420"/>
      <c r="M29" s="421"/>
      <c r="N29" s="1107"/>
      <c r="O29" s="401"/>
      <c r="P29" s="1136"/>
      <c r="Q29" s="1134"/>
      <c r="R29" s="1134"/>
      <c r="S29" s="1134"/>
      <c r="T29" s="1134"/>
      <c r="U29" s="432"/>
      <c r="V29" s="432"/>
      <c r="W29" s="412"/>
      <c r="X29" s="409"/>
      <c r="Y29" s="409"/>
      <c r="Z29" s="409"/>
      <c r="AA29" s="409"/>
      <c r="AB29" s="409"/>
      <c r="AC29" s="409"/>
      <c r="AD29" s="409"/>
      <c r="AE29" s="409"/>
      <c r="AF29" s="409"/>
      <c r="AG29" s="1147"/>
      <c r="AH29" s="1147"/>
      <c r="AI29" s="1147"/>
      <c r="AJ29" s="1147"/>
      <c r="AK29" s="1147"/>
      <c r="AL29" s="1147"/>
      <c r="AM29" s="1147"/>
      <c r="AN29" s="410"/>
      <c r="AO29" s="444"/>
      <c r="AP29" s="444"/>
      <c r="AQ29" s="444"/>
      <c r="AR29" s="444"/>
      <c r="AS29" s="444"/>
      <c r="AT29" s="444"/>
      <c r="AU29" s="446"/>
    </row>
    <row r="30" spans="1:47" ht="0.95" customHeight="1" thickTop="1" thickBot="1">
      <c r="A30" s="443"/>
      <c r="B30" s="444"/>
      <c r="C30" s="444"/>
      <c r="D30" s="419"/>
      <c r="E30" s="420"/>
      <c r="F30" s="420"/>
      <c r="G30" s="420"/>
      <c r="H30" s="420"/>
      <c r="I30" s="420"/>
      <c r="J30" s="420"/>
      <c r="K30" s="420"/>
      <c r="L30" s="420"/>
      <c r="M30" s="421"/>
      <c r="N30" s="1107"/>
      <c r="O30" s="401"/>
      <c r="P30" s="1136"/>
      <c r="Q30" s="1134"/>
      <c r="R30" s="1134"/>
      <c r="S30" s="1134"/>
      <c r="T30" s="1134"/>
      <c r="U30" s="432"/>
      <c r="V30" s="412"/>
      <c r="W30" s="409"/>
      <c r="X30" s="409"/>
      <c r="Y30" s="409"/>
      <c r="Z30" s="409"/>
      <c r="AA30" s="409"/>
      <c r="AB30" s="409"/>
      <c r="AC30" s="409"/>
      <c r="AD30" s="409"/>
      <c r="AE30" s="409"/>
      <c r="AF30" s="409"/>
      <c r="AG30" s="1147"/>
      <c r="AH30" s="1147"/>
      <c r="AI30" s="1147"/>
      <c r="AJ30" s="1147"/>
      <c r="AK30" s="1147"/>
      <c r="AL30" s="1147"/>
      <c r="AM30" s="1147"/>
      <c r="AN30" s="410"/>
      <c r="AO30" s="444"/>
      <c r="AP30" s="444"/>
      <c r="AQ30" s="444"/>
      <c r="AR30" s="444"/>
      <c r="AS30" s="444"/>
      <c r="AT30" s="444"/>
      <c r="AU30" s="446"/>
    </row>
    <row r="31" spans="1:47" ht="0.95" customHeight="1" thickTop="1" thickBot="1">
      <c r="A31" s="443"/>
      <c r="B31" s="444"/>
      <c r="C31" s="444"/>
      <c r="D31" s="419"/>
      <c r="E31" s="420"/>
      <c r="F31" s="420"/>
      <c r="G31" s="420"/>
      <c r="H31" s="420"/>
      <c r="I31" s="420"/>
      <c r="J31" s="420"/>
      <c r="K31" s="420"/>
      <c r="L31" s="420"/>
      <c r="M31" s="421"/>
      <c r="N31" s="1107"/>
      <c r="O31" s="401"/>
      <c r="P31" s="1137"/>
      <c r="Q31" s="1138"/>
      <c r="R31" s="1138"/>
      <c r="S31" s="1138"/>
      <c r="T31" s="1138"/>
      <c r="U31" s="412"/>
      <c r="V31" s="409"/>
      <c r="W31" s="409"/>
      <c r="X31" s="409"/>
      <c r="Y31" s="409"/>
      <c r="Z31" s="409"/>
      <c r="AA31" s="409"/>
      <c r="AB31" s="409"/>
      <c r="AC31" s="409"/>
      <c r="AD31" s="409"/>
      <c r="AE31" s="409"/>
      <c r="AF31" s="409"/>
      <c r="AG31" s="1147"/>
      <c r="AH31" s="1147"/>
      <c r="AI31" s="1147"/>
      <c r="AJ31" s="1147"/>
      <c r="AK31" s="1147"/>
      <c r="AL31" s="1147"/>
      <c r="AM31" s="1147"/>
      <c r="AN31" s="410"/>
      <c r="AO31" s="444"/>
      <c r="AP31" s="444"/>
      <c r="AQ31" s="444"/>
      <c r="AR31" s="444"/>
      <c r="AS31" s="444"/>
      <c r="AT31" s="444"/>
      <c r="AU31" s="446"/>
    </row>
    <row r="32" spans="1:47" ht="6.75" customHeight="1" thickTop="1">
      <c r="A32" s="443"/>
      <c r="B32" s="444"/>
      <c r="C32" s="444"/>
      <c r="D32" s="1169" t="s">
        <v>408</v>
      </c>
      <c r="E32" s="1170"/>
      <c r="F32" s="1170"/>
      <c r="G32" s="1170"/>
      <c r="H32" s="1170"/>
      <c r="I32" s="1170"/>
      <c r="J32" s="1170"/>
      <c r="K32" s="1170"/>
      <c r="L32" s="1170"/>
      <c r="M32" s="1171"/>
      <c r="N32" s="1107"/>
      <c r="O32" s="401"/>
      <c r="P32" s="417"/>
      <c r="Q32" s="418"/>
      <c r="R32" s="418"/>
      <c r="S32" s="418"/>
      <c r="T32" s="418"/>
      <c r="U32" s="418"/>
      <c r="V32" s="418"/>
      <c r="W32" s="418"/>
      <c r="X32" s="418"/>
      <c r="Y32" s="418"/>
      <c r="Z32" s="418"/>
      <c r="AA32" s="418"/>
      <c r="AB32" s="418"/>
      <c r="AC32" s="418"/>
      <c r="AD32" s="418"/>
      <c r="AE32" s="418"/>
      <c r="AF32" s="418"/>
      <c r="AG32" s="418"/>
      <c r="AH32" s="418"/>
      <c r="AI32" s="409"/>
      <c r="AJ32" s="409"/>
      <c r="AK32" s="409"/>
      <c r="AL32" s="1175" t="str">
        <f>"Kepala SMP "&amp;PROPER(MID(_nama_sekolah,5,30))</f>
        <v>Kepala SMP Negeri 1 Abung Surakarta</v>
      </c>
      <c r="AM32" s="1175"/>
      <c r="AN32" s="416"/>
      <c r="AO32" s="444"/>
      <c r="AP32" s="444"/>
      <c r="AQ32" s="444"/>
      <c r="AR32" s="444"/>
      <c r="AS32" s="444"/>
      <c r="AT32" s="444"/>
      <c r="AU32" s="446"/>
    </row>
    <row r="33" spans="1:55" ht="6.75" customHeight="1">
      <c r="A33" s="443"/>
      <c r="B33" s="444"/>
      <c r="C33" s="444"/>
      <c r="D33" s="1169"/>
      <c r="E33" s="1170"/>
      <c r="F33" s="1170"/>
      <c r="G33" s="1170"/>
      <c r="H33" s="1170"/>
      <c r="I33" s="1170"/>
      <c r="J33" s="1170"/>
      <c r="K33" s="1170"/>
      <c r="L33" s="1170"/>
      <c r="M33" s="1171"/>
      <c r="N33" s="1107"/>
      <c r="O33" s="401"/>
      <c r="P33" s="417"/>
      <c r="Q33" s="418"/>
      <c r="R33" s="418"/>
      <c r="S33" s="418"/>
      <c r="T33" s="418"/>
      <c r="U33" s="418"/>
      <c r="V33" s="418"/>
      <c r="W33" s="418"/>
      <c r="X33" s="418"/>
      <c r="Y33" s="418"/>
      <c r="Z33" s="418"/>
      <c r="AA33" s="418"/>
      <c r="AB33" s="418"/>
      <c r="AC33" s="418"/>
      <c r="AD33" s="418"/>
      <c r="AE33" s="418"/>
      <c r="AF33" s="418"/>
      <c r="AG33" s="418"/>
      <c r="AH33" s="418"/>
      <c r="AI33" s="418"/>
      <c r="AJ33" s="418"/>
      <c r="AK33" s="418"/>
      <c r="AL33" s="1175"/>
      <c r="AM33" s="1175"/>
      <c r="AN33" s="416"/>
      <c r="AO33" s="444"/>
      <c r="AP33" s="444"/>
      <c r="AQ33" s="444"/>
      <c r="AR33" s="444"/>
      <c r="AS33" s="444"/>
      <c r="AT33" s="444"/>
      <c r="AU33" s="446"/>
    </row>
    <row r="34" spans="1:55" ht="6.75" customHeight="1">
      <c r="A34" s="443"/>
      <c r="B34" s="444"/>
      <c r="C34" s="444"/>
      <c r="D34" s="423"/>
      <c r="E34" s="424"/>
      <c r="F34" s="424"/>
      <c r="G34" s="424"/>
      <c r="H34" s="424"/>
      <c r="I34" s="424"/>
      <c r="J34" s="424"/>
      <c r="K34" s="424"/>
      <c r="L34" s="424"/>
      <c r="M34" s="425"/>
      <c r="N34" s="1107"/>
      <c r="O34" s="401"/>
      <c r="P34" s="408"/>
      <c r="Q34" s="409"/>
      <c r="R34" s="409"/>
      <c r="S34" s="409"/>
      <c r="T34" s="409"/>
      <c r="U34" s="409"/>
      <c r="V34" s="409"/>
      <c r="W34" s="409"/>
      <c r="X34" s="409"/>
      <c r="Y34" s="409"/>
      <c r="Z34" s="409"/>
      <c r="AA34" s="409"/>
      <c r="AB34" s="409"/>
      <c r="AC34" s="409"/>
      <c r="AD34" s="409"/>
      <c r="AE34" s="409"/>
      <c r="AF34" s="409"/>
      <c r="AG34" s="409"/>
      <c r="AH34" s="409"/>
      <c r="AI34" s="409"/>
      <c r="AJ34" s="409"/>
      <c r="AK34" s="409"/>
      <c r="AL34" s="409"/>
      <c r="AM34" s="409"/>
      <c r="AN34" s="410"/>
      <c r="AO34" s="444"/>
      <c r="AP34" s="444"/>
      <c r="AQ34" s="444"/>
      <c r="AR34" s="444"/>
      <c r="AS34" s="444"/>
      <c r="AT34" s="444"/>
      <c r="AU34" s="446"/>
    </row>
    <row r="35" spans="1:55" ht="6.75" customHeight="1">
      <c r="A35" s="443"/>
      <c r="B35" s="444"/>
      <c r="C35" s="444"/>
      <c r="D35" s="1169" t="str">
        <f>_alamat_sekolah&amp;" "&amp;_kelurahan</f>
        <v>Jl. Pendidikan No. 24 Tatakarya</v>
      </c>
      <c r="E35" s="1170"/>
      <c r="F35" s="1170"/>
      <c r="G35" s="1170"/>
      <c r="H35" s="1170"/>
      <c r="I35" s="1170"/>
      <c r="J35" s="1170"/>
      <c r="K35" s="1170"/>
      <c r="L35" s="1170"/>
      <c r="M35" s="1171"/>
      <c r="N35" s="1107"/>
      <c r="O35" s="401"/>
      <c r="P35" s="1176" t="str">
        <f>_kepsek</f>
        <v>Hj. YURNILAWATI, S.Pd.I</v>
      </c>
      <c r="Q35" s="1177"/>
      <c r="R35" s="1177"/>
      <c r="S35" s="1177"/>
      <c r="T35" s="1177"/>
      <c r="U35" s="1177"/>
      <c r="V35" s="1177"/>
      <c r="W35" s="1177"/>
      <c r="X35" s="1177"/>
      <c r="Y35" s="1177"/>
      <c r="Z35" s="1177"/>
      <c r="AA35" s="1177"/>
      <c r="AB35" s="1177"/>
      <c r="AC35" s="1177"/>
      <c r="AD35" s="1177"/>
      <c r="AE35" s="1177"/>
      <c r="AF35" s="1177"/>
      <c r="AG35" s="1177"/>
      <c r="AH35" s="1177"/>
      <c r="AI35" s="1177"/>
      <c r="AJ35" s="1177"/>
      <c r="AK35" s="1177"/>
      <c r="AL35" s="1177"/>
      <c r="AM35" s="1177"/>
      <c r="AN35" s="410"/>
      <c r="AO35" s="444"/>
      <c r="AP35" s="444"/>
      <c r="AQ35" s="444"/>
      <c r="AR35" s="444"/>
      <c r="AS35" s="444"/>
      <c r="AT35" s="444"/>
      <c r="AU35" s="446"/>
    </row>
    <row r="36" spans="1:55" ht="6.75" customHeight="1">
      <c r="A36" s="443"/>
      <c r="B36" s="444"/>
      <c r="C36" s="444"/>
      <c r="D36" s="1169" t="str">
        <f>"Telp. "&amp;_telpon&amp;" e-Mail : "&amp;_email</f>
        <v>Telp. - e-Mail : smpnegeri1abungsurakarta@yahoo.com</v>
      </c>
      <c r="E36" s="1170"/>
      <c r="F36" s="1170"/>
      <c r="G36" s="1170"/>
      <c r="H36" s="1170"/>
      <c r="I36" s="1170"/>
      <c r="J36" s="1170"/>
      <c r="K36" s="1170"/>
      <c r="L36" s="1170"/>
      <c r="M36" s="1171"/>
      <c r="N36" s="1107"/>
      <c r="O36" s="401"/>
      <c r="P36" s="1178"/>
      <c r="Q36" s="1177"/>
      <c r="R36" s="1177"/>
      <c r="S36" s="1177"/>
      <c r="T36" s="1177"/>
      <c r="U36" s="1177"/>
      <c r="V36" s="1177"/>
      <c r="W36" s="1177"/>
      <c r="X36" s="1177"/>
      <c r="Y36" s="1177"/>
      <c r="Z36" s="1177"/>
      <c r="AA36" s="1177"/>
      <c r="AB36" s="1177"/>
      <c r="AC36" s="1177"/>
      <c r="AD36" s="1177"/>
      <c r="AE36" s="1177"/>
      <c r="AF36" s="1177"/>
      <c r="AG36" s="1177"/>
      <c r="AH36" s="1177"/>
      <c r="AI36" s="1177"/>
      <c r="AJ36" s="1177"/>
      <c r="AK36" s="1177"/>
      <c r="AL36" s="1177"/>
      <c r="AM36" s="1177"/>
      <c r="AN36" s="414"/>
      <c r="AO36" s="444"/>
      <c r="AP36" s="444"/>
      <c r="AQ36" s="444"/>
      <c r="AR36" s="444"/>
      <c r="AS36" s="444"/>
      <c r="AT36" s="444"/>
      <c r="AU36" s="446"/>
    </row>
    <row r="37" spans="1:55" ht="5.25" customHeight="1" thickBot="1">
      <c r="A37" s="443"/>
      <c r="B37" s="444"/>
      <c r="C37" s="444"/>
      <c r="D37" s="1172"/>
      <c r="E37" s="1173"/>
      <c r="F37" s="1173"/>
      <c r="G37" s="1173"/>
      <c r="H37" s="1173"/>
      <c r="I37" s="1173"/>
      <c r="J37" s="1173"/>
      <c r="K37" s="1173"/>
      <c r="L37" s="1173"/>
      <c r="M37" s="1174"/>
      <c r="N37" s="1107"/>
      <c r="O37" s="401"/>
      <c r="P37" s="1179" t="str">
        <f>_nip_kepsek</f>
        <v>19590208 198102 2 001</v>
      </c>
      <c r="Q37" s="1180"/>
      <c r="R37" s="1180"/>
      <c r="S37" s="1180"/>
      <c r="T37" s="1180"/>
      <c r="U37" s="1180"/>
      <c r="V37" s="1180"/>
      <c r="W37" s="1180"/>
      <c r="X37" s="1180"/>
      <c r="Y37" s="1180"/>
      <c r="Z37" s="1180"/>
      <c r="AA37" s="1180"/>
      <c r="AB37" s="1180"/>
      <c r="AC37" s="1180"/>
      <c r="AD37" s="1180"/>
      <c r="AE37" s="1180"/>
      <c r="AF37" s="1180"/>
      <c r="AG37" s="1180"/>
      <c r="AH37" s="1180"/>
      <c r="AI37" s="1180"/>
      <c r="AJ37" s="1180"/>
      <c r="AK37" s="1180"/>
      <c r="AL37" s="1180"/>
      <c r="AM37" s="1180"/>
      <c r="AN37" s="415"/>
      <c r="AO37" s="444"/>
      <c r="AP37" s="444"/>
      <c r="AQ37" s="444"/>
      <c r="AR37" s="444"/>
      <c r="AS37" s="444"/>
      <c r="AT37" s="444"/>
      <c r="AU37" s="446"/>
    </row>
    <row r="38" spans="1:55" ht="3.75" customHeight="1">
      <c r="A38" s="443"/>
      <c r="B38" s="444"/>
      <c r="C38" s="444"/>
      <c r="D38" s="1168"/>
      <c r="E38" s="1168"/>
      <c r="F38" s="1168"/>
      <c r="G38" s="1168"/>
      <c r="H38" s="1168"/>
      <c r="I38" s="1168"/>
      <c r="J38" s="1168"/>
      <c r="K38" s="1168"/>
      <c r="L38" s="1168"/>
      <c r="M38" s="1168"/>
      <c r="N38" s="1107"/>
      <c r="O38" s="401"/>
      <c r="P38" s="1168"/>
      <c r="Q38" s="1168"/>
      <c r="R38" s="1168"/>
      <c r="S38" s="1168"/>
      <c r="T38" s="1168"/>
      <c r="U38" s="1168"/>
      <c r="V38" s="1168"/>
      <c r="W38" s="1168"/>
      <c r="X38" s="1168"/>
      <c r="Y38" s="1168"/>
      <c r="Z38" s="1168"/>
      <c r="AA38" s="1168"/>
      <c r="AB38" s="1168"/>
      <c r="AC38" s="1168"/>
      <c r="AD38" s="1168"/>
      <c r="AE38" s="1168"/>
      <c r="AF38" s="1168"/>
      <c r="AG38" s="1168"/>
      <c r="AH38" s="1168"/>
      <c r="AI38" s="1168"/>
      <c r="AJ38" s="1168"/>
      <c r="AK38" s="1168"/>
      <c r="AL38" s="1168"/>
      <c r="AM38" s="1168"/>
      <c r="AN38" s="1168"/>
      <c r="AO38" s="444"/>
      <c r="AP38" s="444"/>
      <c r="AQ38" s="444"/>
      <c r="AR38" s="444"/>
      <c r="AS38" s="444"/>
      <c r="AT38" s="444"/>
      <c r="AU38" s="446"/>
    </row>
    <row r="39" spans="1:55" ht="3.75" customHeight="1" thickBot="1">
      <c r="A39" s="443"/>
      <c r="B39" s="444"/>
      <c r="C39" s="444"/>
      <c r="D39" s="428"/>
      <c r="E39" s="428"/>
      <c r="F39" s="428"/>
      <c r="G39" s="428"/>
      <c r="H39" s="428"/>
      <c r="I39" s="428"/>
      <c r="J39" s="428"/>
      <c r="K39" s="428"/>
      <c r="L39" s="428"/>
      <c r="M39" s="428"/>
      <c r="N39" s="1107"/>
      <c r="O39" s="401"/>
      <c r="P39" s="428"/>
      <c r="Q39" s="428"/>
      <c r="R39" s="428"/>
      <c r="S39" s="428"/>
      <c r="T39" s="428"/>
      <c r="U39" s="428"/>
      <c r="V39" s="428"/>
      <c r="W39" s="428"/>
      <c r="X39" s="428"/>
      <c r="Y39" s="428"/>
      <c r="Z39" s="428"/>
      <c r="AA39" s="428"/>
      <c r="AB39" s="428"/>
      <c r="AC39" s="428"/>
      <c r="AD39" s="428"/>
      <c r="AE39" s="428"/>
      <c r="AF39" s="428"/>
      <c r="AG39" s="428"/>
      <c r="AH39" s="428"/>
      <c r="AI39" s="428"/>
      <c r="AJ39" s="428"/>
      <c r="AK39" s="428"/>
      <c r="AL39" s="428"/>
      <c r="AM39" s="428"/>
      <c r="AN39" s="428"/>
      <c r="AO39" s="444"/>
      <c r="AP39" s="444"/>
      <c r="AQ39" s="444"/>
      <c r="AR39" s="444"/>
      <c r="AS39" s="444"/>
      <c r="AT39" s="444"/>
      <c r="AU39" s="446"/>
    </row>
    <row r="40" spans="1:55" ht="15" customHeight="1">
      <c r="A40" s="443"/>
      <c r="B40" s="1102">
        <f>VLOOKUP($AP$4,_kartu_pelajar,4,FALSE)</f>
        <v>2</v>
      </c>
      <c r="C40" s="444"/>
      <c r="D40" s="1104" t="s">
        <v>404</v>
      </c>
      <c r="E40" s="1105"/>
      <c r="F40" s="1105"/>
      <c r="G40" s="1105"/>
      <c r="H40" s="1105"/>
      <c r="I40" s="1105"/>
      <c r="J40" s="1105"/>
      <c r="K40" s="1105"/>
      <c r="L40" s="1105"/>
      <c r="M40" s="1106"/>
      <c r="N40" s="1107"/>
      <c r="O40" s="401"/>
      <c r="P40" s="1108" t="s">
        <v>409</v>
      </c>
      <c r="Q40" s="1109"/>
      <c r="R40" s="1109"/>
      <c r="S40" s="1109"/>
      <c r="T40" s="1109"/>
      <c r="U40" s="1109"/>
      <c r="V40" s="1109"/>
      <c r="W40" s="1109"/>
      <c r="X40" s="1109"/>
      <c r="Y40" s="1109"/>
      <c r="Z40" s="1109"/>
      <c r="AA40" s="1109"/>
      <c r="AB40" s="1109"/>
      <c r="AC40" s="1109"/>
      <c r="AD40" s="1109"/>
      <c r="AE40" s="1109">
        <v>1</v>
      </c>
      <c r="AF40" s="1109"/>
      <c r="AG40" s="1109"/>
      <c r="AH40" s="1109"/>
      <c r="AI40" s="1109"/>
      <c r="AJ40" s="1109"/>
      <c r="AK40" s="1109"/>
      <c r="AL40" s="1109"/>
      <c r="AM40" s="1109"/>
      <c r="AN40" s="1110"/>
      <c r="AO40" s="444"/>
      <c r="AP40" s="444"/>
      <c r="AQ40" s="444"/>
      <c r="AR40" s="444"/>
      <c r="AS40" s="444"/>
      <c r="AT40" s="444"/>
      <c r="AU40" s="446"/>
    </row>
    <row r="41" spans="1:55" ht="10.5" customHeight="1" thickBot="1">
      <c r="A41" s="443"/>
      <c r="B41" s="1103"/>
      <c r="C41" s="444"/>
      <c r="D41" s="1126" t="s">
        <v>405</v>
      </c>
      <c r="E41" s="1127"/>
      <c r="F41" s="1127"/>
      <c r="G41" s="1127"/>
      <c r="H41" s="1127"/>
      <c r="I41" s="1127"/>
      <c r="J41" s="1127"/>
      <c r="K41" s="1127"/>
      <c r="L41" s="1127"/>
      <c r="M41" s="1128"/>
      <c r="N41" s="1107"/>
      <c r="O41" s="401"/>
      <c r="P41" s="1111"/>
      <c r="Q41" s="1112"/>
      <c r="R41" s="1112"/>
      <c r="S41" s="1112"/>
      <c r="T41" s="1112"/>
      <c r="U41" s="1112"/>
      <c r="V41" s="1112"/>
      <c r="W41" s="1112"/>
      <c r="X41" s="1112"/>
      <c r="Y41" s="1112"/>
      <c r="Z41" s="1112"/>
      <c r="AA41" s="1112"/>
      <c r="AB41" s="1112"/>
      <c r="AC41" s="1112"/>
      <c r="AD41" s="1112"/>
      <c r="AE41" s="1112"/>
      <c r="AF41" s="1112"/>
      <c r="AG41" s="1112"/>
      <c r="AH41" s="1112"/>
      <c r="AI41" s="1112"/>
      <c r="AJ41" s="1112"/>
      <c r="AK41" s="1112"/>
      <c r="AL41" s="1112"/>
      <c r="AM41" s="1112"/>
      <c r="AN41" s="1113"/>
      <c r="AO41" s="444"/>
      <c r="AP41" s="444"/>
      <c r="AQ41" s="444"/>
      <c r="AR41" s="444"/>
      <c r="AS41" s="444"/>
      <c r="AT41" s="444"/>
      <c r="AU41" s="446"/>
      <c r="BC41" s="1182"/>
    </row>
    <row r="42" spans="1:55" ht="11.25" customHeight="1">
      <c r="A42" s="443"/>
      <c r="B42" s="444"/>
      <c r="C42" s="444"/>
      <c r="D42" s="1129" t="str">
        <f>_nama_sekolah</f>
        <v>SMP NEGERI 1 ABUNG SURAKARTA</v>
      </c>
      <c r="E42" s="1130"/>
      <c r="F42" s="1130"/>
      <c r="G42" s="1130"/>
      <c r="H42" s="1130"/>
      <c r="I42" s="1130"/>
      <c r="J42" s="1130"/>
      <c r="K42" s="1130"/>
      <c r="L42" s="1130"/>
      <c r="M42" s="1131"/>
      <c r="N42" s="1107"/>
      <c r="O42" s="401"/>
      <c r="P42" s="1111"/>
      <c r="Q42" s="1112"/>
      <c r="R42" s="1112"/>
      <c r="S42" s="1112"/>
      <c r="T42" s="1112"/>
      <c r="U42" s="1112"/>
      <c r="V42" s="1112"/>
      <c r="W42" s="1112"/>
      <c r="X42" s="1112"/>
      <c r="Y42" s="1112"/>
      <c r="Z42" s="1112"/>
      <c r="AA42" s="1112"/>
      <c r="AB42" s="1112"/>
      <c r="AC42" s="1112"/>
      <c r="AD42" s="1112"/>
      <c r="AE42" s="1112"/>
      <c r="AF42" s="1112"/>
      <c r="AG42" s="1112"/>
      <c r="AH42" s="1112"/>
      <c r="AI42" s="1112"/>
      <c r="AJ42" s="1112"/>
      <c r="AK42" s="1112"/>
      <c r="AL42" s="1112"/>
      <c r="AM42" s="1112"/>
      <c r="AN42" s="1113"/>
      <c r="AO42" s="444"/>
      <c r="AP42" s="444"/>
      <c r="AQ42" s="444"/>
      <c r="AR42" s="444"/>
      <c r="AS42" s="444"/>
      <c r="AT42" s="444"/>
      <c r="AU42" s="446"/>
      <c r="BC42" s="1182"/>
    </row>
    <row r="43" spans="1:55" ht="3.75" customHeight="1" thickBot="1">
      <c r="A43" s="443"/>
      <c r="B43" s="444"/>
      <c r="C43" s="444"/>
      <c r="D43" s="1148"/>
      <c r="E43" s="1149"/>
      <c r="F43" s="1149"/>
      <c r="G43" s="1149"/>
      <c r="H43" s="1149"/>
      <c r="I43" s="1149"/>
      <c r="J43" s="1149"/>
      <c r="K43" s="1149"/>
      <c r="L43" s="1149"/>
      <c r="M43" s="1150"/>
      <c r="N43" s="1107"/>
      <c r="O43" s="401"/>
      <c r="P43" s="1114"/>
      <c r="Q43" s="1115"/>
      <c r="R43" s="1115"/>
      <c r="S43" s="1115"/>
      <c r="T43" s="1115"/>
      <c r="U43" s="1115"/>
      <c r="V43" s="1115"/>
      <c r="W43" s="1115"/>
      <c r="X43" s="1115"/>
      <c r="Y43" s="1115"/>
      <c r="Z43" s="1115"/>
      <c r="AA43" s="1115"/>
      <c r="AB43" s="1115"/>
      <c r="AC43" s="1115"/>
      <c r="AD43" s="1115"/>
      <c r="AE43" s="1115"/>
      <c r="AF43" s="1115"/>
      <c r="AG43" s="1115"/>
      <c r="AH43" s="1115"/>
      <c r="AI43" s="1115"/>
      <c r="AJ43" s="1115"/>
      <c r="AK43" s="1115"/>
      <c r="AL43" s="1115"/>
      <c r="AM43" s="1115"/>
      <c r="AN43" s="1116"/>
      <c r="AO43" s="444"/>
      <c r="AP43" s="444"/>
      <c r="AQ43" s="444"/>
      <c r="AR43" s="444"/>
      <c r="AS43" s="444"/>
      <c r="AT43" s="444"/>
      <c r="AU43" s="446"/>
      <c r="BC43" s="1182"/>
    </row>
    <row r="44" spans="1:55" ht="16.5" customHeight="1" thickBot="1">
      <c r="A44" s="443"/>
      <c r="B44" s="444"/>
      <c r="C44" s="444"/>
      <c r="D44" s="1151" t="s">
        <v>403</v>
      </c>
      <c r="E44" s="1152"/>
      <c r="F44" s="1152"/>
      <c r="G44" s="1152"/>
      <c r="H44" s="1152"/>
      <c r="I44" s="1152"/>
      <c r="J44" s="1152"/>
      <c r="K44" s="1152"/>
      <c r="L44" s="1152"/>
      <c r="M44" s="1153"/>
      <c r="N44" s="1107"/>
      <c r="O44" s="401"/>
      <c r="P44" s="413" t="s">
        <v>303</v>
      </c>
      <c r="Q44" s="1154" t="s">
        <v>412</v>
      </c>
      <c r="R44" s="1154"/>
      <c r="S44" s="1154"/>
      <c r="T44" s="1154"/>
      <c r="U44" s="1154"/>
      <c r="V44" s="1154"/>
      <c r="W44" s="1154"/>
      <c r="X44" s="1154"/>
      <c r="Y44" s="1154"/>
      <c r="Z44" s="1154"/>
      <c r="AA44" s="1154"/>
      <c r="AB44" s="1154"/>
      <c r="AC44" s="1154"/>
      <c r="AD44" s="1154"/>
      <c r="AE44" s="1154"/>
      <c r="AF44" s="1154"/>
      <c r="AG44" s="1154"/>
      <c r="AH44" s="1154"/>
      <c r="AI44" s="1154"/>
      <c r="AJ44" s="1154"/>
      <c r="AK44" s="1154"/>
      <c r="AL44" s="1154"/>
      <c r="AM44" s="1154"/>
      <c r="AN44" s="1155"/>
      <c r="AO44" s="444"/>
      <c r="AP44" s="444"/>
      <c r="AQ44" s="444"/>
      <c r="AR44" s="444"/>
      <c r="AS44" s="444"/>
      <c r="AT44" s="444"/>
      <c r="AU44" s="446"/>
    </row>
    <row r="45" spans="1:55" ht="3.75" customHeight="1">
      <c r="A45" s="443"/>
      <c r="B45" s="444"/>
      <c r="C45" s="444"/>
      <c r="D45" s="400"/>
      <c r="E45" s="401"/>
      <c r="F45" s="401"/>
      <c r="G45" s="401"/>
      <c r="H45" s="401"/>
      <c r="I45" s="401"/>
      <c r="J45" s="401"/>
      <c r="K45" s="401"/>
      <c r="L45" s="401"/>
      <c r="M45" s="402"/>
      <c r="N45" s="1107"/>
      <c r="O45" s="401"/>
      <c r="P45" s="1156" t="s">
        <v>316</v>
      </c>
      <c r="Q45" s="1158" t="s">
        <v>413</v>
      </c>
      <c r="R45" s="1158"/>
      <c r="S45" s="1158"/>
      <c r="T45" s="1158"/>
      <c r="U45" s="1158"/>
      <c r="V45" s="1158"/>
      <c r="W45" s="1158"/>
      <c r="X45" s="1158"/>
      <c r="Y45" s="1158"/>
      <c r="Z45" s="1158"/>
      <c r="AA45" s="1158"/>
      <c r="AB45" s="1158"/>
      <c r="AC45" s="1158"/>
      <c r="AD45" s="1158"/>
      <c r="AE45" s="1158"/>
      <c r="AF45" s="1158"/>
      <c r="AG45" s="1158"/>
      <c r="AH45" s="1158"/>
      <c r="AI45" s="1158"/>
      <c r="AJ45" s="1158"/>
      <c r="AK45" s="1158"/>
      <c r="AL45" s="1158"/>
      <c r="AM45" s="1158"/>
      <c r="AN45" s="1159"/>
      <c r="AO45" s="444"/>
      <c r="AP45" s="444"/>
      <c r="AQ45" s="444"/>
      <c r="AR45" s="444"/>
      <c r="AS45" s="444"/>
      <c r="AT45" s="444"/>
      <c r="AU45" s="446"/>
    </row>
    <row r="46" spans="1:55" ht="9.75" customHeight="1">
      <c r="A46" s="443"/>
      <c r="B46" s="444"/>
      <c r="C46" s="444"/>
      <c r="D46" s="403"/>
      <c r="E46" s="1160"/>
      <c r="F46" s="1161"/>
      <c r="G46" s="401"/>
      <c r="H46" s="406" t="s">
        <v>166</v>
      </c>
      <c r="I46" s="404"/>
      <c r="J46" s="404" t="s">
        <v>2</v>
      </c>
      <c r="K46" s="1132" t="str">
        <f>IFERROR(VLOOKUP(B40,_Biodata_Lengkap,2,FALSE),"-")&amp;" / "&amp;IFERROR(VLOOKUP(B40,_Biodata_Lengkap,3,FALSE),"-")</f>
        <v>7058 / 0058537945</v>
      </c>
      <c r="L46" s="1132"/>
      <c r="M46" s="1133"/>
      <c r="N46" s="1107"/>
      <c r="O46" s="401"/>
      <c r="P46" s="1157"/>
      <c r="Q46" s="1158"/>
      <c r="R46" s="1158"/>
      <c r="S46" s="1158"/>
      <c r="T46" s="1158"/>
      <c r="U46" s="1158"/>
      <c r="V46" s="1158"/>
      <c r="W46" s="1158"/>
      <c r="X46" s="1158"/>
      <c r="Y46" s="1158"/>
      <c r="Z46" s="1158"/>
      <c r="AA46" s="1158"/>
      <c r="AB46" s="1158"/>
      <c r="AC46" s="1158"/>
      <c r="AD46" s="1158"/>
      <c r="AE46" s="1158"/>
      <c r="AF46" s="1158"/>
      <c r="AG46" s="1158"/>
      <c r="AH46" s="1158"/>
      <c r="AI46" s="1158"/>
      <c r="AJ46" s="1158"/>
      <c r="AK46" s="1158"/>
      <c r="AL46" s="1158"/>
      <c r="AM46" s="1158"/>
      <c r="AN46" s="1159"/>
      <c r="AO46" s="444"/>
      <c r="AP46" s="444"/>
      <c r="AQ46" s="444"/>
      <c r="AR46" s="444"/>
      <c r="AS46" s="444"/>
      <c r="AT46" s="444"/>
      <c r="AU46" s="446"/>
    </row>
    <row r="47" spans="1:55" ht="12" customHeight="1">
      <c r="A47" s="443"/>
      <c r="B47" s="444"/>
      <c r="C47" s="444"/>
      <c r="D47" s="403"/>
      <c r="E47" s="1162"/>
      <c r="F47" s="1163"/>
      <c r="G47" s="401"/>
      <c r="H47" s="406" t="s">
        <v>406</v>
      </c>
      <c r="I47" s="406"/>
      <c r="J47" s="406" t="s">
        <v>2</v>
      </c>
      <c r="K47" s="1132" t="str">
        <f>IFERROR(VLOOKUP(B40,_Biodata_Lengkap,5,FALSE),"-")&amp;", "&amp;IFERROR(VLOOKUP(B40,_Biodata_Lengkap,6,FALSE),"-")</f>
        <v>KOTABUMI, 11/12/2005</v>
      </c>
      <c r="L47" s="1132"/>
      <c r="M47" s="1133"/>
      <c r="N47" s="1107"/>
      <c r="O47" s="401"/>
      <c r="P47" s="1166" t="s">
        <v>327</v>
      </c>
      <c r="Q47" s="1134" t="s">
        <v>420</v>
      </c>
      <c r="R47" s="1134"/>
      <c r="S47" s="1134"/>
      <c r="T47" s="1134"/>
      <c r="U47" s="1134"/>
      <c r="V47" s="1134"/>
      <c r="W47" s="1134"/>
      <c r="X47" s="1134"/>
      <c r="Y47" s="1134"/>
      <c r="Z47" s="1134"/>
      <c r="AA47" s="1134"/>
      <c r="AB47" s="1134"/>
      <c r="AC47" s="1134"/>
      <c r="AD47" s="1134"/>
      <c r="AE47" s="1134"/>
      <c r="AF47" s="1134"/>
      <c r="AG47" s="1134"/>
      <c r="AH47" s="1134"/>
      <c r="AI47" s="1134"/>
      <c r="AJ47" s="1134"/>
      <c r="AK47" s="1134"/>
      <c r="AL47" s="1134"/>
      <c r="AM47" s="432"/>
      <c r="AN47" s="434"/>
      <c r="AO47" s="444"/>
      <c r="AP47" s="444"/>
      <c r="AQ47" s="444"/>
      <c r="AR47" s="444"/>
      <c r="AS47" s="444"/>
      <c r="AT47" s="444"/>
      <c r="AU47" s="446"/>
    </row>
    <row r="48" spans="1:55" ht="13.5" customHeight="1">
      <c r="A48" s="443"/>
      <c r="B48" s="444"/>
      <c r="C48" s="444"/>
      <c r="D48" s="403"/>
      <c r="E48" s="1162"/>
      <c r="F48" s="1163"/>
      <c r="G48" s="401"/>
      <c r="H48" s="406" t="s">
        <v>407</v>
      </c>
      <c r="I48" s="407"/>
      <c r="J48" s="407" t="s">
        <v>2</v>
      </c>
      <c r="K48" s="1132" t="str">
        <f>IFERROR(IF(VLOOKUP(B40,_Biodata_Lengkap,7,FALSE)=0,"-",VLOOKUP(B40,_Biodata_Lengkap,7,FALSE)),"-")</f>
        <v>Perempuan</v>
      </c>
      <c r="L48" s="1132"/>
      <c r="M48" s="1133"/>
      <c r="N48" s="1107"/>
      <c r="O48" s="401"/>
      <c r="P48" s="1167"/>
      <c r="Q48" s="1134" t="s">
        <v>421</v>
      </c>
      <c r="R48" s="1134"/>
      <c r="S48" s="1134"/>
      <c r="T48" s="1134"/>
      <c r="U48" s="1134"/>
      <c r="V48" s="1134"/>
      <c r="W48" s="1134"/>
      <c r="X48" s="1134"/>
      <c r="Y48" s="1134"/>
      <c r="Z48" s="1134"/>
      <c r="AA48" s="1134"/>
      <c r="AB48" s="1134"/>
      <c r="AC48" s="1134"/>
      <c r="AD48" s="1134"/>
      <c r="AE48" s="1134"/>
      <c r="AF48" s="1134"/>
      <c r="AG48" s="1134"/>
      <c r="AH48" s="1134"/>
      <c r="AI48" s="1134"/>
      <c r="AJ48" s="1134"/>
      <c r="AK48" s="1134"/>
      <c r="AL48" s="1134"/>
      <c r="AM48" s="432"/>
      <c r="AN48" s="434"/>
      <c r="AO48" s="444"/>
      <c r="AP48" s="444"/>
      <c r="AQ48" s="444"/>
      <c r="AR48" s="444"/>
      <c r="AS48" s="444"/>
      <c r="AT48" s="444"/>
      <c r="AU48" s="446"/>
    </row>
    <row r="49" spans="1:47" ht="12.75" customHeight="1">
      <c r="A49" s="443"/>
      <c r="B49" s="444"/>
      <c r="C49" s="444"/>
      <c r="D49" s="403"/>
      <c r="E49" s="1164"/>
      <c r="F49" s="1165"/>
      <c r="G49" s="401"/>
      <c r="H49" s="406" t="s">
        <v>143</v>
      </c>
      <c r="I49" s="404"/>
      <c r="J49" s="404" t="s">
        <v>2</v>
      </c>
      <c r="K49" s="1132" t="str">
        <f>IFERROR(IF(VLOOKUP(B40,_Biodata_Lengkap,11,FALSE)=0,"-",(VLOOKUP(B40,_Biodata_Lengkap,11,FALSE))),"-")</f>
        <v>SURAKARTA</v>
      </c>
      <c r="L49" s="1132"/>
      <c r="M49" s="1133"/>
      <c r="N49" s="1107"/>
      <c r="O49" s="401"/>
      <c r="P49" s="430" t="s">
        <v>410</v>
      </c>
      <c r="Q49" s="1134" t="s">
        <v>414</v>
      </c>
      <c r="R49" s="1134"/>
      <c r="S49" s="1134"/>
      <c r="T49" s="1134"/>
      <c r="U49" s="1134"/>
      <c r="V49" s="1134"/>
      <c r="W49" s="1134"/>
      <c r="X49" s="1134"/>
      <c r="Y49" s="1134"/>
      <c r="Z49" s="1134"/>
      <c r="AA49" s="1134"/>
      <c r="AB49" s="1134"/>
      <c r="AC49" s="1134"/>
      <c r="AD49" s="1134"/>
      <c r="AE49" s="1134"/>
      <c r="AF49" s="1134"/>
      <c r="AG49" s="1134"/>
      <c r="AH49" s="1134"/>
      <c r="AI49" s="1134"/>
      <c r="AJ49" s="1134"/>
      <c r="AK49" s="1134"/>
      <c r="AL49" s="1134"/>
      <c r="AM49" s="1134"/>
      <c r="AN49" s="1135"/>
      <c r="AO49" s="444"/>
      <c r="AP49" s="444"/>
      <c r="AQ49" s="444"/>
      <c r="AR49" s="444"/>
      <c r="AS49" s="444"/>
      <c r="AT49" s="444"/>
      <c r="AU49" s="446"/>
    </row>
    <row r="50" spans="1:47" ht="3.75" customHeight="1">
      <c r="A50" s="443"/>
      <c r="B50" s="444"/>
      <c r="C50" s="444"/>
      <c r="D50" s="403"/>
      <c r="E50" s="428"/>
      <c r="F50" s="401"/>
      <c r="G50" s="401"/>
      <c r="H50" s="404"/>
      <c r="I50" s="404"/>
      <c r="J50" s="404"/>
      <c r="K50" s="404"/>
      <c r="L50" s="404"/>
      <c r="M50" s="405"/>
      <c r="N50" s="1107"/>
      <c r="O50" s="401"/>
      <c r="P50" s="1136" t="s">
        <v>411</v>
      </c>
      <c r="Q50" s="1134" t="s">
        <v>415</v>
      </c>
      <c r="R50" s="1134"/>
      <c r="S50" s="1134"/>
      <c r="T50" s="1134"/>
      <c r="U50" s="411"/>
      <c r="V50" s="411"/>
      <c r="W50" s="411"/>
      <c r="X50" s="411"/>
      <c r="Y50" s="411"/>
      <c r="Z50" s="411"/>
      <c r="AA50" s="411"/>
      <c r="AB50" s="411"/>
      <c r="AC50" s="411"/>
      <c r="AD50" s="401"/>
      <c r="AE50" s="401"/>
      <c r="AF50" s="401"/>
      <c r="AG50" s="401"/>
      <c r="AH50" s="401"/>
      <c r="AI50" s="401"/>
      <c r="AJ50" s="401"/>
      <c r="AK50" s="401"/>
      <c r="AL50" s="401"/>
      <c r="AM50" s="401"/>
      <c r="AN50" s="402"/>
      <c r="AO50" s="444"/>
      <c r="AP50" s="444"/>
      <c r="AQ50" s="444"/>
      <c r="AR50" s="444"/>
      <c r="AS50" s="444"/>
      <c r="AT50" s="444"/>
      <c r="AU50" s="446"/>
    </row>
    <row r="51" spans="1:47" ht="9" customHeight="1" thickBot="1">
      <c r="A51" s="443"/>
      <c r="B51" s="444"/>
      <c r="C51" s="444"/>
      <c r="D51" s="1139" t="str">
        <f>IFERROR(VLOOKUP(B40,_Biodata_Lengkap,4,FALSE),"-")</f>
        <v>Anandhita Nafra Wilova</v>
      </c>
      <c r="E51" s="1140"/>
      <c r="F51" s="1140"/>
      <c r="G51" s="1140"/>
      <c r="H51" s="1140"/>
      <c r="I51" s="1140"/>
      <c r="J51" s="1140"/>
      <c r="K51" s="1140"/>
      <c r="L51" s="1140"/>
      <c r="M51" s="1141"/>
      <c r="N51" s="1107"/>
      <c r="O51" s="401"/>
      <c r="P51" s="1136"/>
      <c r="Q51" s="1134"/>
      <c r="R51" s="1134"/>
      <c r="S51" s="1134"/>
      <c r="T51" s="1134"/>
      <c r="U51" s="411"/>
      <c r="V51" s="411"/>
      <c r="W51" s="411"/>
      <c r="X51" s="411"/>
      <c r="Y51" s="411"/>
      <c r="Z51" s="411"/>
      <c r="AA51" s="411"/>
      <c r="AB51" s="411"/>
      <c r="AC51" s="411"/>
      <c r="AD51" s="411"/>
      <c r="AE51" s="411"/>
      <c r="AF51" s="411"/>
      <c r="AG51" s="411"/>
      <c r="AH51" s="411"/>
      <c r="AI51" s="411"/>
      <c r="AJ51" s="411"/>
      <c r="AK51" s="1145"/>
      <c r="AL51" s="1145"/>
      <c r="AM51" s="1145"/>
      <c r="AN51" s="1146"/>
      <c r="AO51" s="444"/>
      <c r="AP51" s="444"/>
      <c r="AQ51" s="444"/>
      <c r="AR51" s="444"/>
      <c r="AS51" s="444"/>
      <c r="AT51" s="444"/>
      <c r="AU51" s="446"/>
    </row>
    <row r="52" spans="1:47" ht="0.95" customHeight="1" thickTop="1" thickBot="1">
      <c r="A52" s="443"/>
      <c r="B52" s="444"/>
      <c r="C52" s="444"/>
      <c r="D52" s="1139"/>
      <c r="E52" s="1140"/>
      <c r="F52" s="1140"/>
      <c r="G52" s="1140"/>
      <c r="H52" s="1140"/>
      <c r="I52" s="1140"/>
      <c r="J52" s="1140"/>
      <c r="K52" s="1140"/>
      <c r="L52" s="1140"/>
      <c r="M52" s="1141"/>
      <c r="N52" s="1107"/>
      <c r="O52" s="401"/>
      <c r="P52" s="1136"/>
      <c r="Q52" s="1134"/>
      <c r="R52" s="1134"/>
      <c r="S52" s="1134"/>
      <c r="T52" s="1134"/>
      <c r="U52" s="411"/>
      <c r="V52" s="411"/>
      <c r="W52" s="411"/>
      <c r="X52" s="411"/>
      <c r="Y52" s="411"/>
      <c r="Z52" s="411"/>
      <c r="AA52" s="411"/>
      <c r="AB52" s="411"/>
      <c r="AC52" s="411"/>
      <c r="AD52" s="411"/>
      <c r="AE52" s="411"/>
      <c r="AF52" s="411"/>
      <c r="AG52" s="411"/>
      <c r="AH52" s="411"/>
      <c r="AI52" s="411"/>
      <c r="AJ52" s="412"/>
      <c r="AK52" s="409"/>
      <c r="AL52" s="409"/>
      <c r="AM52" s="409"/>
      <c r="AN52" s="410"/>
      <c r="AO52" s="444"/>
      <c r="AP52" s="444"/>
      <c r="AQ52" s="444"/>
      <c r="AR52" s="444"/>
      <c r="AS52" s="444"/>
      <c r="AT52" s="444"/>
      <c r="AU52" s="446"/>
    </row>
    <row r="53" spans="1:47" ht="0.95" customHeight="1" thickTop="1" thickBot="1">
      <c r="A53" s="443"/>
      <c r="B53" s="444"/>
      <c r="C53" s="444"/>
      <c r="D53" s="1139"/>
      <c r="E53" s="1140"/>
      <c r="F53" s="1140"/>
      <c r="G53" s="1140"/>
      <c r="H53" s="1140"/>
      <c r="I53" s="1140"/>
      <c r="J53" s="1140"/>
      <c r="K53" s="1140"/>
      <c r="L53" s="1140"/>
      <c r="M53" s="1141"/>
      <c r="N53" s="1107"/>
      <c r="O53" s="401"/>
      <c r="P53" s="1136"/>
      <c r="Q53" s="1134"/>
      <c r="R53" s="1134"/>
      <c r="S53" s="1134"/>
      <c r="T53" s="1134"/>
      <c r="U53" s="411"/>
      <c r="V53" s="411"/>
      <c r="W53" s="411"/>
      <c r="X53" s="411"/>
      <c r="Y53" s="411"/>
      <c r="Z53" s="411"/>
      <c r="AA53" s="411"/>
      <c r="AB53" s="411"/>
      <c r="AC53" s="411"/>
      <c r="AD53" s="411"/>
      <c r="AE53" s="411"/>
      <c r="AF53" s="411"/>
      <c r="AG53" s="411"/>
      <c r="AH53" s="411"/>
      <c r="AI53" s="412"/>
      <c r="AJ53" s="409"/>
      <c r="AK53" s="409"/>
      <c r="AL53" s="409"/>
      <c r="AM53" s="409"/>
      <c r="AN53" s="410"/>
      <c r="AO53" s="444"/>
      <c r="AP53" s="444"/>
      <c r="AQ53" s="444"/>
      <c r="AR53" s="444"/>
      <c r="AS53" s="444"/>
      <c r="AT53" s="444"/>
      <c r="AU53" s="446"/>
    </row>
    <row r="54" spans="1:47" ht="0.95" customHeight="1" thickTop="1" thickBot="1">
      <c r="A54" s="443"/>
      <c r="B54" s="444"/>
      <c r="C54" s="444"/>
      <c r="D54" s="1139"/>
      <c r="E54" s="1140"/>
      <c r="F54" s="1140"/>
      <c r="G54" s="1140"/>
      <c r="H54" s="1140"/>
      <c r="I54" s="1140"/>
      <c r="J54" s="1140"/>
      <c r="K54" s="1140"/>
      <c r="L54" s="1140"/>
      <c r="M54" s="1141"/>
      <c r="N54" s="1107"/>
      <c r="O54" s="401"/>
      <c r="P54" s="1136"/>
      <c r="Q54" s="1134"/>
      <c r="R54" s="1134"/>
      <c r="S54" s="1134"/>
      <c r="T54" s="1134"/>
      <c r="U54" s="411"/>
      <c r="V54" s="411"/>
      <c r="W54" s="411"/>
      <c r="X54" s="411"/>
      <c r="Y54" s="411"/>
      <c r="Z54" s="411"/>
      <c r="AA54" s="411"/>
      <c r="AB54" s="411"/>
      <c r="AC54" s="411"/>
      <c r="AD54" s="411"/>
      <c r="AE54" s="411"/>
      <c r="AF54" s="411"/>
      <c r="AG54" s="411"/>
      <c r="AH54" s="412"/>
      <c r="AI54" s="409"/>
      <c r="AJ54" s="409"/>
      <c r="AK54" s="409"/>
      <c r="AL54" s="409"/>
      <c r="AM54" s="409"/>
      <c r="AN54" s="410"/>
      <c r="AO54" s="444"/>
      <c r="AP54" s="444"/>
      <c r="AQ54" s="444"/>
      <c r="AR54" s="444"/>
      <c r="AS54" s="444"/>
      <c r="AT54" s="444"/>
      <c r="AU54" s="446"/>
    </row>
    <row r="55" spans="1:47" ht="0.95" customHeight="1" thickTop="1" thickBot="1">
      <c r="A55" s="443"/>
      <c r="B55" s="444"/>
      <c r="C55" s="444"/>
      <c r="D55" s="1139"/>
      <c r="E55" s="1140"/>
      <c r="F55" s="1140"/>
      <c r="G55" s="1140"/>
      <c r="H55" s="1140"/>
      <c r="I55" s="1140"/>
      <c r="J55" s="1140"/>
      <c r="K55" s="1140"/>
      <c r="L55" s="1140"/>
      <c r="M55" s="1141"/>
      <c r="N55" s="1107"/>
      <c r="O55" s="401"/>
      <c r="P55" s="1136"/>
      <c r="Q55" s="1134"/>
      <c r="R55" s="1134"/>
      <c r="S55" s="1134"/>
      <c r="T55" s="1134"/>
      <c r="U55" s="411"/>
      <c r="V55" s="411"/>
      <c r="W55" s="411"/>
      <c r="X55" s="411"/>
      <c r="Y55" s="411"/>
      <c r="Z55" s="411"/>
      <c r="AA55" s="411"/>
      <c r="AB55" s="411"/>
      <c r="AC55" s="411"/>
      <c r="AD55" s="411"/>
      <c r="AE55" s="411"/>
      <c r="AF55" s="411"/>
      <c r="AG55" s="412"/>
      <c r="AH55" s="409"/>
      <c r="AI55" s="409"/>
      <c r="AJ55" s="409"/>
      <c r="AK55" s="409"/>
      <c r="AL55" s="409"/>
      <c r="AM55" s="409"/>
      <c r="AN55" s="410"/>
      <c r="AO55" s="444"/>
      <c r="AP55" s="444"/>
      <c r="AQ55" s="444"/>
      <c r="AR55" s="444"/>
      <c r="AS55" s="444"/>
      <c r="AT55" s="444"/>
      <c r="AU55" s="446"/>
    </row>
    <row r="56" spans="1:47" ht="0.95" customHeight="1" thickTop="1" thickBot="1">
      <c r="A56" s="443"/>
      <c r="B56" s="444"/>
      <c r="C56" s="444"/>
      <c r="D56" s="1139"/>
      <c r="E56" s="1140"/>
      <c r="F56" s="1140"/>
      <c r="G56" s="1140"/>
      <c r="H56" s="1140"/>
      <c r="I56" s="1140"/>
      <c r="J56" s="1140"/>
      <c r="K56" s="1140"/>
      <c r="L56" s="1140"/>
      <c r="M56" s="1141"/>
      <c r="N56" s="1107"/>
      <c r="O56" s="401"/>
      <c r="P56" s="1136"/>
      <c r="Q56" s="1134"/>
      <c r="R56" s="1134"/>
      <c r="S56" s="1134"/>
      <c r="T56" s="1134"/>
      <c r="U56" s="411"/>
      <c r="V56" s="411"/>
      <c r="W56" s="411"/>
      <c r="X56" s="411"/>
      <c r="Y56" s="411"/>
      <c r="Z56" s="411"/>
      <c r="AA56" s="411"/>
      <c r="AB56" s="411"/>
      <c r="AC56" s="411"/>
      <c r="AD56" s="411"/>
      <c r="AE56" s="411"/>
      <c r="AF56" s="412"/>
      <c r="AG56" s="409"/>
      <c r="AH56" s="409"/>
      <c r="AI56" s="409"/>
      <c r="AJ56" s="409"/>
      <c r="AK56" s="409"/>
      <c r="AL56" s="409"/>
      <c r="AM56" s="409"/>
      <c r="AN56" s="410"/>
      <c r="AO56" s="444"/>
      <c r="AP56" s="444"/>
      <c r="AQ56" s="444"/>
      <c r="AR56" s="444"/>
      <c r="AS56" s="444"/>
      <c r="AT56" s="444"/>
      <c r="AU56" s="446"/>
    </row>
    <row r="57" spans="1:47" ht="0.95" customHeight="1" thickTop="1" thickBot="1">
      <c r="A57" s="443"/>
      <c r="B57" s="444"/>
      <c r="C57" s="444"/>
      <c r="D57" s="1139"/>
      <c r="E57" s="1140"/>
      <c r="F57" s="1140"/>
      <c r="G57" s="1140"/>
      <c r="H57" s="1140"/>
      <c r="I57" s="1140"/>
      <c r="J57" s="1140"/>
      <c r="K57" s="1140"/>
      <c r="L57" s="1140"/>
      <c r="M57" s="1141"/>
      <c r="N57" s="1107"/>
      <c r="O57" s="401"/>
      <c r="P57" s="1136"/>
      <c r="Q57" s="1134"/>
      <c r="R57" s="1134"/>
      <c r="S57" s="1134"/>
      <c r="T57" s="1134"/>
      <c r="U57" s="411"/>
      <c r="V57" s="411"/>
      <c r="W57" s="411"/>
      <c r="X57" s="411"/>
      <c r="Y57" s="411"/>
      <c r="Z57" s="411"/>
      <c r="AA57" s="411"/>
      <c r="AB57" s="411"/>
      <c r="AC57" s="411"/>
      <c r="AD57" s="411"/>
      <c r="AE57" s="412"/>
      <c r="AF57" s="409"/>
      <c r="AG57" s="409"/>
      <c r="AH57" s="409"/>
      <c r="AI57" s="409"/>
      <c r="AJ57" s="409"/>
      <c r="AK57" s="409"/>
      <c r="AL57" s="409"/>
      <c r="AM57" s="409"/>
      <c r="AN57" s="410"/>
      <c r="AO57" s="444"/>
      <c r="AP57" s="444"/>
      <c r="AQ57" s="444"/>
      <c r="AR57" s="444"/>
      <c r="AS57" s="444"/>
      <c r="AT57" s="444"/>
      <c r="AU57" s="446"/>
    </row>
    <row r="58" spans="1:47" ht="0.95" customHeight="1" thickTop="1" thickBot="1">
      <c r="A58" s="443"/>
      <c r="B58" s="444"/>
      <c r="C58" s="444"/>
      <c r="D58" s="1139"/>
      <c r="E58" s="1140"/>
      <c r="F58" s="1140"/>
      <c r="G58" s="1140"/>
      <c r="H58" s="1140"/>
      <c r="I58" s="1140"/>
      <c r="J58" s="1140"/>
      <c r="K58" s="1140"/>
      <c r="L58" s="1140"/>
      <c r="M58" s="1141"/>
      <c r="N58" s="1107"/>
      <c r="O58" s="401"/>
      <c r="P58" s="1136"/>
      <c r="Q58" s="1134"/>
      <c r="R58" s="1134"/>
      <c r="S58" s="1134"/>
      <c r="T58" s="1134"/>
      <c r="U58" s="411"/>
      <c r="V58" s="411"/>
      <c r="W58" s="411"/>
      <c r="X58" s="411"/>
      <c r="Y58" s="411"/>
      <c r="Z58" s="411"/>
      <c r="AA58" s="411"/>
      <c r="AB58" s="411"/>
      <c r="AC58" s="411"/>
      <c r="AD58" s="412"/>
      <c r="AE58" s="409"/>
      <c r="AF58" s="409"/>
      <c r="AG58" s="1147" t="str">
        <f>_tempat_penyerahan&amp;", "&amp;IFERROR(VLOOKUP($B$4,_Biodata_Lengkap,15,FALSE),"-")</f>
        <v>Abung Surakarta, 16/07/2018</v>
      </c>
      <c r="AH58" s="1147"/>
      <c r="AI58" s="1147"/>
      <c r="AJ58" s="1147"/>
      <c r="AK58" s="1147"/>
      <c r="AL58" s="1147"/>
      <c r="AM58" s="1147"/>
      <c r="AN58" s="410"/>
      <c r="AO58" s="444"/>
      <c r="AP58" s="444"/>
      <c r="AQ58" s="444"/>
      <c r="AR58" s="444"/>
      <c r="AS58" s="444"/>
      <c r="AT58" s="444"/>
      <c r="AU58" s="446"/>
    </row>
    <row r="59" spans="1:47" ht="0.95" customHeight="1" thickTop="1" thickBot="1">
      <c r="A59" s="443"/>
      <c r="B59" s="444"/>
      <c r="C59" s="444"/>
      <c r="D59" s="1139"/>
      <c r="E59" s="1140"/>
      <c r="F59" s="1140"/>
      <c r="G59" s="1140"/>
      <c r="H59" s="1140"/>
      <c r="I59" s="1140"/>
      <c r="J59" s="1140"/>
      <c r="K59" s="1140"/>
      <c r="L59" s="1140"/>
      <c r="M59" s="1141"/>
      <c r="N59" s="1107"/>
      <c r="O59" s="401"/>
      <c r="P59" s="1136"/>
      <c r="Q59" s="1134"/>
      <c r="R59" s="1134"/>
      <c r="S59" s="1134"/>
      <c r="T59" s="1134"/>
      <c r="U59" s="411"/>
      <c r="V59" s="411"/>
      <c r="W59" s="411"/>
      <c r="X59" s="411"/>
      <c r="Y59" s="411"/>
      <c r="Z59" s="411"/>
      <c r="AA59" s="411"/>
      <c r="AB59" s="411"/>
      <c r="AC59" s="412"/>
      <c r="AD59" s="409"/>
      <c r="AE59" s="409"/>
      <c r="AF59" s="409"/>
      <c r="AG59" s="1147"/>
      <c r="AH59" s="1147"/>
      <c r="AI59" s="1147"/>
      <c r="AJ59" s="1147"/>
      <c r="AK59" s="1147"/>
      <c r="AL59" s="1147"/>
      <c r="AM59" s="1147"/>
      <c r="AN59" s="410"/>
      <c r="AO59" s="444"/>
      <c r="AP59" s="444"/>
      <c r="AQ59" s="444"/>
      <c r="AR59" s="444"/>
      <c r="AS59" s="444"/>
      <c r="AT59" s="444"/>
      <c r="AU59" s="446"/>
    </row>
    <row r="60" spans="1:47" ht="0.95" customHeight="1" thickTop="1" thickBot="1">
      <c r="A60" s="443"/>
      <c r="B60" s="444"/>
      <c r="C60" s="444"/>
      <c r="D60" s="1139"/>
      <c r="E60" s="1140"/>
      <c r="F60" s="1140"/>
      <c r="G60" s="1140"/>
      <c r="H60" s="1140"/>
      <c r="I60" s="1140"/>
      <c r="J60" s="1140"/>
      <c r="K60" s="1140"/>
      <c r="L60" s="1140"/>
      <c r="M60" s="1141"/>
      <c r="N60" s="1107"/>
      <c r="O60" s="401"/>
      <c r="P60" s="1136"/>
      <c r="Q60" s="1134"/>
      <c r="R60" s="1134"/>
      <c r="S60" s="1134"/>
      <c r="T60" s="1134"/>
      <c r="U60" s="432"/>
      <c r="V60" s="432"/>
      <c r="W60" s="432"/>
      <c r="X60" s="432"/>
      <c r="Y60" s="432"/>
      <c r="Z60" s="401"/>
      <c r="AA60" s="401"/>
      <c r="AB60" s="412"/>
      <c r="AC60" s="409"/>
      <c r="AD60" s="409"/>
      <c r="AE60" s="409"/>
      <c r="AF60" s="409"/>
      <c r="AG60" s="1147"/>
      <c r="AH60" s="1147"/>
      <c r="AI60" s="1147"/>
      <c r="AJ60" s="1147"/>
      <c r="AK60" s="1147"/>
      <c r="AL60" s="1147"/>
      <c r="AM60" s="1147"/>
      <c r="AN60" s="410"/>
      <c r="AO60" s="444"/>
      <c r="AP60" s="444"/>
      <c r="AQ60" s="444"/>
      <c r="AR60" s="444"/>
      <c r="AS60" s="444"/>
      <c r="AT60" s="444"/>
      <c r="AU60" s="446"/>
    </row>
    <row r="61" spans="1:47" ht="0.95" customHeight="1" thickTop="1" thickBot="1">
      <c r="A61" s="443"/>
      <c r="B61" s="444"/>
      <c r="C61" s="444"/>
      <c r="D61" s="1139"/>
      <c r="E61" s="1140"/>
      <c r="F61" s="1140"/>
      <c r="G61" s="1140"/>
      <c r="H61" s="1140"/>
      <c r="I61" s="1140"/>
      <c r="J61" s="1140"/>
      <c r="K61" s="1140"/>
      <c r="L61" s="1140"/>
      <c r="M61" s="1141"/>
      <c r="N61" s="1107"/>
      <c r="O61" s="401"/>
      <c r="P61" s="1136"/>
      <c r="Q61" s="1134"/>
      <c r="R61" s="1134"/>
      <c r="S61" s="1134"/>
      <c r="T61" s="1134"/>
      <c r="U61" s="432"/>
      <c r="V61" s="432"/>
      <c r="W61" s="432"/>
      <c r="X61" s="432"/>
      <c r="Y61" s="432"/>
      <c r="Z61" s="401"/>
      <c r="AA61" s="412"/>
      <c r="AB61" s="409"/>
      <c r="AC61" s="409"/>
      <c r="AD61" s="409"/>
      <c r="AE61" s="409"/>
      <c r="AF61" s="409"/>
      <c r="AG61" s="1147"/>
      <c r="AH61" s="1147"/>
      <c r="AI61" s="1147"/>
      <c r="AJ61" s="1147"/>
      <c r="AK61" s="1147"/>
      <c r="AL61" s="1147"/>
      <c r="AM61" s="1147"/>
      <c r="AN61" s="410"/>
      <c r="AO61" s="444"/>
      <c r="AP61" s="444"/>
      <c r="AQ61" s="444"/>
      <c r="AR61" s="444"/>
      <c r="AS61" s="444"/>
      <c r="AT61" s="444"/>
      <c r="AU61" s="446"/>
    </row>
    <row r="62" spans="1:47" ht="0.95" customHeight="1" thickTop="1" thickBot="1">
      <c r="A62" s="443"/>
      <c r="B62" s="444"/>
      <c r="C62" s="444"/>
      <c r="D62" s="1139"/>
      <c r="E62" s="1140"/>
      <c r="F62" s="1140"/>
      <c r="G62" s="1140"/>
      <c r="H62" s="1140"/>
      <c r="I62" s="1140"/>
      <c r="J62" s="1140"/>
      <c r="K62" s="1140"/>
      <c r="L62" s="1140"/>
      <c r="M62" s="1141"/>
      <c r="N62" s="1107"/>
      <c r="O62" s="401"/>
      <c r="P62" s="1136"/>
      <c r="Q62" s="1134"/>
      <c r="R62" s="1134"/>
      <c r="S62" s="1134"/>
      <c r="T62" s="1134"/>
      <c r="U62" s="432"/>
      <c r="V62" s="432">
        <v>111</v>
      </c>
      <c r="W62" s="432"/>
      <c r="X62" s="432">
        <v>11</v>
      </c>
      <c r="Y62" s="433"/>
      <c r="Z62" s="412"/>
      <c r="AA62" s="409"/>
      <c r="AB62" s="409"/>
      <c r="AC62" s="409"/>
      <c r="AD62" s="409"/>
      <c r="AE62" s="409"/>
      <c r="AF62" s="409"/>
      <c r="AG62" s="1147"/>
      <c r="AH62" s="1147"/>
      <c r="AI62" s="1147"/>
      <c r="AJ62" s="1147"/>
      <c r="AK62" s="1147"/>
      <c r="AL62" s="1147"/>
      <c r="AM62" s="1147"/>
      <c r="AN62" s="410"/>
      <c r="AO62" s="444"/>
      <c r="AP62" s="444"/>
      <c r="AQ62" s="444"/>
      <c r="AR62" s="444"/>
      <c r="AS62" s="444"/>
      <c r="AT62" s="444"/>
      <c r="AU62" s="446"/>
    </row>
    <row r="63" spans="1:47" ht="0.95" customHeight="1" thickTop="1" thickBot="1">
      <c r="A63" s="443"/>
      <c r="B63" s="444"/>
      <c r="C63" s="444"/>
      <c r="D63" s="1139"/>
      <c r="E63" s="1140"/>
      <c r="F63" s="1140"/>
      <c r="G63" s="1140"/>
      <c r="H63" s="1140"/>
      <c r="I63" s="1140"/>
      <c r="J63" s="1140"/>
      <c r="K63" s="1140"/>
      <c r="L63" s="1140"/>
      <c r="M63" s="1141"/>
      <c r="N63" s="1107"/>
      <c r="O63" s="401"/>
      <c r="P63" s="1136"/>
      <c r="Q63" s="1134"/>
      <c r="R63" s="1134"/>
      <c r="S63" s="1134"/>
      <c r="T63" s="1134"/>
      <c r="U63" s="432"/>
      <c r="V63" s="432"/>
      <c r="W63" s="432"/>
      <c r="X63" s="432"/>
      <c r="Y63" s="412"/>
      <c r="Z63" s="409"/>
      <c r="AA63" s="409"/>
      <c r="AB63" s="409"/>
      <c r="AC63" s="409"/>
      <c r="AD63" s="409"/>
      <c r="AE63" s="409"/>
      <c r="AF63" s="409"/>
      <c r="AG63" s="1147"/>
      <c r="AH63" s="1147"/>
      <c r="AI63" s="1147"/>
      <c r="AJ63" s="1147"/>
      <c r="AK63" s="1147"/>
      <c r="AL63" s="1147"/>
      <c r="AM63" s="1147"/>
      <c r="AN63" s="410"/>
      <c r="AO63" s="444"/>
      <c r="AP63" s="444"/>
      <c r="AQ63" s="444"/>
      <c r="AR63" s="444"/>
      <c r="AS63" s="444"/>
      <c r="AT63" s="444"/>
      <c r="AU63" s="446"/>
    </row>
    <row r="64" spans="1:47" ht="0.95" customHeight="1" thickTop="1" thickBot="1">
      <c r="A64" s="443"/>
      <c r="B64" s="444"/>
      <c r="C64" s="444"/>
      <c r="D64" s="1142"/>
      <c r="E64" s="1143"/>
      <c r="F64" s="1143"/>
      <c r="G64" s="1143"/>
      <c r="H64" s="1143"/>
      <c r="I64" s="1143"/>
      <c r="J64" s="1143"/>
      <c r="K64" s="1143"/>
      <c r="L64" s="1143"/>
      <c r="M64" s="1144"/>
      <c r="N64" s="1107"/>
      <c r="O64" s="401"/>
      <c r="P64" s="1136"/>
      <c r="Q64" s="1134"/>
      <c r="R64" s="1134"/>
      <c r="S64" s="1134"/>
      <c r="T64" s="1134"/>
      <c r="U64" s="432"/>
      <c r="V64" s="432"/>
      <c r="W64" s="432"/>
      <c r="X64" s="412"/>
      <c r="Y64" s="409"/>
      <c r="Z64" s="409"/>
      <c r="AA64" s="409"/>
      <c r="AB64" s="409"/>
      <c r="AC64" s="409"/>
      <c r="AD64" s="409"/>
      <c r="AE64" s="409"/>
      <c r="AF64" s="409"/>
      <c r="AG64" s="1147"/>
      <c r="AH64" s="1147"/>
      <c r="AI64" s="1147"/>
      <c r="AJ64" s="1147"/>
      <c r="AK64" s="1147"/>
      <c r="AL64" s="1147"/>
      <c r="AM64" s="1147"/>
      <c r="AN64" s="410"/>
      <c r="AO64" s="444"/>
      <c r="AP64" s="444"/>
      <c r="AQ64" s="444"/>
      <c r="AR64" s="444"/>
      <c r="AS64" s="444"/>
      <c r="AT64" s="444"/>
      <c r="AU64" s="446"/>
    </row>
    <row r="65" spans="1:55" ht="0.95" customHeight="1" thickTop="1" thickBot="1">
      <c r="A65" s="443"/>
      <c r="B65" s="444"/>
      <c r="C65" s="444"/>
      <c r="D65" s="419"/>
      <c r="E65" s="420"/>
      <c r="F65" s="420"/>
      <c r="G65" s="420"/>
      <c r="H65" s="420"/>
      <c r="I65" s="420"/>
      <c r="J65" s="420"/>
      <c r="K65" s="420"/>
      <c r="L65" s="420"/>
      <c r="M65" s="421"/>
      <c r="N65" s="1107"/>
      <c r="O65" s="401"/>
      <c r="P65" s="1136"/>
      <c r="Q65" s="1134"/>
      <c r="R65" s="1134"/>
      <c r="S65" s="1134"/>
      <c r="T65" s="1134"/>
      <c r="U65" s="432"/>
      <c r="V65" s="432"/>
      <c r="W65" s="412"/>
      <c r="X65" s="409"/>
      <c r="Y65" s="409"/>
      <c r="Z65" s="409"/>
      <c r="AA65" s="409"/>
      <c r="AB65" s="409"/>
      <c r="AC65" s="409"/>
      <c r="AD65" s="409"/>
      <c r="AE65" s="409"/>
      <c r="AF65" s="409"/>
      <c r="AG65" s="1147"/>
      <c r="AH65" s="1147"/>
      <c r="AI65" s="1147"/>
      <c r="AJ65" s="1147"/>
      <c r="AK65" s="1147"/>
      <c r="AL65" s="1147"/>
      <c r="AM65" s="1147"/>
      <c r="AN65" s="410"/>
      <c r="AO65" s="444"/>
      <c r="AP65" s="444"/>
      <c r="AQ65" s="444"/>
      <c r="AR65" s="444"/>
      <c r="AS65" s="444"/>
      <c r="AT65" s="444"/>
      <c r="AU65" s="446"/>
    </row>
    <row r="66" spans="1:55" ht="0.95" customHeight="1" thickTop="1" thickBot="1">
      <c r="A66" s="443"/>
      <c r="B66" s="444"/>
      <c r="C66" s="444"/>
      <c r="D66" s="419"/>
      <c r="E66" s="420"/>
      <c r="F66" s="420"/>
      <c r="G66" s="420"/>
      <c r="H66" s="420"/>
      <c r="I66" s="420"/>
      <c r="J66" s="420"/>
      <c r="K66" s="420"/>
      <c r="L66" s="420"/>
      <c r="M66" s="421"/>
      <c r="N66" s="1107"/>
      <c r="O66" s="401"/>
      <c r="P66" s="1136"/>
      <c r="Q66" s="1134"/>
      <c r="R66" s="1134"/>
      <c r="S66" s="1134"/>
      <c r="T66" s="1134"/>
      <c r="U66" s="432"/>
      <c r="V66" s="412"/>
      <c r="W66" s="409"/>
      <c r="X66" s="409"/>
      <c r="Y66" s="409"/>
      <c r="Z66" s="409"/>
      <c r="AA66" s="409"/>
      <c r="AB66" s="409"/>
      <c r="AC66" s="409"/>
      <c r="AD66" s="409"/>
      <c r="AE66" s="409"/>
      <c r="AF66" s="409"/>
      <c r="AG66" s="1147"/>
      <c r="AH66" s="1147"/>
      <c r="AI66" s="1147"/>
      <c r="AJ66" s="1147"/>
      <c r="AK66" s="1147"/>
      <c r="AL66" s="1147"/>
      <c r="AM66" s="1147"/>
      <c r="AN66" s="410"/>
      <c r="AO66" s="444"/>
      <c r="AP66" s="444"/>
      <c r="AQ66" s="444"/>
      <c r="AR66" s="444"/>
      <c r="AS66" s="444"/>
      <c r="AT66" s="444"/>
      <c r="AU66" s="446"/>
    </row>
    <row r="67" spans="1:55" ht="0.95" customHeight="1" thickTop="1" thickBot="1">
      <c r="A67" s="443"/>
      <c r="B67" s="444"/>
      <c r="C67" s="444"/>
      <c r="D67" s="419"/>
      <c r="E67" s="420"/>
      <c r="F67" s="420"/>
      <c r="G67" s="420"/>
      <c r="H67" s="420"/>
      <c r="I67" s="420"/>
      <c r="J67" s="420"/>
      <c r="K67" s="420"/>
      <c r="L67" s="420"/>
      <c r="M67" s="421"/>
      <c r="N67" s="1107"/>
      <c r="O67" s="401"/>
      <c r="P67" s="1137"/>
      <c r="Q67" s="1138"/>
      <c r="R67" s="1138"/>
      <c r="S67" s="1138"/>
      <c r="T67" s="1138"/>
      <c r="U67" s="412"/>
      <c r="V67" s="409"/>
      <c r="W67" s="409"/>
      <c r="X67" s="409"/>
      <c r="Y67" s="409"/>
      <c r="Z67" s="409"/>
      <c r="AA67" s="409"/>
      <c r="AB67" s="409"/>
      <c r="AC67" s="409"/>
      <c r="AD67" s="409"/>
      <c r="AE67" s="409"/>
      <c r="AF67" s="409"/>
      <c r="AG67" s="1147"/>
      <c r="AH67" s="1147"/>
      <c r="AI67" s="1147"/>
      <c r="AJ67" s="1147"/>
      <c r="AK67" s="1147"/>
      <c r="AL67" s="1147"/>
      <c r="AM67" s="1147"/>
      <c r="AN67" s="410"/>
      <c r="AO67" s="444"/>
      <c r="AP67" s="444"/>
      <c r="AQ67" s="444"/>
      <c r="AR67" s="444"/>
      <c r="AS67" s="444"/>
      <c r="AT67" s="444"/>
      <c r="AU67" s="446"/>
    </row>
    <row r="68" spans="1:55" ht="6.75" customHeight="1" thickTop="1">
      <c r="A68" s="443"/>
      <c r="B68" s="444"/>
      <c r="C68" s="444"/>
      <c r="D68" s="1169" t="s">
        <v>408</v>
      </c>
      <c r="E68" s="1170"/>
      <c r="F68" s="1170"/>
      <c r="G68" s="1170"/>
      <c r="H68" s="1170"/>
      <c r="I68" s="1170"/>
      <c r="J68" s="1170"/>
      <c r="K68" s="1170"/>
      <c r="L68" s="1170"/>
      <c r="M68" s="1171"/>
      <c r="N68" s="1107"/>
      <c r="O68" s="401"/>
      <c r="P68" s="417"/>
      <c r="Q68" s="418"/>
      <c r="R68" s="418"/>
      <c r="S68" s="418"/>
      <c r="T68" s="418"/>
      <c r="U68" s="418"/>
      <c r="V68" s="418"/>
      <c r="W68" s="418"/>
      <c r="X68" s="418"/>
      <c r="Y68" s="418"/>
      <c r="Z68" s="418"/>
      <c r="AA68" s="418"/>
      <c r="AB68" s="418"/>
      <c r="AC68" s="418"/>
      <c r="AD68" s="418"/>
      <c r="AE68" s="418"/>
      <c r="AF68" s="418"/>
      <c r="AG68" s="418"/>
      <c r="AH68" s="418"/>
      <c r="AI68" s="409"/>
      <c r="AJ68" s="409"/>
      <c r="AK68" s="409"/>
      <c r="AL68" s="1175" t="str">
        <f>"Kepala SMP "&amp;PROPER(MID(_nama_sekolah,5,30))</f>
        <v>Kepala SMP Negeri 1 Abung Surakarta</v>
      </c>
      <c r="AM68" s="1175"/>
      <c r="AN68" s="416"/>
      <c r="AO68" s="444"/>
      <c r="AP68" s="444"/>
      <c r="AQ68" s="444"/>
      <c r="AR68" s="444"/>
      <c r="AS68" s="444"/>
      <c r="AT68" s="444"/>
      <c r="AU68" s="446"/>
    </row>
    <row r="69" spans="1:55" ht="6.75" customHeight="1">
      <c r="A69" s="443"/>
      <c r="B69" s="444"/>
      <c r="C69" s="444"/>
      <c r="D69" s="1169"/>
      <c r="E69" s="1170"/>
      <c r="F69" s="1170"/>
      <c r="G69" s="1170"/>
      <c r="H69" s="1170"/>
      <c r="I69" s="1170"/>
      <c r="J69" s="1170"/>
      <c r="K69" s="1170"/>
      <c r="L69" s="1170"/>
      <c r="M69" s="1171"/>
      <c r="N69" s="1107"/>
      <c r="O69" s="401"/>
      <c r="P69" s="417"/>
      <c r="Q69" s="418"/>
      <c r="R69" s="418"/>
      <c r="S69" s="418"/>
      <c r="T69" s="418"/>
      <c r="U69" s="418"/>
      <c r="V69" s="418"/>
      <c r="W69" s="418"/>
      <c r="X69" s="418"/>
      <c r="Y69" s="418"/>
      <c r="Z69" s="418"/>
      <c r="AA69" s="418"/>
      <c r="AB69" s="418"/>
      <c r="AC69" s="418"/>
      <c r="AD69" s="418"/>
      <c r="AE69" s="418"/>
      <c r="AF69" s="418"/>
      <c r="AG69" s="418"/>
      <c r="AH69" s="418"/>
      <c r="AI69" s="418"/>
      <c r="AJ69" s="418"/>
      <c r="AK69" s="418"/>
      <c r="AL69" s="1175"/>
      <c r="AM69" s="1175"/>
      <c r="AN69" s="416"/>
      <c r="AO69" s="444"/>
      <c r="AP69" s="444"/>
      <c r="AQ69" s="444"/>
      <c r="AR69" s="444"/>
      <c r="AS69" s="444"/>
      <c r="AT69" s="444"/>
      <c r="AU69" s="446"/>
    </row>
    <row r="70" spans="1:55" ht="6.75" customHeight="1">
      <c r="A70" s="443"/>
      <c r="B70" s="444"/>
      <c r="C70" s="444"/>
      <c r="D70" s="423"/>
      <c r="E70" s="424"/>
      <c r="F70" s="424"/>
      <c r="G70" s="424"/>
      <c r="H70" s="424"/>
      <c r="I70" s="424"/>
      <c r="J70" s="424"/>
      <c r="K70" s="424"/>
      <c r="L70" s="424"/>
      <c r="M70" s="425"/>
      <c r="N70" s="1107"/>
      <c r="O70" s="401"/>
      <c r="P70" s="408"/>
      <c r="Q70" s="409"/>
      <c r="R70" s="409"/>
      <c r="S70" s="409"/>
      <c r="T70" s="409"/>
      <c r="U70" s="409"/>
      <c r="V70" s="409"/>
      <c r="W70" s="409"/>
      <c r="X70" s="409"/>
      <c r="Y70" s="409"/>
      <c r="Z70" s="409"/>
      <c r="AA70" s="409"/>
      <c r="AB70" s="409"/>
      <c r="AC70" s="409"/>
      <c r="AD70" s="409"/>
      <c r="AE70" s="409"/>
      <c r="AF70" s="409"/>
      <c r="AG70" s="409"/>
      <c r="AH70" s="409"/>
      <c r="AI70" s="409"/>
      <c r="AJ70" s="409"/>
      <c r="AK70" s="409"/>
      <c r="AL70" s="409"/>
      <c r="AM70" s="409"/>
      <c r="AN70" s="410"/>
      <c r="AO70" s="444"/>
      <c r="AP70" s="444"/>
      <c r="AQ70" s="444"/>
      <c r="AR70" s="444"/>
      <c r="AS70" s="444"/>
      <c r="AT70" s="444"/>
      <c r="AU70" s="446"/>
    </row>
    <row r="71" spans="1:55" ht="6.75" customHeight="1">
      <c r="A71" s="443"/>
      <c r="B71" s="444"/>
      <c r="C71" s="444"/>
      <c r="D71" s="1169" t="str">
        <f>_alamat_sekolah&amp;" "&amp;_kelurahan</f>
        <v>Jl. Pendidikan No. 24 Tatakarya</v>
      </c>
      <c r="E71" s="1170"/>
      <c r="F71" s="1170"/>
      <c r="G71" s="1170"/>
      <c r="H71" s="1170"/>
      <c r="I71" s="1170"/>
      <c r="J71" s="1170"/>
      <c r="K71" s="1170"/>
      <c r="L71" s="1170"/>
      <c r="M71" s="1171"/>
      <c r="N71" s="1107"/>
      <c r="O71" s="401"/>
      <c r="P71" s="1176" t="str">
        <f>_kepsek</f>
        <v>Hj. YURNILAWATI, S.Pd.I</v>
      </c>
      <c r="Q71" s="1181"/>
      <c r="R71" s="1181"/>
      <c r="S71" s="1181"/>
      <c r="T71" s="1181"/>
      <c r="U71" s="1181"/>
      <c r="V71" s="1181"/>
      <c r="W71" s="1181"/>
      <c r="X71" s="1181"/>
      <c r="Y71" s="1181"/>
      <c r="Z71" s="1181"/>
      <c r="AA71" s="1181"/>
      <c r="AB71" s="1181"/>
      <c r="AC71" s="1181"/>
      <c r="AD71" s="1181"/>
      <c r="AE71" s="1181"/>
      <c r="AF71" s="1181"/>
      <c r="AG71" s="1181"/>
      <c r="AH71" s="1181"/>
      <c r="AI71" s="1181"/>
      <c r="AJ71" s="1181"/>
      <c r="AK71" s="1181"/>
      <c r="AL71" s="1181"/>
      <c r="AM71" s="1181"/>
      <c r="AN71" s="410"/>
      <c r="AO71" s="444"/>
      <c r="AP71" s="444"/>
      <c r="AQ71" s="444"/>
      <c r="AR71" s="444"/>
      <c r="AS71" s="444"/>
      <c r="AT71" s="444"/>
      <c r="AU71" s="446"/>
    </row>
    <row r="72" spans="1:55" ht="6.75" customHeight="1">
      <c r="A72" s="443"/>
      <c r="B72" s="444"/>
      <c r="C72" s="444"/>
      <c r="D72" s="1169" t="str">
        <f>"Telp. "&amp;_telpon&amp;" e-Mail : "&amp;_email</f>
        <v>Telp. - e-Mail : smpnegeri1abungsurakarta@yahoo.com</v>
      </c>
      <c r="E72" s="1170"/>
      <c r="F72" s="1170"/>
      <c r="G72" s="1170"/>
      <c r="H72" s="1170"/>
      <c r="I72" s="1170"/>
      <c r="J72" s="1170"/>
      <c r="K72" s="1170"/>
      <c r="L72" s="1170"/>
      <c r="M72" s="1171"/>
      <c r="N72" s="1107"/>
      <c r="O72" s="401"/>
      <c r="P72" s="1176"/>
      <c r="Q72" s="1181"/>
      <c r="R72" s="1181"/>
      <c r="S72" s="1181"/>
      <c r="T72" s="1181"/>
      <c r="U72" s="1181"/>
      <c r="V72" s="1181"/>
      <c r="W72" s="1181"/>
      <c r="X72" s="1181"/>
      <c r="Y72" s="1181"/>
      <c r="Z72" s="1181"/>
      <c r="AA72" s="1181"/>
      <c r="AB72" s="1181"/>
      <c r="AC72" s="1181"/>
      <c r="AD72" s="1181"/>
      <c r="AE72" s="1181"/>
      <c r="AF72" s="1181"/>
      <c r="AG72" s="1181"/>
      <c r="AH72" s="1181"/>
      <c r="AI72" s="1181"/>
      <c r="AJ72" s="1181"/>
      <c r="AK72" s="1181"/>
      <c r="AL72" s="1181"/>
      <c r="AM72" s="1181"/>
      <c r="AN72" s="414"/>
      <c r="AO72" s="444"/>
      <c r="AP72" s="444"/>
      <c r="AQ72" s="444"/>
      <c r="AR72" s="444"/>
      <c r="AS72" s="444"/>
      <c r="AT72" s="444"/>
      <c r="AU72" s="446"/>
    </row>
    <row r="73" spans="1:55" ht="5.25" customHeight="1" thickBot="1">
      <c r="A73" s="443"/>
      <c r="B73" s="444"/>
      <c r="C73" s="444"/>
      <c r="D73" s="1172"/>
      <c r="E73" s="1173"/>
      <c r="F73" s="1173"/>
      <c r="G73" s="1173"/>
      <c r="H73" s="1173"/>
      <c r="I73" s="1173"/>
      <c r="J73" s="1173"/>
      <c r="K73" s="1173"/>
      <c r="L73" s="1173"/>
      <c r="M73" s="1174"/>
      <c r="N73" s="1107"/>
      <c r="O73" s="401"/>
      <c r="P73" s="1179" t="str">
        <f>_nip_kepsek</f>
        <v>19590208 198102 2 001</v>
      </c>
      <c r="Q73" s="1180"/>
      <c r="R73" s="1180"/>
      <c r="S73" s="1180"/>
      <c r="T73" s="1180"/>
      <c r="U73" s="1180"/>
      <c r="V73" s="1180"/>
      <c r="W73" s="1180"/>
      <c r="X73" s="1180"/>
      <c r="Y73" s="1180"/>
      <c r="Z73" s="1180"/>
      <c r="AA73" s="1180"/>
      <c r="AB73" s="1180"/>
      <c r="AC73" s="1180"/>
      <c r="AD73" s="1180"/>
      <c r="AE73" s="1180"/>
      <c r="AF73" s="1180"/>
      <c r="AG73" s="1180"/>
      <c r="AH73" s="1180"/>
      <c r="AI73" s="1180"/>
      <c r="AJ73" s="1180"/>
      <c r="AK73" s="1180"/>
      <c r="AL73" s="1180"/>
      <c r="AM73" s="1180"/>
      <c r="AN73" s="415"/>
      <c r="AO73" s="444"/>
      <c r="AP73" s="444"/>
      <c r="AQ73" s="444"/>
      <c r="AR73" s="444"/>
      <c r="AS73" s="444"/>
      <c r="AT73" s="444"/>
      <c r="AU73" s="446"/>
    </row>
    <row r="74" spans="1:55" ht="3.75" customHeight="1">
      <c r="A74" s="443"/>
      <c r="B74" s="444"/>
      <c r="C74" s="444"/>
      <c r="D74" s="1168"/>
      <c r="E74" s="1168"/>
      <c r="F74" s="1168"/>
      <c r="G74" s="1168"/>
      <c r="H74" s="1168"/>
      <c r="I74" s="1168"/>
      <c r="J74" s="1168"/>
      <c r="K74" s="1168"/>
      <c r="L74" s="1168"/>
      <c r="M74" s="1168"/>
      <c r="N74" s="1107"/>
      <c r="O74" s="401"/>
      <c r="P74" s="1168"/>
      <c r="Q74" s="1168"/>
      <c r="R74" s="1168"/>
      <c r="S74" s="1168"/>
      <c r="T74" s="1168"/>
      <c r="U74" s="1168"/>
      <c r="V74" s="1168"/>
      <c r="W74" s="1168"/>
      <c r="X74" s="1168"/>
      <c r="Y74" s="1168"/>
      <c r="Z74" s="1168"/>
      <c r="AA74" s="1168"/>
      <c r="AB74" s="1168"/>
      <c r="AC74" s="1168"/>
      <c r="AD74" s="1168"/>
      <c r="AE74" s="1168"/>
      <c r="AF74" s="1168"/>
      <c r="AG74" s="1168"/>
      <c r="AH74" s="1168"/>
      <c r="AI74" s="1168"/>
      <c r="AJ74" s="1168"/>
      <c r="AK74" s="1168"/>
      <c r="AL74" s="1168"/>
      <c r="AM74" s="1168"/>
      <c r="AN74" s="1168"/>
      <c r="AO74" s="444"/>
      <c r="AP74" s="444"/>
      <c r="AQ74" s="444"/>
      <c r="AR74" s="444"/>
      <c r="AS74" s="444"/>
      <c r="AT74" s="444"/>
      <c r="AU74" s="446"/>
    </row>
    <row r="75" spans="1:55" ht="3.75" customHeight="1" thickBot="1">
      <c r="A75" s="443"/>
      <c r="B75" s="444"/>
      <c r="C75" s="444"/>
      <c r="D75" s="428"/>
      <c r="E75" s="428"/>
      <c r="F75" s="428"/>
      <c r="G75" s="428"/>
      <c r="H75" s="428"/>
      <c r="I75" s="428"/>
      <c r="J75" s="428"/>
      <c r="K75" s="428"/>
      <c r="L75" s="428"/>
      <c r="M75" s="428"/>
      <c r="N75" s="431"/>
      <c r="O75" s="435"/>
      <c r="P75" s="428"/>
      <c r="Q75" s="428"/>
      <c r="R75" s="428"/>
      <c r="S75" s="428"/>
      <c r="T75" s="428"/>
      <c r="U75" s="428"/>
      <c r="V75" s="428"/>
      <c r="W75" s="428"/>
      <c r="X75" s="428"/>
      <c r="Y75" s="428"/>
      <c r="Z75" s="428"/>
      <c r="AA75" s="428"/>
      <c r="AB75" s="428"/>
      <c r="AC75" s="428"/>
      <c r="AD75" s="428"/>
      <c r="AE75" s="428"/>
      <c r="AF75" s="428"/>
      <c r="AG75" s="428"/>
      <c r="AH75" s="428"/>
      <c r="AI75" s="428"/>
      <c r="AJ75" s="428"/>
      <c r="AK75" s="428"/>
      <c r="AL75" s="428"/>
      <c r="AM75" s="428"/>
      <c r="AN75" s="428"/>
      <c r="AO75" s="444"/>
      <c r="AP75" s="444"/>
      <c r="AQ75" s="444"/>
      <c r="AR75" s="444"/>
      <c r="AS75" s="444"/>
      <c r="AT75" s="444"/>
      <c r="AU75" s="446"/>
    </row>
    <row r="76" spans="1:55" ht="15" customHeight="1">
      <c r="A76" s="443"/>
      <c r="B76" s="1102">
        <f>VLOOKUP($AP$4,_kartu_pelajar,5,FALSE)</f>
        <v>3</v>
      </c>
      <c r="C76" s="444"/>
      <c r="D76" s="1104" t="s">
        <v>404</v>
      </c>
      <c r="E76" s="1105"/>
      <c r="F76" s="1105"/>
      <c r="G76" s="1105"/>
      <c r="H76" s="1105"/>
      <c r="I76" s="1105"/>
      <c r="J76" s="1105"/>
      <c r="K76" s="1105"/>
      <c r="L76" s="1105"/>
      <c r="M76" s="1106"/>
      <c r="N76" s="431"/>
      <c r="O76" s="435"/>
      <c r="P76" s="1108" t="s">
        <v>409</v>
      </c>
      <c r="Q76" s="1109"/>
      <c r="R76" s="1109"/>
      <c r="S76" s="1109"/>
      <c r="T76" s="1109"/>
      <c r="U76" s="1109"/>
      <c r="V76" s="1109"/>
      <c r="W76" s="1109"/>
      <c r="X76" s="1109"/>
      <c r="Y76" s="1109"/>
      <c r="Z76" s="1109"/>
      <c r="AA76" s="1109"/>
      <c r="AB76" s="1109"/>
      <c r="AC76" s="1109"/>
      <c r="AD76" s="1109"/>
      <c r="AE76" s="1109">
        <v>1</v>
      </c>
      <c r="AF76" s="1109"/>
      <c r="AG76" s="1109"/>
      <c r="AH76" s="1109"/>
      <c r="AI76" s="1109"/>
      <c r="AJ76" s="1109"/>
      <c r="AK76" s="1109"/>
      <c r="AL76" s="1109"/>
      <c r="AM76" s="1109"/>
      <c r="AN76" s="1110"/>
      <c r="AO76" s="444"/>
      <c r="AP76" s="444"/>
      <c r="AQ76" s="444"/>
      <c r="AR76" s="444"/>
      <c r="AS76" s="444"/>
      <c r="AT76" s="444"/>
      <c r="AU76" s="446"/>
    </row>
    <row r="77" spans="1:55" ht="10.5" customHeight="1" thickBot="1">
      <c r="A77" s="443"/>
      <c r="B77" s="1103"/>
      <c r="C77" s="444"/>
      <c r="D77" s="1126" t="s">
        <v>405</v>
      </c>
      <c r="E77" s="1127"/>
      <c r="F77" s="1127"/>
      <c r="G77" s="1127"/>
      <c r="H77" s="1127"/>
      <c r="I77" s="1127"/>
      <c r="J77" s="1127"/>
      <c r="K77" s="1127"/>
      <c r="L77" s="1127"/>
      <c r="M77" s="1128"/>
      <c r="N77" s="431"/>
      <c r="O77" s="435"/>
      <c r="P77" s="1111"/>
      <c r="Q77" s="1112"/>
      <c r="R77" s="1112"/>
      <c r="S77" s="1112"/>
      <c r="T77" s="1112"/>
      <c r="U77" s="1112"/>
      <c r="V77" s="1112"/>
      <c r="W77" s="1112"/>
      <c r="X77" s="1112"/>
      <c r="Y77" s="1112"/>
      <c r="Z77" s="1112"/>
      <c r="AA77" s="1112"/>
      <c r="AB77" s="1112"/>
      <c r="AC77" s="1112"/>
      <c r="AD77" s="1112"/>
      <c r="AE77" s="1112"/>
      <c r="AF77" s="1112"/>
      <c r="AG77" s="1112"/>
      <c r="AH77" s="1112"/>
      <c r="AI77" s="1112"/>
      <c r="AJ77" s="1112"/>
      <c r="AK77" s="1112"/>
      <c r="AL77" s="1112"/>
      <c r="AM77" s="1112"/>
      <c r="AN77" s="1113"/>
      <c r="AO77" s="444"/>
      <c r="AP77" s="444"/>
      <c r="AQ77" s="444"/>
      <c r="AR77" s="444"/>
      <c r="AS77" s="444"/>
      <c r="AT77" s="444"/>
      <c r="AU77" s="446"/>
      <c r="BC77" s="1182"/>
    </row>
    <row r="78" spans="1:55" ht="11.25" customHeight="1">
      <c r="A78" s="443"/>
      <c r="B78" s="444"/>
      <c r="C78" s="444"/>
      <c r="D78" s="1129" t="str">
        <f>_nama_sekolah</f>
        <v>SMP NEGERI 1 ABUNG SURAKARTA</v>
      </c>
      <c r="E78" s="1130"/>
      <c r="F78" s="1130"/>
      <c r="G78" s="1130"/>
      <c r="H78" s="1130"/>
      <c r="I78" s="1130"/>
      <c r="J78" s="1130"/>
      <c r="K78" s="1130"/>
      <c r="L78" s="1130"/>
      <c r="M78" s="1131"/>
      <c r="N78" s="431"/>
      <c r="O78" s="435"/>
      <c r="P78" s="1111"/>
      <c r="Q78" s="1112"/>
      <c r="R78" s="1112"/>
      <c r="S78" s="1112"/>
      <c r="T78" s="1112"/>
      <c r="U78" s="1112"/>
      <c r="V78" s="1112"/>
      <c r="W78" s="1112"/>
      <c r="X78" s="1112"/>
      <c r="Y78" s="1112"/>
      <c r="Z78" s="1112"/>
      <c r="AA78" s="1112"/>
      <c r="AB78" s="1112"/>
      <c r="AC78" s="1112"/>
      <c r="AD78" s="1112"/>
      <c r="AE78" s="1112"/>
      <c r="AF78" s="1112"/>
      <c r="AG78" s="1112"/>
      <c r="AH78" s="1112"/>
      <c r="AI78" s="1112"/>
      <c r="AJ78" s="1112"/>
      <c r="AK78" s="1112"/>
      <c r="AL78" s="1112"/>
      <c r="AM78" s="1112"/>
      <c r="AN78" s="1113"/>
      <c r="AO78" s="444"/>
      <c r="AP78" s="444"/>
      <c r="AQ78" s="444"/>
      <c r="AR78" s="444"/>
      <c r="AS78" s="444"/>
      <c r="AT78" s="444"/>
      <c r="AU78" s="446"/>
      <c r="BC78" s="1182"/>
    </row>
    <row r="79" spans="1:55" ht="3.75" customHeight="1" thickBot="1">
      <c r="A79" s="443"/>
      <c r="B79" s="444"/>
      <c r="C79" s="444"/>
      <c r="D79" s="1148"/>
      <c r="E79" s="1149"/>
      <c r="F79" s="1149"/>
      <c r="G79" s="1149"/>
      <c r="H79" s="1149"/>
      <c r="I79" s="1149"/>
      <c r="J79" s="1149"/>
      <c r="K79" s="1149"/>
      <c r="L79" s="1149"/>
      <c r="M79" s="1150"/>
      <c r="N79" s="431"/>
      <c r="O79" s="435"/>
      <c r="P79" s="1114"/>
      <c r="Q79" s="1115"/>
      <c r="R79" s="1115"/>
      <c r="S79" s="1115"/>
      <c r="T79" s="1115"/>
      <c r="U79" s="1115"/>
      <c r="V79" s="1115"/>
      <c r="W79" s="1115"/>
      <c r="X79" s="1115"/>
      <c r="Y79" s="1115"/>
      <c r="Z79" s="1115"/>
      <c r="AA79" s="1115"/>
      <c r="AB79" s="1115"/>
      <c r="AC79" s="1115"/>
      <c r="AD79" s="1115"/>
      <c r="AE79" s="1115"/>
      <c r="AF79" s="1115"/>
      <c r="AG79" s="1115"/>
      <c r="AH79" s="1115"/>
      <c r="AI79" s="1115"/>
      <c r="AJ79" s="1115"/>
      <c r="AK79" s="1115"/>
      <c r="AL79" s="1115"/>
      <c r="AM79" s="1115"/>
      <c r="AN79" s="1116"/>
      <c r="AO79" s="444"/>
      <c r="AP79" s="444"/>
      <c r="AQ79" s="444"/>
      <c r="AR79" s="444"/>
      <c r="AS79" s="444"/>
      <c r="AT79" s="444"/>
      <c r="AU79" s="446"/>
      <c r="BC79" s="1182"/>
    </row>
    <row r="80" spans="1:55" ht="16.5" customHeight="1" thickBot="1">
      <c r="A80" s="443"/>
      <c r="B80" s="444"/>
      <c r="C80" s="444"/>
      <c r="D80" s="1151" t="s">
        <v>403</v>
      </c>
      <c r="E80" s="1152"/>
      <c r="F80" s="1152"/>
      <c r="G80" s="1152"/>
      <c r="H80" s="1152"/>
      <c r="I80" s="1152"/>
      <c r="J80" s="1152"/>
      <c r="K80" s="1152"/>
      <c r="L80" s="1152"/>
      <c r="M80" s="1153"/>
      <c r="N80" s="431"/>
      <c r="O80" s="435"/>
      <c r="P80" s="413" t="s">
        <v>303</v>
      </c>
      <c r="Q80" s="1154" t="s">
        <v>412</v>
      </c>
      <c r="R80" s="1154"/>
      <c r="S80" s="1154"/>
      <c r="T80" s="1154"/>
      <c r="U80" s="1154"/>
      <c r="V80" s="1154"/>
      <c r="W80" s="1154"/>
      <c r="X80" s="1154"/>
      <c r="Y80" s="1154"/>
      <c r="Z80" s="1154"/>
      <c r="AA80" s="1154"/>
      <c r="AB80" s="1154"/>
      <c r="AC80" s="1154"/>
      <c r="AD80" s="1154"/>
      <c r="AE80" s="1154"/>
      <c r="AF80" s="1154"/>
      <c r="AG80" s="1154"/>
      <c r="AH80" s="1154"/>
      <c r="AI80" s="1154"/>
      <c r="AJ80" s="1154"/>
      <c r="AK80" s="1154"/>
      <c r="AL80" s="1154"/>
      <c r="AM80" s="1154"/>
      <c r="AN80" s="1155"/>
      <c r="AO80" s="444"/>
      <c r="AP80" s="444"/>
      <c r="AQ80" s="444"/>
      <c r="AR80" s="444"/>
      <c r="AS80" s="444"/>
      <c r="AT80" s="444"/>
      <c r="AU80" s="446"/>
    </row>
    <row r="81" spans="1:47" ht="3.75" customHeight="1">
      <c r="A81" s="443"/>
      <c r="B81" s="444"/>
      <c r="C81" s="444"/>
      <c r="D81" s="400"/>
      <c r="E81" s="401"/>
      <c r="F81" s="401"/>
      <c r="G81" s="401"/>
      <c r="H81" s="401"/>
      <c r="I81" s="401"/>
      <c r="J81" s="401"/>
      <c r="K81" s="401"/>
      <c r="L81" s="401"/>
      <c r="M81" s="402"/>
      <c r="N81" s="431"/>
      <c r="O81" s="435"/>
      <c r="P81" s="1156" t="s">
        <v>316</v>
      </c>
      <c r="Q81" s="1158" t="s">
        <v>413</v>
      </c>
      <c r="R81" s="1158"/>
      <c r="S81" s="1158"/>
      <c r="T81" s="1158"/>
      <c r="U81" s="1158"/>
      <c r="V81" s="1158"/>
      <c r="W81" s="1158"/>
      <c r="X81" s="1158"/>
      <c r="Y81" s="1158"/>
      <c r="Z81" s="1158"/>
      <c r="AA81" s="1158"/>
      <c r="AB81" s="1158"/>
      <c r="AC81" s="1158"/>
      <c r="AD81" s="1158"/>
      <c r="AE81" s="1158"/>
      <c r="AF81" s="1158"/>
      <c r="AG81" s="1158"/>
      <c r="AH81" s="1158"/>
      <c r="AI81" s="1158"/>
      <c r="AJ81" s="1158"/>
      <c r="AK81" s="1158"/>
      <c r="AL81" s="1158"/>
      <c r="AM81" s="1158"/>
      <c r="AN81" s="1159"/>
      <c r="AO81" s="444"/>
      <c r="AP81" s="444"/>
      <c r="AQ81" s="444"/>
      <c r="AR81" s="444"/>
      <c r="AS81" s="444"/>
      <c r="AT81" s="444"/>
      <c r="AU81" s="446"/>
    </row>
    <row r="82" spans="1:47" ht="9.75" customHeight="1">
      <c r="A82" s="443"/>
      <c r="B82" s="444"/>
      <c r="C82" s="444"/>
      <c r="D82" s="403"/>
      <c r="E82" s="1160"/>
      <c r="F82" s="1161"/>
      <c r="G82" s="401"/>
      <c r="H82" s="406" t="s">
        <v>166</v>
      </c>
      <c r="I82" s="404"/>
      <c r="J82" s="404" t="s">
        <v>2</v>
      </c>
      <c r="K82" s="1132" t="str">
        <f>IFERROR(VLOOKUP(B76,_Biodata_Lengkap,2,FALSE),"-")&amp;" / "&amp;IFERROR(VLOOKUP(B76,_Biodata_Lengkap,3,FALSE),"-")</f>
        <v>7059 / 0042577294</v>
      </c>
      <c r="L82" s="1132"/>
      <c r="M82" s="1133"/>
      <c r="N82" s="431"/>
      <c r="O82" s="435"/>
      <c r="P82" s="1157"/>
      <c r="Q82" s="1158"/>
      <c r="R82" s="1158"/>
      <c r="S82" s="1158"/>
      <c r="T82" s="1158"/>
      <c r="U82" s="1158"/>
      <c r="V82" s="1158"/>
      <c r="W82" s="1158"/>
      <c r="X82" s="1158"/>
      <c r="Y82" s="1158"/>
      <c r="Z82" s="1158"/>
      <c r="AA82" s="1158"/>
      <c r="AB82" s="1158"/>
      <c r="AC82" s="1158"/>
      <c r="AD82" s="1158"/>
      <c r="AE82" s="1158"/>
      <c r="AF82" s="1158"/>
      <c r="AG82" s="1158"/>
      <c r="AH82" s="1158"/>
      <c r="AI82" s="1158"/>
      <c r="AJ82" s="1158"/>
      <c r="AK82" s="1158"/>
      <c r="AL82" s="1158"/>
      <c r="AM82" s="1158"/>
      <c r="AN82" s="1159"/>
      <c r="AO82" s="444"/>
      <c r="AP82" s="444"/>
      <c r="AQ82" s="444"/>
      <c r="AR82" s="444"/>
      <c r="AS82" s="444"/>
      <c r="AT82" s="444"/>
      <c r="AU82" s="446"/>
    </row>
    <row r="83" spans="1:47" ht="12" customHeight="1">
      <c r="A83" s="443"/>
      <c r="B83" s="444"/>
      <c r="C83" s="444"/>
      <c r="D83" s="403"/>
      <c r="E83" s="1162"/>
      <c r="F83" s="1163"/>
      <c r="G83" s="401"/>
      <c r="H83" s="406" t="s">
        <v>406</v>
      </c>
      <c r="I83" s="406"/>
      <c r="J83" s="406" t="s">
        <v>2</v>
      </c>
      <c r="K83" s="1132" t="str">
        <f>IFERROR(VLOOKUP(B76,_Biodata_Lengkap,5,FALSE),"-")&amp;", "&amp;IFERROR(VLOOKUP(B76,_Biodata_Lengkap,6,FALSE),"-")</f>
        <v>TATAKARYA, 05/08/2004</v>
      </c>
      <c r="L83" s="1132"/>
      <c r="M83" s="1133"/>
      <c r="N83" s="431"/>
      <c r="O83" s="435"/>
      <c r="P83" s="1166" t="s">
        <v>327</v>
      </c>
      <c r="Q83" s="1134" t="s">
        <v>420</v>
      </c>
      <c r="R83" s="1134"/>
      <c r="S83" s="1134"/>
      <c r="T83" s="1134"/>
      <c r="U83" s="1134"/>
      <c r="V83" s="1134"/>
      <c r="W83" s="1134"/>
      <c r="X83" s="1134"/>
      <c r="Y83" s="1134"/>
      <c r="Z83" s="1134"/>
      <c r="AA83" s="1134"/>
      <c r="AB83" s="1134"/>
      <c r="AC83" s="1134"/>
      <c r="AD83" s="1134"/>
      <c r="AE83" s="1134"/>
      <c r="AF83" s="1134"/>
      <c r="AG83" s="1134"/>
      <c r="AH83" s="1134"/>
      <c r="AI83" s="1134"/>
      <c r="AJ83" s="1134"/>
      <c r="AK83" s="1134"/>
      <c r="AL83" s="1134"/>
      <c r="AM83" s="432"/>
      <c r="AN83" s="434"/>
      <c r="AO83" s="444"/>
      <c r="AP83" s="444"/>
      <c r="AQ83" s="444"/>
      <c r="AR83" s="444"/>
      <c r="AS83" s="444"/>
      <c r="AT83" s="444"/>
      <c r="AU83" s="446"/>
    </row>
    <row r="84" spans="1:47" ht="13.5" customHeight="1">
      <c r="A84" s="443"/>
      <c r="B84" s="444"/>
      <c r="C84" s="444"/>
      <c r="D84" s="403"/>
      <c r="E84" s="1162"/>
      <c r="F84" s="1163"/>
      <c r="G84" s="401"/>
      <c r="H84" s="406" t="s">
        <v>407</v>
      </c>
      <c r="I84" s="407"/>
      <c r="J84" s="407" t="s">
        <v>2</v>
      </c>
      <c r="K84" s="1132" t="str">
        <f>IFERROR(IF(VLOOKUP(B76,_Biodata_Lengkap,7,FALSE)=0,"-",(VLOOKUP(B76,_Biodata_Lengkap,7,FALSE))),"-")</f>
        <v>Perempuan</v>
      </c>
      <c r="L84" s="1132"/>
      <c r="M84" s="1133"/>
      <c r="N84" s="431"/>
      <c r="O84" s="435"/>
      <c r="P84" s="1167"/>
      <c r="Q84" s="1134" t="s">
        <v>421</v>
      </c>
      <c r="R84" s="1134"/>
      <c r="S84" s="1134"/>
      <c r="T84" s="1134"/>
      <c r="U84" s="1134"/>
      <c r="V84" s="1134"/>
      <c r="W84" s="1134"/>
      <c r="X84" s="1134"/>
      <c r="Y84" s="1134"/>
      <c r="Z84" s="1134"/>
      <c r="AA84" s="1134"/>
      <c r="AB84" s="1134"/>
      <c r="AC84" s="1134"/>
      <c r="AD84" s="1134"/>
      <c r="AE84" s="1134"/>
      <c r="AF84" s="1134"/>
      <c r="AG84" s="1134"/>
      <c r="AH84" s="1134"/>
      <c r="AI84" s="1134"/>
      <c r="AJ84" s="1134"/>
      <c r="AK84" s="1134"/>
      <c r="AL84" s="1134"/>
      <c r="AM84" s="432"/>
      <c r="AN84" s="434"/>
      <c r="AO84" s="444"/>
      <c r="AP84" s="444"/>
      <c r="AQ84" s="444"/>
      <c r="AR84" s="444"/>
      <c r="AS84" s="444"/>
      <c r="AT84" s="444"/>
      <c r="AU84" s="446"/>
    </row>
    <row r="85" spans="1:47" ht="12.75" customHeight="1">
      <c r="A85" s="443"/>
      <c r="B85" s="444"/>
      <c r="C85" s="444"/>
      <c r="D85" s="403"/>
      <c r="E85" s="1164"/>
      <c r="F85" s="1165"/>
      <c r="G85" s="401"/>
      <c r="H85" s="406" t="s">
        <v>143</v>
      </c>
      <c r="I85" s="404"/>
      <c r="J85" s="404" t="s">
        <v>2</v>
      </c>
      <c r="K85" s="1132" t="str">
        <f>IFERROR(IF(VLOOKUP(B76,_Biodata_Lengkap,11,FALSE)=0,"-",(VLOOKUP(B76,_Biodata_Lengkap,11,FALSE))),"-")</f>
        <v>TATAKARYA</v>
      </c>
      <c r="L85" s="1132"/>
      <c r="M85" s="1133"/>
      <c r="N85" s="431"/>
      <c r="O85" s="435"/>
      <c r="P85" s="430" t="s">
        <v>410</v>
      </c>
      <c r="Q85" s="1134" t="s">
        <v>414</v>
      </c>
      <c r="R85" s="1134"/>
      <c r="S85" s="1134"/>
      <c r="T85" s="1134"/>
      <c r="U85" s="1134"/>
      <c r="V85" s="1134"/>
      <c r="W85" s="1134"/>
      <c r="X85" s="1134"/>
      <c r="Y85" s="1134"/>
      <c r="Z85" s="1134"/>
      <c r="AA85" s="1134"/>
      <c r="AB85" s="1134"/>
      <c r="AC85" s="1134"/>
      <c r="AD85" s="1134"/>
      <c r="AE85" s="1134"/>
      <c r="AF85" s="1134"/>
      <c r="AG85" s="1134"/>
      <c r="AH85" s="1134"/>
      <c r="AI85" s="1134"/>
      <c r="AJ85" s="1134"/>
      <c r="AK85" s="1134"/>
      <c r="AL85" s="1134"/>
      <c r="AM85" s="1134"/>
      <c r="AN85" s="1135"/>
      <c r="AO85" s="444"/>
      <c r="AP85" s="444"/>
      <c r="AQ85" s="444"/>
      <c r="AR85" s="444"/>
      <c r="AS85" s="444"/>
      <c r="AT85" s="444"/>
      <c r="AU85" s="446"/>
    </row>
    <row r="86" spans="1:47" ht="3.75" customHeight="1">
      <c r="A86" s="443"/>
      <c r="B86" s="444"/>
      <c r="C86" s="444"/>
      <c r="D86" s="403"/>
      <c r="E86" s="428"/>
      <c r="F86" s="401"/>
      <c r="G86" s="401"/>
      <c r="H86" s="404"/>
      <c r="I86" s="404"/>
      <c r="J86" s="404"/>
      <c r="K86" s="404"/>
      <c r="L86" s="404"/>
      <c r="M86" s="405"/>
      <c r="N86" s="431"/>
      <c r="O86" s="435"/>
      <c r="P86" s="1136" t="s">
        <v>411</v>
      </c>
      <c r="Q86" s="1134" t="s">
        <v>415</v>
      </c>
      <c r="R86" s="1134"/>
      <c r="S86" s="1134"/>
      <c r="T86" s="1134"/>
      <c r="U86" s="411"/>
      <c r="V86" s="411"/>
      <c r="W86" s="411"/>
      <c r="X86" s="411"/>
      <c r="Y86" s="411"/>
      <c r="Z86" s="411"/>
      <c r="AA86" s="411"/>
      <c r="AB86" s="411"/>
      <c r="AC86" s="411"/>
      <c r="AD86" s="401"/>
      <c r="AE86" s="401"/>
      <c r="AF86" s="401"/>
      <c r="AG86" s="401"/>
      <c r="AH86" s="401"/>
      <c r="AI86" s="401"/>
      <c r="AJ86" s="401"/>
      <c r="AK86" s="401"/>
      <c r="AL86" s="401"/>
      <c r="AM86" s="401"/>
      <c r="AN86" s="402"/>
      <c r="AO86" s="444"/>
      <c r="AP86" s="444"/>
      <c r="AQ86" s="444"/>
      <c r="AR86" s="444"/>
      <c r="AS86" s="444"/>
      <c r="AT86" s="444"/>
      <c r="AU86" s="446"/>
    </row>
    <row r="87" spans="1:47" ht="9" customHeight="1" thickBot="1">
      <c r="A87" s="443"/>
      <c r="B87" s="444"/>
      <c r="C87" s="444"/>
      <c r="D87" s="1139" t="str">
        <f>IFERROR(VLOOKUP(B76,_Biodata_Lengkap,4,FALSE),"-")</f>
        <v>Andini Dwi Aryanti</v>
      </c>
      <c r="E87" s="1140"/>
      <c r="F87" s="1140"/>
      <c r="G87" s="1140"/>
      <c r="H87" s="1140"/>
      <c r="I87" s="1140"/>
      <c r="J87" s="1140"/>
      <c r="K87" s="1140"/>
      <c r="L87" s="1140"/>
      <c r="M87" s="1141"/>
      <c r="N87" s="431"/>
      <c r="O87" s="435"/>
      <c r="P87" s="1136"/>
      <c r="Q87" s="1134"/>
      <c r="R87" s="1134"/>
      <c r="S87" s="1134"/>
      <c r="T87" s="1134"/>
      <c r="U87" s="411"/>
      <c r="V87" s="411"/>
      <c r="W87" s="411"/>
      <c r="X87" s="411"/>
      <c r="Y87" s="411"/>
      <c r="Z87" s="411"/>
      <c r="AA87" s="411"/>
      <c r="AB87" s="411"/>
      <c r="AC87" s="411"/>
      <c r="AD87" s="411"/>
      <c r="AE87" s="411"/>
      <c r="AF87" s="411"/>
      <c r="AG87" s="411"/>
      <c r="AH87" s="411"/>
      <c r="AI87" s="411"/>
      <c r="AJ87" s="411"/>
      <c r="AK87" s="1145"/>
      <c r="AL87" s="1145"/>
      <c r="AM87" s="1145"/>
      <c r="AN87" s="1146"/>
      <c r="AO87" s="444"/>
      <c r="AP87" s="444"/>
      <c r="AQ87" s="444"/>
      <c r="AR87" s="444"/>
      <c r="AS87" s="444"/>
      <c r="AT87" s="444"/>
      <c r="AU87" s="446"/>
    </row>
    <row r="88" spans="1:47" ht="0.95" customHeight="1" thickTop="1" thickBot="1">
      <c r="A88" s="443"/>
      <c r="B88" s="444"/>
      <c r="C88" s="444"/>
      <c r="D88" s="1139"/>
      <c r="E88" s="1140"/>
      <c r="F88" s="1140"/>
      <c r="G88" s="1140"/>
      <c r="H88" s="1140"/>
      <c r="I88" s="1140"/>
      <c r="J88" s="1140"/>
      <c r="K88" s="1140"/>
      <c r="L88" s="1140"/>
      <c r="M88" s="1141"/>
      <c r="N88" s="431"/>
      <c r="O88" s="435"/>
      <c r="P88" s="1136"/>
      <c r="Q88" s="1134"/>
      <c r="R88" s="1134"/>
      <c r="S88" s="1134"/>
      <c r="T88" s="1134"/>
      <c r="U88" s="411"/>
      <c r="V88" s="411"/>
      <c r="W88" s="411"/>
      <c r="X88" s="411"/>
      <c r="Y88" s="411"/>
      <c r="Z88" s="411"/>
      <c r="AA88" s="411"/>
      <c r="AB88" s="411"/>
      <c r="AC88" s="411"/>
      <c r="AD88" s="411"/>
      <c r="AE88" s="411"/>
      <c r="AF88" s="411"/>
      <c r="AG88" s="411"/>
      <c r="AH88" s="411"/>
      <c r="AI88" s="411"/>
      <c r="AJ88" s="412"/>
      <c r="AK88" s="409"/>
      <c r="AL88" s="409"/>
      <c r="AM88" s="409"/>
      <c r="AN88" s="410"/>
      <c r="AO88" s="444"/>
      <c r="AP88" s="444"/>
      <c r="AQ88" s="444"/>
      <c r="AR88" s="444"/>
      <c r="AS88" s="444"/>
      <c r="AT88" s="444"/>
      <c r="AU88" s="446"/>
    </row>
    <row r="89" spans="1:47" ht="0.95" customHeight="1" thickTop="1" thickBot="1">
      <c r="A89" s="443"/>
      <c r="B89" s="444"/>
      <c r="C89" s="444"/>
      <c r="D89" s="1139"/>
      <c r="E89" s="1140"/>
      <c r="F89" s="1140"/>
      <c r="G89" s="1140"/>
      <c r="H89" s="1140"/>
      <c r="I89" s="1140"/>
      <c r="J89" s="1140"/>
      <c r="K89" s="1140"/>
      <c r="L89" s="1140"/>
      <c r="M89" s="1141"/>
      <c r="N89" s="431"/>
      <c r="O89" s="435"/>
      <c r="P89" s="1136"/>
      <c r="Q89" s="1134"/>
      <c r="R89" s="1134"/>
      <c r="S89" s="1134"/>
      <c r="T89" s="1134"/>
      <c r="U89" s="411"/>
      <c r="V89" s="411"/>
      <c r="W89" s="411"/>
      <c r="X89" s="411"/>
      <c r="Y89" s="411"/>
      <c r="Z89" s="411"/>
      <c r="AA89" s="411"/>
      <c r="AB89" s="411"/>
      <c r="AC89" s="411"/>
      <c r="AD89" s="411"/>
      <c r="AE89" s="411"/>
      <c r="AF89" s="411"/>
      <c r="AG89" s="411"/>
      <c r="AH89" s="411"/>
      <c r="AI89" s="412"/>
      <c r="AJ89" s="409"/>
      <c r="AK89" s="409"/>
      <c r="AL89" s="409"/>
      <c r="AM89" s="409"/>
      <c r="AN89" s="410"/>
      <c r="AO89" s="444"/>
      <c r="AP89" s="444"/>
      <c r="AQ89" s="444"/>
      <c r="AR89" s="444"/>
      <c r="AS89" s="444"/>
      <c r="AT89" s="444"/>
      <c r="AU89" s="446"/>
    </row>
    <row r="90" spans="1:47" ht="0.95" customHeight="1" thickTop="1" thickBot="1">
      <c r="A90" s="443"/>
      <c r="B90" s="444"/>
      <c r="C90" s="444"/>
      <c r="D90" s="1139"/>
      <c r="E90" s="1140"/>
      <c r="F90" s="1140"/>
      <c r="G90" s="1140"/>
      <c r="H90" s="1140"/>
      <c r="I90" s="1140"/>
      <c r="J90" s="1140"/>
      <c r="K90" s="1140"/>
      <c r="L90" s="1140"/>
      <c r="M90" s="1141"/>
      <c r="N90" s="431"/>
      <c r="O90" s="435"/>
      <c r="P90" s="1136"/>
      <c r="Q90" s="1134"/>
      <c r="R90" s="1134"/>
      <c r="S90" s="1134"/>
      <c r="T90" s="1134"/>
      <c r="U90" s="411"/>
      <c r="V90" s="411"/>
      <c r="W90" s="411"/>
      <c r="X90" s="411"/>
      <c r="Y90" s="411"/>
      <c r="Z90" s="411"/>
      <c r="AA90" s="411"/>
      <c r="AB90" s="411"/>
      <c r="AC90" s="411"/>
      <c r="AD90" s="411"/>
      <c r="AE90" s="411"/>
      <c r="AF90" s="411"/>
      <c r="AG90" s="411"/>
      <c r="AH90" s="412"/>
      <c r="AI90" s="409"/>
      <c r="AJ90" s="409"/>
      <c r="AK90" s="409"/>
      <c r="AL90" s="409"/>
      <c r="AM90" s="409"/>
      <c r="AN90" s="410"/>
      <c r="AO90" s="444"/>
      <c r="AP90" s="444"/>
      <c r="AQ90" s="444"/>
      <c r="AR90" s="444"/>
      <c r="AS90" s="444"/>
      <c r="AT90" s="444"/>
      <c r="AU90" s="446"/>
    </row>
    <row r="91" spans="1:47" ht="0.95" customHeight="1" thickTop="1" thickBot="1">
      <c r="A91" s="443"/>
      <c r="B91" s="444"/>
      <c r="C91" s="444"/>
      <c r="D91" s="1139"/>
      <c r="E91" s="1140"/>
      <c r="F91" s="1140"/>
      <c r="G91" s="1140"/>
      <c r="H91" s="1140"/>
      <c r="I91" s="1140"/>
      <c r="J91" s="1140"/>
      <c r="K91" s="1140"/>
      <c r="L91" s="1140"/>
      <c r="M91" s="1141"/>
      <c r="N91" s="431"/>
      <c r="O91" s="435"/>
      <c r="P91" s="1136"/>
      <c r="Q91" s="1134"/>
      <c r="R91" s="1134"/>
      <c r="S91" s="1134"/>
      <c r="T91" s="1134"/>
      <c r="U91" s="411"/>
      <c r="V91" s="411"/>
      <c r="W91" s="411"/>
      <c r="X91" s="411"/>
      <c r="Y91" s="411"/>
      <c r="Z91" s="411"/>
      <c r="AA91" s="411"/>
      <c r="AB91" s="411"/>
      <c r="AC91" s="411"/>
      <c r="AD91" s="411"/>
      <c r="AE91" s="411"/>
      <c r="AF91" s="411"/>
      <c r="AG91" s="412"/>
      <c r="AH91" s="409"/>
      <c r="AI91" s="409"/>
      <c r="AJ91" s="409"/>
      <c r="AK91" s="409"/>
      <c r="AL91" s="409"/>
      <c r="AM91" s="409"/>
      <c r="AN91" s="410"/>
      <c r="AO91" s="444"/>
      <c r="AP91" s="444"/>
      <c r="AQ91" s="444"/>
      <c r="AR91" s="444"/>
      <c r="AS91" s="444"/>
      <c r="AT91" s="444"/>
      <c r="AU91" s="446"/>
    </row>
    <row r="92" spans="1:47" ht="0.95" customHeight="1" thickTop="1" thickBot="1">
      <c r="A92" s="443"/>
      <c r="B92" s="444"/>
      <c r="C92" s="444"/>
      <c r="D92" s="1139"/>
      <c r="E92" s="1140"/>
      <c r="F92" s="1140"/>
      <c r="G92" s="1140"/>
      <c r="H92" s="1140"/>
      <c r="I92" s="1140"/>
      <c r="J92" s="1140"/>
      <c r="K92" s="1140"/>
      <c r="L92" s="1140"/>
      <c r="M92" s="1141"/>
      <c r="N92" s="431"/>
      <c r="O92" s="435"/>
      <c r="P92" s="1136"/>
      <c r="Q92" s="1134"/>
      <c r="R92" s="1134"/>
      <c r="S92" s="1134"/>
      <c r="T92" s="1134"/>
      <c r="U92" s="411"/>
      <c r="V92" s="411"/>
      <c r="W92" s="411"/>
      <c r="X92" s="411"/>
      <c r="Y92" s="411"/>
      <c r="Z92" s="411"/>
      <c r="AA92" s="411"/>
      <c r="AB92" s="411"/>
      <c r="AC92" s="411"/>
      <c r="AD92" s="411"/>
      <c r="AE92" s="411"/>
      <c r="AF92" s="412"/>
      <c r="AG92" s="409"/>
      <c r="AH92" s="409"/>
      <c r="AI92" s="409"/>
      <c r="AJ92" s="409"/>
      <c r="AK92" s="409"/>
      <c r="AL92" s="409"/>
      <c r="AM92" s="409"/>
      <c r="AN92" s="410"/>
      <c r="AO92" s="444"/>
      <c r="AP92" s="444"/>
      <c r="AQ92" s="444"/>
      <c r="AR92" s="444"/>
      <c r="AS92" s="444"/>
      <c r="AT92" s="444"/>
      <c r="AU92" s="446"/>
    </row>
    <row r="93" spans="1:47" ht="0.95" customHeight="1" thickTop="1" thickBot="1">
      <c r="A93" s="443"/>
      <c r="B93" s="444"/>
      <c r="C93" s="444"/>
      <c r="D93" s="1139"/>
      <c r="E93" s="1140"/>
      <c r="F93" s="1140"/>
      <c r="G93" s="1140"/>
      <c r="H93" s="1140"/>
      <c r="I93" s="1140"/>
      <c r="J93" s="1140"/>
      <c r="K93" s="1140"/>
      <c r="L93" s="1140"/>
      <c r="M93" s="1141"/>
      <c r="N93" s="431"/>
      <c r="O93" s="435"/>
      <c r="P93" s="1136"/>
      <c r="Q93" s="1134"/>
      <c r="R93" s="1134"/>
      <c r="S93" s="1134"/>
      <c r="T93" s="1134"/>
      <c r="U93" s="411"/>
      <c r="V93" s="411"/>
      <c r="W93" s="411"/>
      <c r="X93" s="411"/>
      <c r="Y93" s="411"/>
      <c r="Z93" s="411"/>
      <c r="AA93" s="411"/>
      <c r="AB93" s="411"/>
      <c r="AC93" s="411"/>
      <c r="AD93" s="411"/>
      <c r="AE93" s="412"/>
      <c r="AF93" s="409"/>
      <c r="AG93" s="409"/>
      <c r="AH93" s="409"/>
      <c r="AI93" s="409"/>
      <c r="AJ93" s="409"/>
      <c r="AK93" s="409"/>
      <c r="AL93" s="409"/>
      <c r="AM93" s="409"/>
      <c r="AN93" s="410"/>
      <c r="AO93" s="444"/>
      <c r="AP93" s="444"/>
      <c r="AQ93" s="444"/>
      <c r="AR93" s="444"/>
      <c r="AS93" s="444"/>
      <c r="AT93" s="444"/>
      <c r="AU93" s="446"/>
    </row>
    <row r="94" spans="1:47" ht="0.95" customHeight="1" thickTop="1" thickBot="1">
      <c r="A94" s="443"/>
      <c r="B94" s="444"/>
      <c r="C94" s="444"/>
      <c r="D94" s="1139"/>
      <c r="E94" s="1140"/>
      <c r="F94" s="1140"/>
      <c r="G94" s="1140"/>
      <c r="H94" s="1140"/>
      <c r="I94" s="1140"/>
      <c r="J94" s="1140"/>
      <c r="K94" s="1140"/>
      <c r="L94" s="1140"/>
      <c r="M94" s="1141"/>
      <c r="N94" s="431"/>
      <c r="O94" s="435"/>
      <c r="P94" s="1136"/>
      <c r="Q94" s="1134"/>
      <c r="R94" s="1134"/>
      <c r="S94" s="1134"/>
      <c r="T94" s="1134"/>
      <c r="U94" s="411"/>
      <c r="V94" s="411"/>
      <c r="W94" s="411"/>
      <c r="X94" s="411"/>
      <c r="Y94" s="411"/>
      <c r="Z94" s="411"/>
      <c r="AA94" s="411"/>
      <c r="AB94" s="411"/>
      <c r="AC94" s="411"/>
      <c r="AD94" s="412"/>
      <c r="AE94" s="409"/>
      <c r="AF94" s="409"/>
      <c r="AG94" s="1147" t="str">
        <f>_tempat_penyerahan&amp;", "&amp;IFERROR(VLOOKUP($B$4,_Biodata_Lengkap,15,FALSE),"-")</f>
        <v>Abung Surakarta, 16/07/2018</v>
      </c>
      <c r="AH94" s="1147"/>
      <c r="AI94" s="1147"/>
      <c r="AJ94" s="1147"/>
      <c r="AK94" s="1147"/>
      <c r="AL94" s="1147"/>
      <c r="AM94" s="1147"/>
      <c r="AN94" s="410"/>
      <c r="AO94" s="444"/>
      <c r="AP94" s="444"/>
      <c r="AQ94" s="444"/>
      <c r="AR94" s="444"/>
      <c r="AS94" s="444"/>
      <c r="AT94" s="444"/>
      <c r="AU94" s="446"/>
    </row>
    <row r="95" spans="1:47" ht="0.95" customHeight="1" thickTop="1" thickBot="1">
      <c r="A95" s="443"/>
      <c r="B95" s="444"/>
      <c r="C95" s="444"/>
      <c r="D95" s="1139"/>
      <c r="E95" s="1140"/>
      <c r="F95" s="1140"/>
      <c r="G95" s="1140"/>
      <c r="H95" s="1140"/>
      <c r="I95" s="1140"/>
      <c r="J95" s="1140"/>
      <c r="K95" s="1140"/>
      <c r="L95" s="1140"/>
      <c r="M95" s="1141"/>
      <c r="N95" s="431"/>
      <c r="O95" s="435"/>
      <c r="P95" s="1136"/>
      <c r="Q95" s="1134"/>
      <c r="R95" s="1134"/>
      <c r="S95" s="1134"/>
      <c r="T95" s="1134"/>
      <c r="U95" s="411"/>
      <c r="V95" s="411"/>
      <c r="W95" s="411"/>
      <c r="X95" s="411"/>
      <c r="Y95" s="411"/>
      <c r="Z95" s="411"/>
      <c r="AA95" s="411"/>
      <c r="AB95" s="411"/>
      <c r="AC95" s="412"/>
      <c r="AD95" s="409"/>
      <c r="AE95" s="409"/>
      <c r="AF95" s="409"/>
      <c r="AG95" s="1147"/>
      <c r="AH95" s="1147"/>
      <c r="AI95" s="1147"/>
      <c r="AJ95" s="1147"/>
      <c r="AK95" s="1147"/>
      <c r="AL95" s="1147"/>
      <c r="AM95" s="1147"/>
      <c r="AN95" s="410"/>
      <c r="AO95" s="444"/>
      <c r="AP95" s="444"/>
      <c r="AQ95" s="444"/>
      <c r="AR95" s="444"/>
      <c r="AS95" s="444"/>
      <c r="AT95" s="444"/>
      <c r="AU95" s="446"/>
    </row>
    <row r="96" spans="1:47" ht="0.95" customHeight="1" thickTop="1" thickBot="1">
      <c r="A96" s="443"/>
      <c r="B96" s="444"/>
      <c r="C96" s="444"/>
      <c r="D96" s="1139"/>
      <c r="E96" s="1140"/>
      <c r="F96" s="1140"/>
      <c r="G96" s="1140"/>
      <c r="H96" s="1140"/>
      <c r="I96" s="1140"/>
      <c r="J96" s="1140"/>
      <c r="K96" s="1140"/>
      <c r="L96" s="1140"/>
      <c r="M96" s="1141"/>
      <c r="N96" s="436"/>
      <c r="O96" s="435"/>
      <c r="P96" s="1136"/>
      <c r="Q96" s="1134"/>
      <c r="R96" s="1134"/>
      <c r="S96" s="1134"/>
      <c r="T96" s="1134"/>
      <c r="U96" s="432"/>
      <c r="V96" s="432"/>
      <c r="W96" s="432"/>
      <c r="X96" s="432"/>
      <c r="Y96" s="432"/>
      <c r="Z96" s="401"/>
      <c r="AA96" s="401"/>
      <c r="AB96" s="412"/>
      <c r="AC96" s="409"/>
      <c r="AD96" s="409"/>
      <c r="AE96" s="409"/>
      <c r="AF96" s="409"/>
      <c r="AG96" s="1147"/>
      <c r="AH96" s="1147"/>
      <c r="AI96" s="1147"/>
      <c r="AJ96" s="1147"/>
      <c r="AK96" s="1147"/>
      <c r="AL96" s="1147"/>
      <c r="AM96" s="1147"/>
      <c r="AN96" s="410"/>
      <c r="AO96" s="444"/>
      <c r="AP96" s="444"/>
      <c r="AQ96" s="444"/>
      <c r="AR96" s="444"/>
      <c r="AS96" s="444"/>
      <c r="AT96" s="444"/>
      <c r="AU96" s="446"/>
    </row>
    <row r="97" spans="1:47" ht="0.95" customHeight="1" thickTop="1" thickBot="1">
      <c r="A97" s="443"/>
      <c r="B97" s="444"/>
      <c r="C97" s="444"/>
      <c r="D97" s="1139"/>
      <c r="E97" s="1140"/>
      <c r="F97" s="1140"/>
      <c r="G97" s="1140"/>
      <c r="H97" s="1140"/>
      <c r="I97" s="1140"/>
      <c r="J97" s="1140"/>
      <c r="K97" s="1140"/>
      <c r="L97" s="1140"/>
      <c r="M97" s="1141"/>
      <c r="N97" s="436"/>
      <c r="O97" s="435"/>
      <c r="P97" s="1136"/>
      <c r="Q97" s="1134"/>
      <c r="R97" s="1134"/>
      <c r="S97" s="1134"/>
      <c r="T97" s="1134"/>
      <c r="U97" s="432"/>
      <c r="V97" s="432"/>
      <c r="W97" s="432"/>
      <c r="X97" s="432"/>
      <c r="Y97" s="432"/>
      <c r="Z97" s="401"/>
      <c r="AA97" s="412"/>
      <c r="AB97" s="409"/>
      <c r="AC97" s="409"/>
      <c r="AD97" s="409"/>
      <c r="AE97" s="409"/>
      <c r="AF97" s="409"/>
      <c r="AG97" s="1147"/>
      <c r="AH97" s="1147"/>
      <c r="AI97" s="1147"/>
      <c r="AJ97" s="1147"/>
      <c r="AK97" s="1147"/>
      <c r="AL97" s="1147"/>
      <c r="AM97" s="1147"/>
      <c r="AN97" s="410"/>
      <c r="AO97" s="444"/>
      <c r="AP97" s="444"/>
      <c r="AQ97" s="444"/>
      <c r="AR97" s="444"/>
      <c r="AS97" s="444"/>
      <c r="AT97" s="444"/>
      <c r="AU97" s="446"/>
    </row>
    <row r="98" spans="1:47" ht="0.95" customHeight="1" thickTop="1" thickBot="1">
      <c r="A98" s="443"/>
      <c r="B98" s="444"/>
      <c r="C98" s="444"/>
      <c r="D98" s="1139"/>
      <c r="E98" s="1140"/>
      <c r="F98" s="1140"/>
      <c r="G98" s="1140"/>
      <c r="H98" s="1140"/>
      <c r="I98" s="1140"/>
      <c r="J98" s="1140"/>
      <c r="K98" s="1140"/>
      <c r="L98" s="1140"/>
      <c r="M98" s="1141"/>
      <c r="N98" s="436"/>
      <c r="O98" s="435"/>
      <c r="P98" s="1136"/>
      <c r="Q98" s="1134"/>
      <c r="R98" s="1134"/>
      <c r="S98" s="1134"/>
      <c r="T98" s="1134"/>
      <c r="U98" s="432"/>
      <c r="V98" s="432">
        <v>111</v>
      </c>
      <c r="W98" s="432"/>
      <c r="X98" s="432">
        <v>11</v>
      </c>
      <c r="Y98" s="433"/>
      <c r="Z98" s="412"/>
      <c r="AA98" s="409"/>
      <c r="AB98" s="409"/>
      <c r="AC98" s="409"/>
      <c r="AD98" s="409"/>
      <c r="AE98" s="409"/>
      <c r="AF98" s="409"/>
      <c r="AG98" s="1147"/>
      <c r="AH98" s="1147"/>
      <c r="AI98" s="1147"/>
      <c r="AJ98" s="1147"/>
      <c r="AK98" s="1147"/>
      <c r="AL98" s="1147"/>
      <c r="AM98" s="1147"/>
      <c r="AN98" s="410"/>
      <c r="AO98" s="444"/>
      <c r="AP98" s="444"/>
      <c r="AQ98" s="444"/>
      <c r="AR98" s="444"/>
      <c r="AS98" s="444"/>
      <c r="AT98" s="444"/>
      <c r="AU98" s="446"/>
    </row>
    <row r="99" spans="1:47" ht="0.95" customHeight="1" thickTop="1" thickBot="1">
      <c r="A99" s="443"/>
      <c r="B99" s="444"/>
      <c r="C99" s="444"/>
      <c r="D99" s="1139"/>
      <c r="E99" s="1140"/>
      <c r="F99" s="1140"/>
      <c r="G99" s="1140"/>
      <c r="H99" s="1140"/>
      <c r="I99" s="1140"/>
      <c r="J99" s="1140"/>
      <c r="K99" s="1140"/>
      <c r="L99" s="1140"/>
      <c r="M99" s="1141"/>
      <c r="N99" s="436"/>
      <c r="O99" s="435"/>
      <c r="P99" s="1136"/>
      <c r="Q99" s="1134"/>
      <c r="R99" s="1134"/>
      <c r="S99" s="1134"/>
      <c r="T99" s="1134"/>
      <c r="U99" s="432"/>
      <c r="V99" s="432"/>
      <c r="W99" s="432"/>
      <c r="X99" s="432"/>
      <c r="Y99" s="412"/>
      <c r="Z99" s="409"/>
      <c r="AA99" s="409"/>
      <c r="AB99" s="409"/>
      <c r="AC99" s="409"/>
      <c r="AD99" s="409"/>
      <c r="AE99" s="409"/>
      <c r="AF99" s="409"/>
      <c r="AG99" s="1147"/>
      <c r="AH99" s="1147"/>
      <c r="AI99" s="1147"/>
      <c r="AJ99" s="1147"/>
      <c r="AK99" s="1147"/>
      <c r="AL99" s="1147"/>
      <c r="AM99" s="1147"/>
      <c r="AN99" s="410"/>
      <c r="AO99" s="444"/>
      <c r="AP99" s="444"/>
      <c r="AQ99" s="444"/>
      <c r="AR99" s="444"/>
      <c r="AS99" s="444"/>
      <c r="AT99" s="444"/>
      <c r="AU99" s="446"/>
    </row>
    <row r="100" spans="1:47" ht="0.95" customHeight="1" thickTop="1" thickBot="1">
      <c r="A100" s="443"/>
      <c r="B100" s="444"/>
      <c r="C100" s="444"/>
      <c r="D100" s="1142"/>
      <c r="E100" s="1143"/>
      <c r="F100" s="1143"/>
      <c r="G100" s="1143"/>
      <c r="H100" s="1143"/>
      <c r="I100" s="1143"/>
      <c r="J100" s="1143"/>
      <c r="K100" s="1143"/>
      <c r="L100" s="1143"/>
      <c r="M100" s="1144"/>
      <c r="N100" s="436"/>
      <c r="O100" s="435"/>
      <c r="P100" s="1136"/>
      <c r="Q100" s="1134"/>
      <c r="R100" s="1134"/>
      <c r="S100" s="1134"/>
      <c r="T100" s="1134"/>
      <c r="U100" s="432"/>
      <c r="V100" s="432"/>
      <c r="W100" s="432"/>
      <c r="X100" s="412"/>
      <c r="Y100" s="409"/>
      <c r="Z100" s="409"/>
      <c r="AA100" s="409"/>
      <c r="AB100" s="409"/>
      <c r="AC100" s="409"/>
      <c r="AD100" s="409"/>
      <c r="AE100" s="409"/>
      <c r="AF100" s="409"/>
      <c r="AG100" s="1147"/>
      <c r="AH100" s="1147"/>
      <c r="AI100" s="1147"/>
      <c r="AJ100" s="1147"/>
      <c r="AK100" s="1147"/>
      <c r="AL100" s="1147"/>
      <c r="AM100" s="1147"/>
      <c r="AN100" s="410"/>
      <c r="AO100" s="444"/>
      <c r="AP100" s="444"/>
      <c r="AQ100" s="444"/>
      <c r="AR100" s="444"/>
      <c r="AS100" s="444"/>
      <c r="AT100" s="444"/>
      <c r="AU100" s="446"/>
    </row>
    <row r="101" spans="1:47" ht="0.95" customHeight="1" thickTop="1" thickBot="1">
      <c r="A101" s="443"/>
      <c r="B101" s="444"/>
      <c r="C101" s="444"/>
      <c r="D101" s="419"/>
      <c r="E101" s="420"/>
      <c r="F101" s="420"/>
      <c r="G101" s="420"/>
      <c r="H101" s="420"/>
      <c r="I101" s="420"/>
      <c r="J101" s="420"/>
      <c r="K101" s="420"/>
      <c r="L101" s="420"/>
      <c r="M101" s="421"/>
      <c r="N101" s="436"/>
      <c r="O101" s="435"/>
      <c r="P101" s="1136"/>
      <c r="Q101" s="1134"/>
      <c r="R101" s="1134"/>
      <c r="S101" s="1134"/>
      <c r="T101" s="1134"/>
      <c r="U101" s="432"/>
      <c r="V101" s="432"/>
      <c r="W101" s="412"/>
      <c r="X101" s="409"/>
      <c r="Y101" s="409"/>
      <c r="Z101" s="409"/>
      <c r="AA101" s="409"/>
      <c r="AB101" s="409"/>
      <c r="AC101" s="409"/>
      <c r="AD101" s="409"/>
      <c r="AE101" s="409"/>
      <c r="AF101" s="409"/>
      <c r="AG101" s="1147"/>
      <c r="AH101" s="1147"/>
      <c r="AI101" s="1147"/>
      <c r="AJ101" s="1147"/>
      <c r="AK101" s="1147"/>
      <c r="AL101" s="1147"/>
      <c r="AM101" s="1147"/>
      <c r="AN101" s="410"/>
      <c r="AO101" s="444"/>
      <c r="AP101" s="444"/>
      <c r="AQ101" s="444"/>
      <c r="AR101" s="444"/>
      <c r="AS101" s="444"/>
      <c r="AT101" s="444"/>
      <c r="AU101" s="446"/>
    </row>
    <row r="102" spans="1:47" ht="0.95" customHeight="1" thickTop="1" thickBot="1">
      <c r="A102" s="443"/>
      <c r="B102" s="444"/>
      <c r="C102" s="444"/>
      <c r="D102" s="419"/>
      <c r="E102" s="420"/>
      <c r="F102" s="420"/>
      <c r="G102" s="420"/>
      <c r="H102" s="420"/>
      <c r="I102" s="420"/>
      <c r="J102" s="420"/>
      <c r="K102" s="420"/>
      <c r="L102" s="420"/>
      <c r="M102" s="421"/>
      <c r="N102" s="436"/>
      <c r="O102" s="435"/>
      <c r="P102" s="1136"/>
      <c r="Q102" s="1134"/>
      <c r="R102" s="1134"/>
      <c r="S102" s="1134"/>
      <c r="T102" s="1134"/>
      <c r="U102" s="432"/>
      <c r="V102" s="412"/>
      <c r="W102" s="409"/>
      <c r="X102" s="409"/>
      <c r="Y102" s="409"/>
      <c r="Z102" s="409"/>
      <c r="AA102" s="409"/>
      <c r="AB102" s="409"/>
      <c r="AC102" s="409"/>
      <c r="AD102" s="409"/>
      <c r="AE102" s="409"/>
      <c r="AF102" s="409"/>
      <c r="AG102" s="1147"/>
      <c r="AH102" s="1147"/>
      <c r="AI102" s="1147"/>
      <c r="AJ102" s="1147"/>
      <c r="AK102" s="1147"/>
      <c r="AL102" s="1147"/>
      <c r="AM102" s="1147"/>
      <c r="AN102" s="410"/>
      <c r="AO102" s="444"/>
      <c r="AP102" s="444"/>
      <c r="AQ102" s="444"/>
      <c r="AR102" s="444"/>
      <c r="AS102" s="444"/>
      <c r="AT102" s="444"/>
      <c r="AU102" s="446"/>
    </row>
    <row r="103" spans="1:47" ht="0.95" customHeight="1" thickTop="1" thickBot="1">
      <c r="A103" s="443"/>
      <c r="B103" s="444"/>
      <c r="C103" s="444"/>
      <c r="D103" s="419"/>
      <c r="E103" s="420"/>
      <c r="F103" s="420"/>
      <c r="G103" s="420"/>
      <c r="H103" s="420"/>
      <c r="I103" s="420"/>
      <c r="J103" s="420"/>
      <c r="K103" s="420"/>
      <c r="L103" s="420"/>
      <c r="M103" s="421"/>
      <c r="N103" s="436"/>
      <c r="O103" s="435"/>
      <c r="P103" s="1137"/>
      <c r="Q103" s="1138"/>
      <c r="R103" s="1138"/>
      <c r="S103" s="1138"/>
      <c r="T103" s="1138"/>
      <c r="U103" s="412"/>
      <c r="V103" s="409"/>
      <c r="W103" s="409"/>
      <c r="X103" s="409"/>
      <c r="Y103" s="409"/>
      <c r="Z103" s="409"/>
      <c r="AA103" s="409"/>
      <c r="AB103" s="409"/>
      <c r="AC103" s="409"/>
      <c r="AD103" s="409"/>
      <c r="AE103" s="409"/>
      <c r="AF103" s="409"/>
      <c r="AG103" s="1147"/>
      <c r="AH103" s="1147"/>
      <c r="AI103" s="1147"/>
      <c r="AJ103" s="1147"/>
      <c r="AK103" s="1147"/>
      <c r="AL103" s="1147"/>
      <c r="AM103" s="1147"/>
      <c r="AN103" s="410"/>
      <c r="AO103" s="444"/>
      <c r="AP103" s="444"/>
      <c r="AQ103" s="444"/>
      <c r="AR103" s="444"/>
      <c r="AS103" s="444"/>
      <c r="AT103" s="444"/>
      <c r="AU103" s="446"/>
    </row>
    <row r="104" spans="1:47" ht="6.75" customHeight="1" thickTop="1">
      <c r="A104" s="443"/>
      <c r="B104" s="444"/>
      <c r="C104" s="444"/>
      <c r="D104" s="1169" t="s">
        <v>408</v>
      </c>
      <c r="E104" s="1170"/>
      <c r="F104" s="1170"/>
      <c r="G104" s="1170"/>
      <c r="H104" s="1170"/>
      <c r="I104" s="1170"/>
      <c r="J104" s="1170"/>
      <c r="K104" s="1170"/>
      <c r="L104" s="1170"/>
      <c r="M104" s="1171"/>
      <c r="N104" s="436"/>
      <c r="O104" s="435"/>
      <c r="P104" s="417"/>
      <c r="Q104" s="418"/>
      <c r="R104" s="418"/>
      <c r="S104" s="418"/>
      <c r="T104" s="418"/>
      <c r="U104" s="418"/>
      <c r="V104" s="418"/>
      <c r="W104" s="418"/>
      <c r="X104" s="418"/>
      <c r="Y104" s="418"/>
      <c r="Z104" s="418"/>
      <c r="AA104" s="418"/>
      <c r="AB104" s="418"/>
      <c r="AC104" s="418"/>
      <c r="AD104" s="418"/>
      <c r="AE104" s="418"/>
      <c r="AF104" s="418"/>
      <c r="AG104" s="418"/>
      <c r="AH104" s="418"/>
      <c r="AI104" s="409"/>
      <c r="AJ104" s="409"/>
      <c r="AK104" s="409"/>
      <c r="AL104" s="1175" t="str">
        <f>"Kepala SMP "&amp;PROPER(MID(_nama_sekolah,5,30))</f>
        <v>Kepala SMP Negeri 1 Abung Surakarta</v>
      </c>
      <c r="AM104" s="1175"/>
      <c r="AN104" s="416"/>
      <c r="AO104" s="444"/>
      <c r="AP104" s="444"/>
      <c r="AQ104" s="444"/>
      <c r="AR104" s="444"/>
      <c r="AS104" s="444"/>
      <c r="AT104" s="444"/>
      <c r="AU104" s="446"/>
    </row>
    <row r="105" spans="1:47" ht="6.75" customHeight="1">
      <c r="A105" s="443"/>
      <c r="B105" s="444"/>
      <c r="C105" s="444"/>
      <c r="D105" s="1169"/>
      <c r="E105" s="1170"/>
      <c r="F105" s="1170"/>
      <c r="G105" s="1170"/>
      <c r="H105" s="1170"/>
      <c r="I105" s="1170"/>
      <c r="J105" s="1170"/>
      <c r="K105" s="1170"/>
      <c r="L105" s="1170"/>
      <c r="M105" s="1171"/>
      <c r="N105" s="436"/>
      <c r="O105" s="435"/>
      <c r="P105" s="417"/>
      <c r="Q105" s="418"/>
      <c r="R105" s="418"/>
      <c r="S105" s="418"/>
      <c r="T105" s="418"/>
      <c r="U105" s="418"/>
      <c r="V105" s="418"/>
      <c r="W105" s="418"/>
      <c r="X105" s="418"/>
      <c r="Y105" s="418"/>
      <c r="Z105" s="418"/>
      <c r="AA105" s="418"/>
      <c r="AB105" s="418"/>
      <c r="AC105" s="418"/>
      <c r="AD105" s="418"/>
      <c r="AE105" s="418"/>
      <c r="AF105" s="418"/>
      <c r="AG105" s="418"/>
      <c r="AH105" s="418"/>
      <c r="AI105" s="418"/>
      <c r="AJ105" s="418"/>
      <c r="AK105" s="418"/>
      <c r="AL105" s="1175"/>
      <c r="AM105" s="1175"/>
      <c r="AN105" s="416"/>
      <c r="AO105" s="444"/>
      <c r="AP105" s="444"/>
      <c r="AQ105" s="444"/>
      <c r="AR105" s="444"/>
      <c r="AS105" s="444"/>
      <c r="AT105" s="444"/>
      <c r="AU105" s="446"/>
    </row>
    <row r="106" spans="1:47" ht="6.75" customHeight="1">
      <c r="A106" s="443"/>
      <c r="B106" s="444"/>
      <c r="C106" s="444"/>
      <c r="D106" s="423"/>
      <c r="E106" s="424"/>
      <c r="F106" s="424"/>
      <c r="G106" s="424"/>
      <c r="H106" s="424"/>
      <c r="I106" s="424"/>
      <c r="J106" s="424"/>
      <c r="K106" s="424"/>
      <c r="L106" s="424"/>
      <c r="M106" s="425"/>
      <c r="N106" s="436"/>
      <c r="O106" s="435"/>
      <c r="P106" s="408"/>
      <c r="Q106" s="409"/>
      <c r="R106" s="409"/>
      <c r="S106" s="409"/>
      <c r="T106" s="409"/>
      <c r="U106" s="409"/>
      <c r="V106" s="409"/>
      <c r="W106" s="409"/>
      <c r="X106" s="409"/>
      <c r="Y106" s="409"/>
      <c r="Z106" s="409"/>
      <c r="AA106" s="409"/>
      <c r="AB106" s="409"/>
      <c r="AC106" s="409"/>
      <c r="AD106" s="409"/>
      <c r="AE106" s="409"/>
      <c r="AF106" s="409"/>
      <c r="AG106" s="409"/>
      <c r="AH106" s="409"/>
      <c r="AI106" s="409"/>
      <c r="AJ106" s="409"/>
      <c r="AK106" s="409"/>
      <c r="AL106" s="409"/>
      <c r="AM106" s="409"/>
      <c r="AN106" s="410"/>
      <c r="AO106" s="444"/>
      <c r="AP106" s="444"/>
      <c r="AQ106" s="444"/>
      <c r="AR106" s="444"/>
      <c r="AS106" s="444"/>
      <c r="AT106" s="444"/>
      <c r="AU106" s="446"/>
    </row>
    <row r="107" spans="1:47" ht="6.75" customHeight="1">
      <c r="A107" s="443"/>
      <c r="B107" s="444"/>
      <c r="C107" s="444"/>
      <c r="D107" s="1169" t="str">
        <f>_alamat_sekolah&amp;" "&amp;_kelurahan</f>
        <v>Jl. Pendidikan No. 24 Tatakarya</v>
      </c>
      <c r="E107" s="1170"/>
      <c r="F107" s="1170"/>
      <c r="G107" s="1170"/>
      <c r="H107" s="1170"/>
      <c r="I107" s="1170"/>
      <c r="J107" s="1170"/>
      <c r="K107" s="1170"/>
      <c r="L107" s="1170"/>
      <c r="M107" s="1171"/>
      <c r="N107" s="436"/>
      <c r="O107" s="435"/>
      <c r="P107" s="1176" t="str">
        <f>_kepsek</f>
        <v>Hj. YURNILAWATI, S.Pd.I</v>
      </c>
      <c r="Q107" s="1181"/>
      <c r="R107" s="1181"/>
      <c r="S107" s="1181"/>
      <c r="T107" s="1181"/>
      <c r="U107" s="1181"/>
      <c r="V107" s="1181"/>
      <c r="W107" s="1181"/>
      <c r="X107" s="1181"/>
      <c r="Y107" s="1181"/>
      <c r="Z107" s="1181"/>
      <c r="AA107" s="1181"/>
      <c r="AB107" s="1181"/>
      <c r="AC107" s="1181"/>
      <c r="AD107" s="1181"/>
      <c r="AE107" s="1181"/>
      <c r="AF107" s="1181"/>
      <c r="AG107" s="1181"/>
      <c r="AH107" s="1181"/>
      <c r="AI107" s="1181"/>
      <c r="AJ107" s="1181"/>
      <c r="AK107" s="1181"/>
      <c r="AL107" s="1181"/>
      <c r="AM107" s="1181"/>
      <c r="AN107" s="410"/>
      <c r="AO107" s="444"/>
      <c r="AP107" s="444"/>
      <c r="AQ107" s="444"/>
      <c r="AR107" s="444"/>
      <c r="AS107" s="444"/>
      <c r="AT107" s="444"/>
      <c r="AU107" s="446"/>
    </row>
    <row r="108" spans="1:47" ht="6.75" customHeight="1">
      <c r="A108" s="443"/>
      <c r="B108" s="444"/>
      <c r="C108" s="444"/>
      <c r="D108" s="1169" t="str">
        <f>"Telp. "&amp;_telpon&amp;" e-Mail : "&amp;_email</f>
        <v>Telp. - e-Mail : smpnegeri1abungsurakarta@yahoo.com</v>
      </c>
      <c r="E108" s="1170"/>
      <c r="F108" s="1170"/>
      <c r="G108" s="1170"/>
      <c r="H108" s="1170"/>
      <c r="I108" s="1170"/>
      <c r="J108" s="1170"/>
      <c r="K108" s="1170"/>
      <c r="L108" s="1170"/>
      <c r="M108" s="1171"/>
      <c r="N108" s="436"/>
      <c r="O108" s="435"/>
      <c r="P108" s="1176"/>
      <c r="Q108" s="1181"/>
      <c r="R108" s="1181"/>
      <c r="S108" s="1181"/>
      <c r="T108" s="1181"/>
      <c r="U108" s="1181"/>
      <c r="V108" s="1181"/>
      <c r="W108" s="1181"/>
      <c r="X108" s="1181"/>
      <c r="Y108" s="1181"/>
      <c r="Z108" s="1181"/>
      <c r="AA108" s="1181"/>
      <c r="AB108" s="1181"/>
      <c r="AC108" s="1181"/>
      <c r="AD108" s="1181"/>
      <c r="AE108" s="1181"/>
      <c r="AF108" s="1181"/>
      <c r="AG108" s="1181"/>
      <c r="AH108" s="1181"/>
      <c r="AI108" s="1181"/>
      <c r="AJ108" s="1181"/>
      <c r="AK108" s="1181"/>
      <c r="AL108" s="1181"/>
      <c r="AM108" s="1181"/>
      <c r="AN108" s="414"/>
      <c r="AO108" s="444"/>
      <c r="AP108" s="444"/>
      <c r="AQ108" s="444"/>
      <c r="AR108" s="444"/>
      <c r="AS108" s="444"/>
      <c r="AT108" s="444"/>
      <c r="AU108" s="446"/>
    </row>
    <row r="109" spans="1:47" ht="5.25" customHeight="1" thickBot="1">
      <c r="A109" s="443"/>
      <c r="B109" s="444"/>
      <c r="C109" s="444"/>
      <c r="D109" s="1172"/>
      <c r="E109" s="1173"/>
      <c r="F109" s="1173"/>
      <c r="G109" s="1173"/>
      <c r="H109" s="1173"/>
      <c r="I109" s="1173"/>
      <c r="J109" s="1173"/>
      <c r="K109" s="1173"/>
      <c r="L109" s="1173"/>
      <c r="M109" s="1174"/>
      <c r="N109" s="436"/>
      <c r="O109" s="435"/>
      <c r="P109" s="1179" t="str">
        <f>_nip_kepsek</f>
        <v>19590208 198102 2 001</v>
      </c>
      <c r="Q109" s="1180"/>
      <c r="R109" s="1180"/>
      <c r="S109" s="1180"/>
      <c r="T109" s="1180"/>
      <c r="U109" s="1180"/>
      <c r="V109" s="1180"/>
      <c r="W109" s="1180"/>
      <c r="X109" s="1180"/>
      <c r="Y109" s="1180"/>
      <c r="Z109" s="1180"/>
      <c r="AA109" s="1180"/>
      <c r="AB109" s="1180"/>
      <c r="AC109" s="1180"/>
      <c r="AD109" s="1180"/>
      <c r="AE109" s="1180"/>
      <c r="AF109" s="1180"/>
      <c r="AG109" s="1180"/>
      <c r="AH109" s="1180"/>
      <c r="AI109" s="1180"/>
      <c r="AJ109" s="1180"/>
      <c r="AK109" s="1180"/>
      <c r="AL109" s="1180"/>
      <c r="AM109" s="1180"/>
      <c r="AN109" s="415"/>
      <c r="AO109" s="444"/>
      <c r="AP109" s="444"/>
      <c r="AQ109" s="444"/>
      <c r="AR109" s="444"/>
      <c r="AS109" s="444"/>
      <c r="AT109" s="444"/>
      <c r="AU109" s="446"/>
    </row>
    <row r="110" spans="1:47" ht="3.75" customHeight="1">
      <c r="A110" s="443"/>
      <c r="B110" s="444"/>
      <c r="C110" s="444"/>
      <c r="D110" s="1168"/>
      <c r="E110" s="1168"/>
      <c r="F110" s="1168"/>
      <c r="G110" s="1168"/>
      <c r="H110" s="1168"/>
      <c r="I110" s="1168"/>
      <c r="J110" s="1168"/>
      <c r="K110" s="1168"/>
      <c r="L110" s="1168"/>
      <c r="M110" s="1168"/>
      <c r="N110" s="436"/>
      <c r="O110" s="435"/>
      <c r="P110" s="1168"/>
      <c r="Q110" s="1168"/>
      <c r="R110" s="1168"/>
      <c r="S110" s="1168"/>
      <c r="T110" s="1168"/>
      <c r="U110" s="1168"/>
      <c r="V110" s="1168"/>
      <c r="W110" s="1168"/>
      <c r="X110" s="1168"/>
      <c r="Y110" s="1168"/>
      <c r="Z110" s="1168"/>
      <c r="AA110" s="1168"/>
      <c r="AB110" s="1168"/>
      <c r="AC110" s="1168"/>
      <c r="AD110" s="1168"/>
      <c r="AE110" s="1168"/>
      <c r="AF110" s="1168"/>
      <c r="AG110" s="1168"/>
      <c r="AH110" s="1168"/>
      <c r="AI110" s="1168"/>
      <c r="AJ110" s="1168"/>
      <c r="AK110" s="1168"/>
      <c r="AL110" s="1168"/>
      <c r="AM110" s="1168"/>
      <c r="AN110" s="1168"/>
      <c r="AO110" s="444"/>
      <c r="AP110" s="444"/>
      <c r="AQ110" s="444"/>
      <c r="AR110" s="444"/>
      <c r="AS110" s="444"/>
      <c r="AT110" s="444"/>
      <c r="AU110" s="446"/>
    </row>
    <row r="111" spans="1:47" ht="3.75" customHeight="1" thickBot="1">
      <c r="A111" s="443"/>
      <c r="B111" s="444"/>
      <c r="C111" s="444"/>
      <c r="D111" s="428"/>
      <c r="E111" s="428"/>
      <c r="F111" s="428"/>
      <c r="G111" s="428"/>
      <c r="H111" s="428"/>
      <c r="I111" s="428"/>
      <c r="J111" s="428"/>
      <c r="K111" s="428"/>
      <c r="L111" s="428"/>
      <c r="M111" s="428"/>
      <c r="N111" s="436"/>
      <c r="O111" s="435"/>
      <c r="P111" s="428"/>
      <c r="Q111" s="428"/>
      <c r="R111" s="428"/>
      <c r="S111" s="428"/>
      <c r="T111" s="428"/>
      <c r="U111" s="428"/>
      <c r="V111" s="428"/>
      <c r="W111" s="428"/>
      <c r="X111" s="428"/>
      <c r="Y111" s="428"/>
      <c r="Z111" s="428"/>
      <c r="AA111" s="428"/>
      <c r="AB111" s="428"/>
      <c r="AC111" s="428"/>
      <c r="AD111" s="428"/>
      <c r="AE111" s="428"/>
      <c r="AF111" s="428"/>
      <c r="AG111" s="428"/>
      <c r="AH111" s="428"/>
      <c r="AI111" s="428"/>
      <c r="AJ111" s="428"/>
      <c r="AK111" s="428"/>
      <c r="AL111" s="428"/>
      <c r="AM111" s="428"/>
      <c r="AN111" s="428"/>
      <c r="AO111" s="444"/>
      <c r="AP111" s="444"/>
      <c r="AQ111" s="444"/>
      <c r="AR111" s="444"/>
      <c r="AS111" s="444"/>
      <c r="AT111" s="444"/>
      <c r="AU111" s="446"/>
    </row>
    <row r="112" spans="1:47" ht="15" customHeight="1">
      <c r="A112" s="443"/>
      <c r="B112" s="1102">
        <f>VLOOKUP($AP$4,_kartu_pelajar,6,FALSE)</f>
        <v>4</v>
      </c>
      <c r="C112" s="444"/>
      <c r="D112" s="1104" t="s">
        <v>404</v>
      </c>
      <c r="E112" s="1105"/>
      <c r="F112" s="1105"/>
      <c r="G112" s="1105"/>
      <c r="H112" s="1105"/>
      <c r="I112" s="1105"/>
      <c r="J112" s="1105"/>
      <c r="K112" s="1105"/>
      <c r="L112" s="1105"/>
      <c r="M112" s="1106"/>
      <c r="N112" s="436"/>
      <c r="O112" s="435"/>
      <c r="P112" s="1108" t="s">
        <v>409</v>
      </c>
      <c r="Q112" s="1109"/>
      <c r="R112" s="1109"/>
      <c r="S112" s="1109"/>
      <c r="T112" s="1109"/>
      <c r="U112" s="1109"/>
      <c r="V112" s="1109"/>
      <c r="W112" s="1109"/>
      <c r="X112" s="1109"/>
      <c r="Y112" s="1109"/>
      <c r="Z112" s="1109"/>
      <c r="AA112" s="1109"/>
      <c r="AB112" s="1109"/>
      <c r="AC112" s="1109"/>
      <c r="AD112" s="1109"/>
      <c r="AE112" s="1109">
        <v>1</v>
      </c>
      <c r="AF112" s="1109"/>
      <c r="AG112" s="1109"/>
      <c r="AH112" s="1109"/>
      <c r="AI112" s="1109"/>
      <c r="AJ112" s="1109"/>
      <c r="AK112" s="1109"/>
      <c r="AL112" s="1109"/>
      <c r="AM112" s="1109"/>
      <c r="AN112" s="1110"/>
      <c r="AO112" s="444"/>
      <c r="AP112" s="444"/>
      <c r="AQ112" s="444"/>
      <c r="AR112" s="444"/>
      <c r="AS112" s="444"/>
      <c r="AT112" s="444"/>
      <c r="AU112" s="446"/>
    </row>
    <row r="113" spans="1:55" ht="10.5" customHeight="1" thickBot="1">
      <c r="A113" s="443"/>
      <c r="B113" s="1103"/>
      <c r="C113" s="444"/>
      <c r="D113" s="1126" t="s">
        <v>405</v>
      </c>
      <c r="E113" s="1127"/>
      <c r="F113" s="1127"/>
      <c r="G113" s="1127"/>
      <c r="H113" s="1127"/>
      <c r="I113" s="1127"/>
      <c r="J113" s="1127"/>
      <c r="K113" s="1127"/>
      <c r="L113" s="1127"/>
      <c r="M113" s="1128"/>
      <c r="N113" s="436"/>
      <c r="O113" s="435"/>
      <c r="P113" s="1111"/>
      <c r="Q113" s="1112"/>
      <c r="R113" s="1112"/>
      <c r="S113" s="1112"/>
      <c r="T113" s="1112"/>
      <c r="U113" s="1112"/>
      <c r="V113" s="1112"/>
      <c r="W113" s="1112"/>
      <c r="X113" s="1112"/>
      <c r="Y113" s="1112"/>
      <c r="Z113" s="1112"/>
      <c r="AA113" s="1112"/>
      <c r="AB113" s="1112"/>
      <c r="AC113" s="1112"/>
      <c r="AD113" s="1112"/>
      <c r="AE113" s="1112"/>
      <c r="AF113" s="1112"/>
      <c r="AG113" s="1112"/>
      <c r="AH113" s="1112"/>
      <c r="AI113" s="1112"/>
      <c r="AJ113" s="1112"/>
      <c r="AK113" s="1112"/>
      <c r="AL113" s="1112"/>
      <c r="AM113" s="1112"/>
      <c r="AN113" s="1113"/>
      <c r="AO113" s="444"/>
      <c r="AP113" s="444"/>
      <c r="AQ113" s="444"/>
      <c r="AR113" s="444"/>
      <c r="AS113" s="444"/>
      <c r="AT113" s="444"/>
      <c r="AU113" s="446"/>
      <c r="BC113" s="1182"/>
    </row>
    <row r="114" spans="1:55" ht="11.25" customHeight="1">
      <c r="A114" s="443"/>
      <c r="B114" s="444"/>
      <c r="C114" s="444"/>
      <c r="D114" s="1129" t="str">
        <f>_nama_sekolah</f>
        <v>SMP NEGERI 1 ABUNG SURAKARTA</v>
      </c>
      <c r="E114" s="1130"/>
      <c r="F114" s="1130"/>
      <c r="G114" s="1130"/>
      <c r="H114" s="1130"/>
      <c r="I114" s="1130"/>
      <c r="J114" s="1130"/>
      <c r="K114" s="1130"/>
      <c r="L114" s="1130"/>
      <c r="M114" s="1131"/>
      <c r="N114" s="436"/>
      <c r="O114" s="435"/>
      <c r="P114" s="1111"/>
      <c r="Q114" s="1112"/>
      <c r="R114" s="1112"/>
      <c r="S114" s="1112"/>
      <c r="T114" s="1112"/>
      <c r="U114" s="1112"/>
      <c r="V114" s="1112"/>
      <c r="W114" s="1112"/>
      <c r="X114" s="1112"/>
      <c r="Y114" s="1112"/>
      <c r="Z114" s="1112"/>
      <c r="AA114" s="1112"/>
      <c r="AB114" s="1112"/>
      <c r="AC114" s="1112"/>
      <c r="AD114" s="1112"/>
      <c r="AE114" s="1112"/>
      <c r="AF114" s="1112"/>
      <c r="AG114" s="1112"/>
      <c r="AH114" s="1112"/>
      <c r="AI114" s="1112"/>
      <c r="AJ114" s="1112"/>
      <c r="AK114" s="1112"/>
      <c r="AL114" s="1112"/>
      <c r="AM114" s="1112"/>
      <c r="AN114" s="1113"/>
      <c r="AO114" s="444"/>
      <c r="AP114" s="444"/>
      <c r="AQ114" s="444"/>
      <c r="AR114" s="444"/>
      <c r="AS114" s="444"/>
      <c r="AT114" s="444"/>
      <c r="AU114" s="446"/>
      <c r="BC114" s="1182"/>
    </row>
    <row r="115" spans="1:55" ht="3.75" customHeight="1" thickBot="1">
      <c r="A115" s="443"/>
      <c r="B115" s="444"/>
      <c r="C115" s="444"/>
      <c r="D115" s="1148"/>
      <c r="E115" s="1149"/>
      <c r="F115" s="1149"/>
      <c r="G115" s="1149"/>
      <c r="H115" s="1149"/>
      <c r="I115" s="1149"/>
      <c r="J115" s="1149"/>
      <c r="K115" s="1149"/>
      <c r="L115" s="1149"/>
      <c r="M115" s="1150"/>
      <c r="N115" s="436"/>
      <c r="O115" s="435"/>
      <c r="P115" s="1114"/>
      <c r="Q115" s="1115"/>
      <c r="R115" s="1115"/>
      <c r="S115" s="1115"/>
      <c r="T115" s="1115"/>
      <c r="U115" s="1115"/>
      <c r="V115" s="1115"/>
      <c r="W115" s="1115"/>
      <c r="X115" s="1115"/>
      <c r="Y115" s="1115"/>
      <c r="Z115" s="1115"/>
      <c r="AA115" s="1115"/>
      <c r="AB115" s="1115"/>
      <c r="AC115" s="1115"/>
      <c r="AD115" s="1115"/>
      <c r="AE115" s="1115"/>
      <c r="AF115" s="1115"/>
      <c r="AG115" s="1115"/>
      <c r="AH115" s="1115"/>
      <c r="AI115" s="1115"/>
      <c r="AJ115" s="1115"/>
      <c r="AK115" s="1115"/>
      <c r="AL115" s="1115"/>
      <c r="AM115" s="1115"/>
      <c r="AN115" s="1116"/>
      <c r="AO115" s="444"/>
      <c r="AP115" s="444"/>
      <c r="AQ115" s="444"/>
      <c r="AR115" s="444"/>
      <c r="AS115" s="444"/>
      <c r="AT115" s="444"/>
      <c r="AU115" s="446"/>
      <c r="BC115" s="1182"/>
    </row>
    <row r="116" spans="1:55" ht="16.5" customHeight="1" thickBot="1">
      <c r="A116" s="443"/>
      <c r="B116" s="444"/>
      <c r="C116" s="444"/>
      <c r="D116" s="1151" t="s">
        <v>403</v>
      </c>
      <c r="E116" s="1152"/>
      <c r="F116" s="1152"/>
      <c r="G116" s="1152"/>
      <c r="H116" s="1152"/>
      <c r="I116" s="1152"/>
      <c r="J116" s="1152"/>
      <c r="K116" s="1152"/>
      <c r="L116" s="1152"/>
      <c r="M116" s="1153"/>
      <c r="N116" s="436"/>
      <c r="O116" s="435"/>
      <c r="P116" s="413" t="s">
        <v>303</v>
      </c>
      <c r="Q116" s="1154" t="s">
        <v>412</v>
      </c>
      <c r="R116" s="1154"/>
      <c r="S116" s="1154"/>
      <c r="T116" s="1154"/>
      <c r="U116" s="1154"/>
      <c r="V116" s="1154"/>
      <c r="W116" s="1154"/>
      <c r="X116" s="1154"/>
      <c r="Y116" s="1154"/>
      <c r="Z116" s="1154"/>
      <c r="AA116" s="1154"/>
      <c r="AB116" s="1154"/>
      <c r="AC116" s="1154"/>
      <c r="AD116" s="1154"/>
      <c r="AE116" s="1154"/>
      <c r="AF116" s="1154"/>
      <c r="AG116" s="1154"/>
      <c r="AH116" s="1154"/>
      <c r="AI116" s="1154"/>
      <c r="AJ116" s="1154"/>
      <c r="AK116" s="1154"/>
      <c r="AL116" s="1154"/>
      <c r="AM116" s="1154"/>
      <c r="AN116" s="1155"/>
      <c r="AO116" s="444"/>
      <c r="AP116" s="444"/>
      <c r="AQ116" s="444"/>
      <c r="AR116" s="444"/>
      <c r="AS116" s="444"/>
      <c r="AT116" s="444"/>
      <c r="AU116" s="446"/>
    </row>
    <row r="117" spans="1:55" ht="3.75" customHeight="1">
      <c r="A117" s="443"/>
      <c r="B117" s="444"/>
      <c r="C117" s="444"/>
      <c r="D117" s="400"/>
      <c r="E117" s="401"/>
      <c r="F117" s="401"/>
      <c r="G117" s="401"/>
      <c r="H117" s="401"/>
      <c r="I117" s="401"/>
      <c r="J117" s="401"/>
      <c r="K117" s="401"/>
      <c r="L117" s="401"/>
      <c r="M117" s="402"/>
      <c r="N117" s="436"/>
      <c r="O117" s="435"/>
      <c r="P117" s="1156" t="s">
        <v>316</v>
      </c>
      <c r="Q117" s="1158" t="s">
        <v>413</v>
      </c>
      <c r="R117" s="1158"/>
      <c r="S117" s="1158"/>
      <c r="T117" s="1158"/>
      <c r="U117" s="1158"/>
      <c r="V117" s="1158"/>
      <c r="W117" s="1158"/>
      <c r="X117" s="1158"/>
      <c r="Y117" s="1158"/>
      <c r="Z117" s="1158"/>
      <c r="AA117" s="1158"/>
      <c r="AB117" s="1158"/>
      <c r="AC117" s="1158"/>
      <c r="AD117" s="1158"/>
      <c r="AE117" s="1158"/>
      <c r="AF117" s="1158"/>
      <c r="AG117" s="1158"/>
      <c r="AH117" s="1158"/>
      <c r="AI117" s="1158"/>
      <c r="AJ117" s="1158"/>
      <c r="AK117" s="1158"/>
      <c r="AL117" s="1158"/>
      <c r="AM117" s="1158"/>
      <c r="AN117" s="1159"/>
      <c r="AO117" s="444"/>
      <c r="AP117" s="444"/>
      <c r="AQ117" s="444"/>
      <c r="AR117" s="444"/>
      <c r="AS117" s="444"/>
      <c r="AT117" s="444"/>
      <c r="AU117" s="446"/>
    </row>
    <row r="118" spans="1:55" ht="9.75" customHeight="1">
      <c r="A118" s="443"/>
      <c r="B118" s="444"/>
      <c r="C118" s="444"/>
      <c r="D118" s="403"/>
      <c r="E118" s="1160"/>
      <c r="F118" s="1161"/>
      <c r="G118" s="401"/>
      <c r="H118" s="406" t="s">
        <v>166</v>
      </c>
      <c r="I118" s="404"/>
      <c r="J118" s="404" t="s">
        <v>2</v>
      </c>
      <c r="K118" s="1132" t="str">
        <f>IFERROR(VLOOKUP(B112,_Biodata_Lengkap,2,FALSE),"-")&amp;" / "&amp;IFERROR(VLOOKUP(B112,_Biodata_Lengkap,3,FALSE),"-")</f>
        <v>7060 / 0057109584</v>
      </c>
      <c r="L118" s="1132"/>
      <c r="M118" s="1133"/>
      <c r="N118" s="436"/>
      <c r="O118" s="435"/>
      <c r="P118" s="1157"/>
      <c r="Q118" s="1158"/>
      <c r="R118" s="1158"/>
      <c r="S118" s="1158"/>
      <c r="T118" s="1158"/>
      <c r="U118" s="1158"/>
      <c r="V118" s="1158"/>
      <c r="W118" s="1158"/>
      <c r="X118" s="1158"/>
      <c r="Y118" s="1158"/>
      <c r="Z118" s="1158"/>
      <c r="AA118" s="1158"/>
      <c r="AB118" s="1158"/>
      <c r="AC118" s="1158"/>
      <c r="AD118" s="1158"/>
      <c r="AE118" s="1158"/>
      <c r="AF118" s="1158"/>
      <c r="AG118" s="1158"/>
      <c r="AH118" s="1158"/>
      <c r="AI118" s="1158"/>
      <c r="AJ118" s="1158"/>
      <c r="AK118" s="1158"/>
      <c r="AL118" s="1158"/>
      <c r="AM118" s="1158"/>
      <c r="AN118" s="1159"/>
      <c r="AO118" s="444"/>
      <c r="AP118" s="444"/>
      <c r="AQ118" s="444"/>
      <c r="AR118" s="444"/>
      <c r="AS118" s="444"/>
      <c r="AT118" s="444"/>
      <c r="AU118" s="446"/>
    </row>
    <row r="119" spans="1:55" ht="12" customHeight="1">
      <c r="A119" s="443"/>
      <c r="B119" s="444"/>
      <c r="C119" s="444"/>
      <c r="D119" s="403"/>
      <c r="E119" s="1162"/>
      <c r="F119" s="1163"/>
      <c r="G119" s="401"/>
      <c r="H119" s="406" t="s">
        <v>406</v>
      </c>
      <c r="I119" s="406"/>
      <c r="J119" s="406" t="s">
        <v>2</v>
      </c>
      <c r="K119" s="1132" t="str">
        <f>IFERROR(VLOOKUP(B112,_Biodata_Lengkap,5,FALSE),"-")&amp;", "&amp;IFERROR(VLOOKUP(B112,_Biodata_Lengkap,6,FALSE),"-")</f>
        <v>TATAKARYA, 01/11/2005</v>
      </c>
      <c r="L119" s="1132"/>
      <c r="M119" s="1133"/>
      <c r="N119" s="436"/>
      <c r="O119" s="435"/>
      <c r="P119" s="1166" t="s">
        <v>327</v>
      </c>
      <c r="Q119" s="1134" t="s">
        <v>420</v>
      </c>
      <c r="R119" s="1134"/>
      <c r="S119" s="1134"/>
      <c r="T119" s="1134"/>
      <c r="U119" s="1134"/>
      <c r="V119" s="1134"/>
      <c r="W119" s="1134"/>
      <c r="X119" s="1134"/>
      <c r="Y119" s="1134"/>
      <c r="Z119" s="1134"/>
      <c r="AA119" s="1134"/>
      <c r="AB119" s="1134"/>
      <c r="AC119" s="1134"/>
      <c r="AD119" s="1134"/>
      <c r="AE119" s="1134"/>
      <c r="AF119" s="1134"/>
      <c r="AG119" s="1134"/>
      <c r="AH119" s="1134"/>
      <c r="AI119" s="1134"/>
      <c r="AJ119" s="1134"/>
      <c r="AK119" s="1134"/>
      <c r="AL119" s="1134"/>
      <c r="AM119" s="432"/>
      <c r="AN119" s="434"/>
      <c r="AO119" s="444"/>
      <c r="AP119" s="444"/>
      <c r="AQ119" s="444"/>
      <c r="AR119" s="444"/>
      <c r="AS119" s="444"/>
      <c r="AT119" s="444"/>
      <c r="AU119" s="446"/>
    </row>
    <row r="120" spans="1:55" ht="13.5" customHeight="1">
      <c r="A120" s="443"/>
      <c r="B120" s="444"/>
      <c r="C120" s="444"/>
      <c r="D120" s="403"/>
      <c r="E120" s="1162"/>
      <c r="F120" s="1163"/>
      <c r="G120" s="401"/>
      <c r="H120" s="406" t="s">
        <v>407</v>
      </c>
      <c r="I120" s="407"/>
      <c r="J120" s="407" t="s">
        <v>2</v>
      </c>
      <c r="K120" s="1132" t="str">
        <f>IFERROR(IF(VLOOKUP(B112,_Biodata_Lengkap,7,FALSE)=0,"-",(VLOOKUP(B112,_Biodata_Lengkap,7,FALSE))),"-")</f>
        <v>Perempuan</v>
      </c>
      <c r="L120" s="1132"/>
      <c r="M120" s="1133"/>
      <c r="N120" s="436"/>
      <c r="O120" s="435"/>
      <c r="P120" s="1167"/>
      <c r="Q120" s="1134" t="s">
        <v>421</v>
      </c>
      <c r="R120" s="1134"/>
      <c r="S120" s="1134"/>
      <c r="T120" s="1134"/>
      <c r="U120" s="1134"/>
      <c r="V120" s="1134"/>
      <c r="W120" s="1134"/>
      <c r="X120" s="1134"/>
      <c r="Y120" s="1134"/>
      <c r="Z120" s="1134"/>
      <c r="AA120" s="1134"/>
      <c r="AB120" s="1134"/>
      <c r="AC120" s="1134"/>
      <c r="AD120" s="1134"/>
      <c r="AE120" s="1134"/>
      <c r="AF120" s="1134"/>
      <c r="AG120" s="1134"/>
      <c r="AH120" s="1134"/>
      <c r="AI120" s="1134"/>
      <c r="AJ120" s="1134"/>
      <c r="AK120" s="1134"/>
      <c r="AL120" s="1134"/>
      <c r="AM120" s="432"/>
      <c r="AN120" s="434"/>
      <c r="AO120" s="444"/>
      <c r="AP120" s="444"/>
      <c r="AQ120" s="444"/>
      <c r="AR120" s="444"/>
      <c r="AS120" s="444"/>
      <c r="AT120" s="444"/>
      <c r="AU120" s="446"/>
    </row>
    <row r="121" spans="1:55" ht="12.75" customHeight="1">
      <c r="A121" s="443"/>
      <c r="B121" s="444"/>
      <c r="C121" s="444"/>
      <c r="D121" s="403"/>
      <c r="E121" s="1164"/>
      <c r="F121" s="1165"/>
      <c r="G121" s="401"/>
      <c r="H121" s="406" t="s">
        <v>143</v>
      </c>
      <c r="I121" s="404"/>
      <c r="J121" s="404" t="s">
        <v>2</v>
      </c>
      <c r="K121" s="1132" t="str">
        <f>IFERROR(IF(VLOOKUP(B112,_Biodata_Lengkap,11,FALSE)=0,"-",(VLOOKUP(B112,_Biodata_Lengkap,11,FALSE))),"-")</f>
        <v>TATAKARYA</v>
      </c>
      <c r="L121" s="1132"/>
      <c r="M121" s="1133"/>
      <c r="N121" s="436"/>
      <c r="O121" s="435"/>
      <c r="P121" s="430" t="s">
        <v>410</v>
      </c>
      <c r="Q121" s="1134" t="s">
        <v>414</v>
      </c>
      <c r="R121" s="1134"/>
      <c r="S121" s="1134"/>
      <c r="T121" s="1134"/>
      <c r="U121" s="1134"/>
      <c r="V121" s="1134"/>
      <c r="W121" s="1134"/>
      <c r="X121" s="1134"/>
      <c r="Y121" s="1134"/>
      <c r="Z121" s="1134"/>
      <c r="AA121" s="1134"/>
      <c r="AB121" s="1134"/>
      <c r="AC121" s="1134"/>
      <c r="AD121" s="1134"/>
      <c r="AE121" s="1134"/>
      <c r="AF121" s="1134"/>
      <c r="AG121" s="1134"/>
      <c r="AH121" s="1134"/>
      <c r="AI121" s="1134"/>
      <c r="AJ121" s="1134"/>
      <c r="AK121" s="1134"/>
      <c r="AL121" s="1134"/>
      <c r="AM121" s="1134"/>
      <c r="AN121" s="1135"/>
      <c r="AO121" s="444"/>
      <c r="AP121" s="444"/>
      <c r="AQ121" s="444"/>
      <c r="AR121" s="444"/>
      <c r="AS121" s="444"/>
      <c r="AT121" s="444"/>
      <c r="AU121" s="446"/>
    </row>
    <row r="122" spans="1:55" ht="3.75" customHeight="1">
      <c r="A122" s="443"/>
      <c r="B122" s="444"/>
      <c r="C122" s="444"/>
      <c r="D122" s="403"/>
      <c r="E122" s="428"/>
      <c r="F122" s="401"/>
      <c r="G122" s="401"/>
      <c r="H122" s="404"/>
      <c r="I122" s="404"/>
      <c r="J122" s="404"/>
      <c r="K122" s="404"/>
      <c r="L122" s="404"/>
      <c r="M122" s="405"/>
      <c r="N122" s="436"/>
      <c r="O122" s="435"/>
      <c r="P122" s="1136" t="s">
        <v>411</v>
      </c>
      <c r="Q122" s="1134" t="s">
        <v>415</v>
      </c>
      <c r="R122" s="1134"/>
      <c r="S122" s="1134"/>
      <c r="T122" s="1134"/>
      <c r="U122" s="411"/>
      <c r="V122" s="411"/>
      <c r="W122" s="411"/>
      <c r="X122" s="411"/>
      <c r="Y122" s="411"/>
      <c r="Z122" s="411"/>
      <c r="AA122" s="411"/>
      <c r="AB122" s="411"/>
      <c r="AC122" s="411"/>
      <c r="AD122" s="401"/>
      <c r="AE122" s="401"/>
      <c r="AF122" s="401"/>
      <c r="AG122" s="401"/>
      <c r="AH122" s="401"/>
      <c r="AI122" s="401"/>
      <c r="AJ122" s="401"/>
      <c r="AK122" s="401"/>
      <c r="AL122" s="401"/>
      <c r="AM122" s="401"/>
      <c r="AN122" s="402"/>
      <c r="AO122" s="444"/>
      <c r="AP122" s="444"/>
      <c r="AQ122" s="444"/>
      <c r="AR122" s="444"/>
      <c r="AS122" s="444"/>
      <c r="AT122" s="444"/>
      <c r="AU122" s="446"/>
    </row>
    <row r="123" spans="1:55" ht="9" customHeight="1" thickBot="1">
      <c r="A123" s="443"/>
      <c r="B123" s="444"/>
      <c r="C123" s="444"/>
      <c r="D123" s="1139" t="str">
        <f>IFERROR(VLOOKUP(B112,_Biodata_Lengkap,4,FALSE),"-")</f>
        <v>Anggun Suci Rahmadani</v>
      </c>
      <c r="E123" s="1140"/>
      <c r="F123" s="1140"/>
      <c r="G123" s="1140"/>
      <c r="H123" s="1140"/>
      <c r="I123" s="1140"/>
      <c r="J123" s="1140"/>
      <c r="K123" s="1140"/>
      <c r="L123" s="1140"/>
      <c r="M123" s="1141"/>
      <c r="N123" s="436"/>
      <c r="O123" s="435"/>
      <c r="P123" s="1136"/>
      <c r="Q123" s="1134"/>
      <c r="R123" s="1134"/>
      <c r="S123" s="1134"/>
      <c r="T123" s="1134"/>
      <c r="U123" s="411"/>
      <c r="V123" s="411"/>
      <c r="W123" s="411"/>
      <c r="X123" s="411"/>
      <c r="Y123" s="411"/>
      <c r="Z123" s="411"/>
      <c r="AA123" s="411"/>
      <c r="AB123" s="411"/>
      <c r="AC123" s="411"/>
      <c r="AD123" s="411"/>
      <c r="AE123" s="411"/>
      <c r="AF123" s="411"/>
      <c r="AG123" s="411"/>
      <c r="AH123" s="411"/>
      <c r="AI123" s="411"/>
      <c r="AJ123" s="411"/>
      <c r="AK123" s="1145"/>
      <c r="AL123" s="1145"/>
      <c r="AM123" s="1145"/>
      <c r="AN123" s="1146"/>
      <c r="AO123" s="444"/>
      <c r="AP123" s="444"/>
      <c r="AQ123" s="444"/>
      <c r="AR123" s="444"/>
      <c r="AS123" s="444"/>
      <c r="AT123" s="444"/>
      <c r="AU123" s="446"/>
    </row>
    <row r="124" spans="1:55" ht="0.95" customHeight="1" thickTop="1" thickBot="1">
      <c r="A124" s="443"/>
      <c r="B124" s="444"/>
      <c r="C124" s="444"/>
      <c r="D124" s="1139"/>
      <c r="E124" s="1140"/>
      <c r="F124" s="1140"/>
      <c r="G124" s="1140"/>
      <c r="H124" s="1140"/>
      <c r="I124" s="1140"/>
      <c r="J124" s="1140"/>
      <c r="K124" s="1140"/>
      <c r="L124" s="1140"/>
      <c r="M124" s="1141"/>
      <c r="N124" s="436"/>
      <c r="O124" s="435"/>
      <c r="P124" s="1136"/>
      <c r="Q124" s="1134"/>
      <c r="R124" s="1134"/>
      <c r="S124" s="1134"/>
      <c r="T124" s="1134"/>
      <c r="U124" s="411"/>
      <c r="V124" s="411"/>
      <c r="W124" s="411"/>
      <c r="X124" s="411"/>
      <c r="Y124" s="411"/>
      <c r="Z124" s="411"/>
      <c r="AA124" s="411"/>
      <c r="AB124" s="411"/>
      <c r="AC124" s="411"/>
      <c r="AD124" s="411"/>
      <c r="AE124" s="411"/>
      <c r="AF124" s="411"/>
      <c r="AG124" s="411"/>
      <c r="AH124" s="411"/>
      <c r="AI124" s="411"/>
      <c r="AJ124" s="412"/>
      <c r="AK124" s="409"/>
      <c r="AL124" s="409"/>
      <c r="AM124" s="409"/>
      <c r="AN124" s="410"/>
      <c r="AO124" s="444"/>
      <c r="AP124" s="444"/>
      <c r="AQ124" s="444"/>
      <c r="AR124" s="444"/>
      <c r="AS124" s="444"/>
      <c r="AT124" s="444"/>
      <c r="AU124" s="446"/>
    </row>
    <row r="125" spans="1:55" ht="0.95" customHeight="1" thickTop="1" thickBot="1">
      <c r="A125" s="443"/>
      <c r="B125" s="444"/>
      <c r="C125" s="444"/>
      <c r="D125" s="1139"/>
      <c r="E125" s="1140"/>
      <c r="F125" s="1140"/>
      <c r="G125" s="1140"/>
      <c r="H125" s="1140"/>
      <c r="I125" s="1140"/>
      <c r="J125" s="1140"/>
      <c r="K125" s="1140"/>
      <c r="L125" s="1140"/>
      <c r="M125" s="1141"/>
      <c r="N125" s="436"/>
      <c r="O125" s="435"/>
      <c r="P125" s="1136"/>
      <c r="Q125" s="1134"/>
      <c r="R125" s="1134"/>
      <c r="S125" s="1134"/>
      <c r="T125" s="1134"/>
      <c r="U125" s="411"/>
      <c r="V125" s="411"/>
      <c r="W125" s="411"/>
      <c r="X125" s="411"/>
      <c r="Y125" s="411"/>
      <c r="Z125" s="411"/>
      <c r="AA125" s="411"/>
      <c r="AB125" s="411"/>
      <c r="AC125" s="411"/>
      <c r="AD125" s="411"/>
      <c r="AE125" s="411"/>
      <c r="AF125" s="411"/>
      <c r="AG125" s="411"/>
      <c r="AH125" s="411"/>
      <c r="AI125" s="412"/>
      <c r="AJ125" s="409"/>
      <c r="AK125" s="409"/>
      <c r="AL125" s="409"/>
      <c r="AM125" s="409"/>
      <c r="AN125" s="410"/>
      <c r="AO125" s="444"/>
      <c r="AP125" s="444"/>
      <c r="AQ125" s="444"/>
      <c r="AR125" s="444"/>
      <c r="AS125" s="444"/>
      <c r="AT125" s="444"/>
      <c r="AU125" s="446"/>
    </row>
    <row r="126" spans="1:55" ht="0.95" customHeight="1" thickTop="1" thickBot="1">
      <c r="A126" s="443"/>
      <c r="B126" s="444"/>
      <c r="C126" s="444"/>
      <c r="D126" s="1139"/>
      <c r="E126" s="1140"/>
      <c r="F126" s="1140"/>
      <c r="G126" s="1140"/>
      <c r="H126" s="1140"/>
      <c r="I126" s="1140"/>
      <c r="J126" s="1140"/>
      <c r="K126" s="1140"/>
      <c r="L126" s="1140"/>
      <c r="M126" s="1141"/>
      <c r="N126" s="436"/>
      <c r="O126" s="435"/>
      <c r="P126" s="1136"/>
      <c r="Q126" s="1134"/>
      <c r="R126" s="1134"/>
      <c r="S126" s="1134"/>
      <c r="T126" s="1134"/>
      <c r="U126" s="411"/>
      <c r="V126" s="411"/>
      <c r="W126" s="411"/>
      <c r="X126" s="411"/>
      <c r="Y126" s="411"/>
      <c r="Z126" s="411"/>
      <c r="AA126" s="411"/>
      <c r="AB126" s="411"/>
      <c r="AC126" s="411"/>
      <c r="AD126" s="411"/>
      <c r="AE126" s="411"/>
      <c r="AF126" s="411"/>
      <c r="AG126" s="411"/>
      <c r="AH126" s="412"/>
      <c r="AI126" s="409"/>
      <c r="AJ126" s="409"/>
      <c r="AK126" s="409"/>
      <c r="AL126" s="409"/>
      <c r="AM126" s="409"/>
      <c r="AN126" s="410"/>
      <c r="AO126" s="444"/>
      <c r="AP126" s="444"/>
      <c r="AQ126" s="444"/>
      <c r="AR126" s="444"/>
      <c r="AS126" s="444"/>
      <c r="AT126" s="444"/>
      <c r="AU126" s="446"/>
    </row>
    <row r="127" spans="1:55" ht="0.95" customHeight="1" thickTop="1" thickBot="1">
      <c r="A127" s="443"/>
      <c r="B127" s="444"/>
      <c r="C127" s="444"/>
      <c r="D127" s="1139"/>
      <c r="E127" s="1140"/>
      <c r="F127" s="1140"/>
      <c r="G127" s="1140"/>
      <c r="H127" s="1140"/>
      <c r="I127" s="1140"/>
      <c r="J127" s="1140"/>
      <c r="K127" s="1140"/>
      <c r="L127" s="1140"/>
      <c r="M127" s="1141"/>
      <c r="N127" s="436"/>
      <c r="O127" s="435"/>
      <c r="P127" s="1136"/>
      <c r="Q127" s="1134"/>
      <c r="R127" s="1134"/>
      <c r="S127" s="1134"/>
      <c r="T127" s="1134"/>
      <c r="U127" s="411"/>
      <c r="V127" s="411"/>
      <c r="W127" s="411"/>
      <c r="X127" s="411"/>
      <c r="Y127" s="411"/>
      <c r="Z127" s="411"/>
      <c r="AA127" s="411"/>
      <c r="AB127" s="411"/>
      <c r="AC127" s="411"/>
      <c r="AD127" s="411"/>
      <c r="AE127" s="411"/>
      <c r="AF127" s="411"/>
      <c r="AG127" s="412"/>
      <c r="AH127" s="409"/>
      <c r="AI127" s="409"/>
      <c r="AJ127" s="409"/>
      <c r="AK127" s="409"/>
      <c r="AL127" s="409"/>
      <c r="AM127" s="409"/>
      <c r="AN127" s="410"/>
      <c r="AO127" s="444"/>
      <c r="AP127" s="444"/>
      <c r="AQ127" s="444"/>
      <c r="AR127" s="444"/>
      <c r="AS127" s="444"/>
      <c r="AT127" s="444"/>
      <c r="AU127" s="446"/>
    </row>
    <row r="128" spans="1:55" ht="0.95" customHeight="1" thickTop="1" thickBot="1">
      <c r="A128" s="443"/>
      <c r="B128" s="444"/>
      <c r="C128" s="444"/>
      <c r="D128" s="1139"/>
      <c r="E128" s="1140"/>
      <c r="F128" s="1140"/>
      <c r="G128" s="1140"/>
      <c r="H128" s="1140"/>
      <c r="I128" s="1140"/>
      <c r="J128" s="1140"/>
      <c r="K128" s="1140"/>
      <c r="L128" s="1140"/>
      <c r="M128" s="1141"/>
      <c r="N128" s="436"/>
      <c r="O128" s="435"/>
      <c r="P128" s="1136"/>
      <c r="Q128" s="1134"/>
      <c r="R128" s="1134"/>
      <c r="S128" s="1134"/>
      <c r="T128" s="1134"/>
      <c r="U128" s="411"/>
      <c r="V128" s="411"/>
      <c r="W128" s="411"/>
      <c r="X128" s="411"/>
      <c r="Y128" s="411"/>
      <c r="Z128" s="411"/>
      <c r="AA128" s="411"/>
      <c r="AB128" s="411"/>
      <c r="AC128" s="411"/>
      <c r="AD128" s="411"/>
      <c r="AE128" s="411"/>
      <c r="AF128" s="412"/>
      <c r="AG128" s="409"/>
      <c r="AH128" s="409"/>
      <c r="AI128" s="409"/>
      <c r="AJ128" s="409"/>
      <c r="AK128" s="409"/>
      <c r="AL128" s="409"/>
      <c r="AM128" s="409"/>
      <c r="AN128" s="410"/>
      <c r="AO128" s="444"/>
      <c r="AP128" s="444"/>
      <c r="AQ128" s="444"/>
      <c r="AR128" s="444"/>
      <c r="AS128" s="444"/>
      <c r="AT128" s="444"/>
      <c r="AU128" s="446"/>
    </row>
    <row r="129" spans="1:47" ht="0.95" customHeight="1" thickTop="1" thickBot="1">
      <c r="A129" s="443"/>
      <c r="B129" s="444"/>
      <c r="C129" s="444"/>
      <c r="D129" s="1139"/>
      <c r="E129" s="1140"/>
      <c r="F129" s="1140"/>
      <c r="G129" s="1140"/>
      <c r="H129" s="1140"/>
      <c r="I129" s="1140"/>
      <c r="J129" s="1140"/>
      <c r="K129" s="1140"/>
      <c r="L129" s="1140"/>
      <c r="M129" s="1141"/>
      <c r="N129" s="436"/>
      <c r="O129" s="435"/>
      <c r="P129" s="1136"/>
      <c r="Q129" s="1134"/>
      <c r="R129" s="1134"/>
      <c r="S129" s="1134"/>
      <c r="T129" s="1134"/>
      <c r="U129" s="411"/>
      <c r="V129" s="411"/>
      <c r="W129" s="411"/>
      <c r="X129" s="411"/>
      <c r="Y129" s="411"/>
      <c r="Z129" s="411"/>
      <c r="AA129" s="411"/>
      <c r="AB129" s="411"/>
      <c r="AC129" s="411"/>
      <c r="AD129" s="411"/>
      <c r="AE129" s="412"/>
      <c r="AF129" s="409"/>
      <c r="AG129" s="409"/>
      <c r="AH129" s="409"/>
      <c r="AI129" s="409"/>
      <c r="AJ129" s="409"/>
      <c r="AK129" s="409"/>
      <c r="AL129" s="409"/>
      <c r="AM129" s="409"/>
      <c r="AN129" s="410"/>
      <c r="AO129" s="444"/>
      <c r="AP129" s="444"/>
      <c r="AQ129" s="444"/>
      <c r="AR129" s="444"/>
      <c r="AS129" s="444"/>
      <c r="AT129" s="444"/>
      <c r="AU129" s="446"/>
    </row>
    <row r="130" spans="1:47" ht="0.95" customHeight="1" thickTop="1" thickBot="1">
      <c r="A130" s="443"/>
      <c r="B130" s="444"/>
      <c r="C130" s="444"/>
      <c r="D130" s="1139"/>
      <c r="E130" s="1140"/>
      <c r="F130" s="1140"/>
      <c r="G130" s="1140"/>
      <c r="H130" s="1140"/>
      <c r="I130" s="1140"/>
      <c r="J130" s="1140"/>
      <c r="K130" s="1140"/>
      <c r="L130" s="1140"/>
      <c r="M130" s="1141"/>
      <c r="N130" s="436"/>
      <c r="O130" s="435"/>
      <c r="P130" s="1136"/>
      <c r="Q130" s="1134"/>
      <c r="R130" s="1134"/>
      <c r="S130" s="1134"/>
      <c r="T130" s="1134"/>
      <c r="U130" s="411"/>
      <c r="V130" s="411"/>
      <c r="W130" s="411"/>
      <c r="X130" s="411"/>
      <c r="Y130" s="411"/>
      <c r="Z130" s="411"/>
      <c r="AA130" s="411"/>
      <c r="AB130" s="411"/>
      <c r="AC130" s="411"/>
      <c r="AD130" s="412"/>
      <c r="AE130" s="409"/>
      <c r="AF130" s="409"/>
      <c r="AG130" s="1147" t="str">
        <f>_tempat_penyerahan&amp;", "&amp;IFERROR(VLOOKUP($B$4,_Biodata_Lengkap,15,FALSE),"-")</f>
        <v>Abung Surakarta, 16/07/2018</v>
      </c>
      <c r="AH130" s="1147"/>
      <c r="AI130" s="1147"/>
      <c r="AJ130" s="1147"/>
      <c r="AK130" s="1147"/>
      <c r="AL130" s="1147"/>
      <c r="AM130" s="1147"/>
      <c r="AN130" s="410"/>
      <c r="AO130" s="444"/>
      <c r="AP130" s="444"/>
      <c r="AQ130" s="444"/>
      <c r="AR130" s="444"/>
      <c r="AS130" s="444"/>
      <c r="AT130" s="444"/>
      <c r="AU130" s="446"/>
    </row>
    <row r="131" spans="1:47" ht="0.95" customHeight="1" thickTop="1" thickBot="1">
      <c r="A131" s="443"/>
      <c r="B131" s="444"/>
      <c r="C131" s="444"/>
      <c r="D131" s="1139"/>
      <c r="E131" s="1140"/>
      <c r="F131" s="1140"/>
      <c r="G131" s="1140"/>
      <c r="H131" s="1140"/>
      <c r="I131" s="1140"/>
      <c r="J131" s="1140"/>
      <c r="K131" s="1140"/>
      <c r="L131" s="1140"/>
      <c r="M131" s="1141"/>
      <c r="N131" s="436"/>
      <c r="O131" s="435"/>
      <c r="P131" s="1136"/>
      <c r="Q131" s="1134"/>
      <c r="R131" s="1134"/>
      <c r="S131" s="1134"/>
      <c r="T131" s="1134"/>
      <c r="U131" s="411"/>
      <c r="V131" s="411"/>
      <c r="W131" s="411"/>
      <c r="X131" s="411"/>
      <c r="Y131" s="411"/>
      <c r="Z131" s="411"/>
      <c r="AA131" s="411"/>
      <c r="AB131" s="411"/>
      <c r="AC131" s="412"/>
      <c r="AD131" s="409"/>
      <c r="AE131" s="409"/>
      <c r="AF131" s="409"/>
      <c r="AG131" s="1147"/>
      <c r="AH131" s="1147"/>
      <c r="AI131" s="1147"/>
      <c r="AJ131" s="1147"/>
      <c r="AK131" s="1147"/>
      <c r="AL131" s="1147"/>
      <c r="AM131" s="1147"/>
      <c r="AN131" s="410"/>
      <c r="AO131" s="444"/>
      <c r="AP131" s="444"/>
      <c r="AQ131" s="444"/>
      <c r="AR131" s="444"/>
      <c r="AS131" s="444"/>
      <c r="AT131" s="444"/>
      <c r="AU131" s="446"/>
    </row>
    <row r="132" spans="1:47" ht="0.95" customHeight="1" thickTop="1" thickBot="1">
      <c r="A132" s="443"/>
      <c r="B132" s="444"/>
      <c r="C132" s="444"/>
      <c r="D132" s="1139"/>
      <c r="E132" s="1140"/>
      <c r="F132" s="1140"/>
      <c r="G132" s="1140"/>
      <c r="H132" s="1140"/>
      <c r="I132" s="1140"/>
      <c r="J132" s="1140"/>
      <c r="K132" s="1140"/>
      <c r="L132" s="1140"/>
      <c r="M132" s="1141"/>
      <c r="N132" s="436"/>
      <c r="O132" s="435"/>
      <c r="P132" s="1136"/>
      <c r="Q132" s="1134"/>
      <c r="R132" s="1134"/>
      <c r="S132" s="1134"/>
      <c r="T132" s="1134"/>
      <c r="U132" s="432"/>
      <c r="V132" s="432"/>
      <c r="W132" s="432"/>
      <c r="X132" s="432"/>
      <c r="Y132" s="432"/>
      <c r="Z132" s="401"/>
      <c r="AA132" s="401"/>
      <c r="AB132" s="412"/>
      <c r="AC132" s="409"/>
      <c r="AD132" s="409"/>
      <c r="AE132" s="409"/>
      <c r="AF132" s="409"/>
      <c r="AG132" s="1147"/>
      <c r="AH132" s="1147"/>
      <c r="AI132" s="1147"/>
      <c r="AJ132" s="1147"/>
      <c r="AK132" s="1147"/>
      <c r="AL132" s="1147"/>
      <c r="AM132" s="1147"/>
      <c r="AN132" s="410"/>
      <c r="AO132" s="444"/>
      <c r="AP132" s="444"/>
      <c r="AQ132" s="444"/>
      <c r="AR132" s="444"/>
      <c r="AS132" s="444"/>
      <c r="AT132" s="444"/>
      <c r="AU132" s="446"/>
    </row>
    <row r="133" spans="1:47" ht="0.95" customHeight="1" thickTop="1" thickBot="1">
      <c r="A133" s="443"/>
      <c r="B133" s="444"/>
      <c r="C133" s="444"/>
      <c r="D133" s="1139"/>
      <c r="E133" s="1140"/>
      <c r="F133" s="1140"/>
      <c r="G133" s="1140"/>
      <c r="H133" s="1140"/>
      <c r="I133" s="1140"/>
      <c r="J133" s="1140"/>
      <c r="K133" s="1140"/>
      <c r="L133" s="1140"/>
      <c r="M133" s="1141"/>
      <c r="N133" s="436"/>
      <c r="O133" s="435"/>
      <c r="P133" s="1136"/>
      <c r="Q133" s="1134"/>
      <c r="R133" s="1134"/>
      <c r="S133" s="1134"/>
      <c r="T133" s="1134"/>
      <c r="U133" s="432"/>
      <c r="V133" s="432"/>
      <c r="W133" s="432"/>
      <c r="X133" s="432"/>
      <c r="Y133" s="432"/>
      <c r="Z133" s="401"/>
      <c r="AA133" s="412"/>
      <c r="AB133" s="409"/>
      <c r="AC133" s="409"/>
      <c r="AD133" s="409"/>
      <c r="AE133" s="409"/>
      <c r="AF133" s="409"/>
      <c r="AG133" s="1147"/>
      <c r="AH133" s="1147"/>
      <c r="AI133" s="1147"/>
      <c r="AJ133" s="1147"/>
      <c r="AK133" s="1147"/>
      <c r="AL133" s="1147"/>
      <c r="AM133" s="1147"/>
      <c r="AN133" s="410"/>
      <c r="AO133" s="444"/>
      <c r="AP133" s="444"/>
      <c r="AQ133" s="444"/>
      <c r="AR133" s="444"/>
      <c r="AS133" s="444"/>
      <c r="AT133" s="444"/>
      <c r="AU133" s="446"/>
    </row>
    <row r="134" spans="1:47" ht="0.95" customHeight="1" thickTop="1" thickBot="1">
      <c r="A134" s="443"/>
      <c r="B134" s="444"/>
      <c r="C134" s="444"/>
      <c r="D134" s="1139"/>
      <c r="E134" s="1140"/>
      <c r="F134" s="1140"/>
      <c r="G134" s="1140"/>
      <c r="H134" s="1140"/>
      <c r="I134" s="1140"/>
      <c r="J134" s="1140"/>
      <c r="K134" s="1140"/>
      <c r="L134" s="1140"/>
      <c r="M134" s="1141"/>
      <c r="N134" s="436"/>
      <c r="O134" s="435"/>
      <c r="P134" s="1136"/>
      <c r="Q134" s="1134"/>
      <c r="R134" s="1134"/>
      <c r="S134" s="1134"/>
      <c r="T134" s="1134"/>
      <c r="U134" s="432"/>
      <c r="V134" s="432">
        <v>111</v>
      </c>
      <c r="W134" s="432"/>
      <c r="X134" s="432">
        <v>11</v>
      </c>
      <c r="Y134" s="433"/>
      <c r="Z134" s="412"/>
      <c r="AA134" s="409"/>
      <c r="AB134" s="409"/>
      <c r="AC134" s="409"/>
      <c r="AD134" s="409"/>
      <c r="AE134" s="409"/>
      <c r="AF134" s="409"/>
      <c r="AG134" s="1147"/>
      <c r="AH134" s="1147"/>
      <c r="AI134" s="1147"/>
      <c r="AJ134" s="1147"/>
      <c r="AK134" s="1147"/>
      <c r="AL134" s="1147"/>
      <c r="AM134" s="1147"/>
      <c r="AN134" s="410"/>
      <c r="AO134" s="444"/>
      <c r="AP134" s="444"/>
      <c r="AQ134" s="444"/>
      <c r="AR134" s="444"/>
      <c r="AS134" s="444"/>
      <c r="AT134" s="444"/>
      <c r="AU134" s="446"/>
    </row>
    <row r="135" spans="1:47" ht="0.95" customHeight="1" thickTop="1" thickBot="1">
      <c r="A135" s="443"/>
      <c r="B135" s="444"/>
      <c r="C135" s="444"/>
      <c r="D135" s="1139"/>
      <c r="E135" s="1140"/>
      <c r="F135" s="1140"/>
      <c r="G135" s="1140"/>
      <c r="H135" s="1140"/>
      <c r="I135" s="1140"/>
      <c r="J135" s="1140"/>
      <c r="K135" s="1140"/>
      <c r="L135" s="1140"/>
      <c r="M135" s="1141"/>
      <c r="N135" s="436"/>
      <c r="O135" s="435"/>
      <c r="P135" s="1136"/>
      <c r="Q135" s="1134"/>
      <c r="R135" s="1134"/>
      <c r="S135" s="1134"/>
      <c r="T135" s="1134"/>
      <c r="U135" s="432"/>
      <c r="V135" s="432"/>
      <c r="W135" s="432"/>
      <c r="X135" s="432"/>
      <c r="Y135" s="412"/>
      <c r="Z135" s="409"/>
      <c r="AA135" s="409"/>
      <c r="AB135" s="409"/>
      <c r="AC135" s="409"/>
      <c r="AD135" s="409"/>
      <c r="AE135" s="409"/>
      <c r="AF135" s="409"/>
      <c r="AG135" s="1147"/>
      <c r="AH135" s="1147"/>
      <c r="AI135" s="1147"/>
      <c r="AJ135" s="1147"/>
      <c r="AK135" s="1147"/>
      <c r="AL135" s="1147"/>
      <c r="AM135" s="1147"/>
      <c r="AN135" s="410"/>
      <c r="AO135" s="444"/>
      <c r="AP135" s="444"/>
      <c r="AQ135" s="444"/>
      <c r="AR135" s="444"/>
      <c r="AS135" s="444"/>
      <c r="AT135" s="444"/>
      <c r="AU135" s="446"/>
    </row>
    <row r="136" spans="1:47" ht="0.95" customHeight="1" thickTop="1" thickBot="1">
      <c r="A136" s="443"/>
      <c r="B136" s="444"/>
      <c r="C136" s="444"/>
      <c r="D136" s="1142"/>
      <c r="E136" s="1143"/>
      <c r="F136" s="1143"/>
      <c r="G136" s="1143"/>
      <c r="H136" s="1143"/>
      <c r="I136" s="1143"/>
      <c r="J136" s="1143"/>
      <c r="K136" s="1143"/>
      <c r="L136" s="1143"/>
      <c r="M136" s="1144"/>
      <c r="N136" s="436"/>
      <c r="O136" s="435"/>
      <c r="P136" s="1136"/>
      <c r="Q136" s="1134"/>
      <c r="R136" s="1134"/>
      <c r="S136" s="1134"/>
      <c r="T136" s="1134"/>
      <c r="U136" s="432"/>
      <c r="V136" s="432"/>
      <c r="W136" s="432"/>
      <c r="X136" s="412"/>
      <c r="Y136" s="409"/>
      <c r="Z136" s="409"/>
      <c r="AA136" s="409"/>
      <c r="AB136" s="409"/>
      <c r="AC136" s="409"/>
      <c r="AD136" s="409"/>
      <c r="AE136" s="409"/>
      <c r="AF136" s="409"/>
      <c r="AG136" s="1147"/>
      <c r="AH136" s="1147"/>
      <c r="AI136" s="1147"/>
      <c r="AJ136" s="1147"/>
      <c r="AK136" s="1147"/>
      <c r="AL136" s="1147"/>
      <c r="AM136" s="1147"/>
      <c r="AN136" s="410"/>
      <c r="AO136" s="444"/>
      <c r="AP136" s="444"/>
      <c r="AQ136" s="444"/>
      <c r="AR136" s="444"/>
      <c r="AS136" s="444"/>
      <c r="AT136" s="444"/>
      <c r="AU136" s="446"/>
    </row>
    <row r="137" spans="1:47" ht="0.95" customHeight="1" thickTop="1" thickBot="1">
      <c r="A137" s="443"/>
      <c r="B137" s="444"/>
      <c r="C137" s="444"/>
      <c r="D137" s="419"/>
      <c r="E137" s="420"/>
      <c r="F137" s="420"/>
      <c r="G137" s="420"/>
      <c r="H137" s="420"/>
      <c r="I137" s="420"/>
      <c r="J137" s="420"/>
      <c r="K137" s="420"/>
      <c r="L137" s="420"/>
      <c r="M137" s="421"/>
      <c r="N137" s="436"/>
      <c r="O137" s="435"/>
      <c r="P137" s="1136"/>
      <c r="Q137" s="1134"/>
      <c r="R137" s="1134"/>
      <c r="S137" s="1134"/>
      <c r="T137" s="1134"/>
      <c r="U137" s="432"/>
      <c r="V137" s="432"/>
      <c r="W137" s="412"/>
      <c r="X137" s="409"/>
      <c r="Y137" s="409"/>
      <c r="Z137" s="409"/>
      <c r="AA137" s="409"/>
      <c r="AB137" s="409"/>
      <c r="AC137" s="409"/>
      <c r="AD137" s="409"/>
      <c r="AE137" s="409"/>
      <c r="AF137" s="409"/>
      <c r="AG137" s="1147"/>
      <c r="AH137" s="1147"/>
      <c r="AI137" s="1147"/>
      <c r="AJ137" s="1147"/>
      <c r="AK137" s="1147"/>
      <c r="AL137" s="1147"/>
      <c r="AM137" s="1147"/>
      <c r="AN137" s="410"/>
      <c r="AO137" s="444"/>
      <c r="AP137" s="444"/>
      <c r="AQ137" s="444"/>
      <c r="AR137" s="444"/>
      <c r="AS137" s="444"/>
      <c r="AT137" s="444"/>
      <c r="AU137" s="446"/>
    </row>
    <row r="138" spans="1:47" ht="0.95" customHeight="1" thickTop="1" thickBot="1">
      <c r="A138" s="443"/>
      <c r="B138" s="444"/>
      <c r="C138" s="444"/>
      <c r="D138" s="419"/>
      <c r="E138" s="420"/>
      <c r="F138" s="420"/>
      <c r="G138" s="420"/>
      <c r="H138" s="420"/>
      <c r="I138" s="420"/>
      <c r="J138" s="420"/>
      <c r="K138" s="420"/>
      <c r="L138" s="420"/>
      <c r="M138" s="421"/>
      <c r="N138" s="436"/>
      <c r="O138" s="435"/>
      <c r="P138" s="1136"/>
      <c r="Q138" s="1134"/>
      <c r="R138" s="1134"/>
      <c r="S138" s="1134"/>
      <c r="T138" s="1134"/>
      <c r="U138" s="432"/>
      <c r="V138" s="412"/>
      <c r="W138" s="409"/>
      <c r="X138" s="409"/>
      <c r="Y138" s="409"/>
      <c r="Z138" s="409"/>
      <c r="AA138" s="409"/>
      <c r="AB138" s="409"/>
      <c r="AC138" s="409"/>
      <c r="AD138" s="409"/>
      <c r="AE138" s="409"/>
      <c r="AF138" s="409"/>
      <c r="AG138" s="1147"/>
      <c r="AH138" s="1147"/>
      <c r="AI138" s="1147"/>
      <c r="AJ138" s="1147"/>
      <c r="AK138" s="1147"/>
      <c r="AL138" s="1147"/>
      <c r="AM138" s="1147"/>
      <c r="AN138" s="410"/>
      <c r="AO138" s="444"/>
      <c r="AP138" s="444"/>
      <c r="AQ138" s="444"/>
      <c r="AR138" s="444"/>
      <c r="AS138" s="444"/>
      <c r="AT138" s="444"/>
      <c r="AU138" s="446"/>
    </row>
    <row r="139" spans="1:47" ht="0.95" customHeight="1" thickTop="1" thickBot="1">
      <c r="A139" s="443"/>
      <c r="B139" s="444"/>
      <c r="C139" s="444"/>
      <c r="D139" s="419"/>
      <c r="E139" s="420"/>
      <c r="F139" s="420"/>
      <c r="G139" s="420"/>
      <c r="H139" s="420"/>
      <c r="I139" s="420"/>
      <c r="J139" s="420"/>
      <c r="K139" s="420"/>
      <c r="L139" s="420"/>
      <c r="M139" s="421"/>
      <c r="N139" s="436"/>
      <c r="O139" s="435"/>
      <c r="P139" s="1137"/>
      <c r="Q139" s="1138"/>
      <c r="R139" s="1138"/>
      <c r="S139" s="1138"/>
      <c r="T139" s="1138"/>
      <c r="U139" s="412"/>
      <c r="V139" s="409"/>
      <c r="W139" s="409"/>
      <c r="X139" s="409"/>
      <c r="Y139" s="409"/>
      <c r="Z139" s="409"/>
      <c r="AA139" s="409"/>
      <c r="AB139" s="409"/>
      <c r="AC139" s="409"/>
      <c r="AD139" s="409"/>
      <c r="AE139" s="409"/>
      <c r="AF139" s="409"/>
      <c r="AG139" s="1147"/>
      <c r="AH139" s="1147"/>
      <c r="AI139" s="1147"/>
      <c r="AJ139" s="1147"/>
      <c r="AK139" s="1147"/>
      <c r="AL139" s="1147"/>
      <c r="AM139" s="1147"/>
      <c r="AN139" s="410"/>
      <c r="AO139" s="444"/>
      <c r="AP139" s="444"/>
      <c r="AQ139" s="444"/>
      <c r="AR139" s="444"/>
      <c r="AS139" s="444"/>
      <c r="AT139" s="444"/>
      <c r="AU139" s="446"/>
    </row>
    <row r="140" spans="1:47" ht="6.75" customHeight="1" thickTop="1">
      <c r="A140" s="443"/>
      <c r="B140" s="444"/>
      <c r="C140" s="444"/>
      <c r="D140" s="1169" t="s">
        <v>408</v>
      </c>
      <c r="E140" s="1170"/>
      <c r="F140" s="1170"/>
      <c r="G140" s="1170"/>
      <c r="H140" s="1170"/>
      <c r="I140" s="1170"/>
      <c r="J140" s="1170"/>
      <c r="K140" s="1170"/>
      <c r="L140" s="1170"/>
      <c r="M140" s="1171"/>
      <c r="N140" s="436"/>
      <c r="O140" s="435"/>
      <c r="P140" s="417"/>
      <c r="Q140" s="418"/>
      <c r="R140" s="418"/>
      <c r="S140" s="418"/>
      <c r="T140" s="418"/>
      <c r="U140" s="418"/>
      <c r="V140" s="418"/>
      <c r="W140" s="418"/>
      <c r="X140" s="418"/>
      <c r="Y140" s="418"/>
      <c r="Z140" s="418"/>
      <c r="AA140" s="418"/>
      <c r="AB140" s="418"/>
      <c r="AC140" s="418"/>
      <c r="AD140" s="418"/>
      <c r="AE140" s="418"/>
      <c r="AF140" s="418"/>
      <c r="AG140" s="437"/>
      <c r="AH140" s="437"/>
      <c r="AI140" s="438"/>
      <c r="AJ140" s="438"/>
      <c r="AK140" s="438"/>
      <c r="AL140" s="1175" t="str">
        <f>"Kepala SMP "&amp;PROPER(MID(_nama_sekolah,5,30))</f>
        <v>Kepala SMP Negeri 1 Abung Surakarta</v>
      </c>
      <c r="AM140" s="1175"/>
      <c r="AN140" s="416"/>
      <c r="AO140" s="444"/>
      <c r="AP140" s="444"/>
      <c r="AQ140" s="444"/>
      <c r="AR140" s="444"/>
      <c r="AS140" s="444"/>
      <c r="AT140" s="444"/>
      <c r="AU140" s="446"/>
    </row>
    <row r="141" spans="1:47" ht="6.75" customHeight="1">
      <c r="A141" s="443"/>
      <c r="B141" s="444"/>
      <c r="C141" s="444"/>
      <c r="D141" s="1169"/>
      <c r="E141" s="1170"/>
      <c r="F141" s="1170"/>
      <c r="G141" s="1170"/>
      <c r="H141" s="1170"/>
      <c r="I141" s="1170"/>
      <c r="J141" s="1170"/>
      <c r="K141" s="1170"/>
      <c r="L141" s="1170"/>
      <c r="M141" s="1171"/>
      <c r="N141" s="436"/>
      <c r="O141" s="435"/>
      <c r="P141" s="417"/>
      <c r="Q141" s="418"/>
      <c r="R141" s="418"/>
      <c r="S141" s="418"/>
      <c r="T141" s="418"/>
      <c r="U141" s="418"/>
      <c r="V141" s="418"/>
      <c r="W141" s="418"/>
      <c r="X141" s="418"/>
      <c r="Y141" s="418"/>
      <c r="Z141" s="418"/>
      <c r="AA141" s="418"/>
      <c r="AB141" s="418"/>
      <c r="AC141" s="418"/>
      <c r="AD141" s="418"/>
      <c r="AE141" s="418"/>
      <c r="AF141" s="418"/>
      <c r="AG141" s="437"/>
      <c r="AH141" s="437"/>
      <c r="AI141" s="437"/>
      <c r="AJ141" s="437"/>
      <c r="AK141" s="437"/>
      <c r="AL141" s="1175"/>
      <c r="AM141" s="1175"/>
      <c r="AN141" s="416"/>
      <c r="AO141" s="444"/>
      <c r="AP141" s="444"/>
      <c r="AQ141" s="444"/>
      <c r="AR141" s="444"/>
      <c r="AS141" s="444"/>
      <c r="AT141" s="444"/>
      <c r="AU141" s="446"/>
    </row>
    <row r="142" spans="1:47" ht="6.75" customHeight="1">
      <c r="A142" s="443"/>
      <c r="B142" s="444"/>
      <c r="C142" s="444"/>
      <c r="D142" s="423"/>
      <c r="E142" s="424"/>
      <c r="F142" s="424"/>
      <c r="G142" s="424"/>
      <c r="H142" s="424"/>
      <c r="I142" s="424"/>
      <c r="J142" s="424"/>
      <c r="K142" s="424"/>
      <c r="L142" s="424"/>
      <c r="M142" s="425"/>
      <c r="N142" s="436"/>
      <c r="O142" s="435"/>
      <c r="P142" s="408"/>
      <c r="Q142" s="409"/>
      <c r="R142" s="409"/>
      <c r="S142" s="409"/>
      <c r="T142" s="409"/>
      <c r="U142" s="409"/>
      <c r="V142" s="409"/>
      <c r="W142" s="409"/>
      <c r="X142" s="409"/>
      <c r="Y142" s="409"/>
      <c r="Z142" s="409"/>
      <c r="AA142" s="409"/>
      <c r="AB142" s="409"/>
      <c r="AC142" s="409"/>
      <c r="AD142" s="409"/>
      <c r="AE142" s="409"/>
      <c r="AF142" s="409"/>
      <c r="AG142" s="409"/>
      <c r="AH142" s="409"/>
      <c r="AI142" s="409"/>
      <c r="AJ142" s="409"/>
      <c r="AK142" s="409"/>
      <c r="AL142" s="409"/>
      <c r="AM142" s="409"/>
      <c r="AN142" s="410"/>
      <c r="AO142" s="444"/>
      <c r="AP142" s="444"/>
      <c r="AQ142" s="444"/>
      <c r="AR142" s="444"/>
      <c r="AS142" s="444"/>
      <c r="AT142" s="444"/>
      <c r="AU142" s="446"/>
    </row>
    <row r="143" spans="1:47" ht="6.75" customHeight="1">
      <c r="A143" s="443"/>
      <c r="B143" s="444"/>
      <c r="C143" s="444"/>
      <c r="D143" s="1169" t="str">
        <f>_alamat_sekolah&amp;" "&amp;_kelurahan</f>
        <v>Jl. Pendidikan No. 24 Tatakarya</v>
      </c>
      <c r="E143" s="1170"/>
      <c r="F143" s="1170"/>
      <c r="G143" s="1170"/>
      <c r="H143" s="1170"/>
      <c r="I143" s="1170"/>
      <c r="J143" s="1170"/>
      <c r="K143" s="1170"/>
      <c r="L143" s="1170"/>
      <c r="M143" s="1171"/>
      <c r="N143" s="436"/>
      <c r="O143" s="435"/>
      <c r="P143" s="1176" t="str">
        <f>_kepsek</f>
        <v>Hj. YURNILAWATI, S.Pd.I</v>
      </c>
      <c r="Q143" s="1181"/>
      <c r="R143" s="1181"/>
      <c r="S143" s="1181"/>
      <c r="T143" s="1181"/>
      <c r="U143" s="1181"/>
      <c r="V143" s="1181"/>
      <c r="W143" s="1181"/>
      <c r="X143" s="1181"/>
      <c r="Y143" s="1181"/>
      <c r="Z143" s="1181"/>
      <c r="AA143" s="1181"/>
      <c r="AB143" s="1181"/>
      <c r="AC143" s="1181"/>
      <c r="AD143" s="1181"/>
      <c r="AE143" s="1181"/>
      <c r="AF143" s="1181"/>
      <c r="AG143" s="1181"/>
      <c r="AH143" s="1181"/>
      <c r="AI143" s="1181"/>
      <c r="AJ143" s="1181"/>
      <c r="AK143" s="1181"/>
      <c r="AL143" s="1181"/>
      <c r="AM143" s="1181"/>
      <c r="AN143" s="410"/>
      <c r="AO143" s="444"/>
      <c r="AP143" s="444"/>
      <c r="AQ143" s="444"/>
      <c r="AR143" s="444"/>
      <c r="AS143" s="444"/>
      <c r="AT143" s="444"/>
      <c r="AU143" s="446"/>
    </row>
    <row r="144" spans="1:47" ht="6.75" customHeight="1">
      <c r="A144" s="443"/>
      <c r="B144" s="444"/>
      <c r="C144" s="444"/>
      <c r="D144" s="1169" t="str">
        <f>"Telp. "&amp;_telpon&amp;" e-Mail : "&amp;_email</f>
        <v>Telp. - e-Mail : smpnegeri1abungsurakarta@yahoo.com</v>
      </c>
      <c r="E144" s="1170"/>
      <c r="F144" s="1170"/>
      <c r="G144" s="1170"/>
      <c r="H144" s="1170"/>
      <c r="I144" s="1170"/>
      <c r="J144" s="1170"/>
      <c r="K144" s="1170"/>
      <c r="L144" s="1170"/>
      <c r="M144" s="1171"/>
      <c r="N144" s="436"/>
      <c r="O144" s="435"/>
      <c r="P144" s="1176"/>
      <c r="Q144" s="1181"/>
      <c r="R144" s="1181"/>
      <c r="S144" s="1181"/>
      <c r="T144" s="1181"/>
      <c r="U144" s="1181"/>
      <c r="V144" s="1181"/>
      <c r="W144" s="1181"/>
      <c r="X144" s="1181"/>
      <c r="Y144" s="1181"/>
      <c r="Z144" s="1181"/>
      <c r="AA144" s="1181"/>
      <c r="AB144" s="1181"/>
      <c r="AC144" s="1181"/>
      <c r="AD144" s="1181"/>
      <c r="AE144" s="1181"/>
      <c r="AF144" s="1181"/>
      <c r="AG144" s="1181"/>
      <c r="AH144" s="1181"/>
      <c r="AI144" s="1181"/>
      <c r="AJ144" s="1181"/>
      <c r="AK144" s="1181"/>
      <c r="AL144" s="1181"/>
      <c r="AM144" s="1181"/>
      <c r="AN144" s="414"/>
      <c r="AO144" s="444"/>
      <c r="AP144" s="444"/>
      <c r="AQ144" s="444"/>
      <c r="AR144" s="444"/>
      <c r="AS144" s="444"/>
      <c r="AT144" s="444"/>
      <c r="AU144" s="446"/>
    </row>
    <row r="145" spans="1:47" ht="5.25" customHeight="1" thickBot="1">
      <c r="A145" s="443"/>
      <c r="B145" s="444"/>
      <c r="C145" s="444"/>
      <c r="D145" s="1172"/>
      <c r="E145" s="1173"/>
      <c r="F145" s="1173"/>
      <c r="G145" s="1173"/>
      <c r="H145" s="1173"/>
      <c r="I145" s="1173"/>
      <c r="J145" s="1173"/>
      <c r="K145" s="1173"/>
      <c r="L145" s="1173"/>
      <c r="M145" s="1174"/>
      <c r="N145" s="436"/>
      <c r="O145" s="435"/>
      <c r="P145" s="1179" t="str">
        <f>_nip_kepsek</f>
        <v>19590208 198102 2 001</v>
      </c>
      <c r="Q145" s="1180"/>
      <c r="R145" s="1180"/>
      <c r="S145" s="1180"/>
      <c r="T145" s="1180"/>
      <c r="U145" s="1180"/>
      <c r="V145" s="1180"/>
      <c r="W145" s="1180"/>
      <c r="X145" s="1180"/>
      <c r="Y145" s="1180"/>
      <c r="Z145" s="1180"/>
      <c r="AA145" s="1180"/>
      <c r="AB145" s="1180"/>
      <c r="AC145" s="1180"/>
      <c r="AD145" s="1180"/>
      <c r="AE145" s="1180"/>
      <c r="AF145" s="1180"/>
      <c r="AG145" s="1180"/>
      <c r="AH145" s="1180"/>
      <c r="AI145" s="1180"/>
      <c r="AJ145" s="1180"/>
      <c r="AK145" s="1180"/>
      <c r="AL145" s="1180"/>
      <c r="AM145" s="1180"/>
      <c r="AN145" s="415"/>
      <c r="AO145" s="444"/>
      <c r="AP145" s="444"/>
      <c r="AQ145" s="444"/>
      <c r="AR145" s="444"/>
      <c r="AS145" s="444"/>
      <c r="AT145" s="444"/>
      <c r="AU145" s="446"/>
    </row>
    <row r="146" spans="1:47" ht="3.75" customHeight="1">
      <c r="A146" s="443"/>
      <c r="B146" s="444"/>
      <c r="C146" s="444"/>
      <c r="D146" s="1168"/>
      <c r="E146" s="1168"/>
      <c r="F146" s="1168"/>
      <c r="G146" s="1168"/>
      <c r="H146" s="1168"/>
      <c r="I146" s="1168"/>
      <c r="J146" s="1168"/>
      <c r="K146" s="1168"/>
      <c r="L146" s="1168"/>
      <c r="M146" s="1168"/>
      <c r="N146" s="436"/>
      <c r="O146" s="435"/>
      <c r="P146" s="1168"/>
      <c r="Q146" s="1168"/>
      <c r="R146" s="1168"/>
      <c r="S146" s="1168"/>
      <c r="T146" s="1168"/>
      <c r="U146" s="1168"/>
      <c r="V146" s="1168"/>
      <c r="W146" s="1168"/>
      <c r="X146" s="1168"/>
      <c r="Y146" s="1168"/>
      <c r="Z146" s="1168"/>
      <c r="AA146" s="1168"/>
      <c r="AB146" s="1168"/>
      <c r="AC146" s="1168"/>
      <c r="AD146" s="1168"/>
      <c r="AE146" s="1168"/>
      <c r="AF146" s="1168"/>
      <c r="AG146" s="1168"/>
      <c r="AH146" s="1168"/>
      <c r="AI146" s="1168"/>
      <c r="AJ146" s="1168"/>
      <c r="AK146" s="1168"/>
      <c r="AL146" s="1168"/>
      <c r="AM146" s="1168"/>
      <c r="AN146" s="1168"/>
      <c r="AO146" s="444"/>
      <c r="AP146" s="444"/>
      <c r="AQ146" s="444"/>
      <c r="AR146" s="444"/>
      <c r="AS146" s="444"/>
      <c r="AT146" s="444"/>
      <c r="AU146" s="446"/>
    </row>
    <row r="147" spans="1:47" ht="3.75" customHeight="1">
      <c r="A147" s="443"/>
      <c r="B147" s="444"/>
      <c r="C147" s="444"/>
      <c r="D147" s="428"/>
      <c r="E147" s="428"/>
      <c r="F147" s="428"/>
      <c r="G147" s="428"/>
      <c r="H147" s="428"/>
      <c r="I147" s="428"/>
      <c r="J147" s="428"/>
      <c r="K147" s="428"/>
      <c r="L147" s="428"/>
      <c r="M147" s="428"/>
      <c r="N147" s="436"/>
      <c r="O147" s="435"/>
      <c r="P147" s="428"/>
      <c r="Q147" s="428"/>
      <c r="R147" s="428"/>
      <c r="S147" s="428"/>
      <c r="T147" s="428"/>
      <c r="U147" s="428"/>
      <c r="V147" s="428"/>
      <c r="W147" s="428"/>
      <c r="X147" s="428"/>
      <c r="Y147" s="428"/>
      <c r="Z147" s="428"/>
      <c r="AA147" s="428"/>
      <c r="AB147" s="428"/>
      <c r="AC147" s="428"/>
      <c r="AD147" s="428"/>
      <c r="AE147" s="428"/>
      <c r="AF147" s="428"/>
      <c r="AG147" s="428"/>
      <c r="AH147" s="428"/>
      <c r="AI147" s="428"/>
      <c r="AJ147" s="428"/>
      <c r="AK147" s="428"/>
      <c r="AL147" s="428"/>
      <c r="AM147" s="428"/>
      <c r="AN147" s="428"/>
      <c r="AO147" s="444"/>
      <c r="AP147" s="444"/>
      <c r="AQ147" s="444"/>
      <c r="AR147" s="444"/>
      <c r="AS147" s="444"/>
      <c r="AT147" s="444"/>
      <c r="AU147" s="446"/>
    </row>
    <row r="148" spans="1:47" ht="15.75" thickBot="1">
      <c r="A148" s="448"/>
      <c r="B148" s="449"/>
      <c r="C148" s="449"/>
      <c r="D148" s="427"/>
      <c r="E148" s="427"/>
      <c r="F148" s="449"/>
      <c r="G148" s="449"/>
      <c r="H148" s="449"/>
      <c r="I148" s="449"/>
      <c r="J148" s="449"/>
      <c r="K148" s="449"/>
      <c r="L148" s="449"/>
      <c r="M148" s="449"/>
      <c r="N148" s="449"/>
      <c r="O148" s="449"/>
      <c r="P148" s="449"/>
      <c r="Q148" s="449"/>
      <c r="R148" s="449"/>
      <c r="S148" s="449"/>
      <c r="T148" s="449"/>
      <c r="U148" s="449"/>
      <c r="V148" s="449"/>
      <c r="W148" s="449"/>
      <c r="X148" s="449"/>
      <c r="Y148" s="449"/>
      <c r="Z148" s="449"/>
      <c r="AA148" s="449"/>
      <c r="AB148" s="449"/>
      <c r="AC148" s="449"/>
      <c r="AD148" s="449"/>
      <c r="AE148" s="449"/>
      <c r="AF148" s="449"/>
      <c r="AG148" s="449"/>
      <c r="AH148" s="449"/>
      <c r="AI148" s="449"/>
      <c r="AJ148" s="449"/>
      <c r="AK148" s="449"/>
      <c r="AL148" s="449"/>
      <c r="AM148" s="449"/>
      <c r="AN148" s="449"/>
      <c r="AO148" s="449"/>
      <c r="AP148" s="449"/>
      <c r="AQ148" s="449"/>
      <c r="AR148" s="449"/>
      <c r="AS148" s="449"/>
      <c r="AT148" s="449"/>
      <c r="AU148" s="450"/>
    </row>
    <row r="149" spans="1:47" hidden="1"/>
    <row r="150" spans="1:47" hidden="1"/>
    <row r="151" spans="1:47" hidden="1"/>
    <row r="152" spans="1:47" hidden="1"/>
    <row r="153" spans="1:47" hidden="1"/>
    <row r="154" spans="1:47" hidden="1"/>
    <row r="155" spans="1:47" hidden="1"/>
    <row r="156" spans="1:47" hidden="1"/>
    <row r="157" spans="1:47" hidden="1"/>
    <row r="158" spans="1:47" hidden="1"/>
    <row r="159" spans="1:47" hidden="1"/>
    <row r="160" spans="1:47"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sheetData>
  <sheetProtection password="CF75" sheet="1" objects="1" scenarios="1" selectLockedCells="1"/>
  <mergeCells count="137">
    <mergeCell ref="AG130:AM139"/>
    <mergeCell ref="Q119:AL119"/>
    <mergeCell ref="Q120:AL120"/>
    <mergeCell ref="E118:F121"/>
    <mergeCell ref="K118:M118"/>
    <mergeCell ref="K119:M119"/>
    <mergeCell ref="P119:P120"/>
    <mergeCell ref="K120:M120"/>
    <mergeCell ref="D146:M146"/>
    <mergeCell ref="P146:AN146"/>
    <mergeCell ref="B76:B77"/>
    <mergeCell ref="P76:AN79"/>
    <mergeCell ref="BC77:BC79"/>
    <mergeCell ref="Q84:AL84"/>
    <mergeCell ref="BC113:BC115"/>
    <mergeCell ref="D76:M76"/>
    <mergeCell ref="D77:M77"/>
    <mergeCell ref="D78:M78"/>
    <mergeCell ref="D79:M79"/>
    <mergeCell ref="AG94:AM103"/>
    <mergeCell ref="AL104:AM105"/>
    <mergeCell ref="Q83:AL83"/>
    <mergeCell ref="D110:M110"/>
    <mergeCell ref="P110:AN110"/>
    <mergeCell ref="B112:B113"/>
    <mergeCell ref="D112:M112"/>
    <mergeCell ref="P112:AN115"/>
    <mergeCell ref="D113:M113"/>
    <mergeCell ref="D114:M114"/>
    <mergeCell ref="D115:M115"/>
    <mergeCell ref="D104:M105"/>
    <mergeCell ref="D107:M107"/>
    <mergeCell ref="D108:M109"/>
    <mergeCell ref="P109:AM109"/>
    <mergeCell ref="BC5:BC7"/>
    <mergeCell ref="Q11:AL11"/>
    <mergeCell ref="Q12:AL12"/>
    <mergeCell ref="BC41:BC43"/>
    <mergeCell ref="Q47:AL47"/>
    <mergeCell ref="D140:M141"/>
    <mergeCell ref="D143:M143"/>
    <mergeCell ref="D144:M145"/>
    <mergeCell ref="AL140:AM141"/>
    <mergeCell ref="P143:AM144"/>
    <mergeCell ref="P145:AM145"/>
    <mergeCell ref="K121:M121"/>
    <mergeCell ref="Q121:AN121"/>
    <mergeCell ref="P122:P139"/>
    <mergeCell ref="Q122:T139"/>
    <mergeCell ref="D123:M136"/>
    <mergeCell ref="AK123:AN123"/>
    <mergeCell ref="D116:M116"/>
    <mergeCell ref="Q116:AN116"/>
    <mergeCell ref="P117:P118"/>
    <mergeCell ref="Q117:AN118"/>
    <mergeCell ref="P107:AM108"/>
    <mergeCell ref="K85:M85"/>
    <mergeCell ref="Q85:AN85"/>
    <mergeCell ref="P86:P103"/>
    <mergeCell ref="Q86:T103"/>
    <mergeCell ref="D87:M100"/>
    <mergeCell ref="AK87:AN87"/>
    <mergeCell ref="D80:M80"/>
    <mergeCell ref="Q80:AN80"/>
    <mergeCell ref="P81:P82"/>
    <mergeCell ref="Q81:AN82"/>
    <mergeCell ref="E82:F85"/>
    <mergeCell ref="K82:M82"/>
    <mergeCell ref="K83:M83"/>
    <mergeCell ref="P83:P84"/>
    <mergeCell ref="K84:M84"/>
    <mergeCell ref="D74:M74"/>
    <mergeCell ref="P74:AN74"/>
    <mergeCell ref="D68:M69"/>
    <mergeCell ref="D71:M71"/>
    <mergeCell ref="D72:M73"/>
    <mergeCell ref="P71:AM72"/>
    <mergeCell ref="P73:AM73"/>
    <mergeCell ref="AL68:AM69"/>
    <mergeCell ref="K49:M49"/>
    <mergeCell ref="Q49:AN49"/>
    <mergeCell ref="P50:P67"/>
    <mergeCell ref="Q50:T67"/>
    <mergeCell ref="D51:M64"/>
    <mergeCell ref="AK51:AN51"/>
    <mergeCell ref="AG58:AM67"/>
    <mergeCell ref="D44:M44"/>
    <mergeCell ref="Q44:AN44"/>
    <mergeCell ref="P45:P46"/>
    <mergeCell ref="Q45:AN46"/>
    <mergeCell ref="E46:F49"/>
    <mergeCell ref="K46:M46"/>
    <mergeCell ref="K47:M47"/>
    <mergeCell ref="P47:P48"/>
    <mergeCell ref="K48:M48"/>
    <mergeCell ref="Q48:AL48"/>
    <mergeCell ref="K10:M10"/>
    <mergeCell ref="K11:M11"/>
    <mergeCell ref="P11:P12"/>
    <mergeCell ref="D38:M38"/>
    <mergeCell ref="P38:AN38"/>
    <mergeCell ref="B40:B41"/>
    <mergeCell ref="D40:M40"/>
    <mergeCell ref="P40:AN43"/>
    <mergeCell ref="D41:M41"/>
    <mergeCell ref="D42:M42"/>
    <mergeCell ref="D43:M43"/>
    <mergeCell ref="D32:M33"/>
    <mergeCell ref="D35:M35"/>
    <mergeCell ref="D36:M37"/>
    <mergeCell ref="AL32:AM33"/>
    <mergeCell ref="P35:AM36"/>
    <mergeCell ref="P37:AM37"/>
    <mergeCell ref="L1:L2"/>
    <mergeCell ref="AQ2:AR2"/>
    <mergeCell ref="AP3:AR3"/>
    <mergeCell ref="B4:B5"/>
    <mergeCell ref="D4:M4"/>
    <mergeCell ref="N4:N74"/>
    <mergeCell ref="P4:AN7"/>
    <mergeCell ref="AP4:AR10"/>
    <mergeCell ref="D5:M5"/>
    <mergeCell ref="D6:M6"/>
    <mergeCell ref="K12:M12"/>
    <mergeCell ref="K13:M13"/>
    <mergeCell ref="Q13:AN13"/>
    <mergeCell ref="P14:P31"/>
    <mergeCell ref="Q14:T31"/>
    <mergeCell ref="D15:M28"/>
    <mergeCell ref="AK15:AN15"/>
    <mergeCell ref="AG22:AM31"/>
    <mergeCell ref="D7:M7"/>
    <mergeCell ref="D8:M8"/>
    <mergeCell ref="Q8:AN8"/>
    <mergeCell ref="P9:P10"/>
    <mergeCell ref="Q9:AN10"/>
    <mergeCell ref="E10:F13"/>
  </mergeCells>
  <pageMargins left="0.15748031496062992" right="7.874015748031496E-2" top="0.35433070866141736" bottom="0.74803149606299213" header="0.31496062992125984" footer="0.31496062992125984"/>
  <pageSetup scale="98" orientation="portrait" r:id="rId1"/>
  <drawing r:id="rId2"/>
  <legacyDrawing r:id="rId3"/>
</worksheet>
</file>

<file path=xl/worksheets/sheet19.xml><?xml version="1.0" encoding="utf-8"?>
<worksheet xmlns="http://schemas.openxmlformats.org/spreadsheetml/2006/main" xmlns:r="http://schemas.openxmlformats.org/officeDocument/2006/relationships">
  <sheetPr codeName="Sheet15">
    <tabColor theme="1" tint="4.9989318521683403E-2"/>
  </sheetPr>
  <dimension ref="B1:Y101"/>
  <sheetViews>
    <sheetView topLeftCell="I1" workbookViewId="0">
      <selection activeCell="W5" sqref="W5"/>
    </sheetView>
  </sheetViews>
  <sheetFormatPr defaultRowHeight="15"/>
  <cols>
    <col min="2" max="2" width="9.140625" style="1"/>
    <col min="3" max="3" width="10.85546875" style="1" customWidth="1"/>
    <col min="4" max="4" width="13.5703125" bestFit="1" customWidth="1"/>
    <col min="6" max="6" width="9.140625" style="1"/>
    <col min="8" max="8" width="28" customWidth="1"/>
    <col min="11" max="11" width="9.5703125" style="1" bestFit="1" customWidth="1"/>
    <col min="12" max="12" width="12" customWidth="1"/>
    <col min="13" max="13" width="5.28515625" style="1" customWidth="1"/>
    <col min="14" max="14" width="9.5703125" customWidth="1"/>
    <col min="16" max="16" width="22.85546875" customWidth="1"/>
    <col min="17" max="17" width="8.5703125" customWidth="1"/>
    <col min="19" max="19" width="1.85546875" customWidth="1"/>
    <col min="20" max="20" width="5.5703125" customWidth="1"/>
    <col min="21" max="21" width="14" bestFit="1" customWidth="1"/>
    <col min="22" max="22" width="14" customWidth="1"/>
    <col min="23" max="23" width="17.140625" style="1" customWidth="1"/>
    <col min="25" max="25" width="14.28515625" style="1" bestFit="1" customWidth="1"/>
    <col min="26" max="26" width="2.5703125" customWidth="1"/>
  </cols>
  <sheetData>
    <row r="1" spans="2:25">
      <c r="B1" s="1" t="s">
        <v>59</v>
      </c>
      <c r="C1" s="1" t="s">
        <v>84</v>
      </c>
      <c r="D1" t="s">
        <v>85</v>
      </c>
      <c r="F1" s="44" t="s">
        <v>99</v>
      </c>
      <c r="M1" s="44" t="s">
        <v>102</v>
      </c>
    </row>
    <row r="2" spans="2:25">
      <c r="B2" s="26">
        <v>1</v>
      </c>
      <c r="C2" s="27">
        <v>0.04</v>
      </c>
      <c r="D2" s="27" t="s">
        <v>81</v>
      </c>
      <c r="F2" s="43" t="s">
        <v>50</v>
      </c>
      <c r="G2" s="43" t="s">
        <v>51</v>
      </c>
      <c r="H2" s="43" t="s">
        <v>100</v>
      </c>
      <c r="I2" s="43" t="s">
        <v>59</v>
      </c>
      <c r="J2" s="43" t="s">
        <v>61</v>
      </c>
      <c r="K2" s="39" t="s">
        <v>101</v>
      </c>
      <c r="L2" s="39" t="s">
        <v>360</v>
      </c>
      <c r="M2" s="39" t="s">
        <v>50</v>
      </c>
      <c r="N2" s="39" t="s">
        <v>104</v>
      </c>
      <c r="O2" s="39" t="s">
        <v>61</v>
      </c>
      <c r="P2" s="39" t="s">
        <v>100</v>
      </c>
      <c r="Q2" s="39" t="s">
        <v>51</v>
      </c>
      <c r="R2" s="39" t="s">
        <v>103</v>
      </c>
      <c r="T2" s="39" t="s">
        <v>50</v>
      </c>
      <c r="U2" s="39" t="s">
        <v>100</v>
      </c>
      <c r="V2" s="39" t="s">
        <v>51</v>
      </c>
      <c r="W2" s="39" t="s">
        <v>59</v>
      </c>
      <c r="X2" s="39" t="s">
        <v>61</v>
      </c>
      <c r="Y2" s="39" t="s">
        <v>105</v>
      </c>
    </row>
    <row r="3" spans="2:25">
      <c r="B3" s="26">
        <v>2</v>
      </c>
      <c r="C3" s="27">
        <v>0.08</v>
      </c>
      <c r="D3" s="27" t="s">
        <v>81</v>
      </c>
      <c r="F3" s="43">
        <f>Leger1!E7</f>
        <v>1</v>
      </c>
      <c r="G3" s="43">
        <f>Leger1!F7</f>
        <v>7057</v>
      </c>
      <c r="H3" s="42" t="str">
        <f>PROPER(Leger1!G7)</f>
        <v>Ahmad Zaki Aufa</v>
      </c>
      <c r="I3" s="43">
        <f>Leger1!BB7</f>
        <v>887.9442857142858</v>
      </c>
      <c r="J3" s="43">
        <f>Leger1!BD7</f>
        <v>15</v>
      </c>
      <c r="K3" s="43">
        <f>IF(F3="","",IFERROR((I3+COUNTIF($J$3:J3,J3)),""))</f>
        <v>888.9442857142858</v>
      </c>
      <c r="L3">
        <f>IF(F3="","",IFERROR((K3-J3),""))</f>
        <v>873.9442857142858</v>
      </c>
      <c r="M3" s="43">
        <f>F3</f>
        <v>1</v>
      </c>
      <c r="N3" s="43">
        <f>IF(F3="","",L3)</f>
        <v>873.9442857142858</v>
      </c>
      <c r="O3" s="43">
        <f>J3</f>
        <v>15</v>
      </c>
      <c r="P3" s="42" t="str">
        <f>IF(I3="","",H3)</f>
        <v>Ahmad Zaki Aufa</v>
      </c>
      <c r="Q3" s="43">
        <f>IF(I3="","",G3)</f>
        <v>7057</v>
      </c>
      <c r="R3" s="43">
        <f>I3</f>
        <v>887.9442857142858</v>
      </c>
      <c r="T3" s="43">
        <f>M3</f>
        <v>1</v>
      </c>
      <c r="U3" s="42" t="str">
        <f>IF(M3="","",VLOOKUP(Y3,$N$3:$R$42,3,FALSE))</f>
        <v>Mefa Novita Putri</v>
      </c>
      <c r="V3" s="43">
        <f>IF(M3="","",VLOOKUP(Y3,$N$3:$R$42,4,FALSE))</f>
        <v>7101</v>
      </c>
      <c r="W3" s="43">
        <f>IF(M3="","",VLOOKUP(Y3,$N$3:$R$42,5,FALSE))</f>
        <v>930.01428571428562</v>
      </c>
      <c r="X3" s="43">
        <f>IF(M3="","",VLOOKUP(Y3,$N$3:$R$42,2,FALSE))</f>
        <v>1</v>
      </c>
      <c r="Y3" s="43">
        <f>IF(L3="","",LARGE($L$3:$L$42,T3))</f>
        <v>930.01428571428562</v>
      </c>
    </row>
    <row r="4" spans="2:25">
      <c r="B4" s="26">
        <v>3</v>
      </c>
      <c r="C4" s="27">
        <v>0.12</v>
      </c>
      <c r="D4" s="27" t="s">
        <v>81</v>
      </c>
      <c r="F4" s="43">
        <f>Leger1!E8</f>
        <v>2</v>
      </c>
      <c r="G4" s="43">
        <f>Leger1!F8</f>
        <v>7058</v>
      </c>
      <c r="H4" s="42" t="str">
        <f>PROPER(Leger1!G8)</f>
        <v>Anandhita Nafra Wilova</v>
      </c>
      <c r="I4" s="43">
        <f>Leger1!BB8</f>
        <v>894.29142857142847</v>
      </c>
      <c r="J4" s="43">
        <f>Leger1!BD8</f>
        <v>13</v>
      </c>
      <c r="K4" s="686">
        <f>IF(F4="","",IFERROR((I4+COUNTIF($J$3:J4,J4)),""))</f>
        <v>895.29142857142847</v>
      </c>
      <c r="L4" s="685">
        <f t="shared" ref="L4:L42" si="0">IF(F4="","",IFERROR((K4-J4),""))</f>
        <v>882.29142857142847</v>
      </c>
      <c r="M4" s="43">
        <f t="shared" ref="M4:M42" si="1">F4</f>
        <v>2</v>
      </c>
      <c r="N4" s="43">
        <f t="shared" ref="N4:N41" si="2">IF(F4="","",L4)</f>
        <v>882.29142857142847</v>
      </c>
      <c r="O4" s="43">
        <f t="shared" ref="O4:O42" si="3">J4</f>
        <v>13</v>
      </c>
      <c r="P4" s="42" t="str">
        <f t="shared" ref="P4:P42" si="4">IF(I4="","",H4)</f>
        <v>Anandhita Nafra Wilova</v>
      </c>
      <c r="Q4" s="686">
        <f t="shared" ref="Q4:Q42" si="5">IF(I4="","",G4)</f>
        <v>7058</v>
      </c>
      <c r="R4" s="43">
        <f t="shared" ref="R4:R41" si="6">I4</f>
        <v>894.29142857142847</v>
      </c>
      <c r="T4" s="43">
        <f t="shared" ref="T4:T42" si="7">M4</f>
        <v>2</v>
      </c>
      <c r="U4" s="42" t="str">
        <f>IF(M4="","",VLOOKUP(Y4,$N$3:$R$42,3,FALSE))</f>
        <v>Mirra Tusolickak</v>
      </c>
      <c r="V4" s="43">
        <f t="shared" ref="V4:V42" si="8">IF(M4="","",VLOOKUP(Y4,$N$3:$R$42,4,FALSE))</f>
        <v>7105</v>
      </c>
      <c r="W4" s="43">
        <f t="shared" ref="W4:W41" si="9">IF(M4="","",VLOOKUP(Y4,$N$3:$R$42,5,FALSE))</f>
        <v>927.00142857142873</v>
      </c>
      <c r="X4" s="43">
        <f t="shared" ref="X4:X41" si="10">IF(M4="","",VLOOKUP(Y4,$N$3:$R$42,2,FALSE))</f>
        <v>2</v>
      </c>
      <c r="Y4" s="43">
        <f t="shared" ref="Y4:Y41" si="11">IF(L4="","",LARGE($L$3:$L$42,T4))</f>
        <v>926.00142857142873</v>
      </c>
    </row>
    <row r="5" spans="2:25">
      <c r="B5" s="26">
        <v>4</v>
      </c>
      <c r="C5" s="27">
        <v>0.16</v>
      </c>
      <c r="D5" s="27" t="s">
        <v>81</v>
      </c>
      <c r="F5" s="43">
        <f>Leger1!E9</f>
        <v>3</v>
      </c>
      <c r="G5" s="43">
        <f>Leger1!F9</f>
        <v>7059</v>
      </c>
      <c r="H5" s="42" t="str">
        <f>PROPER(Leger1!G9)</f>
        <v>Andini Dwi Aryanti</v>
      </c>
      <c r="I5" s="43">
        <f>Leger1!BB9</f>
        <v>882.44857142857143</v>
      </c>
      <c r="J5" s="43">
        <f>Leger1!BD9</f>
        <v>19</v>
      </c>
      <c r="K5" s="686">
        <f>IF(F5="","",IFERROR((I5+COUNTIF($J$3:J5,J5)),""))</f>
        <v>883.44857142857143</v>
      </c>
      <c r="L5" s="685">
        <f t="shared" si="0"/>
        <v>864.44857142857143</v>
      </c>
      <c r="M5" s="43">
        <f t="shared" si="1"/>
        <v>3</v>
      </c>
      <c r="N5" s="43">
        <f t="shared" si="2"/>
        <v>864.44857142857143</v>
      </c>
      <c r="O5" s="43">
        <f t="shared" si="3"/>
        <v>19</v>
      </c>
      <c r="P5" s="42" t="str">
        <f t="shared" si="4"/>
        <v>Andini Dwi Aryanti</v>
      </c>
      <c r="Q5" s="686">
        <f t="shared" si="5"/>
        <v>7059</v>
      </c>
      <c r="R5" s="43">
        <f t="shared" si="6"/>
        <v>882.44857142857143</v>
      </c>
      <c r="T5" s="43">
        <f t="shared" si="7"/>
        <v>3</v>
      </c>
      <c r="U5" s="42" t="str">
        <f t="shared" ref="U5:U41" si="12">IF(M5="","",VLOOKUP(Y5,$N$3:$R$42,3,FALSE))</f>
        <v>Indah Purnama Ningsih</v>
      </c>
      <c r="V5" s="43">
        <f t="shared" si="8"/>
        <v>7096</v>
      </c>
      <c r="W5" s="43">
        <f t="shared" si="9"/>
        <v>922.02</v>
      </c>
      <c r="X5" s="43">
        <f t="shared" si="10"/>
        <v>3</v>
      </c>
      <c r="Y5" s="43">
        <f t="shared" si="11"/>
        <v>920.02</v>
      </c>
    </row>
    <row r="6" spans="2:25">
      <c r="B6" s="26">
        <v>5</v>
      </c>
      <c r="C6" s="27">
        <v>0.2</v>
      </c>
      <c r="D6" s="27" t="s">
        <v>81</v>
      </c>
      <c r="F6" s="43">
        <f>Leger1!E10</f>
        <v>4</v>
      </c>
      <c r="G6" s="43">
        <f>Leger1!F10</f>
        <v>7060</v>
      </c>
      <c r="H6" s="42" t="str">
        <f>PROPER(Leger1!G10)</f>
        <v>Anggun Suci Rahmadani</v>
      </c>
      <c r="I6" s="43">
        <f>Leger1!BB10</f>
        <v>875.96285714285705</v>
      </c>
      <c r="J6" s="43">
        <f>Leger1!BD10</f>
        <v>21</v>
      </c>
      <c r="K6" s="686">
        <f>IF(F6="","",IFERROR((I6+COUNTIF($J$3:J6,J6)),""))</f>
        <v>876.96285714285705</v>
      </c>
      <c r="L6" s="685">
        <f t="shared" si="0"/>
        <v>855.96285714285705</v>
      </c>
      <c r="M6" s="43">
        <f t="shared" si="1"/>
        <v>4</v>
      </c>
      <c r="N6" s="43">
        <f t="shared" si="2"/>
        <v>855.96285714285705</v>
      </c>
      <c r="O6" s="43">
        <f t="shared" si="3"/>
        <v>21</v>
      </c>
      <c r="P6" s="42" t="str">
        <f t="shared" si="4"/>
        <v>Anggun Suci Rahmadani</v>
      </c>
      <c r="Q6" s="686">
        <f t="shared" si="5"/>
        <v>7060</v>
      </c>
      <c r="R6" s="43">
        <f t="shared" si="6"/>
        <v>875.96285714285705</v>
      </c>
      <c r="T6" s="43">
        <f t="shared" si="7"/>
        <v>4</v>
      </c>
      <c r="U6" s="42" t="str">
        <f>IF(M6="","",VLOOKUP(Y6,$N$3:$R$42,3,FALSE))</f>
        <v>Mellanie Bunga Aprilia</v>
      </c>
      <c r="V6" s="43">
        <f>IF(M6="","",VLOOKUP(Y6,$N$3:$R$42,4,FALSE))</f>
        <v>7104</v>
      </c>
      <c r="W6" s="43">
        <f>IF(M6="","",VLOOKUP(Y6,$N$3:$R$42,5,FALSE))</f>
        <v>916.74</v>
      </c>
      <c r="X6" s="43">
        <f>IF(M6="","",VLOOKUP(Y6,$N$3:$R$42,2,FALSE))</f>
        <v>4</v>
      </c>
      <c r="Y6" s="43">
        <f>IF(L6="","",LARGE($L$3:$L$42,T6))</f>
        <v>913.74</v>
      </c>
    </row>
    <row r="7" spans="2:25">
      <c r="B7" s="26">
        <v>6</v>
      </c>
      <c r="C7" s="27">
        <v>0.24</v>
      </c>
      <c r="D7" s="27" t="s">
        <v>81</v>
      </c>
      <c r="F7" s="43">
        <f>Leger1!E11</f>
        <v>5</v>
      </c>
      <c r="G7" s="43">
        <f>Leger1!F11</f>
        <v>7061</v>
      </c>
      <c r="H7" s="42" t="str">
        <f>PROPER(Leger1!G11)</f>
        <v>Anisa Julia Tasya</v>
      </c>
      <c r="I7" s="43">
        <f>Leger1!BB11</f>
        <v>894.70571428571418</v>
      </c>
      <c r="J7" s="43">
        <f>Leger1!BD11</f>
        <v>12</v>
      </c>
      <c r="K7" s="686">
        <f>IF(F7="","",IFERROR((I7+COUNTIF($J$3:J7,J7)),""))</f>
        <v>895.70571428571418</v>
      </c>
      <c r="L7" s="685">
        <f t="shared" si="0"/>
        <v>883.70571428571418</v>
      </c>
      <c r="M7" s="43">
        <f t="shared" si="1"/>
        <v>5</v>
      </c>
      <c r="N7" s="43">
        <f t="shared" si="2"/>
        <v>883.70571428571418</v>
      </c>
      <c r="O7" s="43">
        <f t="shared" si="3"/>
        <v>12</v>
      </c>
      <c r="P7" s="42" t="str">
        <f t="shared" si="4"/>
        <v>Anisa Julia Tasya</v>
      </c>
      <c r="Q7" s="686">
        <f t="shared" si="5"/>
        <v>7061</v>
      </c>
      <c r="R7" s="43">
        <f t="shared" si="6"/>
        <v>894.70571428571418</v>
      </c>
      <c r="T7" s="43">
        <f t="shared" si="7"/>
        <v>5</v>
      </c>
      <c r="U7" s="42" t="str">
        <f t="shared" si="12"/>
        <v>Ayu Emelia Putri</v>
      </c>
      <c r="V7" s="43">
        <f t="shared" si="8"/>
        <v>7067</v>
      </c>
      <c r="W7" s="43">
        <f t="shared" si="9"/>
        <v>915.94285714285718</v>
      </c>
      <c r="X7" s="43">
        <f t="shared" si="10"/>
        <v>5</v>
      </c>
      <c r="Y7" s="43">
        <f t="shared" si="11"/>
        <v>911.94285714285718</v>
      </c>
    </row>
    <row r="8" spans="2:25">
      <c r="B8" s="26">
        <v>7</v>
      </c>
      <c r="C8" s="27">
        <v>0.28000000000000003</v>
      </c>
      <c r="D8" s="27" t="s">
        <v>81</v>
      </c>
      <c r="F8" s="43">
        <f>Leger1!E12</f>
        <v>6</v>
      </c>
      <c r="G8" s="43">
        <f>Leger1!F12</f>
        <v>7065</v>
      </c>
      <c r="H8" s="42" t="str">
        <f>PROPER(Leger1!G12)</f>
        <v>Aulia Rahmawati</v>
      </c>
      <c r="I8" s="43">
        <f>Leger1!BB12</f>
        <v>886.7385714285715</v>
      </c>
      <c r="J8" s="43">
        <f>Leger1!BD12</f>
        <v>16</v>
      </c>
      <c r="K8" s="686">
        <f>IF(F8="","",IFERROR((I8+COUNTIF($J$3:J8,J8)),""))</f>
        <v>887.7385714285715</v>
      </c>
      <c r="L8" s="685">
        <f t="shared" si="0"/>
        <v>871.7385714285715</v>
      </c>
      <c r="M8" s="43">
        <f t="shared" si="1"/>
        <v>6</v>
      </c>
      <c r="N8" s="43">
        <f t="shared" si="2"/>
        <v>871.7385714285715</v>
      </c>
      <c r="O8" s="43">
        <f t="shared" si="3"/>
        <v>16</v>
      </c>
      <c r="P8" s="42" t="str">
        <f t="shared" si="4"/>
        <v>Aulia Rahmawati</v>
      </c>
      <c r="Q8" s="686">
        <f t="shared" si="5"/>
        <v>7065</v>
      </c>
      <c r="R8" s="43">
        <f t="shared" si="6"/>
        <v>886.7385714285715</v>
      </c>
      <c r="T8" s="43">
        <f t="shared" si="7"/>
        <v>6</v>
      </c>
      <c r="U8" s="42" t="str">
        <f t="shared" si="12"/>
        <v>Sawal Ramadian</v>
      </c>
      <c r="V8" s="43">
        <f t="shared" si="8"/>
        <v>7126</v>
      </c>
      <c r="W8" s="43">
        <f t="shared" si="9"/>
        <v>910.86142857142852</v>
      </c>
      <c r="X8" s="43">
        <f t="shared" si="10"/>
        <v>6</v>
      </c>
      <c r="Y8" s="43">
        <f t="shared" si="11"/>
        <v>905.86142857142852</v>
      </c>
    </row>
    <row r="9" spans="2:25">
      <c r="B9" s="26">
        <v>8</v>
      </c>
      <c r="C9" s="27">
        <v>0.32</v>
      </c>
      <c r="D9" s="27" t="s">
        <v>81</v>
      </c>
      <c r="F9" s="43">
        <f>Leger1!E13</f>
        <v>7</v>
      </c>
      <c r="G9" s="43">
        <f>Leger1!F13</f>
        <v>7066</v>
      </c>
      <c r="H9" s="42" t="str">
        <f>PROPER(Leger1!G13)</f>
        <v>Ayu Chumaira</v>
      </c>
      <c r="I9" s="43">
        <f>Leger1!BB13</f>
        <v>901.05</v>
      </c>
      <c r="J9" s="43">
        <f>Leger1!BD13</f>
        <v>10</v>
      </c>
      <c r="K9" s="686">
        <f>IF(F9="","",IFERROR((I9+COUNTIF($J$3:J9,J9)),""))</f>
        <v>902.05</v>
      </c>
      <c r="L9" s="685">
        <f t="shared" si="0"/>
        <v>892.05</v>
      </c>
      <c r="M9" s="43">
        <f t="shared" si="1"/>
        <v>7</v>
      </c>
      <c r="N9" s="43">
        <f t="shared" si="2"/>
        <v>892.05</v>
      </c>
      <c r="O9" s="43">
        <f t="shared" si="3"/>
        <v>10</v>
      </c>
      <c r="P9" s="42" t="str">
        <f t="shared" si="4"/>
        <v>Ayu Chumaira</v>
      </c>
      <c r="Q9" s="686">
        <f t="shared" si="5"/>
        <v>7066</v>
      </c>
      <c r="R9" s="43">
        <f t="shared" si="6"/>
        <v>901.05</v>
      </c>
      <c r="T9" s="43">
        <f t="shared" si="7"/>
        <v>7</v>
      </c>
      <c r="U9" s="42" t="str">
        <f t="shared" si="12"/>
        <v>Bayu Anggoro</v>
      </c>
      <c r="V9" s="43">
        <f t="shared" si="8"/>
        <v>7068</v>
      </c>
      <c r="W9" s="43">
        <f t="shared" si="9"/>
        <v>907.86428571428564</v>
      </c>
      <c r="X9" s="43">
        <f t="shared" si="10"/>
        <v>7</v>
      </c>
      <c r="Y9" s="43">
        <f t="shared" si="11"/>
        <v>901.86428571428564</v>
      </c>
    </row>
    <row r="10" spans="2:25">
      <c r="B10" s="26">
        <v>9</v>
      </c>
      <c r="C10" s="27">
        <v>0.36</v>
      </c>
      <c r="D10" s="27" t="s">
        <v>81</v>
      </c>
      <c r="F10" s="43">
        <f>Leger1!E14</f>
        <v>8</v>
      </c>
      <c r="G10" s="43">
        <f>Leger1!F14</f>
        <v>7067</v>
      </c>
      <c r="H10" s="42" t="str">
        <f>PROPER(Leger1!G14)</f>
        <v>Ayu Emelia Putri</v>
      </c>
      <c r="I10" s="43">
        <f>Leger1!BB14</f>
        <v>915.94285714285718</v>
      </c>
      <c r="J10" s="43">
        <f>Leger1!BD14</f>
        <v>5</v>
      </c>
      <c r="K10" s="686">
        <f>IF(F10="","",IFERROR((I10+COUNTIF($J$3:J10,J10)),""))</f>
        <v>916.94285714285718</v>
      </c>
      <c r="L10" s="685">
        <f t="shared" si="0"/>
        <v>911.94285714285718</v>
      </c>
      <c r="M10" s="43">
        <f t="shared" si="1"/>
        <v>8</v>
      </c>
      <c r="N10" s="43">
        <f t="shared" si="2"/>
        <v>911.94285714285718</v>
      </c>
      <c r="O10" s="43">
        <f t="shared" si="3"/>
        <v>5</v>
      </c>
      <c r="P10" s="42" t="str">
        <f t="shared" si="4"/>
        <v>Ayu Emelia Putri</v>
      </c>
      <c r="Q10" s="686">
        <f t="shared" si="5"/>
        <v>7067</v>
      </c>
      <c r="R10" s="43">
        <f t="shared" si="6"/>
        <v>915.94285714285718</v>
      </c>
      <c r="T10" s="43">
        <f t="shared" si="7"/>
        <v>8</v>
      </c>
      <c r="U10" s="42" t="str">
        <f t="shared" si="12"/>
        <v>Calissta Sabrina Salwa Aurelia</v>
      </c>
      <c r="V10" s="43">
        <f t="shared" si="8"/>
        <v>7069</v>
      </c>
      <c r="W10" s="43">
        <f t="shared" si="9"/>
        <v>904.74142857142851</v>
      </c>
      <c r="X10" s="43">
        <f t="shared" si="10"/>
        <v>8</v>
      </c>
      <c r="Y10" s="43">
        <f t="shared" si="11"/>
        <v>897.74142857142851</v>
      </c>
    </row>
    <row r="11" spans="2:25">
      <c r="B11" s="26">
        <v>10</v>
      </c>
      <c r="C11" s="27">
        <v>0.4</v>
      </c>
      <c r="D11" s="27" t="s">
        <v>81</v>
      </c>
      <c r="F11" s="43">
        <f>Leger1!E15</f>
        <v>9</v>
      </c>
      <c r="G11" s="43">
        <f>Leger1!F15</f>
        <v>7068</v>
      </c>
      <c r="H11" s="42" t="str">
        <f>PROPER(Leger1!G15)</f>
        <v>Bayu Anggoro</v>
      </c>
      <c r="I11" s="43">
        <f>Leger1!BB15</f>
        <v>907.86428571428564</v>
      </c>
      <c r="J11" s="43">
        <f>Leger1!BD15</f>
        <v>7</v>
      </c>
      <c r="K11" s="686">
        <f>IF(F11="","",IFERROR((I11+COUNTIF($J$3:J11,J11)),""))</f>
        <v>908.86428571428564</v>
      </c>
      <c r="L11" s="685">
        <f t="shared" si="0"/>
        <v>901.86428571428564</v>
      </c>
      <c r="M11" s="43">
        <f t="shared" si="1"/>
        <v>9</v>
      </c>
      <c r="N11" s="43">
        <f t="shared" si="2"/>
        <v>901.86428571428564</v>
      </c>
      <c r="O11" s="43">
        <f t="shared" si="3"/>
        <v>7</v>
      </c>
      <c r="P11" s="42" t="str">
        <f t="shared" si="4"/>
        <v>Bayu Anggoro</v>
      </c>
      <c r="Q11" s="686">
        <f t="shared" si="5"/>
        <v>7068</v>
      </c>
      <c r="R11" s="43">
        <f t="shared" si="6"/>
        <v>907.86428571428564</v>
      </c>
      <c r="T11" s="43">
        <f t="shared" si="7"/>
        <v>9</v>
      </c>
      <c r="U11" s="42" t="str">
        <f t="shared" si="12"/>
        <v>Muhammad Daffa Rifa'I</v>
      </c>
      <c r="V11" s="43">
        <f t="shared" si="8"/>
        <v>7107</v>
      </c>
      <c r="W11" s="43">
        <f t="shared" si="9"/>
        <v>901.88000000000011</v>
      </c>
      <c r="X11" s="43">
        <f t="shared" si="10"/>
        <v>9</v>
      </c>
      <c r="Y11" s="43">
        <f t="shared" si="11"/>
        <v>893.88000000000011</v>
      </c>
    </row>
    <row r="12" spans="2:25">
      <c r="B12" s="26">
        <v>11</v>
      </c>
      <c r="C12" s="27">
        <v>0.44</v>
      </c>
      <c r="D12" s="27" t="s">
        <v>81</v>
      </c>
      <c r="F12" s="43">
        <f>Leger1!E16</f>
        <v>10</v>
      </c>
      <c r="G12" s="43">
        <f>Leger1!F16</f>
        <v>7069</v>
      </c>
      <c r="H12" s="42" t="str">
        <f>PROPER(Leger1!G16)</f>
        <v>Calissta Sabrina Salwa Aurelia</v>
      </c>
      <c r="I12" s="43">
        <f>Leger1!BB16</f>
        <v>904.74142857142851</v>
      </c>
      <c r="J12" s="43">
        <f>Leger1!BD16</f>
        <v>8</v>
      </c>
      <c r="K12" s="686">
        <f>IF(F12="","",IFERROR((I12+COUNTIF($J$3:J12,J12)),""))</f>
        <v>905.74142857142851</v>
      </c>
      <c r="L12" s="685">
        <f t="shared" si="0"/>
        <v>897.74142857142851</v>
      </c>
      <c r="M12" s="43">
        <f t="shared" si="1"/>
        <v>10</v>
      </c>
      <c r="N12" s="43">
        <f t="shared" si="2"/>
        <v>897.74142857142851</v>
      </c>
      <c r="O12" s="43">
        <f t="shared" si="3"/>
        <v>8</v>
      </c>
      <c r="P12" s="42" t="str">
        <f t="shared" si="4"/>
        <v>Calissta Sabrina Salwa Aurelia</v>
      </c>
      <c r="Q12" s="686">
        <f t="shared" si="5"/>
        <v>7069</v>
      </c>
      <c r="R12" s="43">
        <f t="shared" si="6"/>
        <v>904.74142857142851</v>
      </c>
      <c r="T12" s="43">
        <f t="shared" si="7"/>
        <v>10</v>
      </c>
      <c r="U12" s="42" t="str">
        <f t="shared" si="12"/>
        <v>Ayu Chumaira</v>
      </c>
      <c r="V12" s="43">
        <f t="shared" si="8"/>
        <v>7066</v>
      </c>
      <c r="W12" s="43">
        <f t="shared" si="9"/>
        <v>901.05</v>
      </c>
      <c r="X12" s="43">
        <f t="shared" si="10"/>
        <v>10</v>
      </c>
      <c r="Y12" s="43">
        <f t="shared" si="11"/>
        <v>892.05</v>
      </c>
    </row>
    <row r="13" spans="2:25">
      <c r="B13" s="26">
        <v>12</v>
      </c>
      <c r="C13" s="27">
        <v>0.48</v>
      </c>
      <c r="D13" s="27" t="s">
        <v>81</v>
      </c>
      <c r="F13" s="43">
        <f>Leger1!E17</f>
        <v>11</v>
      </c>
      <c r="G13" s="43">
        <f>Leger1!F17</f>
        <v>7074</v>
      </c>
      <c r="H13" s="42" t="str">
        <f>PROPER(Leger1!G17)</f>
        <v>Dea Safitri</v>
      </c>
      <c r="I13" s="43">
        <f>Leger1!BB17</f>
        <v>880.35285714285715</v>
      </c>
      <c r="J13" s="43">
        <f>Leger1!BD17</f>
        <v>20</v>
      </c>
      <c r="K13" s="686">
        <f>IF(F13="","",IFERROR((I13+COUNTIF($J$3:J13,J13)),""))</f>
        <v>881.35285714285715</v>
      </c>
      <c r="L13" s="685">
        <f t="shared" si="0"/>
        <v>861.35285714285715</v>
      </c>
      <c r="M13" s="43">
        <f t="shared" si="1"/>
        <v>11</v>
      </c>
      <c r="N13" s="43">
        <f t="shared" si="2"/>
        <v>861.35285714285715</v>
      </c>
      <c r="O13" s="43">
        <f t="shared" si="3"/>
        <v>20</v>
      </c>
      <c r="P13" s="42" t="str">
        <f t="shared" si="4"/>
        <v>Dea Safitri</v>
      </c>
      <c r="Q13" s="686">
        <f t="shared" si="5"/>
        <v>7074</v>
      </c>
      <c r="R13" s="43">
        <f t="shared" si="6"/>
        <v>880.35285714285715</v>
      </c>
      <c r="T13" s="43">
        <f t="shared" si="7"/>
        <v>11</v>
      </c>
      <c r="U13" s="42" t="str">
        <f t="shared" si="12"/>
        <v>Nova Laila Khusna</v>
      </c>
      <c r="V13" s="43">
        <f t="shared" si="8"/>
        <v>7111</v>
      </c>
      <c r="W13" s="43">
        <f t="shared" si="9"/>
        <v>900.90142857142848</v>
      </c>
      <c r="X13" s="43">
        <f t="shared" si="10"/>
        <v>11</v>
      </c>
      <c r="Y13" s="43">
        <f t="shared" si="11"/>
        <v>890.90142857142848</v>
      </c>
    </row>
    <row r="14" spans="2:25">
      <c r="B14" s="26">
        <v>13</v>
      </c>
      <c r="C14" s="27">
        <v>0.52</v>
      </c>
      <c r="D14" s="27" t="s">
        <v>81</v>
      </c>
      <c r="F14" s="43">
        <f>Leger1!E18</f>
        <v>12</v>
      </c>
      <c r="G14" s="43">
        <f>Leger1!F18</f>
        <v>7080</v>
      </c>
      <c r="H14" s="42" t="str">
        <f>PROPER(Leger1!G18)</f>
        <v>Dewi Wulandari</v>
      </c>
      <c r="I14" s="43">
        <f>Leger1!BB18</f>
        <v>889.07428571428557</v>
      </c>
      <c r="J14" s="43">
        <f>Leger1!BD18</f>
        <v>14</v>
      </c>
      <c r="K14" s="686">
        <f>IF(F14="","",IFERROR((I14+COUNTIF($J$3:J14,J14)),""))</f>
        <v>890.07428571428557</v>
      </c>
      <c r="L14" s="685">
        <f t="shared" si="0"/>
        <v>876.07428571428557</v>
      </c>
      <c r="M14" s="43">
        <f t="shared" si="1"/>
        <v>12</v>
      </c>
      <c r="N14" s="43">
        <f t="shared" si="2"/>
        <v>876.07428571428557</v>
      </c>
      <c r="O14" s="43">
        <f t="shared" si="3"/>
        <v>14</v>
      </c>
      <c r="P14" s="42" t="str">
        <f t="shared" si="4"/>
        <v>Dewi Wulandari</v>
      </c>
      <c r="Q14" s="686">
        <f t="shared" si="5"/>
        <v>7080</v>
      </c>
      <c r="R14" s="43">
        <f t="shared" si="6"/>
        <v>889.07428571428557</v>
      </c>
      <c r="T14" s="43">
        <f t="shared" si="7"/>
        <v>12</v>
      </c>
      <c r="U14" s="42" t="str">
        <f t="shared" si="12"/>
        <v>Anisa Julia Tasya</v>
      </c>
      <c r="V14" s="43">
        <f t="shared" si="8"/>
        <v>7061</v>
      </c>
      <c r="W14" s="43">
        <f t="shared" si="9"/>
        <v>894.70571428571418</v>
      </c>
      <c r="X14" s="43">
        <f t="shared" si="10"/>
        <v>12</v>
      </c>
      <c r="Y14" s="43">
        <f t="shared" si="11"/>
        <v>883.70571428571418</v>
      </c>
    </row>
    <row r="15" spans="2:25">
      <c r="B15" s="26">
        <v>14</v>
      </c>
      <c r="C15" s="27">
        <v>0.56000000000000005</v>
      </c>
      <c r="D15" s="27" t="s">
        <v>81</v>
      </c>
      <c r="F15" s="43">
        <f>Leger1!E19</f>
        <v>13</v>
      </c>
      <c r="G15" s="43">
        <f>Leger1!F19</f>
        <v>7084</v>
      </c>
      <c r="H15" s="42" t="str">
        <f>PROPER(Leger1!G19)</f>
        <v>Dony Pratama</v>
      </c>
      <c r="I15" s="43">
        <f>Leger1!BB19</f>
        <v>870.83428571428567</v>
      </c>
      <c r="J15" s="43">
        <f>Leger1!BD19</f>
        <v>24</v>
      </c>
      <c r="K15" s="686">
        <f>IF(F15="","",IFERROR((I15+COUNTIF($J$3:J15,J15)),""))</f>
        <v>871.83428571428567</v>
      </c>
      <c r="L15" s="685">
        <f t="shared" si="0"/>
        <v>847.83428571428567</v>
      </c>
      <c r="M15" s="43">
        <f t="shared" si="1"/>
        <v>13</v>
      </c>
      <c r="N15" s="43">
        <f t="shared" si="2"/>
        <v>847.83428571428567</v>
      </c>
      <c r="O15" s="43">
        <f t="shared" si="3"/>
        <v>24</v>
      </c>
      <c r="P15" s="42" t="str">
        <f t="shared" si="4"/>
        <v>Dony Pratama</v>
      </c>
      <c r="Q15" s="686">
        <f t="shared" si="5"/>
        <v>7084</v>
      </c>
      <c r="R15" s="43">
        <f t="shared" si="6"/>
        <v>870.83428571428567</v>
      </c>
      <c r="T15" s="43">
        <f t="shared" si="7"/>
        <v>13</v>
      </c>
      <c r="U15" s="42" t="str">
        <f t="shared" si="12"/>
        <v>Anandhita Nafra Wilova</v>
      </c>
      <c r="V15" s="43">
        <f t="shared" si="8"/>
        <v>7058</v>
      </c>
      <c r="W15" s="43">
        <f t="shared" si="9"/>
        <v>894.29142857142847</v>
      </c>
      <c r="X15" s="43">
        <f t="shared" si="10"/>
        <v>13</v>
      </c>
      <c r="Y15" s="43">
        <f t="shared" si="11"/>
        <v>882.29142857142847</v>
      </c>
    </row>
    <row r="16" spans="2:25">
      <c r="B16" s="26">
        <v>15</v>
      </c>
      <c r="C16" s="27">
        <v>0.6</v>
      </c>
      <c r="D16" s="27" t="s">
        <v>81</v>
      </c>
      <c r="F16" s="43">
        <f>Leger1!E20</f>
        <v>14</v>
      </c>
      <c r="G16" s="43">
        <f>Leger1!F20</f>
        <v>7089</v>
      </c>
      <c r="H16" s="42" t="str">
        <f>PROPER(Leger1!G20)</f>
        <v>Faris Febram</v>
      </c>
      <c r="I16" s="43">
        <f>Leger1!BB20</f>
        <v>872.86571428571438</v>
      </c>
      <c r="J16" s="43">
        <f>Leger1!BD20</f>
        <v>22</v>
      </c>
      <c r="K16" s="686">
        <f>IF(F16="","",IFERROR((I16+COUNTIF($J$3:J16,J16)),""))</f>
        <v>873.86571428571438</v>
      </c>
      <c r="L16" s="685">
        <f t="shared" si="0"/>
        <v>851.86571428571438</v>
      </c>
      <c r="M16" s="43">
        <f t="shared" si="1"/>
        <v>14</v>
      </c>
      <c r="N16" s="43">
        <f t="shared" si="2"/>
        <v>851.86571428571438</v>
      </c>
      <c r="O16" s="43">
        <f t="shared" si="3"/>
        <v>22</v>
      </c>
      <c r="P16" s="42" t="str">
        <f t="shared" si="4"/>
        <v>Faris Febram</v>
      </c>
      <c r="Q16" s="686">
        <f t="shared" si="5"/>
        <v>7089</v>
      </c>
      <c r="R16" s="43">
        <f t="shared" si="6"/>
        <v>872.86571428571438</v>
      </c>
      <c r="T16" s="43">
        <f t="shared" si="7"/>
        <v>14</v>
      </c>
      <c r="U16" s="42" t="str">
        <f t="shared" si="12"/>
        <v>Dewi Wulandari</v>
      </c>
      <c r="V16" s="43">
        <f t="shared" si="8"/>
        <v>7080</v>
      </c>
      <c r="W16" s="43">
        <f t="shared" si="9"/>
        <v>889.07428571428557</v>
      </c>
      <c r="X16" s="43">
        <f t="shared" si="10"/>
        <v>14</v>
      </c>
      <c r="Y16" s="43">
        <f t="shared" si="11"/>
        <v>876.07428571428557</v>
      </c>
    </row>
    <row r="17" spans="2:25">
      <c r="B17" s="26">
        <v>16</v>
      </c>
      <c r="C17" s="27">
        <v>0.64</v>
      </c>
      <c r="D17" s="27" t="s">
        <v>81</v>
      </c>
      <c r="F17" s="43">
        <f>Leger1!E21</f>
        <v>15</v>
      </c>
      <c r="G17" s="43">
        <f>Leger1!F21</f>
        <v>7095</v>
      </c>
      <c r="H17" s="42" t="str">
        <f>PROPER(Leger1!G21)</f>
        <v>Hikmatullah Umar Malik Abdul Aziz</v>
      </c>
      <c r="I17" s="43">
        <f>Leger1!BB21</f>
        <v>884.28142857142859</v>
      </c>
      <c r="J17" s="43">
        <f>Leger1!BD21</f>
        <v>18</v>
      </c>
      <c r="K17" s="686">
        <f>IF(F17="","",IFERROR((I17+COUNTIF($J$3:J17,J17)),""))</f>
        <v>885.28142857142859</v>
      </c>
      <c r="L17" s="685">
        <f t="shared" si="0"/>
        <v>867.28142857142859</v>
      </c>
      <c r="M17" s="43">
        <f t="shared" si="1"/>
        <v>15</v>
      </c>
      <c r="N17" s="43">
        <f t="shared" si="2"/>
        <v>867.28142857142859</v>
      </c>
      <c r="O17" s="43">
        <f t="shared" si="3"/>
        <v>18</v>
      </c>
      <c r="P17" s="42" t="str">
        <f t="shared" si="4"/>
        <v>Hikmatullah Umar Malik Abdul Aziz</v>
      </c>
      <c r="Q17" s="686">
        <f t="shared" si="5"/>
        <v>7095</v>
      </c>
      <c r="R17" s="43">
        <f t="shared" si="6"/>
        <v>884.28142857142859</v>
      </c>
      <c r="T17" s="43">
        <f t="shared" si="7"/>
        <v>15</v>
      </c>
      <c r="U17" s="42" t="str">
        <f t="shared" si="12"/>
        <v>Ahmad Zaki Aufa</v>
      </c>
      <c r="V17" s="43">
        <f t="shared" si="8"/>
        <v>7057</v>
      </c>
      <c r="W17" s="43">
        <f t="shared" si="9"/>
        <v>887.9442857142858</v>
      </c>
      <c r="X17" s="43">
        <f t="shared" si="10"/>
        <v>15</v>
      </c>
      <c r="Y17" s="43">
        <f t="shared" si="11"/>
        <v>873.9442857142858</v>
      </c>
    </row>
    <row r="18" spans="2:25">
      <c r="B18" s="26">
        <v>17</v>
      </c>
      <c r="C18" s="27">
        <v>0.68</v>
      </c>
      <c r="D18" s="27" t="s">
        <v>81</v>
      </c>
      <c r="F18" s="43">
        <f>Leger1!E22</f>
        <v>16</v>
      </c>
      <c r="G18" s="43">
        <f>Leger1!F22</f>
        <v>7096</v>
      </c>
      <c r="H18" s="42" t="str">
        <f>PROPER(Leger1!G22)</f>
        <v>Indah Purnama Ningsih</v>
      </c>
      <c r="I18" s="43">
        <f>Leger1!BB22</f>
        <v>922.02</v>
      </c>
      <c r="J18" s="43">
        <f>Leger1!BD22</f>
        <v>3</v>
      </c>
      <c r="K18" s="686">
        <f>IF(F18="","",IFERROR((I18+COUNTIF($J$3:J18,J18)),""))</f>
        <v>923.02</v>
      </c>
      <c r="L18" s="685">
        <f t="shared" si="0"/>
        <v>920.02</v>
      </c>
      <c r="M18" s="43">
        <f t="shared" si="1"/>
        <v>16</v>
      </c>
      <c r="N18" s="43">
        <f t="shared" si="2"/>
        <v>920.02</v>
      </c>
      <c r="O18" s="43">
        <f t="shared" si="3"/>
        <v>3</v>
      </c>
      <c r="P18" s="42" t="str">
        <f t="shared" si="4"/>
        <v>Indah Purnama Ningsih</v>
      </c>
      <c r="Q18" s="686">
        <f t="shared" si="5"/>
        <v>7096</v>
      </c>
      <c r="R18" s="43">
        <f t="shared" si="6"/>
        <v>922.02</v>
      </c>
      <c r="T18" s="43">
        <f t="shared" si="7"/>
        <v>16</v>
      </c>
      <c r="U18" s="42" t="str">
        <f t="shared" si="12"/>
        <v>Aulia Rahmawati</v>
      </c>
      <c r="V18" s="43">
        <f t="shared" si="8"/>
        <v>7065</v>
      </c>
      <c r="W18" s="43">
        <f t="shared" si="9"/>
        <v>886.7385714285715</v>
      </c>
      <c r="X18" s="43">
        <f t="shared" si="10"/>
        <v>16</v>
      </c>
      <c r="Y18" s="43">
        <f t="shared" si="11"/>
        <v>871.7385714285715</v>
      </c>
    </row>
    <row r="19" spans="2:25">
      <c r="B19" s="26">
        <v>18</v>
      </c>
      <c r="C19" s="27">
        <v>0.72</v>
      </c>
      <c r="D19" s="27" t="s">
        <v>81</v>
      </c>
      <c r="F19" s="43">
        <f>Leger1!E23</f>
        <v>17</v>
      </c>
      <c r="G19" s="43">
        <f>Leger1!F23</f>
        <v>7098</v>
      </c>
      <c r="H19" s="42" t="str">
        <f>PROPER(Leger1!G23)</f>
        <v>Ladiva Nurrosa Laila</v>
      </c>
      <c r="I19" s="43">
        <f>Leger1!BB23</f>
        <v>885.81142857142845</v>
      </c>
      <c r="J19" s="43">
        <f>Leger1!BD23</f>
        <v>17</v>
      </c>
      <c r="K19" s="686">
        <f>IF(F19="","",IFERROR((I19+COUNTIF($J$3:J19,J19)),""))</f>
        <v>886.81142857142845</v>
      </c>
      <c r="L19" s="685">
        <f t="shared" si="0"/>
        <v>869.81142857142845</v>
      </c>
      <c r="M19" s="43">
        <f t="shared" si="1"/>
        <v>17</v>
      </c>
      <c r="N19" s="43">
        <f t="shared" si="2"/>
        <v>869.81142857142845</v>
      </c>
      <c r="O19" s="43">
        <f t="shared" si="3"/>
        <v>17</v>
      </c>
      <c r="P19" s="42" t="str">
        <f t="shared" si="4"/>
        <v>Ladiva Nurrosa Laila</v>
      </c>
      <c r="Q19" s="686">
        <f t="shared" si="5"/>
        <v>7098</v>
      </c>
      <c r="R19" s="43">
        <f t="shared" si="6"/>
        <v>885.81142857142845</v>
      </c>
      <c r="T19" s="43">
        <f t="shared" si="7"/>
        <v>17</v>
      </c>
      <c r="U19" s="42" t="str">
        <f t="shared" si="12"/>
        <v>Ladiva Nurrosa Laila</v>
      </c>
      <c r="V19" s="43">
        <f t="shared" si="8"/>
        <v>7098</v>
      </c>
      <c r="W19" s="43">
        <f t="shared" si="9"/>
        <v>885.81142857142845</v>
      </c>
      <c r="X19" s="43">
        <f t="shared" si="10"/>
        <v>17</v>
      </c>
      <c r="Y19" s="43">
        <f t="shared" si="11"/>
        <v>869.81142857142845</v>
      </c>
    </row>
    <row r="20" spans="2:25">
      <c r="B20" s="26">
        <v>19</v>
      </c>
      <c r="C20" s="27">
        <v>0.76</v>
      </c>
      <c r="D20" s="27" t="s">
        <v>81</v>
      </c>
      <c r="F20" s="43">
        <f>Leger1!E24</f>
        <v>18</v>
      </c>
      <c r="G20" s="43">
        <f>Leger1!F24</f>
        <v>7101</v>
      </c>
      <c r="H20" s="42" t="str">
        <f>PROPER(Leger1!G24)</f>
        <v>Mefa Novita Putri</v>
      </c>
      <c r="I20" s="43">
        <f>Leger1!BB24</f>
        <v>930.01428571428562</v>
      </c>
      <c r="J20" s="43">
        <f>Leger1!BD24</f>
        <v>1</v>
      </c>
      <c r="K20" s="686">
        <f>IF(F20="","",IFERROR((I20+COUNTIF($J$3:J20,J20)),""))</f>
        <v>931.01428571428562</v>
      </c>
      <c r="L20" s="685">
        <f t="shared" si="0"/>
        <v>930.01428571428562</v>
      </c>
      <c r="M20" s="43">
        <f t="shared" si="1"/>
        <v>18</v>
      </c>
      <c r="N20" s="43">
        <f t="shared" si="2"/>
        <v>930.01428571428562</v>
      </c>
      <c r="O20" s="43">
        <f t="shared" si="3"/>
        <v>1</v>
      </c>
      <c r="P20" s="42" t="str">
        <f t="shared" si="4"/>
        <v>Mefa Novita Putri</v>
      </c>
      <c r="Q20" s="686">
        <f t="shared" si="5"/>
        <v>7101</v>
      </c>
      <c r="R20" s="43">
        <f t="shared" si="6"/>
        <v>930.01428571428562</v>
      </c>
      <c r="T20" s="43">
        <f t="shared" si="7"/>
        <v>18</v>
      </c>
      <c r="U20" s="42" t="str">
        <f t="shared" si="12"/>
        <v>Hikmatullah Umar Malik Abdul Aziz</v>
      </c>
      <c r="V20" s="43">
        <f t="shared" si="8"/>
        <v>7095</v>
      </c>
      <c r="W20" s="43">
        <f t="shared" si="9"/>
        <v>884.28142857142859</v>
      </c>
      <c r="X20" s="43">
        <f t="shared" si="10"/>
        <v>18</v>
      </c>
      <c r="Y20" s="43">
        <f t="shared" si="11"/>
        <v>867.28142857142859</v>
      </c>
    </row>
    <row r="21" spans="2:25">
      <c r="B21" s="26">
        <v>20</v>
      </c>
      <c r="C21" s="27">
        <v>0.8</v>
      </c>
      <c r="D21" s="27" t="s">
        <v>81</v>
      </c>
      <c r="F21" s="43">
        <f>Leger1!E25</f>
        <v>19</v>
      </c>
      <c r="G21" s="43">
        <f>Leger1!F25</f>
        <v>7104</v>
      </c>
      <c r="H21" s="42" t="str">
        <f>PROPER(Leger1!G25)</f>
        <v>Mellanie Bunga Aprilia</v>
      </c>
      <c r="I21" s="43">
        <f>Leger1!BB25</f>
        <v>916.74</v>
      </c>
      <c r="J21" s="43">
        <f>Leger1!BD25</f>
        <v>4</v>
      </c>
      <c r="K21" s="686">
        <f>IF(F21="","",IFERROR((I21+COUNTIF($J$3:J21,J21)),""))</f>
        <v>917.74</v>
      </c>
      <c r="L21" s="685">
        <f t="shared" si="0"/>
        <v>913.74</v>
      </c>
      <c r="M21" s="43">
        <f t="shared" si="1"/>
        <v>19</v>
      </c>
      <c r="N21" s="43">
        <f t="shared" si="2"/>
        <v>913.74</v>
      </c>
      <c r="O21" s="43">
        <f t="shared" si="3"/>
        <v>4</v>
      </c>
      <c r="P21" s="42" t="str">
        <f t="shared" si="4"/>
        <v>Mellanie Bunga Aprilia</v>
      </c>
      <c r="Q21" s="686">
        <f t="shared" si="5"/>
        <v>7104</v>
      </c>
      <c r="R21" s="43">
        <f t="shared" si="6"/>
        <v>916.74</v>
      </c>
      <c r="T21" s="43">
        <f t="shared" si="7"/>
        <v>19</v>
      </c>
      <c r="U21" s="42" t="str">
        <f t="shared" si="12"/>
        <v>Andini Dwi Aryanti</v>
      </c>
      <c r="V21" s="43">
        <f t="shared" si="8"/>
        <v>7059</v>
      </c>
      <c r="W21" s="43">
        <f t="shared" si="9"/>
        <v>882.44857142857143</v>
      </c>
      <c r="X21" s="43">
        <f t="shared" si="10"/>
        <v>19</v>
      </c>
      <c r="Y21" s="43">
        <f t="shared" si="11"/>
        <v>864.44857142857143</v>
      </c>
    </row>
    <row r="22" spans="2:25">
      <c r="B22" s="26">
        <v>21</v>
      </c>
      <c r="C22" s="27">
        <v>0.84</v>
      </c>
      <c r="D22" s="27" t="s">
        <v>81</v>
      </c>
      <c r="F22" s="43">
        <f>Leger1!E26</f>
        <v>20</v>
      </c>
      <c r="G22" s="43">
        <f>Leger1!F26</f>
        <v>7105</v>
      </c>
      <c r="H22" s="42" t="str">
        <f>PROPER(Leger1!G26)</f>
        <v>Mirra Tusolickak</v>
      </c>
      <c r="I22" s="43">
        <f>Leger1!BB26</f>
        <v>927.00142857142873</v>
      </c>
      <c r="J22" s="43">
        <f>Leger1!BD26</f>
        <v>2</v>
      </c>
      <c r="K22" s="686">
        <f>IF(F22="","",IFERROR((I22+COUNTIF($J$3:J22,J22)),""))</f>
        <v>928.00142857142873</v>
      </c>
      <c r="L22" s="685">
        <f t="shared" si="0"/>
        <v>926.00142857142873</v>
      </c>
      <c r="M22" s="43">
        <f t="shared" si="1"/>
        <v>20</v>
      </c>
      <c r="N22" s="43">
        <f t="shared" si="2"/>
        <v>926.00142857142873</v>
      </c>
      <c r="O22" s="43">
        <f t="shared" si="3"/>
        <v>2</v>
      </c>
      <c r="P22" s="42" t="str">
        <f t="shared" si="4"/>
        <v>Mirra Tusolickak</v>
      </c>
      <c r="Q22" s="686">
        <f t="shared" si="5"/>
        <v>7105</v>
      </c>
      <c r="R22" s="43">
        <f t="shared" si="6"/>
        <v>927.00142857142873</v>
      </c>
      <c r="T22" s="43">
        <f t="shared" si="7"/>
        <v>20</v>
      </c>
      <c r="U22" s="42" t="str">
        <f t="shared" si="12"/>
        <v>Dea Safitri</v>
      </c>
      <c r="V22" s="43">
        <f t="shared" si="8"/>
        <v>7074</v>
      </c>
      <c r="W22" s="43">
        <f t="shared" si="9"/>
        <v>880.35285714285715</v>
      </c>
      <c r="X22" s="43">
        <f t="shared" si="10"/>
        <v>20</v>
      </c>
      <c r="Y22" s="43">
        <f t="shared" si="11"/>
        <v>861.35285714285715</v>
      </c>
    </row>
    <row r="23" spans="2:25">
      <c r="B23" s="26">
        <v>22</v>
      </c>
      <c r="C23" s="27">
        <v>0.88</v>
      </c>
      <c r="D23" s="27" t="s">
        <v>81</v>
      </c>
      <c r="F23" s="43">
        <f>Leger1!E27</f>
        <v>21</v>
      </c>
      <c r="G23" s="43">
        <f>Leger1!F27</f>
        <v>7107</v>
      </c>
      <c r="H23" s="42" t="str">
        <f>PROPER(Leger1!G27)</f>
        <v>Muhammad Daffa Rifa'I</v>
      </c>
      <c r="I23" s="43">
        <f>Leger1!BB27</f>
        <v>901.88000000000011</v>
      </c>
      <c r="J23" s="43">
        <f>Leger1!BD27</f>
        <v>9</v>
      </c>
      <c r="K23" s="686">
        <f>IF(F23="","",IFERROR((I23+COUNTIF($J$3:J23,J23)),""))</f>
        <v>902.88000000000011</v>
      </c>
      <c r="L23" s="685">
        <f t="shared" si="0"/>
        <v>893.88000000000011</v>
      </c>
      <c r="M23" s="43">
        <f t="shared" si="1"/>
        <v>21</v>
      </c>
      <c r="N23" s="43">
        <f t="shared" si="2"/>
        <v>893.88000000000011</v>
      </c>
      <c r="O23" s="43">
        <f t="shared" si="3"/>
        <v>9</v>
      </c>
      <c r="P23" s="42" t="str">
        <f t="shared" si="4"/>
        <v>Muhammad Daffa Rifa'I</v>
      </c>
      <c r="Q23" s="686">
        <f t="shared" si="5"/>
        <v>7107</v>
      </c>
      <c r="R23" s="43">
        <f t="shared" si="6"/>
        <v>901.88000000000011</v>
      </c>
      <c r="T23" s="43">
        <f t="shared" si="7"/>
        <v>21</v>
      </c>
      <c r="U23" s="42" t="str">
        <f>IF(M23="","",VLOOKUP(Y23,$N$3:$R$42,3,FALSE))</f>
        <v>Anggun Suci Rahmadani</v>
      </c>
      <c r="V23" s="43">
        <f t="shared" si="8"/>
        <v>7060</v>
      </c>
      <c r="W23" s="43">
        <f t="shared" si="9"/>
        <v>875.96285714285705</v>
      </c>
      <c r="X23" s="43">
        <f>IF(M23="","",VLOOKUP(Y23,$N$3:$R$42,2,FALSE))</f>
        <v>21</v>
      </c>
      <c r="Y23" s="43">
        <f t="shared" si="11"/>
        <v>855.96285714285705</v>
      </c>
    </row>
    <row r="24" spans="2:25">
      <c r="B24" s="26">
        <v>23</v>
      </c>
      <c r="C24" s="27">
        <v>0.92</v>
      </c>
      <c r="D24" s="27" t="s">
        <v>81</v>
      </c>
      <c r="F24" s="43">
        <f>Leger1!E28</f>
        <v>22</v>
      </c>
      <c r="G24" s="43">
        <f>Leger1!F28</f>
        <v>7108</v>
      </c>
      <c r="H24" s="42" t="str">
        <f>PROPER(Leger1!G28)</f>
        <v>Muhammad Jaupanto</v>
      </c>
      <c r="I24" s="43">
        <f>Leger1!BB28</f>
        <v>859.05</v>
      </c>
      <c r="J24" s="43">
        <f>Leger1!BD28</f>
        <v>26</v>
      </c>
      <c r="K24" s="686">
        <f>IF(F24="","",IFERROR((I24+COUNTIF($J$3:J24,J24)),""))</f>
        <v>860.05</v>
      </c>
      <c r="L24" s="685">
        <f t="shared" si="0"/>
        <v>834.05</v>
      </c>
      <c r="M24" s="43">
        <f t="shared" si="1"/>
        <v>22</v>
      </c>
      <c r="N24" s="43">
        <f t="shared" si="2"/>
        <v>834.05</v>
      </c>
      <c r="O24" s="43">
        <f t="shared" si="3"/>
        <v>26</v>
      </c>
      <c r="P24" s="42" t="str">
        <f t="shared" si="4"/>
        <v>Muhammad Jaupanto</v>
      </c>
      <c r="Q24" s="686">
        <f t="shared" si="5"/>
        <v>7108</v>
      </c>
      <c r="R24" s="43">
        <f t="shared" si="6"/>
        <v>859.05</v>
      </c>
      <c r="T24" s="43">
        <f t="shared" si="7"/>
        <v>22</v>
      </c>
      <c r="U24" s="42" t="str">
        <f>IF(M24="","",VLOOKUP(Y24,$N$3:$R$42,3,FALSE))</f>
        <v>Faris Febram</v>
      </c>
      <c r="V24" s="43">
        <f>IF(M24="","",VLOOKUP(Y24,$N$3:$R$42,4,FALSE))</f>
        <v>7089</v>
      </c>
      <c r="W24" s="43">
        <f>IF(M24="","",VLOOKUP(Y24,$N$3:$R$42,5,FALSE))</f>
        <v>872.86571428571438</v>
      </c>
      <c r="X24" s="43">
        <f>IF(M24="","",VLOOKUP(Y24,$N$3:$R$42,2,FALSE))</f>
        <v>22</v>
      </c>
      <c r="Y24" s="43">
        <f>IF(L24="","",LARGE($L$3:$L$42,T24))</f>
        <v>851.86571428571438</v>
      </c>
    </row>
    <row r="25" spans="2:25">
      <c r="B25" s="26">
        <v>24</v>
      </c>
      <c r="C25" s="27">
        <v>0.96</v>
      </c>
      <c r="D25" s="27" t="s">
        <v>81</v>
      </c>
      <c r="F25" s="43">
        <f>Leger1!E29</f>
        <v>23</v>
      </c>
      <c r="G25" s="43">
        <f>Leger1!F29</f>
        <v>7111</v>
      </c>
      <c r="H25" s="42" t="str">
        <f>PROPER(Leger1!G29)</f>
        <v>Nova Laila Khusna</v>
      </c>
      <c r="I25" s="43">
        <f>Leger1!BB29</f>
        <v>900.90142857142848</v>
      </c>
      <c r="J25" s="43">
        <f>Leger1!BD29</f>
        <v>11</v>
      </c>
      <c r="K25" s="686">
        <f>IF(F25="","",IFERROR((I25+COUNTIF($J$3:J25,J25)),""))</f>
        <v>901.90142857142848</v>
      </c>
      <c r="L25" s="685">
        <f t="shared" si="0"/>
        <v>890.90142857142848</v>
      </c>
      <c r="M25" s="43">
        <f t="shared" si="1"/>
        <v>23</v>
      </c>
      <c r="N25" s="43">
        <f t="shared" si="2"/>
        <v>890.90142857142848</v>
      </c>
      <c r="O25" s="43">
        <f t="shared" si="3"/>
        <v>11</v>
      </c>
      <c r="P25" s="42" t="str">
        <f t="shared" si="4"/>
        <v>Nova Laila Khusna</v>
      </c>
      <c r="Q25" s="686">
        <f t="shared" si="5"/>
        <v>7111</v>
      </c>
      <c r="R25" s="43">
        <f t="shared" si="6"/>
        <v>900.90142857142848</v>
      </c>
      <c r="T25" s="43">
        <f t="shared" si="7"/>
        <v>23</v>
      </c>
      <c r="U25" s="42" t="str">
        <f t="shared" si="12"/>
        <v>Tutik Dillayanti</v>
      </c>
      <c r="V25" s="43">
        <f t="shared" si="8"/>
        <v>7133</v>
      </c>
      <c r="W25" s="43">
        <f t="shared" si="9"/>
        <v>871.68857142857144</v>
      </c>
      <c r="X25" s="43">
        <f t="shared" si="10"/>
        <v>23</v>
      </c>
      <c r="Y25" s="43">
        <f t="shared" si="11"/>
        <v>849.68857142857144</v>
      </c>
    </row>
    <row r="26" spans="2:25">
      <c r="B26" s="26">
        <v>25</v>
      </c>
      <c r="C26" s="27">
        <v>1</v>
      </c>
      <c r="D26" s="27" t="s">
        <v>81</v>
      </c>
      <c r="F26" s="43">
        <f>Leger1!E30</f>
        <v>24</v>
      </c>
      <c r="G26" s="43">
        <f>Leger1!F30</f>
        <v>7126</v>
      </c>
      <c r="H26" s="42" t="str">
        <f>PROPER(Leger1!G30)</f>
        <v>Sawal Ramadian</v>
      </c>
      <c r="I26" s="43">
        <f>Leger1!BB30</f>
        <v>910.86142857142852</v>
      </c>
      <c r="J26" s="43">
        <f>Leger1!BD30</f>
        <v>6</v>
      </c>
      <c r="K26" s="686">
        <f>IF(F26="","",IFERROR((I26+COUNTIF($J$3:J26,J26)),""))</f>
        <v>911.86142857142852</v>
      </c>
      <c r="L26" s="685">
        <f t="shared" si="0"/>
        <v>905.86142857142852</v>
      </c>
      <c r="M26" s="43">
        <f t="shared" si="1"/>
        <v>24</v>
      </c>
      <c r="N26" s="43">
        <f t="shared" si="2"/>
        <v>905.86142857142852</v>
      </c>
      <c r="O26" s="43">
        <f t="shared" si="3"/>
        <v>6</v>
      </c>
      <c r="P26" s="42" t="str">
        <f t="shared" si="4"/>
        <v>Sawal Ramadian</v>
      </c>
      <c r="Q26" s="686">
        <f t="shared" si="5"/>
        <v>7126</v>
      </c>
      <c r="R26" s="43">
        <f t="shared" si="6"/>
        <v>910.86142857142852</v>
      </c>
      <c r="T26" s="43">
        <f t="shared" si="7"/>
        <v>24</v>
      </c>
      <c r="U26" s="42" t="str">
        <f t="shared" si="12"/>
        <v>Dony Pratama</v>
      </c>
      <c r="V26" s="43">
        <f t="shared" si="8"/>
        <v>7084</v>
      </c>
      <c r="W26" s="43">
        <f t="shared" si="9"/>
        <v>870.83428571428567</v>
      </c>
      <c r="X26" s="43">
        <f t="shared" si="10"/>
        <v>24</v>
      </c>
      <c r="Y26" s="43">
        <f t="shared" si="11"/>
        <v>847.83428571428567</v>
      </c>
    </row>
    <row r="27" spans="2:25">
      <c r="B27" s="26">
        <v>26</v>
      </c>
      <c r="C27" s="27">
        <v>1.04</v>
      </c>
      <c r="D27" s="27" t="s">
        <v>81</v>
      </c>
      <c r="F27" s="43">
        <f>Leger1!E31</f>
        <v>25</v>
      </c>
      <c r="G27" s="43">
        <f>Leger1!F31</f>
        <v>7130</v>
      </c>
      <c r="H27" s="42" t="str">
        <f>PROPER(Leger1!G31)</f>
        <v>Sofyan Romansyah</v>
      </c>
      <c r="I27" s="43">
        <f>Leger1!BB31</f>
        <v>848.32857142857131</v>
      </c>
      <c r="J27" s="43">
        <f>Leger1!BD31</f>
        <v>28</v>
      </c>
      <c r="K27" s="686">
        <f>IF(F27="","",IFERROR((I27+COUNTIF($J$3:J27,J27)),""))</f>
        <v>849.32857142857131</v>
      </c>
      <c r="L27" s="685">
        <f t="shared" si="0"/>
        <v>821.32857142857131</v>
      </c>
      <c r="M27" s="43">
        <f t="shared" si="1"/>
        <v>25</v>
      </c>
      <c r="N27" s="43">
        <f t="shared" si="2"/>
        <v>821.32857142857131</v>
      </c>
      <c r="O27" s="43">
        <f t="shared" si="3"/>
        <v>28</v>
      </c>
      <c r="P27" s="42" t="str">
        <f t="shared" si="4"/>
        <v>Sofyan Romansyah</v>
      </c>
      <c r="Q27" s="686">
        <f t="shared" si="5"/>
        <v>7130</v>
      </c>
      <c r="R27" s="43">
        <f t="shared" si="6"/>
        <v>848.32857142857131</v>
      </c>
      <c r="T27" s="43">
        <f t="shared" si="7"/>
        <v>25</v>
      </c>
      <c r="U27" s="42" t="str">
        <f t="shared" si="12"/>
        <v>I Gede Nyoman Bagiyasa</v>
      </c>
      <c r="V27" s="43">
        <f t="shared" si="8"/>
        <v>7142</v>
      </c>
      <c r="W27" s="43">
        <f t="shared" si="9"/>
        <v>865.08428571428578</v>
      </c>
      <c r="X27" s="43">
        <f t="shared" si="10"/>
        <v>25</v>
      </c>
      <c r="Y27" s="43">
        <f t="shared" si="11"/>
        <v>841.08428571428578</v>
      </c>
    </row>
    <row r="28" spans="2:25">
      <c r="B28" s="26">
        <v>27</v>
      </c>
      <c r="C28" s="27">
        <v>1.08</v>
      </c>
      <c r="D28" s="27" t="s">
        <v>81</v>
      </c>
      <c r="F28" s="43">
        <f>Leger1!E32</f>
        <v>26</v>
      </c>
      <c r="G28" s="43">
        <f>Leger1!F32</f>
        <v>7132</v>
      </c>
      <c r="H28" s="42" t="str">
        <f>PROPER(Leger1!G32)</f>
        <v>Tio Ardinata</v>
      </c>
      <c r="I28" s="43">
        <f>Leger1!BB32</f>
        <v>858.69999999999993</v>
      </c>
      <c r="J28" s="43">
        <f>Leger1!BD32</f>
        <v>27</v>
      </c>
      <c r="K28" s="686">
        <f>IF(F28="","",IFERROR((I28+COUNTIF($J$3:J28,J28)),""))</f>
        <v>859.69999999999993</v>
      </c>
      <c r="L28" s="685">
        <f t="shared" si="0"/>
        <v>832.69999999999993</v>
      </c>
      <c r="M28" s="43">
        <f t="shared" si="1"/>
        <v>26</v>
      </c>
      <c r="N28" s="43">
        <f t="shared" si="2"/>
        <v>832.69999999999993</v>
      </c>
      <c r="O28" s="43">
        <f t="shared" si="3"/>
        <v>27</v>
      </c>
      <c r="P28" s="42" t="str">
        <f t="shared" si="4"/>
        <v>Tio Ardinata</v>
      </c>
      <c r="Q28" s="686">
        <f t="shared" si="5"/>
        <v>7132</v>
      </c>
      <c r="R28" s="43">
        <f t="shared" si="6"/>
        <v>858.69999999999993</v>
      </c>
      <c r="T28" s="43">
        <f t="shared" si="7"/>
        <v>26</v>
      </c>
      <c r="U28" s="42" t="str">
        <f t="shared" si="12"/>
        <v>Muhammad Jaupanto</v>
      </c>
      <c r="V28" s="43">
        <f t="shared" si="8"/>
        <v>7108</v>
      </c>
      <c r="W28" s="43">
        <f t="shared" si="9"/>
        <v>859.05</v>
      </c>
      <c r="X28" s="43">
        <f t="shared" si="10"/>
        <v>26</v>
      </c>
      <c r="Y28" s="43">
        <f t="shared" si="11"/>
        <v>834.05</v>
      </c>
    </row>
    <row r="29" spans="2:25">
      <c r="B29" s="26">
        <v>28</v>
      </c>
      <c r="C29" s="27">
        <v>1.1200000000000001</v>
      </c>
      <c r="D29" s="27" t="s">
        <v>81</v>
      </c>
      <c r="F29" s="43">
        <f>Leger1!E33</f>
        <v>27</v>
      </c>
      <c r="G29" s="43">
        <f>Leger1!F33</f>
        <v>7133</v>
      </c>
      <c r="H29" s="42" t="str">
        <f>PROPER(Leger1!G33)</f>
        <v>Tutik Dillayanti</v>
      </c>
      <c r="I29" s="43">
        <f>Leger1!BB33</f>
        <v>871.68857142857144</v>
      </c>
      <c r="J29" s="43">
        <f>Leger1!BD33</f>
        <v>23</v>
      </c>
      <c r="K29" s="686">
        <f>IF(F29="","",IFERROR((I29+COUNTIF($J$3:J29,J29)),""))</f>
        <v>872.68857142857144</v>
      </c>
      <c r="L29" s="685">
        <f t="shared" si="0"/>
        <v>849.68857142857144</v>
      </c>
      <c r="M29" s="43">
        <f t="shared" si="1"/>
        <v>27</v>
      </c>
      <c r="N29" s="43">
        <f t="shared" si="2"/>
        <v>849.68857142857144</v>
      </c>
      <c r="O29" s="43">
        <f t="shared" si="3"/>
        <v>23</v>
      </c>
      <c r="P29" s="42" t="str">
        <f t="shared" si="4"/>
        <v>Tutik Dillayanti</v>
      </c>
      <c r="Q29" s="686">
        <f t="shared" si="5"/>
        <v>7133</v>
      </c>
      <c r="R29" s="43">
        <f t="shared" si="6"/>
        <v>871.68857142857144</v>
      </c>
      <c r="T29" s="43">
        <f t="shared" si="7"/>
        <v>27</v>
      </c>
      <c r="U29" s="42" t="str">
        <f t="shared" si="12"/>
        <v>Tio Ardinata</v>
      </c>
      <c r="V29" s="43">
        <f t="shared" si="8"/>
        <v>7132</v>
      </c>
      <c r="W29" s="43">
        <f t="shared" si="9"/>
        <v>858.69999999999993</v>
      </c>
      <c r="X29" s="43">
        <f t="shared" si="10"/>
        <v>27</v>
      </c>
      <c r="Y29" s="43">
        <f t="shared" si="11"/>
        <v>832.69999999999993</v>
      </c>
    </row>
    <row r="30" spans="2:25">
      <c r="B30" s="26">
        <v>29</v>
      </c>
      <c r="C30" s="27">
        <v>1.1599999999999999</v>
      </c>
      <c r="D30" s="27" t="s">
        <v>81</v>
      </c>
      <c r="F30" s="43">
        <f>Leger1!E34</f>
        <v>28</v>
      </c>
      <c r="G30" s="43">
        <f>Leger1!F34</f>
        <v>7142</v>
      </c>
      <c r="H30" s="42" t="str">
        <f>PROPER(Leger1!G34)</f>
        <v>I Gede Nyoman Bagiyasa</v>
      </c>
      <c r="I30" s="43">
        <f>Leger1!BB34</f>
        <v>865.08428571428578</v>
      </c>
      <c r="J30" s="43">
        <f>Leger1!BD34</f>
        <v>25</v>
      </c>
      <c r="K30" s="686">
        <f>IF(F30="","",IFERROR((I30+COUNTIF($J$3:J30,J30)),""))</f>
        <v>866.08428571428578</v>
      </c>
      <c r="L30" s="685">
        <f t="shared" si="0"/>
        <v>841.08428571428578</v>
      </c>
      <c r="M30" s="43">
        <f t="shared" si="1"/>
        <v>28</v>
      </c>
      <c r="N30" s="43">
        <f t="shared" si="2"/>
        <v>841.08428571428578</v>
      </c>
      <c r="O30" s="43">
        <f t="shared" si="3"/>
        <v>25</v>
      </c>
      <c r="P30" s="42" t="str">
        <f t="shared" si="4"/>
        <v>I Gede Nyoman Bagiyasa</v>
      </c>
      <c r="Q30" s="686">
        <f t="shared" si="5"/>
        <v>7142</v>
      </c>
      <c r="R30" s="43">
        <f t="shared" si="6"/>
        <v>865.08428571428578</v>
      </c>
      <c r="T30" s="43">
        <f t="shared" si="7"/>
        <v>28</v>
      </c>
      <c r="U30" s="42" t="str">
        <f t="shared" si="12"/>
        <v>Sofyan Romansyah</v>
      </c>
      <c r="V30" s="43">
        <f t="shared" si="8"/>
        <v>7130</v>
      </c>
      <c r="W30" s="43">
        <f t="shared" si="9"/>
        <v>848.32857142857131</v>
      </c>
      <c r="X30" s="43">
        <f t="shared" si="10"/>
        <v>28</v>
      </c>
      <c r="Y30" s="43">
        <f t="shared" si="11"/>
        <v>821.32857142857131</v>
      </c>
    </row>
    <row r="31" spans="2:25">
      <c r="B31" s="26">
        <v>30</v>
      </c>
      <c r="C31" s="27">
        <v>1.2</v>
      </c>
      <c r="D31" s="27" t="s">
        <v>81</v>
      </c>
      <c r="F31" s="43">
        <f>Leger1!E35</f>
        <v>29</v>
      </c>
      <c r="G31" s="43" t="str">
        <f>Leger1!F35</f>
        <v/>
      </c>
      <c r="H31" s="42" t="str">
        <f>PROPER(Leger1!G35)</f>
        <v>Melati Sabilla Rochmah</v>
      </c>
      <c r="I31" s="43" t="str">
        <f>Leger1!BB35</f>
        <v/>
      </c>
      <c r="J31" s="43" t="str">
        <f>Leger1!BD35</f>
        <v/>
      </c>
      <c r="K31" s="686" t="str">
        <f>IF(F31="","",IFERROR((I31+COUNTIF($J$3:J31,J31)),""))</f>
        <v/>
      </c>
      <c r="L31" s="685" t="str">
        <f t="shared" si="0"/>
        <v/>
      </c>
      <c r="M31" s="43">
        <f t="shared" si="1"/>
        <v>29</v>
      </c>
      <c r="N31" s="43" t="str">
        <f t="shared" si="2"/>
        <v/>
      </c>
      <c r="O31" s="43" t="str">
        <f t="shared" si="3"/>
        <v/>
      </c>
      <c r="P31" s="42" t="str">
        <f t="shared" si="4"/>
        <v/>
      </c>
      <c r="Q31" s="686" t="str">
        <f t="shared" si="5"/>
        <v/>
      </c>
      <c r="R31" s="43" t="str">
        <f t="shared" si="6"/>
        <v/>
      </c>
      <c r="T31" s="43">
        <f t="shared" si="7"/>
        <v>29</v>
      </c>
      <c r="U31" s="42" t="str">
        <f t="shared" si="12"/>
        <v/>
      </c>
      <c r="V31" s="43" t="str">
        <f t="shared" si="8"/>
        <v/>
      </c>
      <c r="W31" s="43" t="str">
        <f t="shared" si="9"/>
        <v/>
      </c>
      <c r="X31" s="43" t="str">
        <f t="shared" si="10"/>
        <v/>
      </c>
      <c r="Y31" s="43" t="str">
        <f t="shared" si="11"/>
        <v/>
      </c>
    </row>
    <row r="32" spans="2:25">
      <c r="B32" s="26">
        <v>31</v>
      </c>
      <c r="C32" s="27">
        <v>1.24</v>
      </c>
      <c r="D32" s="27" t="s">
        <v>81</v>
      </c>
      <c r="F32" s="43" t="str">
        <f>Leger1!E36</f>
        <v/>
      </c>
      <c r="G32" s="43" t="str">
        <f>Leger1!F36</f>
        <v/>
      </c>
      <c r="H32" s="42" t="str">
        <f>PROPER(Leger1!G36)</f>
        <v/>
      </c>
      <c r="I32" s="43" t="str">
        <f>Leger1!BB36</f>
        <v/>
      </c>
      <c r="J32" s="43" t="str">
        <f>Leger1!BD36</f>
        <v/>
      </c>
      <c r="K32" s="686" t="str">
        <f>IF(F32="","",IFERROR((I32+COUNTIF($J$3:J32,J32)),""))</f>
        <v/>
      </c>
      <c r="L32" s="685" t="str">
        <f t="shared" si="0"/>
        <v/>
      </c>
      <c r="M32" s="43" t="str">
        <f t="shared" si="1"/>
        <v/>
      </c>
      <c r="N32" s="43" t="str">
        <f t="shared" si="2"/>
        <v/>
      </c>
      <c r="O32" s="43" t="str">
        <f t="shared" si="3"/>
        <v/>
      </c>
      <c r="P32" s="42" t="str">
        <f t="shared" si="4"/>
        <v/>
      </c>
      <c r="Q32" s="686" t="str">
        <f t="shared" si="5"/>
        <v/>
      </c>
      <c r="R32" s="43" t="str">
        <f t="shared" si="6"/>
        <v/>
      </c>
      <c r="T32" s="43" t="str">
        <f t="shared" si="7"/>
        <v/>
      </c>
      <c r="U32" s="42" t="str">
        <f t="shared" si="12"/>
        <v/>
      </c>
      <c r="V32" s="43" t="str">
        <f t="shared" si="8"/>
        <v/>
      </c>
      <c r="W32" s="43" t="str">
        <f t="shared" si="9"/>
        <v/>
      </c>
      <c r="X32" s="43" t="str">
        <f t="shared" si="10"/>
        <v/>
      </c>
      <c r="Y32" s="43" t="str">
        <f t="shared" si="11"/>
        <v/>
      </c>
    </row>
    <row r="33" spans="2:25">
      <c r="B33" s="26">
        <v>32</v>
      </c>
      <c r="C33" s="27">
        <v>1.28</v>
      </c>
      <c r="D33" s="27" t="s">
        <v>81</v>
      </c>
      <c r="F33" s="43" t="str">
        <f>Leger1!E37</f>
        <v/>
      </c>
      <c r="G33" s="43" t="str">
        <f>Leger1!F37</f>
        <v/>
      </c>
      <c r="H33" s="42" t="str">
        <f>PROPER(Leger1!G37)</f>
        <v/>
      </c>
      <c r="I33" s="43" t="str">
        <f>Leger1!BB37</f>
        <v/>
      </c>
      <c r="J33" s="43" t="str">
        <f>Leger1!BD37</f>
        <v/>
      </c>
      <c r="K33" s="686" t="str">
        <f>IF(F33="","",IFERROR((I33+COUNTIF($J$3:J33,J33)),""))</f>
        <v/>
      </c>
      <c r="L33" s="685" t="str">
        <f t="shared" si="0"/>
        <v/>
      </c>
      <c r="M33" s="43" t="str">
        <f t="shared" si="1"/>
        <v/>
      </c>
      <c r="N33" s="43" t="str">
        <f t="shared" si="2"/>
        <v/>
      </c>
      <c r="O33" s="43" t="str">
        <f t="shared" si="3"/>
        <v/>
      </c>
      <c r="P33" s="42" t="str">
        <f t="shared" si="4"/>
        <v/>
      </c>
      <c r="Q33" s="686" t="str">
        <f t="shared" si="5"/>
        <v/>
      </c>
      <c r="R33" s="43" t="str">
        <f t="shared" si="6"/>
        <v/>
      </c>
      <c r="T33" s="43" t="str">
        <f t="shared" si="7"/>
        <v/>
      </c>
      <c r="U33" s="42" t="str">
        <f t="shared" si="12"/>
        <v/>
      </c>
      <c r="V33" s="43" t="str">
        <f t="shared" si="8"/>
        <v/>
      </c>
      <c r="W33" s="43" t="str">
        <f t="shared" si="9"/>
        <v/>
      </c>
      <c r="X33" s="43" t="str">
        <f t="shared" si="10"/>
        <v/>
      </c>
      <c r="Y33" s="43" t="str">
        <f t="shared" si="11"/>
        <v/>
      </c>
    </row>
    <row r="34" spans="2:25">
      <c r="B34" s="26">
        <v>33</v>
      </c>
      <c r="C34" s="27">
        <v>1.32</v>
      </c>
      <c r="D34" s="27" t="s">
        <v>81</v>
      </c>
      <c r="F34" s="43" t="str">
        <f>Leger1!E38</f>
        <v/>
      </c>
      <c r="G34" s="43" t="str">
        <f>Leger1!F38</f>
        <v/>
      </c>
      <c r="H34" s="42" t="str">
        <f>PROPER(Leger1!G38)</f>
        <v/>
      </c>
      <c r="I34" s="43" t="str">
        <f>Leger1!BB38</f>
        <v/>
      </c>
      <c r="J34" s="43" t="str">
        <f>Leger1!BD38</f>
        <v/>
      </c>
      <c r="K34" s="686" t="str">
        <f>IF(F34="","",IFERROR((I34+COUNTIF($J$3:J34,J34)),""))</f>
        <v/>
      </c>
      <c r="L34" s="685" t="str">
        <f t="shared" si="0"/>
        <v/>
      </c>
      <c r="M34" s="43" t="str">
        <f t="shared" si="1"/>
        <v/>
      </c>
      <c r="N34" s="43" t="str">
        <f t="shared" si="2"/>
        <v/>
      </c>
      <c r="O34" s="43" t="str">
        <f t="shared" si="3"/>
        <v/>
      </c>
      <c r="P34" s="42" t="str">
        <f t="shared" si="4"/>
        <v/>
      </c>
      <c r="Q34" s="686" t="str">
        <f t="shared" si="5"/>
        <v/>
      </c>
      <c r="R34" s="43" t="str">
        <f t="shared" si="6"/>
        <v/>
      </c>
      <c r="T34" s="43" t="str">
        <f t="shared" si="7"/>
        <v/>
      </c>
      <c r="U34" s="42" t="str">
        <f t="shared" si="12"/>
        <v/>
      </c>
      <c r="V34" s="43" t="str">
        <f t="shared" si="8"/>
        <v/>
      </c>
      <c r="W34" s="43" t="str">
        <f t="shared" si="9"/>
        <v/>
      </c>
      <c r="X34" s="43" t="str">
        <f t="shared" si="10"/>
        <v/>
      </c>
      <c r="Y34" s="43" t="str">
        <f t="shared" si="11"/>
        <v/>
      </c>
    </row>
    <row r="35" spans="2:25">
      <c r="B35" s="26">
        <v>34</v>
      </c>
      <c r="C35" s="27">
        <v>1.36</v>
      </c>
      <c r="D35" s="27" t="s">
        <v>81</v>
      </c>
      <c r="F35" s="43" t="str">
        <f>Leger1!E39</f>
        <v/>
      </c>
      <c r="G35" s="43" t="str">
        <f>Leger1!F39</f>
        <v/>
      </c>
      <c r="H35" s="42" t="str">
        <f>PROPER(Leger1!G39)</f>
        <v/>
      </c>
      <c r="I35" s="43" t="str">
        <f>Leger1!BB39</f>
        <v/>
      </c>
      <c r="J35" s="43" t="str">
        <f>Leger1!BD39</f>
        <v/>
      </c>
      <c r="K35" s="686" t="str">
        <f>IF(F35="","",IFERROR((I35+COUNTIF($J$3:J35,J35)),""))</f>
        <v/>
      </c>
      <c r="L35" s="685" t="str">
        <f t="shared" si="0"/>
        <v/>
      </c>
      <c r="M35" s="43" t="str">
        <f t="shared" si="1"/>
        <v/>
      </c>
      <c r="N35" s="43" t="str">
        <f t="shared" si="2"/>
        <v/>
      </c>
      <c r="O35" s="43" t="str">
        <f t="shared" si="3"/>
        <v/>
      </c>
      <c r="P35" s="42" t="str">
        <f t="shared" si="4"/>
        <v/>
      </c>
      <c r="Q35" s="686" t="str">
        <f t="shared" si="5"/>
        <v/>
      </c>
      <c r="R35" s="43" t="str">
        <f t="shared" si="6"/>
        <v/>
      </c>
      <c r="T35" s="43" t="str">
        <f t="shared" si="7"/>
        <v/>
      </c>
      <c r="U35" s="42" t="str">
        <f t="shared" si="12"/>
        <v/>
      </c>
      <c r="V35" s="43" t="str">
        <f t="shared" si="8"/>
        <v/>
      </c>
      <c r="W35" s="43" t="str">
        <f t="shared" si="9"/>
        <v/>
      </c>
      <c r="X35" s="43" t="str">
        <f t="shared" si="10"/>
        <v/>
      </c>
      <c r="Y35" s="43" t="str">
        <f t="shared" si="11"/>
        <v/>
      </c>
    </row>
    <row r="36" spans="2:25">
      <c r="B36" s="26">
        <v>35</v>
      </c>
      <c r="C36" s="27">
        <v>1.4</v>
      </c>
      <c r="D36" s="27" t="s">
        <v>81</v>
      </c>
      <c r="F36" s="43" t="str">
        <f>Leger1!E40</f>
        <v/>
      </c>
      <c r="G36" s="43" t="str">
        <f>Leger1!F40</f>
        <v/>
      </c>
      <c r="H36" s="42" t="str">
        <f>PROPER(Leger1!G40)</f>
        <v/>
      </c>
      <c r="I36" s="43" t="str">
        <f>Leger1!BB40</f>
        <v/>
      </c>
      <c r="J36" s="43" t="str">
        <f>Leger1!BD40</f>
        <v/>
      </c>
      <c r="K36" s="686" t="str">
        <f>IF(F36="","",IFERROR((I36+COUNTIF($J$3:J36,J36)),""))</f>
        <v/>
      </c>
      <c r="L36" s="685" t="str">
        <f t="shared" si="0"/>
        <v/>
      </c>
      <c r="M36" s="43" t="str">
        <f t="shared" si="1"/>
        <v/>
      </c>
      <c r="N36" s="43" t="str">
        <f t="shared" si="2"/>
        <v/>
      </c>
      <c r="O36" s="43" t="str">
        <f t="shared" si="3"/>
        <v/>
      </c>
      <c r="P36" s="42" t="str">
        <f t="shared" si="4"/>
        <v/>
      </c>
      <c r="Q36" s="686" t="str">
        <f t="shared" si="5"/>
        <v/>
      </c>
      <c r="R36" s="43" t="str">
        <f t="shared" si="6"/>
        <v/>
      </c>
      <c r="T36" s="43" t="str">
        <f t="shared" si="7"/>
        <v/>
      </c>
      <c r="U36" s="42" t="str">
        <f t="shared" si="12"/>
        <v/>
      </c>
      <c r="V36" s="43" t="str">
        <f t="shared" si="8"/>
        <v/>
      </c>
      <c r="W36" s="43" t="str">
        <f t="shared" si="9"/>
        <v/>
      </c>
      <c r="X36" s="43" t="str">
        <f t="shared" si="10"/>
        <v/>
      </c>
      <c r="Y36" s="43" t="str">
        <f t="shared" si="11"/>
        <v/>
      </c>
    </row>
    <row r="37" spans="2:25">
      <c r="B37" s="26">
        <v>36</v>
      </c>
      <c r="C37" s="27">
        <v>1.44</v>
      </c>
      <c r="D37" s="27" t="s">
        <v>81</v>
      </c>
      <c r="F37" s="43" t="str">
        <f>Leger1!E41</f>
        <v/>
      </c>
      <c r="G37" s="43" t="str">
        <f>Leger1!F41</f>
        <v/>
      </c>
      <c r="H37" s="42" t="str">
        <f>PROPER(Leger1!G41)</f>
        <v/>
      </c>
      <c r="I37" s="43" t="str">
        <f>Leger1!BB41</f>
        <v/>
      </c>
      <c r="J37" s="43" t="str">
        <f>Leger1!BD41</f>
        <v/>
      </c>
      <c r="K37" s="686" t="str">
        <f>IF(F37="","",IFERROR((I37+COUNTIF($J$3:J37,J37)),""))</f>
        <v/>
      </c>
      <c r="L37" s="685" t="str">
        <f t="shared" si="0"/>
        <v/>
      </c>
      <c r="M37" s="43" t="str">
        <f t="shared" si="1"/>
        <v/>
      </c>
      <c r="N37" s="43" t="str">
        <f t="shared" si="2"/>
        <v/>
      </c>
      <c r="O37" s="43" t="str">
        <f t="shared" si="3"/>
        <v/>
      </c>
      <c r="P37" s="42" t="str">
        <f t="shared" si="4"/>
        <v/>
      </c>
      <c r="Q37" s="686" t="str">
        <f t="shared" si="5"/>
        <v/>
      </c>
      <c r="R37" s="43" t="str">
        <f t="shared" si="6"/>
        <v/>
      </c>
      <c r="T37" s="43" t="str">
        <f t="shared" si="7"/>
        <v/>
      </c>
      <c r="U37" s="42" t="str">
        <f t="shared" si="12"/>
        <v/>
      </c>
      <c r="V37" s="43" t="str">
        <f t="shared" si="8"/>
        <v/>
      </c>
      <c r="W37" s="43" t="str">
        <f t="shared" si="9"/>
        <v/>
      </c>
      <c r="X37" s="43" t="str">
        <f t="shared" si="10"/>
        <v/>
      </c>
      <c r="Y37" s="43" t="str">
        <f t="shared" si="11"/>
        <v/>
      </c>
    </row>
    <row r="38" spans="2:25">
      <c r="B38" s="26">
        <v>37</v>
      </c>
      <c r="C38" s="27">
        <v>1.48</v>
      </c>
      <c r="D38" s="27" t="s">
        <v>81</v>
      </c>
      <c r="F38" s="43" t="str">
        <f>Leger1!E42</f>
        <v/>
      </c>
      <c r="G38" s="43" t="str">
        <f>Leger1!F42</f>
        <v/>
      </c>
      <c r="H38" s="42" t="str">
        <f>PROPER(Leger1!G42)</f>
        <v/>
      </c>
      <c r="I38" s="43" t="str">
        <f>Leger1!BB42</f>
        <v/>
      </c>
      <c r="J38" s="43" t="str">
        <f>Leger1!BD42</f>
        <v/>
      </c>
      <c r="K38" s="686" t="str">
        <f>IF(F38="","",IFERROR((I38+COUNTIF($J$3:J38,J38)),""))</f>
        <v/>
      </c>
      <c r="L38" s="685" t="str">
        <f t="shared" si="0"/>
        <v/>
      </c>
      <c r="M38" s="43" t="str">
        <f t="shared" si="1"/>
        <v/>
      </c>
      <c r="N38" s="43" t="str">
        <f t="shared" si="2"/>
        <v/>
      </c>
      <c r="O38" s="43" t="str">
        <f t="shared" si="3"/>
        <v/>
      </c>
      <c r="P38" s="42" t="str">
        <f t="shared" si="4"/>
        <v/>
      </c>
      <c r="Q38" s="686" t="str">
        <f t="shared" si="5"/>
        <v/>
      </c>
      <c r="R38" s="43" t="str">
        <f t="shared" si="6"/>
        <v/>
      </c>
      <c r="T38" s="43" t="str">
        <f t="shared" si="7"/>
        <v/>
      </c>
      <c r="U38" s="42" t="str">
        <f t="shared" si="12"/>
        <v/>
      </c>
      <c r="V38" s="43" t="str">
        <f t="shared" si="8"/>
        <v/>
      </c>
      <c r="W38" s="43" t="str">
        <f t="shared" si="9"/>
        <v/>
      </c>
      <c r="X38" s="43" t="str">
        <f t="shared" si="10"/>
        <v/>
      </c>
      <c r="Y38" s="43" t="str">
        <f t="shared" si="11"/>
        <v/>
      </c>
    </row>
    <row r="39" spans="2:25">
      <c r="B39" s="26">
        <v>38</v>
      </c>
      <c r="C39" s="27">
        <v>1.52</v>
      </c>
      <c r="D39" s="27" t="s">
        <v>81</v>
      </c>
      <c r="F39" s="43" t="str">
        <f>Leger1!E43</f>
        <v/>
      </c>
      <c r="G39" s="43" t="str">
        <f>Leger1!F43</f>
        <v/>
      </c>
      <c r="H39" s="42" t="str">
        <f>PROPER(Leger1!G43)</f>
        <v/>
      </c>
      <c r="I39" s="43" t="str">
        <f>Leger1!BB43</f>
        <v/>
      </c>
      <c r="J39" s="43" t="str">
        <f>Leger1!BD43</f>
        <v/>
      </c>
      <c r="K39" s="686" t="str">
        <f>IF(F39="","",IFERROR((I39+COUNTIF($J$3:J39,J39)),""))</f>
        <v/>
      </c>
      <c r="L39" s="685" t="str">
        <f t="shared" si="0"/>
        <v/>
      </c>
      <c r="M39" s="43" t="str">
        <f t="shared" si="1"/>
        <v/>
      </c>
      <c r="N39" s="43" t="str">
        <f t="shared" si="2"/>
        <v/>
      </c>
      <c r="O39" s="43" t="str">
        <f t="shared" si="3"/>
        <v/>
      </c>
      <c r="P39" s="42" t="str">
        <f t="shared" si="4"/>
        <v/>
      </c>
      <c r="Q39" s="686" t="str">
        <f t="shared" si="5"/>
        <v/>
      </c>
      <c r="R39" s="43" t="str">
        <f t="shared" si="6"/>
        <v/>
      </c>
      <c r="T39" s="43" t="str">
        <f t="shared" si="7"/>
        <v/>
      </c>
      <c r="U39" s="42" t="str">
        <f t="shared" si="12"/>
        <v/>
      </c>
      <c r="V39" s="43" t="str">
        <f t="shared" si="8"/>
        <v/>
      </c>
      <c r="W39" s="43" t="str">
        <f t="shared" si="9"/>
        <v/>
      </c>
      <c r="X39" s="43" t="str">
        <f t="shared" si="10"/>
        <v/>
      </c>
      <c r="Y39" s="43" t="str">
        <f t="shared" si="11"/>
        <v/>
      </c>
    </row>
    <row r="40" spans="2:25">
      <c r="B40" s="26">
        <v>39</v>
      </c>
      <c r="C40" s="27">
        <v>1.56</v>
      </c>
      <c r="D40" s="27" t="s">
        <v>81</v>
      </c>
      <c r="F40" s="43" t="str">
        <f>Leger1!E44</f>
        <v/>
      </c>
      <c r="G40" s="43" t="str">
        <f>Leger1!F44</f>
        <v/>
      </c>
      <c r="H40" s="42" t="str">
        <f>PROPER(Leger1!G44)</f>
        <v/>
      </c>
      <c r="I40" s="43" t="str">
        <f>Leger1!BB44</f>
        <v/>
      </c>
      <c r="J40" s="43" t="str">
        <f>Leger1!BD44</f>
        <v/>
      </c>
      <c r="K40" s="686" t="str">
        <f>IF(F40="","",IFERROR((I40+COUNTIF($J$3:J40,J40)),""))</f>
        <v/>
      </c>
      <c r="L40" s="685" t="str">
        <f t="shared" si="0"/>
        <v/>
      </c>
      <c r="M40" s="43" t="str">
        <f t="shared" si="1"/>
        <v/>
      </c>
      <c r="N40" s="43" t="str">
        <f t="shared" si="2"/>
        <v/>
      </c>
      <c r="O40" s="43" t="str">
        <f t="shared" si="3"/>
        <v/>
      </c>
      <c r="P40" s="42" t="str">
        <f t="shared" si="4"/>
        <v/>
      </c>
      <c r="Q40" s="686" t="str">
        <f t="shared" si="5"/>
        <v/>
      </c>
      <c r="R40" s="43" t="str">
        <f t="shared" si="6"/>
        <v/>
      </c>
      <c r="T40" s="43" t="str">
        <f t="shared" si="7"/>
        <v/>
      </c>
      <c r="U40" s="42" t="str">
        <f t="shared" si="12"/>
        <v/>
      </c>
      <c r="V40" s="43" t="str">
        <f t="shared" si="8"/>
        <v/>
      </c>
      <c r="W40" s="43" t="str">
        <f t="shared" si="9"/>
        <v/>
      </c>
      <c r="X40" s="43" t="str">
        <f t="shared" si="10"/>
        <v/>
      </c>
      <c r="Y40" s="43" t="str">
        <f t="shared" si="11"/>
        <v/>
      </c>
    </row>
    <row r="41" spans="2:25">
      <c r="B41" s="26">
        <v>40</v>
      </c>
      <c r="C41" s="27">
        <v>1.6</v>
      </c>
      <c r="D41" s="27" t="s">
        <v>81</v>
      </c>
      <c r="F41" s="43" t="str">
        <f>Leger1!E45</f>
        <v/>
      </c>
      <c r="G41" s="43" t="str">
        <f>Leger1!F45</f>
        <v/>
      </c>
      <c r="H41" s="42" t="str">
        <f>PROPER(Leger1!G45)</f>
        <v/>
      </c>
      <c r="I41" s="43" t="str">
        <f>Leger1!BB45</f>
        <v/>
      </c>
      <c r="J41" s="43" t="str">
        <f>Leger1!BD45</f>
        <v/>
      </c>
      <c r="K41" s="686" t="str">
        <f>IF(F41="","",IFERROR((I41+COUNTIF($J$3:J41,J41)),""))</f>
        <v/>
      </c>
      <c r="L41" s="685" t="str">
        <f t="shared" si="0"/>
        <v/>
      </c>
      <c r="M41" s="43" t="str">
        <f t="shared" si="1"/>
        <v/>
      </c>
      <c r="N41" s="43" t="str">
        <f t="shared" si="2"/>
        <v/>
      </c>
      <c r="O41" s="43" t="str">
        <f t="shared" si="3"/>
        <v/>
      </c>
      <c r="P41" s="42" t="str">
        <f t="shared" si="4"/>
        <v/>
      </c>
      <c r="Q41" s="686" t="str">
        <f t="shared" si="5"/>
        <v/>
      </c>
      <c r="R41" s="43" t="str">
        <f t="shared" si="6"/>
        <v/>
      </c>
      <c r="T41" s="43" t="str">
        <f t="shared" si="7"/>
        <v/>
      </c>
      <c r="U41" s="42" t="str">
        <f t="shared" si="12"/>
        <v/>
      </c>
      <c r="V41" s="43" t="str">
        <f t="shared" si="8"/>
        <v/>
      </c>
      <c r="W41" s="43" t="str">
        <f t="shared" si="9"/>
        <v/>
      </c>
      <c r="X41" s="43" t="str">
        <f t="shared" si="10"/>
        <v/>
      </c>
      <c r="Y41" s="43" t="str">
        <f t="shared" si="11"/>
        <v/>
      </c>
    </row>
    <row r="42" spans="2:25">
      <c r="B42" s="26">
        <v>41</v>
      </c>
      <c r="C42" s="27">
        <v>1.64</v>
      </c>
      <c r="D42" s="27" t="s">
        <v>81</v>
      </c>
      <c r="F42" s="43" t="str">
        <f>Leger1!E46</f>
        <v/>
      </c>
      <c r="G42" s="43" t="str">
        <f>Leger1!F46</f>
        <v/>
      </c>
      <c r="H42" s="42" t="str">
        <f>PROPER(Leger1!G46)</f>
        <v/>
      </c>
      <c r="I42" s="43" t="str">
        <f>Leger1!BB46</f>
        <v/>
      </c>
      <c r="J42" s="43" t="str">
        <f>Leger1!BD46</f>
        <v/>
      </c>
      <c r="K42" s="686" t="str">
        <f>IF(F42="","",IFERROR((I42+COUNTIF($J$3:J42,J42)),""))</f>
        <v/>
      </c>
      <c r="L42" s="685" t="str">
        <f t="shared" si="0"/>
        <v/>
      </c>
      <c r="M42" s="43" t="str">
        <f t="shared" si="1"/>
        <v/>
      </c>
      <c r="N42" s="43" t="str">
        <f>IF(F42="","",K42)</f>
        <v/>
      </c>
      <c r="O42" s="43" t="str">
        <f t="shared" si="3"/>
        <v/>
      </c>
      <c r="P42" s="42" t="str">
        <f t="shared" si="4"/>
        <v/>
      </c>
      <c r="Q42" s="686" t="str">
        <f t="shared" si="5"/>
        <v/>
      </c>
      <c r="R42" s="43" t="str">
        <f>I42</f>
        <v/>
      </c>
      <c r="T42" s="43" t="str">
        <f t="shared" si="7"/>
        <v/>
      </c>
      <c r="U42" s="42" t="str">
        <f>IF(M42="","",VLOOKUP(Y42,$N$3:$R$42,3,FALSE))</f>
        <v/>
      </c>
      <c r="V42" s="43" t="str">
        <f t="shared" si="8"/>
        <v/>
      </c>
      <c r="W42" s="43" t="str">
        <f>IF(M42="","",VLOOKUP(Y42,$N$3:$R$42,5,FALSE))</f>
        <v/>
      </c>
      <c r="X42" s="43" t="str">
        <f>IF(M42="","",VLOOKUP(Y42,$N$3:$R$42,2,FALSE))</f>
        <v/>
      </c>
      <c r="Y42" s="43" t="str">
        <f>IF(L42="","",LARGE($L$3:$L$42,T42))</f>
        <v/>
      </c>
    </row>
    <row r="43" spans="2:25">
      <c r="B43" s="26">
        <v>42</v>
      </c>
      <c r="C43" s="27">
        <v>1.68</v>
      </c>
      <c r="D43" s="27" t="s">
        <v>81</v>
      </c>
    </row>
    <row r="44" spans="2:25">
      <c r="B44" s="26">
        <v>43</v>
      </c>
      <c r="C44" s="27">
        <v>1.72</v>
      </c>
      <c r="D44" s="27" t="s">
        <v>81</v>
      </c>
      <c r="T44" s="314"/>
      <c r="U44" s="314"/>
      <c r="V44" s="314"/>
      <c r="W44" s="315"/>
    </row>
    <row r="45" spans="2:25">
      <c r="B45" s="26">
        <v>44</v>
      </c>
      <c r="C45" s="27">
        <v>1.76</v>
      </c>
      <c r="D45" s="27" t="s">
        <v>81</v>
      </c>
      <c r="G45" s="311" t="s">
        <v>140</v>
      </c>
      <c r="H45" s="311" t="s">
        <v>239</v>
      </c>
      <c r="I45" s="311" t="s">
        <v>240</v>
      </c>
      <c r="M45" s="156">
        <v>1</v>
      </c>
      <c r="N45" s="157" t="s">
        <v>257</v>
      </c>
      <c r="O45" s="42"/>
      <c r="P45" s="42" t="str">
        <f>M45&amp;" ("&amp;N45&amp;")"</f>
        <v>1 (Satu)</v>
      </c>
      <c r="T45" s="314"/>
      <c r="U45" s="314"/>
      <c r="V45" s="314"/>
      <c r="W45" s="315"/>
    </row>
    <row r="46" spans="2:25">
      <c r="B46" s="26">
        <v>45</v>
      </c>
      <c r="C46" s="27">
        <v>1.8</v>
      </c>
      <c r="D46" s="27" t="s">
        <v>81</v>
      </c>
      <c r="G46" s="43">
        <v>1</v>
      </c>
      <c r="H46" s="42" t="s">
        <v>241</v>
      </c>
      <c r="I46" s="42">
        <v>2015</v>
      </c>
      <c r="M46" s="156">
        <v>2</v>
      </c>
      <c r="N46" s="157" t="s">
        <v>258</v>
      </c>
      <c r="O46" s="42"/>
      <c r="P46" s="42" t="str">
        <f t="shared" ref="P46:P64" si="13">M46&amp;" ("&amp;N46&amp;")"</f>
        <v>2 (Dua)</v>
      </c>
      <c r="T46" s="314"/>
      <c r="U46" s="314"/>
      <c r="V46" s="314"/>
      <c r="W46" s="315"/>
      <c r="Y46" s="44"/>
    </row>
    <row r="47" spans="2:25">
      <c r="B47" s="26">
        <v>46</v>
      </c>
      <c r="C47" s="27">
        <v>1.84</v>
      </c>
      <c r="D47" s="27" t="s">
        <v>81</v>
      </c>
      <c r="G47" s="43">
        <v>2</v>
      </c>
      <c r="H47" s="42" t="s">
        <v>242</v>
      </c>
      <c r="I47" s="42">
        <v>2016</v>
      </c>
      <c r="M47" s="156">
        <v>3</v>
      </c>
      <c r="N47" s="157" t="s">
        <v>259</v>
      </c>
      <c r="O47" s="42"/>
      <c r="P47" s="42" t="str">
        <f t="shared" si="13"/>
        <v>3 (Tiga)</v>
      </c>
      <c r="T47" s="314"/>
      <c r="U47" s="314"/>
      <c r="V47" s="314"/>
      <c r="W47" s="315"/>
    </row>
    <row r="48" spans="2:25">
      <c r="B48" s="26">
        <v>47</v>
      </c>
      <c r="C48" s="27">
        <v>1.88</v>
      </c>
      <c r="D48" s="27" t="s">
        <v>81</v>
      </c>
      <c r="G48" s="43">
        <v>3</v>
      </c>
      <c r="H48" s="42" t="s">
        <v>243</v>
      </c>
      <c r="I48" s="42">
        <v>2017</v>
      </c>
      <c r="M48" s="156">
        <v>4</v>
      </c>
      <c r="N48" s="157" t="s">
        <v>260</v>
      </c>
      <c r="O48" s="42"/>
      <c r="P48" s="42" t="str">
        <f t="shared" si="13"/>
        <v>4 (Empat)</v>
      </c>
      <c r="T48" s="314"/>
      <c r="U48" s="314"/>
      <c r="V48" s="314"/>
      <c r="W48" s="315"/>
    </row>
    <row r="49" spans="2:23">
      <c r="B49" s="26">
        <v>48</v>
      </c>
      <c r="C49" s="27">
        <v>1.92</v>
      </c>
      <c r="D49" s="27" t="s">
        <v>81</v>
      </c>
      <c r="G49" s="43">
        <v>4</v>
      </c>
      <c r="H49" s="42" t="s">
        <v>244</v>
      </c>
      <c r="I49" s="42">
        <v>2018</v>
      </c>
      <c r="M49" s="156">
        <v>5</v>
      </c>
      <c r="N49" s="157" t="s">
        <v>261</v>
      </c>
      <c r="O49" s="42"/>
      <c r="P49" s="42" t="str">
        <f t="shared" si="13"/>
        <v>5 (Lima)</v>
      </c>
      <c r="T49" s="1183"/>
      <c r="U49" s="1183"/>
      <c r="V49" s="1183"/>
      <c r="W49" s="315"/>
    </row>
    <row r="50" spans="2:23">
      <c r="B50" s="26">
        <v>49</v>
      </c>
      <c r="C50" s="27">
        <v>1.96</v>
      </c>
      <c r="D50" s="27" t="s">
        <v>81</v>
      </c>
      <c r="G50" s="43">
        <v>5</v>
      </c>
      <c r="H50" s="42" t="s">
        <v>245</v>
      </c>
      <c r="I50" s="42">
        <v>2019</v>
      </c>
      <c r="M50" s="156">
        <v>6</v>
      </c>
      <c r="N50" s="157" t="s">
        <v>262</v>
      </c>
      <c r="O50" s="42"/>
      <c r="P50" s="42" t="str">
        <f t="shared" si="13"/>
        <v>6 (Enam )</v>
      </c>
      <c r="T50" s="1183"/>
      <c r="U50" s="1183"/>
      <c r="V50" s="1183"/>
      <c r="W50" s="315"/>
    </row>
    <row r="51" spans="2:23">
      <c r="B51" s="26">
        <v>50</v>
      </c>
      <c r="C51" s="27">
        <v>2</v>
      </c>
      <c r="D51" s="27" t="s">
        <v>81</v>
      </c>
      <c r="G51" s="43">
        <v>6</v>
      </c>
      <c r="H51" s="42" t="s">
        <v>246</v>
      </c>
      <c r="I51" s="42">
        <v>2020</v>
      </c>
      <c r="M51" s="156">
        <v>7</v>
      </c>
      <c r="N51" s="157" t="s">
        <v>263</v>
      </c>
      <c r="O51" s="42"/>
      <c r="P51" s="42" t="str">
        <f t="shared" si="13"/>
        <v>7 (Tujuh)</v>
      </c>
    </row>
    <row r="52" spans="2:23">
      <c r="B52" s="26">
        <v>51</v>
      </c>
      <c r="C52" s="27">
        <v>2.04</v>
      </c>
      <c r="D52" s="27" t="s">
        <v>81</v>
      </c>
      <c r="G52" s="43">
        <v>7</v>
      </c>
      <c r="H52" s="42" t="s">
        <v>247</v>
      </c>
      <c r="I52" s="42">
        <v>2021</v>
      </c>
      <c r="M52" s="156">
        <v>8</v>
      </c>
      <c r="N52" s="157" t="s">
        <v>264</v>
      </c>
      <c r="O52" s="42"/>
      <c r="P52" s="42" t="str">
        <f t="shared" si="13"/>
        <v>8 (Delapan)</v>
      </c>
    </row>
    <row r="53" spans="2:23">
      <c r="B53" s="26">
        <v>52</v>
      </c>
      <c r="C53" s="27">
        <v>2.08</v>
      </c>
      <c r="D53" s="27" t="s">
        <v>81</v>
      </c>
      <c r="G53" s="43">
        <v>8</v>
      </c>
      <c r="H53" s="42" t="s">
        <v>248</v>
      </c>
      <c r="I53" s="42">
        <v>2022</v>
      </c>
      <c r="M53" s="156">
        <v>9</v>
      </c>
      <c r="N53" s="157" t="s">
        <v>265</v>
      </c>
      <c r="O53" s="42"/>
      <c r="P53" s="42" t="str">
        <f t="shared" si="13"/>
        <v>9 (Sembilan)</v>
      </c>
    </row>
    <row r="54" spans="2:23">
      <c r="B54" s="26">
        <v>53</v>
      </c>
      <c r="C54" s="27">
        <v>2.12</v>
      </c>
      <c r="D54" s="27" t="s">
        <v>81</v>
      </c>
      <c r="G54" s="43">
        <v>9</v>
      </c>
      <c r="H54" s="42" t="s">
        <v>249</v>
      </c>
      <c r="I54" s="42">
        <v>2023</v>
      </c>
      <c r="M54" s="156">
        <v>10</v>
      </c>
      <c r="N54" s="157" t="s">
        <v>266</v>
      </c>
      <c r="O54" s="42"/>
      <c r="P54" s="42" t="str">
        <f t="shared" si="13"/>
        <v>10 (Sepuluh)</v>
      </c>
    </row>
    <row r="55" spans="2:23">
      <c r="B55" s="26">
        <v>54</v>
      </c>
      <c r="C55" s="27">
        <v>2.16</v>
      </c>
      <c r="D55" s="27" t="s">
        <v>81</v>
      </c>
      <c r="G55" s="43">
        <v>10</v>
      </c>
      <c r="H55" s="42" t="s">
        <v>250</v>
      </c>
      <c r="I55" s="42">
        <v>2024</v>
      </c>
      <c r="M55" s="156">
        <v>11</v>
      </c>
      <c r="N55" s="157" t="s">
        <v>267</v>
      </c>
      <c r="O55" s="42"/>
      <c r="P55" s="42" t="str">
        <f t="shared" si="13"/>
        <v>11 (Sebelas)</v>
      </c>
    </row>
    <row r="56" spans="2:23">
      <c r="B56" s="26">
        <v>55</v>
      </c>
      <c r="C56" s="27">
        <v>2.2000000000000002</v>
      </c>
      <c r="D56" s="27" t="s">
        <v>81</v>
      </c>
      <c r="G56" s="43">
        <v>11</v>
      </c>
      <c r="H56" s="42" t="s">
        <v>251</v>
      </c>
      <c r="I56" s="42">
        <v>2025</v>
      </c>
      <c r="M56" s="156">
        <v>12</v>
      </c>
      <c r="N56" s="157" t="s">
        <v>268</v>
      </c>
      <c r="O56" s="42"/>
      <c r="P56" s="42" t="str">
        <f t="shared" si="13"/>
        <v>12 (Dua Belas)</v>
      </c>
    </row>
    <row r="57" spans="2:23">
      <c r="B57" s="26">
        <v>56</v>
      </c>
      <c r="C57" s="27">
        <v>2.2400000000000002</v>
      </c>
      <c r="D57" s="27" t="s">
        <v>81</v>
      </c>
      <c r="G57" s="43">
        <v>12</v>
      </c>
      <c r="H57" s="42" t="s">
        <v>252</v>
      </c>
      <c r="I57" s="42">
        <v>2026</v>
      </c>
      <c r="M57" s="156">
        <v>13</v>
      </c>
      <c r="N57" s="157" t="s">
        <v>269</v>
      </c>
      <c r="O57" s="42"/>
      <c r="P57" s="42" t="str">
        <f t="shared" si="13"/>
        <v>13 (Tiga Belas )</v>
      </c>
    </row>
    <row r="58" spans="2:23">
      <c r="B58" s="26">
        <v>57</v>
      </c>
      <c r="C58" s="27">
        <v>2.2799999999999998</v>
      </c>
      <c r="D58" s="27" t="s">
        <v>81</v>
      </c>
      <c r="G58" s="43">
        <v>13</v>
      </c>
      <c r="H58" s="42"/>
      <c r="I58" s="42">
        <v>2027</v>
      </c>
      <c r="M58" s="156">
        <v>14</v>
      </c>
      <c r="N58" s="157" t="s">
        <v>270</v>
      </c>
      <c r="O58" s="42"/>
      <c r="P58" s="42" t="str">
        <f t="shared" si="13"/>
        <v>14 (Empat Belas)</v>
      </c>
    </row>
    <row r="59" spans="2:23">
      <c r="B59" s="26">
        <v>58</v>
      </c>
      <c r="C59" s="27">
        <v>2.3199999999999998</v>
      </c>
      <c r="D59" s="27" t="s">
        <v>81</v>
      </c>
      <c r="G59" s="43">
        <v>14</v>
      </c>
      <c r="H59" s="42"/>
      <c r="I59" s="42">
        <v>2028</v>
      </c>
      <c r="M59" s="156">
        <v>15</v>
      </c>
      <c r="N59" s="157" t="s">
        <v>271</v>
      </c>
      <c r="O59" s="42"/>
      <c r="P59" s="42" t="str">
        <f t="shared" si="13"/>
        <v>15 (Lima Belas)</v>
      </c>
    </row>
    <row r="60" spans="2:23">
      <c r="B60" s="26">
        <v>59</v>
      </c>
      <c r="C60" s="27">
        <v>2.36</v>
      </c>
      <c r="D60" s="27" t="s">
        <v>81</v>
      </c>
      <c r="G60" s="43">
        <v>15</v>
      </c>
      <c r="H60" s="42"/>
      <c r="I60" s="42">
        <v>2029</v>
      </c>
      <c r="M60" s="156">
        <v>16</v>
      </c>
      <c r="N60" s="157" t="s">
        <v>272</v>
      </c>
      <c r="O60" s="42"/>
      <c r="P60" s="42" t="str">
        <f t="shared" si="13"/>
        <v>16 (Enam Belas)</v>
      </c>
    </row>
    <row r="61" spans="2:23">
      <c r="B61" s="26">
        <v>60</v>
      </c>
      <c r="C61" s="27">
        <v>2.4</v>
      </c>
      <c r="D61" s="27" t="s">
        <v>81</v>
      </c>
      <c r="G61" s="43">
        <v>16</v>
      </c>
      <c r="H61" s="42"/>
      <c r="I61" s="42">
        <v>2030</v>
      </c>
      <c r="M61" s="156">
        <v>17</v>
      </c>
      <c r="N61" s="157" t="s">
        <v>273</v>
      </c>
      <c r="O61" s="42"/>
      <c r="P61" s="42" t="str">
        <f t="shared" si="13"/>
        <v>17 (Tujuh Belas)</v>
      </c>
    </row>
    <row r="62" spans="2:23">
      <c r="B62" s="26">
        <v>61</v>
      </c>
      <c r="C62" s="27">
        <v>2.44</v>
      </c>
      <c r="D62" s="27" t="s">
        <v>81</v>
      </c>
      <c r="G62" s="43">
        <v>17</v>
      </c>
      <c r="H62" s="42"/>
      <c r="I62" s="42">
        <v>2031</v>
      </c>
      <c r="M62" s="156">
        <v>18</v>
      </c>
      <c r="N62" s="157" t="s">
        <v>274</v>
      </c>
      <c r="O62" s="42"/>
      <c r="P62" s="42" t="str">
        <f t="shared" si="13"/>
        <v>18 (Delapan Belas)</v>
      </c>
    </row>
    <row r="63" spans="2:23">
      <c r="B63" s="26">
        <v>62</v>
      </c>
      <c r="C63" s="27">
        <v>2.48</v>
      </c>
      <c r="D63" s="27" t="s">
        <v>81</v>
      </c>
      <c r="G63" s="43">
        <v>18</v>
      </c>
      <c r="H63" s="42"/>
      <c r="I63" s="42">
        <v>2032</v>
      </c>
      <c r="M63" s="156">
        <v>19</v>
      </c>
      <c r="N63" s="157" t="s">
        <v>275</v>
      </c>
      <c r="O63" s="42"/>
      <c r="P63" s="42" t="str">
        <f t="shared" si="13"/>
        <v>19 (Sembilan Belas)</v>
      </c>
    </row>
    <row r="64" spans="2:23">
      <c r="B64" s="26">
        <v>63</v>
      </c>
      <c r="C64" s="27">
        <v>2.52</v>
      </c>
      <c r="D64" s="27" t="s">
        <v>81</v>
      </c>
      <c r="G64" s="43">
        <v>19</v>
      </c>
      <c r="H64" s="42"/>
      <c r="I64" s="42">
        <v>2033</v>
      </c>
      <c r="M64" s="156">
        <v>20</v>
      </c>
      <c r="N64" s="157" t="s">
        <v>276</v>
      </c>
      <c r="O64" s="42"/>
      <c r="P64" s="42" t="str">
        <f t="shared" si="13"/>
        <v>20 (Dua Puluh)</v>
      </c>
    </row>
    <row r="65" spans="2:9">
      <c r="B65" s="26">
        <v>64</v>
      </c>
      <c r="C65" s="27">
        <v>2.56</v>
      </c>
      <c r="D65" s="27" t="s">
        <v>81</v>
      </c>
      <c r="G65" s="43">
        <v>20</v>
      </c>
      <c r="H65" s="42"/>
      <c r="I65" s="42">
        <v>2034</v>
      </c>
    </row>
    <row r="66" spans="2:9">
      <c r="B66" s="26">
        <v>65</v>
      </c>
      <c r="C66" s="27">
        <v>2.6</v>
      </c>
      <c r="D66" s="27" t="s">
        <v>82</v>
      </c>
      <c r="G66" s="43">
        <v>21</v>
      </c>
      <c r="H66" s="42"/>
      <c r="I66" s="42">
        <v>2035</v>
      </c>
    </row>
    <row r="67" spans="2:9">
      <c r="B67" s="26">
        <v>66</v>
      </c>
      <c r="C67" s="27">
        <v>2.64</v>
      </c>
      <c r="D67" s="27" t="s">
        <v>82</v>
      </c>
      <c r="G67" s="43">
        <v>22</v>
      </c>
      <c r="H67" s="42"/>
      <c r="I67" s="42">
        <v>2036</v>
      </c>
    </row>
    <row r="68" spans="2:9">
      <c r="B68" s="26">
        <v>67</v>
      </c>
      <c r="C68" s="27">
        <v>2.68</v>
      </c>
      <c r="D68" s="27" t="s">
        <v>82</v>
      </c>
      <c r="G68" s="43">
        <v>23</v>
      </c>
      <c r="H68" s="42"/>
      <c r="I68" s="42">
        <v>2037</v>
      </c>
    </row>
    <row r="69" spans="2:9">
      <c r="B69" s="26">
        <v>68</v>
      </c>
      <c r="C69" s="27">
        <v>2.72</v>
      </c>
      <c r="D69" s="27" t="s">
        <v>82</v>
      </c>
      <c r="G69" s="43">
        <v>24</v>
      </c>
      <c r="H69" s="42"/>
      <c r="I69" s="42">
        <v>2038</v>
      </c>
    </row>
    <row r="70" spans="2:9">
      <c r="B70" s="26">
        <v>69</v>
      </c>
      <c r="C70" s="27">
        <v>2.76</v>
      </c>
      <c r="D70" s="27" t="s">
        <v>82</v>
      </c>
      <c r="G70" s="43">
        <v>25</v>
      </c>
      <c r="H70" s="42"/>
      <c r="I70" s="42">
        <v>2039</v>
      </c>
    </row>
    <row r="71" spans="2:9">
      <c r="B71" s="26">
        <v>70</v>
      </c>
      <c r="C71" s="27">
        <v>2.8</v>
      </c>
      <c r="D71" s="27" t="s">
        <v>82</v>
      </c>
      <c r="G71" s="43">
        <v>26</v>
      </c>
      <c r="H71" s="42"/>
      <c r="I71" s="42">
        <v>2040</v>
      </c>
    </row>
    <row r="72" spans="2:9">
      <c r="B72" s="26">
        <v>71</v>
      </c>
      <c r="C72" s="27">
        <v>2.84</v>
      </c>
      <c r="D72" s="27" t="s">
        <v>82</v>
      </c>
      <c r="G72" s="43">
        <v>27</v>
      </c>
      <c r="H72" s="42"/>
      <c r="I72" s="42">
        <v>2041</v>
      </c>
    </row>
    <row r="73" spans="2:9">
      <c r="B73" s="26">
        <v>72</v>
      </c>
      <c r="C73" s="27">
        <v>2.88</v>
      </c>
      <c r="D73" s="27" t="s">
        <v>82</v>
      </c>
      <c r="G73" s="43">
        <v>28</v>
      </c>
      <c r="H73" s="42"/>
      <c r="I73" s="42">
        <v>2042</v>
      </c>
    </row>
    <row r="74" spans="2:9">
      <c r="B74" s="26">
        <v>73</v>
      </c>
      <c r="C74" s="27">
        <v>2.92</v>
      </c>
      <c r="D74" s="27" t="s">
        <v>82</v>
      </c>
      <c r="G74" s="43">
        <v>29</v>
      </c>
      <c r="H74" s="42"/>
      <c r="I74" s="42">
        <v>2043</v>
      </c>
    </row>
    <row r="75" spans="2:9">
      <c r="B75" s="26">
        <v>74</v>
      </c>
      <c r="C75" s="27">
        <v>2.96</v>
      </c>
      <c r="D75" s="27" t="s">
        <v>82</v>
      </c>
      <c r="G75" s="43">
        <v>30</v>
      </c>
      <c r="H75" s="42"/>
      <c r="I75" s="42">
        <v>2044</v>
      </c>
    </row>
    <row r="76" spans="2:9">
      <c r="B76" s="26">
        <v>75</v>
      </c>
      <c r="C76" s="27">
        <v>3</v>
      </c>
      <c r="D76" s="27" t="s">
        <v>82</v>
      </c>
      <c r="G76" s="43">
        <v>31</v>
      </c>
      <c r="H76" s="42"/>
      <c r="I76" s="42">
        <v>2045</v>
      </c>
    </row>
    <row r="77" spans="2:9">
      <c r="B77" s="26">
        <v>76</v>
      </c>
      <c r="C77" s="27">
        <v>3.04</v>
      </c>
      <c r="D77" s="27" t="s">
        <v>82</v>
      </c>
      <c r="G77" s="42"/>
      <c r="H77" s="42"/>
      <c r="I77" s="42">
        <v>2046</v>
      </c>
    </row>
    <row r="78" spans="2:9">
      <c r="B78" s="26">
        <v>77</v>
      </c>
      <c r="C78" s="27">
        <v>3.08</v>
      </c>
      <c r="D78" s="27" t="s">
        <v>83</v>
      </c>
      <c r="G78" s="42"/>
      <c r="H78" s="42"/>
      <c r="I78" s="42">
        <v>2047</v>
      </c>
    </row>
    <row r="79" spans="2:9">
      <c r="B79" s="26">
        <v>78</v>
      </c>
      <c r="C79" s="27">
        <v>3.12</v>
      </c>
      <c r="D79" s="27" t="s">
        <v>83</v>
      </c>
      <c r="G79" s="42"/>
      <c r="H79" s="42"/>
      <c r="I79" s="42">
        <v>2048</v>
      </c>
    </row>
    <row r="80" spans="2:9">
      <c r="B80" s="26">
        <v>79</v>
      </c>
      <c r="C80" s="27">
        <v>3.16</v>
      </c>
      <c r="D80" s="27" t="s">
        <v>83</v>
      </c>
      <c r="G80" s="42"/>
      <c r="H80" s="42"/>
      <c r="I80" s="42">
        <v>2049</v>
      </c>
    </row>
    <row r="81" spans="2:9">
      <c r="B81" s="26">
        <v>80</v>
      </c>
      <c r="C81" s="27">
        <v>3.2</v>
      </c>
      <c r="D81" s="27" t="s">
        <v>83</v>
      </c>
      <c r="G81" s="42"/>
      <c r="H81" s="42"/>
      <c r="I81" s="42">
        <v>2050</v>
      </c>
    </row>
    <row r="82" spans="2:9">
      <c r="B82" s="26">
        <v>81</v>
      </c>
      <c r="C82" s="27">
        <v>3.24</v>
      </c>
      <c r="D82" s="27" t="s">
        <v>83</v>
      </c>
    </row>
    <row r="83" spans="2:9">
      <c r="B83" s="26">
        <v>82</v>
      </c>
      <c r="C83" s="27">
        <v>3.28</v>
      </c>
      <c r="D83" s="27" t="s">
        <v>83</v>
      </c>
    </row>
    <row r="84" spans="2:9">
      <c r="B84" s="26">
        <v>83</v>
      </c>
      <c r="C84" s="27">
        <v>3.32</v>
      </c>
      <c r="D84" s="27" t="s">
        <v>83</v>
      </c>
    </row>
    <row r="85" spans="2:9">
      <c r="B85" s="26">
        <v>84</v>
      </c>
      <c r="C85" s="27">
        <v>3.36</v>
      </c>
      <c r="D85" s="27" t="s">
        <v>83</v>
      </c>
    </row>
    <row r="86" spans="2:9">
      <c r="B86" s="26">
        <v>85</v>
      </c>
      <c r="C86" s="27">
        <v>3.4</v>
      </c>
      <c r="D86" s="27" t="s">
        <v>83</v>
      </c>
    </row>
    <row r="87" spans="2:9">
      <c r="B87" s="26">
        <v>86</v>
      </c>
      <c r="C87" s="27">
        <v>3.44</v>
      </c>
      <c r="D87" s="27" t="s">
        <v>83</v>
      </c>
    </row>
    <row r="88" spans="2:9">
      <c r="B88" s="26">
        <v>87</v>
      </c>
      <c r="C88" s="27">
        <v>3.48</v>
      </c>
      <c r="D88" s="27" t="s">
        <v>83</v>
      </c>
    </row>
    <row r="89" spans="2:9">
      <c r="B89" s="26">
        <v>88</v>
      </c>
      <c r="C89" s="27">
        <v>3.52</v>
      </c>
      <c r="D89" s="27" t="s">
        <v>83</v>
      </c>
    </row>
    <row r="90" spans="2:9">
      <c r="B90" s="26">
        <v>89</v>
      </c>
      <c r="C90" s="27">
        <v>3.56</v>
      </c>
      <c r="D90" s="27" t="s">
        <v>79</v>
      </c>
    </row>
    <row r="91" spans="2:9">
      <c r="B91" s="26">
        <v>90</v>
      </c>
      <c r="C91" s="27">
        <v>3.6</v>
      </c>
      <c r="D91" s="27" t="s">
        <v>79</v>
      </c>
    </row>
    <row r="92" spans="2:9">
      <c r="B92" s="26">
        <v>91</v>
      </c>
      <c r="C92" s="27">
        <v>3.64</v>
      </c>
      <c r="D92" s="27" t="s">
        <v>79</v>
      </c>
    </row>
    <row r="93" spans="2:9">
      <c r="B93" s="26">
        <v>92</v>
      </c>
      <c r="C93" s="27">
        <v>3.68</v>
      </c>
      <c r="D93" s="27" t="s">
        <v>79</v>
      </c>
    </row>
    <row r="94" spans="2:9">
      <c r="B94" s="26">
        <v>93</v>
      </c>
      <c r="C94" s="27">
        <v>3.72</v>
      </c>
      <c r="D94" s="27" t="s">
        <v>79</v>
      </c>
    </row>
    <row r="95" spans="2:9">
      <c r="B95" s="26">
        <v>94</v>
      </c>
      <c r="C95" s="27">
        <v>3.76</v>
      </c>
      <c r="D95" s="27" t="s">
        <v>79</v>
      </c>
    </row>
    <row r="96" spans="2:9">
      <c r="B96" s="26">
        <v>95</v>
      </c>
      <c r="C96" s="27">
        <v>3.8</v>
      </c>
      <c r="D96" s="27" t="s">
        <v>79</v>
      </c>
    </row>
    <row r="97" spans="2:4">
      <c r="B97" s="26">
        <v>96</v>
      </c>
      <c r="C97" s="27">
        <v>3.84</v>
      </c>
      <c r="D97" s="27" t="s">
        <v>79</v>
      </c>
    </row>
    <row r="98" spans="2:4">
      <c r="B98" s="26">
        <v>97</v>
      </c>
      <c r="C98" s="27">
        <v>3.88</v>
      </c>
      <c r="D98" s="27" t="s">
        <v>79</v>
      </c>
    </row>
    <row r="99" spans="2:4">
      <c r="B99" s="26">
        <v>98</v>
      </c>
      <c r="C99" s="27">
        <v>3.92</v>
      </c>
      <c r="D99" s="27" t="s">
        <v>79</v>
      </c>
    </row>
    <row r="100" spans="2:4">
      <c r="B100" s="26">
        <v>99</v>
      </c>
      <c r="C100" s="27">
        <v>3.96</v>
      </c>
      <c r="D100" s="27" t="s">
        <v>79</v>
      </c>
    </row>
    <row r="101" spans="2:4">
      <c r="B101" s="26">
        <v>100</v>
      </c>
      <c r="C101" s="27">
        <v>4</v>
      </c>
      <c r="D101" s="27" t="s">
        <v>79</v>
      </c>
    </row>
  </sheetData>
  <sheetProtection password="CF75" sheet="1" objects="1" scenarios="1" selectLockedCells="1"/>
  <protectedRanges>
    <protectedRange password="C68E" sqref="C2:D101" name="Range1a"/>
  </protectedRanges>
  <mergeCells count="2">
    <mergeCell ref="T49:V49"/>
    <mergeCell ref="T50:V50"/>
  </mergeCells>
  <dataValidations count="1">
    <dataValidation type="list" allowBlank="1" showInputMessage="1" showErrorMessage="1" sqref="Y46">
      <formula1>$W$49:$W$50</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18">
    <tabColor rgb="FFFFFF00"/>
  </sheetPr>
  <dimension ref="A1:AU228"/>
  <sheetViews>
    <sheetView showGridLines="0" showRowColHeaders="0" zoomScale="80" zoomScaleNormal="80" zoomScaleSheetLayoutView="100" workbookViewId="0"/>
  </sheetViews>
  <sheetFormatPr defaultColWidth="0" defaultRowHeight="15" zeroHeight="1"/>
  <cols>
    <col min="1" max="1" width="14.7109375" style="16" customWidth="1"/>
    <col min="2" max="29" width="3.28515625" style="99" customWidth="1"/>
    <col min="30" max="30" width="4.140625" style="16" customWidth="1"/>
    <col min="31" max="31" width="4.7109375" style="16" customWidth="1"/>
    <col min="32" max="32" width="9.140625" style="16" customWidth="1"/>
    <col min="33" max="33" width="7.28515625" style="16" customWidth="1"/>
    <col min="34" max="34" width="9.140625" style="16" customWidth="1"/>
    <col min="35" max="35" width="12.28515625" style="16" customWidth="1"/>
    <col min="36" max="47" width="0" style="16" hidden="1" customWidth="1"/>
    <col min="48" max="16384" width="9.140625" style="16" hidden="1"/>
  </cols>
  <sheetData>
    <row r="1" spans="1:47" ht="15" customHeight="1">
      <c r="A1" s="195"/>
      <c r="B1" s="98"/>
      <c r="C1" s="98"/>
      <c r="D1" s="98"/>
      <c r="E1" s="98"/>
      <c r="F1" s="98"/>
      <c r="G1" s="98"/>
      <c r="H1" s="98"/>
      <c r="I1" s="98"/>
      <c r="J1" s="98"/>
      <c r="K1" s="98"/>
      <c r="L1" s="98"/>
      <c r="M1" s="98"/>
      <c r="N1" s="98"/>
      <c r="O1" s="98"/>
      <c r="P1" s="98"/>
      <c r="Q1" s="98"/>
      <c r="R1" s="98"/>
      <c r="S1" s="98"/>
      <c r="T1" s="98"/>
      <c r="U1" s="98"/>
      <c r="V1" s="98"/>
      <c r="W1" s="98"/>
      <c r="X1" s="98"/>
      <c r="Y1" s="98"/>
      <c r="Z1" s="98"/>
      <c r="AA1" s="98"/>
      <c r="AB1" s="98"/>
      <c r="AC1" s="98"/>
    </row>
    <row r="2" spans="1:47" ht="23.25" customHeight="1">
      <c r="B2" s="98"/>
      <c r="C2" s="98"/>
      <c r="D2" s="98"/>
      <c r="E2" s="98"/>
      <c r="F2" s="98"/>
      <c r="G2" s="98"/>
      <c r="H2" s="98"/>
      <c r="I2" s="98"/>
      <c r="J2" s="98"/>
      <c r="K2" s="98"/>
      <c r="L2" s="98"/>
      <c r="M2" s="98"/>
      <c r="N2" s="98"/>
      <c r="O2" s="98"/>
      <c r="P2" s="98"/>
      <c r="Q2" s="98"/>
      <c r="R2" s="98"/>
      <c r="S2" s="98"/>
      <c r="T2" s="98"/>
      <c r="U2" s="98"/>
      <c r="V2" s="98"/>
      <c r="W2" s="98"/>
      <c r="X2" s="98"/>
      <c r="Y2" s="98"/>
      <c r="Z2" s="98"/>
      <c r="AA2" s="98"/>
      <c r="AB2" s="98"/>
      <c r="AC2" s="98"/>
    </row>
    <row r="3" spans="1:47" ht="30" customHeight="1" thickBot="1">
      <c r="B3" s="98"/>
      <c r="C3" s="98"/>
      <c r="D3" s="98"/>
      <c r="E3" s="98"/>
      <c r="F3" s="98"/>
      <c r="G3" s="98"/>
      <c r="H3" s="98"/>
      <c r="I3" s="98"/>
      <c r="J3" s="98"/>
      <c r="K3" s="98"/>
      <c r="L3" s="98"/>
      <c r="M3" s="98"/>
      <c r="N3" s="98"/>
      <c r="O3" s="98"/>
      <c r="P3" s="98"/>
      <c r="Q3" s="98"/>
      <c r="R3" s="98"/>
      <c r="S3" s="98"/>
      <c r="T3" s="98"/>
      <c r="U3" s="98"/>
      <c r="V3" s="98"/>
      <c r="W3" s="98"/>
      <c r="X3" s="98"/>
      <c r="Y3" s="98"/>
      <c r="Z3" s="98"/>
      <c r="AA3" s="98"/>
      <c r="AB3" s="98"/>
      <c r="AC3" s="98"/>
      <c r="AE3" s="1236"/>
      <c r="AF3" s="1236"/>
    </row>
    <row r="4" spans="1:47" ht="18.75" customHeight="1">
      <c r="B4" s="133"/>
      <c r="C4" s="133"/>
      <c r="D4" s="133"/>
      <c r="E4" s="133"/>
      <c r="F4" s="133"/>
      <c r="G4" s="133"/>
      <c r="H4" s="133"/>
      <c r="I4" s="133"/>
      <c r="J4" s="133"/>
      <c r="K4" s="133"/>
      <c r="L4" s="133"/>
      <c r="M4" s="133"/>
      <c r="N4" s="133"/>
      <c r="O4" s="133"/>
      <c r="P4" s="133"/>
      <c r="Q4" s="133"/>
      <c r="R4" s="133"/>
      <c r="S4" s="133"/>
      <c r="T4" s="133"/>
      <c r="U4" s="133"/>
      <c r="V4" s="133"/>
      <c r="W4" s="133"/>
      <c r="X4" s="133"/>
      <c r="Y4" s="133"/>
      <c r="Z4" s="133"/>
      <c r="AA4" s="133"/>
      <c r="AB4" s="133"/>
      <c r="AC4" s="133"/>
      <c r="AE4" s="1117">
        <v>10</v>
      </c>
      <c r="AF4" s="1119"/>
    </row>
    <row r="5" spans="1:47" s="28" customFormat="1">
      <c r="B5" s="99"/>
      <c r="C5" s="99"/>
      <c r="D5" s="99"/>
      <c r="E5" s="99"/>
      <c r="F5" s="99"/>
      <c r="G5" s="99"/>
      <c r="H5" s="99"/>
      <c r="I5" s="99"/>
      <c r="J5" s="99"/>
      <c r="K5" s="99"/>
      <c r="L5" s="99"/>
      <c r="M5" s="99"/>
      <c r="N5" s="99"/>
      <c r="O5" s="99"/>
      <c r="P5" s="99"/>
      <c r="Q5" s="99"/>
      <c r="R5" s="99"/>
      <c r="S5" s="99"/>
      <c r="T5" s="99"/>
      <c r="U5" s="99"/>
      <c r="V5" s="99"/>
      <c r="W5" s="99"/>
      <c r="X5" s="99"/>
      <c r="Y5" s="99"/>
      <c r="Z5" s="99"/>
      <c r="AA5" s="99"/>
      <c r="AB5" s="99"/>
      <c r="AC5" s="99"/>
      <c r="AE5" s="1120"/>
      <c r="AF5" s="1122"/>
      <c r="AH5" s="16"/>
      <c r="AI5" s="16"/>
      <c r="AJ5" s="16"/>
      <c r="AK5" s="16"/>
      <c r="AL5" s="16"/>
      <c r="AM5" s="16"/>
      <c r="AN5" s="16"/>
      <c r="AO5" s="16"/>
      <c r="AP5" s="16"/>
      <c r="AQ5" s="16"/>
      <c r="AR5" s="16"/>
      <c r="AS5" s="16"/>
      <c r="AT5" s="16"/>
      <c r="AU5" s="16"/>
    </row>
    <row r="6" spans="1:47" ht="15.75" customHeight="1">
      <c r="T6" s="97"/>
      <c r="X6" s="97"/>
      <c r="AE6" s="1120"/>
      <c r="AF6" s="1122"/>
    </row>
    <row r="7" spans="1:47" ht="15" customHeight="1" thickBot="1">
      <c r="B7" s="1238" t="s">
        <v>205</v>
      </c>
      <c r="C7" s="1238"/>
      <c r="D7" s="1238"/>
      <c r="E7" s="1238"/>
      <c r="F7" s="1238"/>
      <c r="G7" s="1238"/>
      <c r="H7" s="1238"/>
      <c r="I7" s="1238"/>
      <c r="J7" s="1238"/>
      <c r="K7" s="1238"/>
      <c r="L7" s="1238"/>
      <c r="M7" s="1238"/>
      <c r="N7" s="1238"/>
      <c r="O7" s="1238"/>
      <c r="P7" s="1238"/>
      <c r="Q7" s="1238"/>
      <c r="R7" s="1238"/>
      <c r="S7" s="1238"/>
      <c r="T7" s="1238"/>
      <c r="U7" s="1238"/>
      <c r="V7" s="1238"/>
      <c r="W7" s="1238"/>
      <c r="X7" s="1238"/>
      <c r="Y7" s="1238"/>
      <c r="Z7" s="1238"/>
      <c r="AA7" s="1238"/>
      <c r="AB7" s="1238"/>
      <c r="AC7" s="1238"/>
      <c r="AE7" s="1123"/>
      <c r="AF7" s="1125"/>
    </row>
    <row r="8" spans="1:47" ht="15.75" customHeight="1">
      <c r="B8" s="1238"/>
      <c r="C8" s="1238"/>
      <c r="D8" s="1238"/>
      <c r="E8" s="1238"/>
      <c r="F8" s="1238"/>
      <c r="G8" s="1238"/>
      <c r="H8" s="1238"/>
      <c r="I8" s="1238"/>
      <c r="J8" s="1238"/>
      <c r="K8" s="1238"/>
      <c r="L8" s="1238"/>
      <c r="M8" s="1238"/>
      <c r="N8" s="1238"/>
      <c r="O8" s="1238"/>
      <c r="P8" s="1238"/>
      <c r="Q8" s="1238"/>
      <c r="R8" s="1238"/>
      <c r="S8" s="1238"/>
      <c r="T8" s="1238"/>
      <c r="U8" s="1238"/>
      <c r="V8" s="1238"/>
      <c r="W8" s="1238"/>
      <c r="X8" s="1238"/>
      <c r="Y8" s="1238"/>
      <c r="Z8" s="1238"/>
      <c r="AA8" s="1238"/>
      <c r="AB8" s="1238"/>
      <c r="AC8" s="1238"/>
      <c r="AH8" s="1237"/>
      <c r="AI8" s="1237"/>
    </row>
    <row r="9" spans="1:47">
      <c r="B9" s="1239" t="s">
        <v>206</v>
      </c>
      <c r="C9" s="1239"/>
      <c r="D9" s="1239"/>
      <c r="E9" s="1239"/>
      <c r="F9" s="1239"/>
      <c r="G9" s="1239"/>
      <c r="H9" s="1239"/>
      <c r="I9" s="1239"/>
      <c r="J9" s="1239"/>
      <c r="K9" s="1239"/>
      <c r="L9" s="1239"/>
      <c r="M9" s="1239"/>
      <c r="N9" s="1239"/>
      <c r="O9" s="1239"/>
      <c r="P9" s="1239"/>
      <c r="Q9" s="1239"/>
      <c r="R9" s="1239"/>
      <c r="S9" s="1239"/>
      <c r="T9" s="1239"/>
      <c r="U9" s="1239"/>
      <c r="V9" s="1239"/>
      <c r="W9" s="1239"/>
      <c r="X9" s="1239"/>
      <c r="Y9" s="1239"/>
      <c r="Z9" s="1239"/>
      <c r="AA9" s="1239"/>
      <c r="AB9" s="1239"/>
      <c r="AC9" s="1239"/>
    </row>
    <row r="10" spans="1:47" ht="15.75" customHeight="1">
      <c r="B10" s="1239"/>
      <c r="C10" s="1239"/>
      <c r="D10" s="1239"/>
      <c r="E10" s="1239"/>
      <c r="F10" s="1239"/>
      <c r="G10" s="1239"/>
      <c r="H10" s="1239"/>
      <c r="I10" s="1239"/>
      <c r="J10" s="1239"/>
      <c r="K10" s="1239"/>
      <c r="L10" s="1239"/>
      <c r="M10" s="1239"/>
      <c r="N10" s="1239"/>
      <c r="O10" s="1239"/>
      <c r="P10" s="1239"/>
      <c r="Q10" s="1239"/>
      <c r="R10" s="1239"/>
      <c r="S10" s="1239"/>
      <c r="T10" s="1239"/>
      <c r="U10" s="1239"/>
      <c r="V10" s="1239"/>
      <c r="W10" s="1239"/>
      <c r="X10" s="1239"/>
      <c r="Y10" s="1239"/>
      <c r="Z10" s="1239"/>
      <c r="AA10" s="1239"/>
      <c r="AB10" s="1239"/>
      <c r="AC10" s="1239"/>
    </row>
    <row r="11" spans="1:47" ht="15.75" customHeight="1">
      <c r="B11" s="1238" t="s">
        <v>207</v>
      </c>
      <c r="C11" s="1238"/>
      <c r="D11" s="1238"/>
      <c r="E11" s="1238"/>
      <c r="F11" s="1238"/>
      <c r="G11" s="1238"/>
      <c r="H11" s="1238"/>
      <c r="I11" s="1238"/>
      <c r="J11" s="1238"/>
      <c r="K11" s="1238"/>
      <c r="L11" s="1238"/>
      <c r="M11" s="1238"/>
      <c r="N11" s="1238"/>
      <c r="O11" s="1238"/>
      <c r="P11" s="1238"/>
      <c r="Q11" s="1238"/>
      <c r="R11" s="1238"/>
      <c r="S11" s="1238"/>
      <c r="T11" s="1238"/>
      <c r="U11" s="1238"/>
      <c r="V11" s="1238"/>
      <c r="W11" s="1238"/>
      <c r="X11" s="1238"/>
      <c r="Y11" s="1238"/>
      <c r="Z11" s="1238"/>
      <c r="AA11" s="1238"/>
      <c r="AB11" s="1238"/>
      <c r="AC11" s="1238"/>
    </row>
    <row r="12" spans="1:47" ht="15.75" customHeight="1">
      <c r="B12" s="1238"/>
      <c r="C12" s="1238"/>
      <c r="D12" s="1238"/>
      <c r="E12" s="1238"/>
      <c r="F12" s="1238"/>
      <c r="G12" s="1238"/>
      <c r="H12" s="1238"/>
      <c r="I12" s="1238"/>
      <c r="J12" s="1238"/>
      <c r="K12" s="1238"/>
      <c r="L12" s="1238"/>
      <c r="M12" s="1238"/>
      <c r="N12" s="1238"/>
      <c r="O12" s="1238"/>
      <c r="P12" s="1238"/>
      <c r="Q12" s="1238"/>
      <c r="R12" s="1238"/>
      <c r="S12" s="1238"/>
      <c r="T12" s="1238"/>
      <c r="U12" s="1238"/>
      <c r="V12" s="1238"/>
      <c r="W12" s="1238"/>
      <c r="X12" s="1238"/>
      <c r="Y12" s="1238"/>
      <c r="Z12" s="1238"/>
      <c r="AA12" s="1238"/>
      <c r="AB12" s="1238"/>
      <c r="AC12" s="1238"/>
    </row>
    <row r="13" spans="1:47" ht="15.75" customHeight="1">
      <c r="B13" s="100"/>
      <c r="C13" s="100"/>
      <c r="D13" s="100"/>
      <c r="E13" s="100"/>
      <c r="F13" s="100"/>
      <c r="G13" s="100"/>
      <c r="H13" s="100"/>
      <c r="I13" s="100"/>
      <c r="J13" s="100"/>
      <c r="K13" s="100"/>
      <c r="L13" s="100"/>
      <c r="M13" s="100"/>
      <c r="N13" s="100"/>
      <c r="O13" s="100"/>
      <c r="P13" s="100"/>
      <c r="Q13" s="100"/>
      <c r="R13" s="100"/>
      <c r="S13" s="100"/>
      <c r="T13" s="100"/>
      <c r="U13" s="100"/>
      <c r="V13" s="100"/>
      <c r="W13" s="100"/>
      <c r="X13" s="100"/>
      <c r="Y13" s="100"/>
      <c r="Z13" s="100"/>
      <c r="AA13" s="100"/>
      <c r="AB13" s="100"/>
      <c r="AC13" s="100"/>
    </row>
    <row r="14" spans="1:47" ht="15.75" customHeight="1">
      <c r="B14" s="134"/>
      <c r="C14" s="134"/>
      <c r="D14" s="134"/>
      <c r="E14" s="134"/>
      <c r="F14" s="135"/>
      <c r="G14" s="135"/>
      <c r="H14" s="135"/>
      <c r="I14" s="135"/>
      <c r="J14" s="135"/>
      <c r="K14" s="135"/>
      <c r="L14" s="135"/>
      <c r="M14" s="135"/>
      <c r="N14" s="135"/>
      <c r="O14" s="135"/>
      <c r="P14" s="135"/>
      <c r="Q14" s="135"/>
      <c r="R14" s="135"/>
      <c r="S14" s="135"/>
      <c r="T14" s="135"/>
      <c r="U14" s="135"/>
      <c r="V14" s="135"/>
      <c r="W14" s="135"/>
      <c r="X14" s="135"/>
      <c r="Y14" s="135"/>
      <c r="Z14" s="135"/>
      <c r="AA14" s="135"/>
      <c r="AB14" s="135"/>
      <c r="AC14" s="135"/>
    </row>
    <row r="15" spans="1:47" ht="15.75" customHeight="1">
      <c r="B15" s="134"/>
      <c r="C15" s="134"/>
      <c r="D15" s="134"/>
      <c r="E15" s="134"/>
      <c r="F15" s="135"/>
      <c r="G15" s="135"/>
      <c r="H15" s="135"/>
      <c r="I15" s="135"/>
      <c r="J15" s="135"/>
      <c r="K15" s="135"/>
      <c r="L15" s="135"/>
      <c r="M15" s="135"/>
      <c r="N15" s="135"/>
      <c r="O15" s="135"/>
      <c r="P15" s="135"/>
      <c r="Q15" s="135"/>
      <c r="R15" s="135"/>
      <c r="S15" s="135"/>
      <c r="T15" s="135"/>
      <c r="U15" s="135"/>
      <c r="V15" s="135"/>
      <c r="W15" s="135"/>
      <c r="X15" s="135"/>
      <c r="Y15" s="135"/>
      <c r="Z15" s="135"/>
      <c r="AA15" s="135"/>
      <c r="AB15" s="135"/>
      <c r="AC15" s="135"/>
    </row>
    <row r="16" spans="1:47" ht="15.75" customHeight="1">
      <c r="B16" s="134"/>
      <c r="C16" s="134"/>
      <c r="D16" s="134"/>
      <c r="E16" s="134"/>
      <c r="F16" s="135"/>
      <c r="G16" s="135"/>
      <c r="H16" s="135"/>
      <c r="I16" s="135"/>
      <c r="J16" s="135"/>
      <c r="K16" s="135"/>
      <c r="L16" s="135"/>
      <c r="M16" s="135"/>
      <c r="N16" s="135"/>
      <c r="O16" s="135"/>
      <c r="P16" s="135"/>
      <c r="Q16" s="135"/>
      <c r="R16" s="135"/>
      <c r="S16" s="135"/>
      <c r="T16" s="135"/>
      <c r="U16" s="135"/>
      <c r="V16" s="135"/>
      <c r="W16" s="135"/>
      <c r="X16" s="135"/>
      <c r="Y16" s="135"/>
      <c r="Z16" s="135"/>
      <c r="AA16" s="135"/>
      <c r="AB16" s="135"/>
      <c r="AC16" s="135"/>
    </row>
    <row r="17" spans="2:29" ht="46.5" customHeight="1">
      <c r="B17" s="144"/>
      <c r="C17" s="144"/>
      <c r="D17" s="144"/>
      <c r="E17" s="144"/>
      <c r="F17" s="144"/>
      <c r="G17" s="144"/>
      <c r="H17" s="144"/>
      <c r="I17" s="144"/>
      <c r="J17" s="144"/>
      <c r="K17" s="144"/>
      <c r="L17" s="144"/>
      <c r="M17" s="144"/>
      <c r="N17" s="144"/>
      <c r="O17" s="144"/>
      <c r="P17" s="144"/>
      <c r="Q17" s="144"/>
      <c r="R17" s="144"/>
      <c r="S17" s="144"/>
      <c r="T17" s="144"/>
      <c r="U17" s="144"/>
      <c r="V17" s="144"/>
      <c r="W17" s="144"/>
      <c r="X17" s="144"/>
      <c r="Y17" s="144"/>
      <c r="Z17" s="144"/>
      <c r="AA17" s="144"/>
      <c r="AB17" s="144"/>
      <c r="AC17" s="144"/>
    </row>
    <row r="18" spans="2:29" ht="15.75" customHeight="1"/>
    <row r="19" spans="2:29" ht="15.75" customHeight="1">
      <c r="B19" s="100"/>
    </row>
    <row r="20" spans="2:29" ht="15.75" customHeight="1">
      <c r="B20" s="100"/>
      <c r="C20" s="100"/>
      <c r="D20" s="100"/>
      <c r="E20" s="100"/>
      <c r="F20" s="100"/>
      <c r="G20" s="100"/>
      <c r="H20" s="100"/>
      <c r="I20" s="100"/>
      <c r="J20" s="100"/>
      <c r="K20" s="100"/>
      <c r="L20" s="100"/>
      <c r="M20" s="100"/>
      <c r="N20" s="100"/>
      <c r="O20" s="100"/>
      <c r="P20" s="100"/>
      <c r="Q20" s="100"/>
      <c r="R20" s="100"/>
      <c r="S20" s="100"/>
      <c r="T20" s="100"/>
      <c r="U20" s="100"/>
      <c r="V20" s="100"/>
      <c r="W20" s="100"/>
      <c r="X20" s="100"/>
      <c r="Y20" s="100"/>
      <c r="Z20" s="100"/>
      <c r="AA20" s="100"/>
      <c r="AB20" s="100"/>
      <c r="AC20" s="100"/>
    </row>
    <row r="21" spans="2:29" ht="30.75" customHeight="1">
      <c r="B21" s="134"/>
      <c r="C21" s="134"/>
      <c r="D21" s="134"/>
      <c r="E21" s="134"/>
      <c r="F21" s="135"/>
      <c r="G21" s="135"/>
      <c r="H21" s="135"/>
      <c r="I21" s="135"/>
      <c r="J21" s="135"/>
      <c r="K21" s="135"/>
      <c r="L21" s="135"/>
      <c r="M21" s="135"/>
      <c r="N21" s="135"/>
      <c r="O21" s="135"/>
      <c r="P21" s="135"/>
      <c r="Q21" s="135"/>
      <c r="R21" s="135"/>
      <c r="S21" s="135"/>
      <c r="T21" s="135"/>
      <c r="U21" s="135"/>
      <c r="V21" s="135"/>
      <c r="W21" s="135"/>
      <c r="X21" s="135"/>
      <c r="Y21" s="135"/>
      <c r="Z21" s="135"/>
      <c r="AA21" s="135"/>
      <c r="AB21" s="135"/>
      <c r="AC21" s="135"/>
    </row>
    <row r="22" spans="2:29" ht="55.5" customHeight="1">
      <c r="B22" s="134"/>
      <c r="C22" s="134"/>
      <c r="D22" s="134"/>
      <c r="E22" s="134"/>
      <c r="F22" s="135"/>
      <c r="G22" s="135"/>
      <c r="H22" s="135"/>
      <c r="I22" s="135"/>
      <c r="J22" s="135"/>
      <c r="K22" s="135"/>
      <c r="L22" s="135"/>
      <c r="M22" s="135"/>
      <c r="N22" s="135"/>
      <c r="O22" s="135"/>
      <c r="P22" s="135"/>
      <c r="Q22" s="135"/>
      <c r="R22" s="135"/>
      <c r="S22" s="135"/>
      <c r="T22" s="135"/>
      <c r="U22" s="135"/>
      <c r="V22" s="135"/>
      <c r="W22" s="135"/>
      <c r="X22" s="135"/>
      <c r="Y22" s="135"/>
      <c r="Z22" s="135"/>
      <c r="AA22" s="135"/>
      <c r="AB22" s="135"/>
      <c r="AC22" s="135"/>
    </row>
    <row r="23" spans="2:29" ht="24" customHeight="1">
      <c r="B23" s="100"/>
      <c r="C23" s="100"/>
      <c r="D23" s="100"/>
      <c r="E23" s="100"/>
      <c r="F23" s="100"/>
      <c r="G23" s="100"/>
      <c r="H23" s="100"/>
      <c r="I23" s="100"/>
      <c r="J23" s="100"/>
      <c r="K23" s="100"/>
      <c r="L23" s="100"/>
      <c r="M23" s="100"/>
      <c r="N23" s="100"/>
      <c r="O23" s="100"/>
      <c r="P23" s="100"/>
      <c r="Q23" s="100"/>
      <c r="R23" s="100"/>
      <c r="S23" s="100"/>
      <c r="T23" s="100"/>
      <c r="U23" s="100"/>
      <c r="V23" s="100"/>
      <c r="W23" s="100"/>
      <c r="X23" s="100"/>
      <c r="Y23" s="100"/>
      <c r="Z23" s="100"/>
      <c r="AA23" s="100"/>
      <c r="AB23" s="100"/>
      <c r="AC23" s="100"/>
    </row>
    <row r="24" spans="2:29" ht="24" customHeight="1">
      <c r="B24" s="100"/>
      <c r="C24" s="100"/>
      <c r="D24" s="100"/>
      <c r="E24" s="100"/>
      <c r="F24" s="100"/>
      <c r="G24" s="100"/>
      <c r="H24" s="100"/>
      <c r="I24" s="100"/>
      <c r="J24" s="100"/>
      <c r="K24" s="100"/>
      <c r="L24" s="100"/>
      <c r="M24" s="100"/>
      <c r="N24" s="100"/>
      <c r="O24" s="100"/>
      <c r="P24" s="100"/>
      <c r="Q24" s="100"/>
      <c r="R24" s="100"/>
      <c r="S24" s="100"/>
      <c r="T24" s="100"/>
      <c r="U24" s="100"/>
      <c r="V24" s="100"/>
      <c r="W24" s="100"/>
      <c r="X24" s="100"/>
      <c r="Y24" s="100"/>
      <c r="Z24" s="100"/>
      <c r="AA24" s="100"/>
      <c r="AB24" s="100"/>
      <c r="AC24" s="100"/>
    </row>
    <row r="25" spans="2:29" ht="24" customHeight="1">
      <c r="B25" s="100"/>
      <c r="C25" s="100"/>
      <c r="D25" s="100"/>
      <c r="E25" s="100"/>
      <c r="F25" s="100"/>
      <c r="G25" s="100"/>
      <c r="H25" s="100"/>
      <c r="I25" s="100"/>
      <c r="J25" s="100"/>
      <c r="K25" s="100"/>
      <c r="L25" s="100"/>
      <c r="M25" s="100"/>
      <c r="N25" s="100"/>
      <c r="O25" s="100"/>
      <c r="P25" s="100"/>
      <c r="Q25" s="100"/>
      <c r="R25" s="100"/>
      <c r="S25" s="100"/>
      <c r="T25" s="100"/>
      <c r="U25" s="100"/>
      <c r="V25" s="100"/>
      <c r="W25" s="100"/>
      <c r="X25" s="100"/>
      <c r="Y25" s="100"/>
      <c r="Z25" s="100"/>
      <c r="AA25" s="100"/>
      <c r="AB25" s="100"/>
      <c r="AC25" s="100"/>
    </row>
    <row r="26" spans="2:29" ht="15.75" customHeight="1">
      <c r="B26" s="136"/>
      <c r="C26" s="136"/>
      <c r="D26" s="136"/>
      <c r="E26" s="136"/>
      <c r="F26" s="136"/>
      <c r="G26" s="136"/>
      <c r="H26" s="136"/>
      <c r="I26" s="136"/>
      <c r="J26" s="136"/>
      <c r="K26" s="136"/>
      <c r="L26" s="136"/>
      <c r="M26" s="136"/>
      <c r="N26" s="136"/>
      <c r="O26" s="100"/>
      <c r="P26" s="100"/>
      <c r="Q26" s="100"/>
      <c r="R26" s="100"/>
      <c r="S26" s="100"/>
      <c r="T26" s="100"/>
      <c r="U26" s="100"/>
      <c r="V26" s="100"/>
      <c r="W26" s="100"/>
      <c r="X26" s="100"/>
      <c r="Y26" s="100"/>
      <c r="Z26" s="100"/>
      <c r="AA26" s="100"/>
      <c r="AB26" s="100"/>
      <c r="AC26" s="100"/>
    </row>
    <row r="27" spans="2:29" ht="15.75" customHeight="1">
      <c r="B27" s="136"/>
      <c r="C27" s="136"/>
      <c r="D27" s="136"/>
      <c r="E27" s="136"/>
      <c r="F27" s="136"/>
      <c r="G27" s="136"/>
      <c r="H27" s="136"/>
      <c r="I27" s="136"/>
      <c r="J27" s="136"/>
      <c r="K27" s="136"/>
      <c r="L27" s="136"/>
      <c r="M27" s="136"/>
      <c r="N27" s="136"/>
      <c r="O27" s="100"/>
      <c r="P27" s="100"/>
      <c r="Q27" s="100"/>
      <c r="R27" s="100"/>
      <c r="S27" s="100"/>
      <c r="T27" s="100"/>
      <c r="U27" s="100"/>
      <c r="V27" s="100"/>
      <c r="W27" s="100"/>
      <c r="X27" s="100"/>
      <c r="Y27" s="100"/>
      <c r="Z27" s="100"/>
      <c r="AA27" s="100"/>
      <c r="AB27" s="100"/>
      <c r="AC27" s="100"/>
    </row>
    <row r="28" spans="2:29" ht="18" customHeight="1">
      <c r="B28" s="1235" t="s">
        <v>210</v>
      </c>
      <c r="C28" s="1235"/>
      <c r="D28" s="1235"/>
      <c r="E28" s="1235"/>
      <c r="F28" s="1235"/>
      <c r="G28" s="1235"/>
      <c r="H28" s="1235"/>
      <c r="I28" s="1235"/>
      <c r="J28" s="1235"/>
      <c r="K28" s="1235"/>
      <c r="L28" s="1235"/>
      <c r="M28" s="1235"/>
      <c r="N28" s="1235"/>
      <c r="O28" s="1235"/>
      <c r="P28" s="1235"/>
      <c r="Q28" s="1235"/>
      <c r="R28" s="1235"/>
      <c r="S28" s="1235"/>
      <c r="T28" s="1235"/>
      <c r="U28" s="1235"/>
      <c r="V28" s="1235"/>
      <c r="W28" s="1235"/>
      <c r="X28" s="1235"/>
      <c r="Y28" s="1235"/>
      <c r="Z28" s="1235"/>
      <c r="AA28" s="1235"/>
      <c r="AB28" s="1235"/>
      <c r="AC28" s="1235"/>
    </row>
    <row r="29" spans="2:29" ht="15.75" customHeight="1">
      <c r="B29" s="1235"/>
      <c r="C29" s="1235"/>
      <c r="D29" s="1235"/>
      <c r="E29" s="1235"/>
      <c r="F29" s="1235"/>
      <c r="G29" s="1235"/>
      <c r="H29" s="1235"/>
      <c r="I29" s="1235"/>
      <c r="J29" s="1235"/>
      <c r="K29" s="1235"/>
      <c r="L29" s="1235"/>
      <c r="M29" s="1235"/>
      <c r="N29" s="1235"/>
      <c r="O29" s="1235"/>
      <c r="P29" s="1235"/>
      <c r="Q29" s="1235"/>
      <c r="R29" s="1235"/>
      <c r="S29" s="1235"/>
      <c r="T29" s="1235"/>
      <c r="U29" s="1235"/>
      <c r="V29" s="1235"/>
      <c r="W29" s="1235"/>
      <c r="X29" s="1235"/>
      <c r="Y29" s="1235"/>
      <c r="Z29" s="1235"/>
      <c r="AA29" s="1235"/>
      <c r="AB29" s="1235"/>
      <c r="AC29" s="1235"/>
    </row>
    <row r="30" spans="2:29" ht="15" customHeight="1">
      <c r="B30" s="142"/>
      <c r="C30" s="142"/>
      <c r="D30" s="142"/>
      <c r="E30" s="142"/>
      <c r="F30" s="1226" t="str">
        <f>IFERROR(IF(VLOOKUP(AE4,_Biodata_Lengkap,4,FALSE)=0,"-",(UPPER(VLOOKUP(AE4,_Biodata_Lengkap,4,FALSE)))),"-")</f>
        <v>CALISSTA SABRINA SALWA AURELIA</v>
      </c>
      <c r="G30" s="1227"/>
      <c r="H30" s="1227"/>
      <c r="I30" s="1227"/>
      <c r="J30" s="1227"/>
      <c r="K30" s="1227"/>
      <c r="L30" s="1227"/>
      <c r="M30" s="1227"/>
      <c r="N30" s="1227"/>
      <c r="O30" s="1227"/>
      <c r="P30" s="1227"/>
      <c r="Q30" s="1227"/>
      <c r="R30" s="1227"/>
      <c r="S30" s="1227"/>
      <c r="T30" s="1227"/>
      <c r="U30" s="1227"/>
      <c r="V30" s="1227"/>
      <c r="W30" s="1227"/>
      <c r="X30" s="1227"/>
      <c r="Y30" s="1228"/>
      <c r="Z30" s="142"/>
      <c r="AA30" s="142"/>
      <c r="AB30" s="142"/>
      <c r="AC30" s="142"/>
    </row>
    <row r="31" spans="2:29" ht="15" customHeight="1">
      <c r="B31" s="142"/>
      <c r="C31" s="142"/>
      <c r="D31" s="142"/>
      <c r="E31" s="142"/>
      <c r="F31" s="1229"/>
      <c r="G31" s="1230"/>
      <c r="H31" s="1230"/>
      <c r="I31" s="1230"/>
      <c r="J31" s="1230"/>
      <c r="K31" s="1230"/>
      <c r="L31" s="1230"/>
      <c r="M31" s="1230"/>
      <c r="N31" s="1230"/>
      <c r="O31" s="1230"/>
      <c r="P31" s="1230"/>
      <c r="Q31" s="1230"/>
      <c r="R31" s="1230"/>
      <c r="S31" s="1230"/>
      <c r="T31" s="1230"/>
      <c r="U31" s="1230"/>
      <c r="V31" s="1230"/>
      <c r="W31" s="1230"/>
      <c r="X31" s="1230"/>
      <c r="Y31" s="1231"/>
      <c r="Z31" s="142"/>
      <c r="AA31" s="142"/>
      <c r="AB31" s="142"/>
      <c r="AC31" s="142"/>
    </row>
    <row r="32" spans="2:29" ht="15.75" customHeight="1">
      <c r="B32" s="126"/>
    </row>
    <row r="33" spans="2:29" ht="15.75" customHeight="1">
      <c r="B33" s="1235" t="s">
        <v>211</v>
      </c>
      <c r="C33" s="1235"/>
      <c r="D33" s="1235"/>
      <c r="E33" s="1235"/>
      <c r="F33" s="1235"/>
      <c r="G33" s="1235"/>
      <c r="H33" s="1235"/>
      <c r="I33" s="1235"/>
      <c r="J33" s="1235"/>
      <c r="K33" s="1235"/>
      <c r="L33" s="1235"/>
      <c r="M33" s="1235"/>
      <c r="N33" s="1235"/>
      <c r="O33" s="1235"/>
      <c r="P33" s="1235"/>
      <c r="Q33" s="1235"/>
      <c r="R33" s="1235"/>
      <c r="S33" s="1235"/>
      <c r="T33" s="1235"/>
      <c r="U33" s="1235"/>
      <c r="V33" s="1235"/>
      <c r="W33" s="1235"/>
      <c r="X33" s="1235"/>
      <c r="Y33" s="1235"/>
      <c r="Z33" s="1235"/>
      <c r="AA33" s="1235"/>
      <c r="AB33" s="1235"/>
      <c r="AC33" s="1235"/>
    </row>
    <row r="34" spans="2:29" ht="15.75" customHeight="1">
      <c r="B34" s="1235"/>
      <c r="C34" s="1235"/>
      <c r="D34" s="1235"/>
      <c r="E34" s="1235"/>
      <c r="F34" s="1235"/>
      <c r="G34" s="1235"/>
      <c r="H34" s="1235"/>
      <c r="I34" s="1235"/>
      <c r="J34" s="1235"/>
      <c r="K34" s="1235"/>
      <c r="L34" s="1235"/>
      <c r="M34" s="1235"/>
      <c r="N34" s="1235"/>
      <c r="O34" s="1235"/>
      <c r="P34" s="1235"/>
      <c r="Q34" s="1235"/>
      <c r="R34" s="1235"/>
      <c r="S34" s="1235"/>
      <c r="T34" s="1235"/>
      <c r="U34" s="1235"/>
      <c r="V34" s="1235"/>
      <c r="W34" s="1235"/>
      <c r="X34" s="1235"/>
      <c r="Y34" s="1235"/>
      <c r="Z34" s="1235"/>
      <c r="AA34" s="1235"/>
      <c r="AB34" s="1235"/>
      <c r="AC34" s="1235"/>
    </row>
    <row r="35" spans="2:29" ht="15" customHeight="1">
      <c r="H35" s="143"/>
      <c r="I35" s="143"/>
      <c r="J35" s="1226" t="str">
        <f>IFERROR(IF(VLOOKUP(AE4,_Biodata_Lengkap,2,FALSE)=0,"-",(VLOOKUP(AE4,_Biodata_Lengkap,2,FALSE)&amp;" / "&amp;IF(VLOOKUP(AE4,_Biodata_Lengkap,3,FALSE)=0,"-",VLOOKUP(AE4,_Biodata_Lengkap,3,FALSE)))),"-")</f>
        <v>7069 / 0055373501</v>
      </c>
      <c r="K35" s="1227"/>
      <c r="L35" s="1227"/>
      <c r="M35" s="1227"/>
      <c r="N35" s="1227"/>
      <c r="O35" s="1227"/>
      <c r="P35" s="1227"/>
      <c r="Q35" s="1227"/>
      <c r="R35" s="1227"/>
      <c r="S35" s="1227"/>
      <c r="T35" s="1227"/>
      <c r="U35" s="1228"/>
      <c r="V35" s="143"/>
      <c r="W35" s="143"/>
      <c r="X35" s="143"/>
    </row>
    <row r="36" spans="2:29" ht="15" customHeight="1">
      <c r="G36" s="143"/>
      <c r="H36" s="143"/>
      <c r="I36" s="143"/>
      <c r="J36" s="1229"/>
      <c r="K36" s="1230"/>
      <c r="L36" s="1230"/>
      <c r="M36" s="1230"/>
      <c r="N36" s="1230"/>
      <c r="O36" s="1230"/>
      <c r="P36" s="1230"/>
      <c r="Q36" s="1230"/>
      <c r="R36" s="1230"/>
      <c r="S36" s="1230"/>
      <c r="T36" s="1230"/>
      <c r="U36" s="1231"/>
      <c r="V36" s="143"/>
      <c r="W36" s="143"/>
      <c r="X36" s="143"/>
    </row>
    <row r="37" spans="2:29" ht="15.75" customHeight="1">
      <c r="B37" s="126"/>
    </row>
    <row r="38" spans="2:29" ht="15.75" customHeight="1">
      <c r="B38" s="277"/>
    </row>
    <row r="39" spans="2:29" ht="15.75" customHeight="1">
      <c r="B39" s="126"/>
    </row>
    <row r="40" spans="2:29" ht="15" customHeight="1">
      <c r="C40" s="143"/>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143"/>
      <c r="AB40" s="143"/>
      <c r="AC40" s="143"/>
    </row>
    <row r="41" spans="2:29">
      <c r="B41" s="1233" t="s">
        <v>208</v>
      </c>
      <c r="C41" s="1233"/>
      <c r="D41" s="1233"/>
      <c r="E41" s="1233"/>
      <c r="F41" s="1233"/>
      <c r="G41" s="1233"/>
      <c r="H41" s="1233"/>
      <c r="I41" s="1233"/>
      <c r="J41" s="1233"/>
      <c r="K41" s="1233"/>
      <c r="L41" s="1233"/>
      <c r="M41" s="1233"/>
      <c r="N41" s="1233"/>
      <c r="O41" s="1233"/>
      <c r="P41" s="1233"/>
      <c r="Q41" s="1233"/>
      <c r="R41" s="1233"/>
      <c r="S41" s="1233"/>
      <c r="T41" s="1233"/>
      <c r="U41" s="1233"/>
      <c r="V41" s="1233"/>
      <c r="W41" s="1233"/>
      <c r="X41" s="1233"/>
      <c r="Y41" s="1233"/>
      <c r="Z41" s="1233"/>
      <c r="AA41" s="1233"/>
      <c r="AB41" s="1233"/>
      <c r="AC41" s="1233"/>
    </row>
    <row r="42" spans="2:29" s="22" customFormat="1">
      <c r="B42" s="1233"/>
      <c r="C42" s="1233"/>
      <c r="D42" s="1233"/>
      <c r="E42" s="1233"/>
      <c r="F42" s="1233"/>
      <c r="G42" s="1233"/>
      <c r="H42" s="1233"/>
      <c r="I42" s="1233"/>
      <c r="J42" s="1233"/>
      <c r="K42" s="1233"/>
      <c r="L42" s="1233"/>
      <c r="M42" s="1233"/>
      <c r="N42" s="1233"/>
      <c r="O42" s="1233"/>
      <c r="P42" s="1233"/>
      <c r="Q42" s="1233"/>
      <c r="R42" s="1233"/>
      <c r="S42" s="1233"/>
      <c r="T42" s="1233"/>
      <c r="U42" s="1233"/>
      <c r="V42" s="1233"/>
      <c r="W42" s="1233"/>
      <c r="X42" s="1233"/>
      <c r="Y42" s="1233"/>
      <c r="Z42" s="1233"/>
      <c r="AA42" s="1233"/>
      <c r="AB42" s="1233"/>
      <c r="AC42" s="1233"/>
    </row>
    <row r="43" spans="2:29" s="22" customFormat="1" ht="15" customHeight="1">
      <c r="B43" s="1233" t="s">
        <v>209</v>
      </c>
      <c r="C43" s="1233"/>
      <c r="D43" s="1233"/>
      <c r="E43" s="1233"/>
      <c r="F43" s="1233"/>
      <c r="G43" s="1233"/>
      <c r="H43" s="1233"/>
      <c r="I43" s="1233"/>
      <c r="J43" s="1233"/>
      <c r="K43" s="1233"/>
      <c r="L43" s="1233"/>
      <c r="M43" s="1233"/>
      <c r="N43" s="1233"/>
      <c r="O43" s="1233"/>
      <c r="P43" s="1233"/>
      <c r="Q43" s="1233"/>
      <c r="R43" s="1233"/>
      <c r="S43" s="1233"/>
      <c r="T43" s="1233"/>
      <c r="U43" s="1233"/>
      <c r="V43" s="1233"/>
      <c r="W43" s="1233"/>
      <c r="X43" s="1233"/>
      <c r="Y43" s="1233"/>
      <c r="Z43" s="1233"/>
      <c r="AA43" s="1233"/>
      <c r="AB43" s="1233"/>
      <c r="AC43" s="1233"/>
    </row>
    <row r="44" spans="2:29" ht="15" customHeight="1">
      <c r="B44" s="1233"/>
      <c r="C44" s="1233"/>
      <c r="D44" s="1233"/>
      <c r="E44" s="1233"/>
      <c r="F44" s="1233"/>
      <c r="G44" s="1233"/>
      <c r="H44" s="1233"/>
      <c r="I44" s="1233"/>
      <c r="J44" s="1233"/>
      <c r="K44" s="1233"/>
      <c r="L44" s="1233"/>
      <c r="M44" s="1233"/>
      <c r="N44" s="1233"/>
      <c r="O44" s="1233"/>
      <c r="P44" s="1233"/>
      <c r="Q44" s="1233"/>
      <c r="R44" s="1233"/>
      <c r="S44" s="1233"/>
      <c r="T44" s="1233"/>
      <c r="U44" s="1233"/>
      <c r="V44" s="1233"/>
      <c r="W44" s="1233"/>
      <c r="X44" s="1233"/>
      <c r="Y44" s="1233"/>
      <c r="Z44" s="1233"/>
      <c r="AA44" s="1233"/>
      <c r="AB44" s="1233"/>
      <c r="AC44" s="1233"/>
    </row>
    <row r="45" spans="2:29" ht="39" customHeight="1">
      <c r="B45" s="275"/>
      <c r="C45" s="275"/>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row>
    <row r="46" spans="2:29" ht="15" customHeight="1">
      <c r="S46" s="1234"/>
      <c r="T46" s="1234"/>
      <c r="U46" s="1234"/>
      <c r="V46" s="1234"/>
      <c r="W46" s="1234"/>
      <c r="X46" s="1234"/>
      <c r="Y46" s="1234"/>
      <c r="Z46" s="1234"/>
      <c r="AA46" s="1234"/>
      <c r="AB46" s="1234"/>
      <c r="AC46" s="1234"/>
    </row>
    <row r="47" spans="2:29" ht="21">
      <c r="B47" s="1197" t="s">
        <v>205</v>
      </c>
      <c r="C47" s="1197"/>
      <c r="D47" s="1197"/>
      <c r="E47" s="1197"/>
      <c r="F47" s="1197"/>
      <c r="G47" s="1197"/>
      <c r="H47" s="1197"/>
      <c r="I47" s="1197"/>
      <c r="J47" s="1197"/>
      <c r="K47" s="1197"/>
      <c r="L47" s="1197"/>
      <c r="M47" s="1197"/>
      <c r="N47" s="1197"/>
      <c r="O47" s="1197"/>
      <c r="P47" s="1197"/>
      <c r="Q47" s="1197"/>
      <c r="R47" s="1197"/>
      <c r="S47" s="1197"/>
      <c r="T47" s="1197"/>
      <c r="U47" s="1197"/>
      <c r="V47" s="1197"/>
      <c r="W47" s="1197"/>
      <c r="X47" s="1197"/>
      <c r="Y47" s="1197"/>
      <c r="Z47" s="1197"/>
      <c r="AA47" s="1197"/>
      <c r="AB47" s="1197"/>
      <c r="AC47" s="1197"/>
    </row>
    <row r="48" spans="2:29" ht="21">
      <c r="B48" s="1197" t="s">
        <v>206</v>
      </c>
      <c r="C48" s="1197"/>
      <c r="D48" s="1197"/>
      <c r="E48" s="1197"/>
      <c r="F48" s="1197"/>
      <c r="G48" s="1197"/>
      <c r="H48" s="1197"/>
      <c r="I48" s="1197"/>
      <c r="J48" s="1197"/>
      <c r="K48" s="1197"/>
      <c r="L48" s="1197"/>
      <c r="M48" s="1197"/>
      <c r="N48" s="1197"/>
      <c r="O48" s="1197"/>
      <c r="P48" s="1197"/>
      <c r="Q48" s="1197"/>
      <c r="R48" s="1197"/>
      <c r="S48" s="1197"/>
      <c r="T48" s="1197"/>
      <c r="U48" s="1197"/>
      <c r="V48" s="1197"/>
      <c r="W48" s="1197"/>
      <c r="X48" s="1197"/>
      <c r="Y48" s="1197"/>
      <c r="Z48" s="1197"/>
      <c r="AA48" s="1197"/>
      <c r="AB48" s="1197"/>
      <c r="AC48" s="1197"/>
    </row>
    <row r="49" spans="2:47" ht="23.25" customHeight="1">
      <c r="B49" s="1197" t="s">
        <v>207</v>
      </c>
      <c r="C49" s="1197"/>
      <c r="D49" s="1197"/>
      <c r="E49" s="1197"/>
      <c r="F49" s="1197"/>
      <c r="G49" s="1197"/>
      <c r="H49" s="1197"/>
      <c r="I49" s="1197"/>
      <c r="J49" s="1197"/>
      <c r="K49" s="1197"/>
      <c r="L49" s="1197"/>
      <c r="M49" s="1197"/>
      <c r="N49" s="1197"/>
      <c r="O49" s="1197"/>
      <c r="P49" s="1197"/>
      <c r="Q49" s="1197"/>
      <c r="R49" s="1197"/>
      <c r="S49" s="1197"/>
      <c r="T49" s="1197"/>
      <c r="U49" s="1197"/>
      <c r="V49" s="1197"/>
      <c r="W49" s="1197"/>
      <c r="X49" s="1197"/>
      <c r="Y49" s="1197"/>
      <c r="Z49" s="1197"/>
      <c r="AA49" s="1197"/>
      <c r="AB49" s="1197"/>
      <c r="AC49" s="1197"/>
    </row>
    <row r="50" spans="2:47">
      <c r="B50" s="106"/>
      <c r="C50" s="106"/>
      <c r="D50" s="106"/>
      <c r="E50" s="106"/>
      <c r="F50" s="106"/>
      <c r="G50" s="106"/>
      <c r="H50" s="106"/>
      <c r="I50" s="106"/>
      <c r="J50" s="106"/>
      <c r="K50" s="106"/>
      <c r="L50" s="106"/>
      <c r="M50" s="106"/>
      <c r="N50" s="106"/>
      <c r="O50" s="106"/>
      <c r="P50" s="106"/>
      <c r="Q50" s="106"/>
      <c r="R50" s="106"/>
      <c r="S50" s="106"/>
      <c r="T50" s="106"/>
      <c r="U50" s="106"/>
      <c r="V50" s="106"/>
      <c r="W50" s="106"/>
      <c r="X50" s="106"/>
      <c r="Y50" s="106"/>
      <c r="Z50" s="106"/>
      <c r="AA50" s="106"/>
      <c r="AB50" s="106"/>
      <c r="AC50" s="106"/>
    </row>
    <row r="51" spans="2:47">
      <c r="B51" s="100"/>
    </row>
    <row r="52" spans="2:47">
      <c r="B52" s="130"/>
      <c r="C52" s="137"/>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137"/>
      <c r="AB52" s="137"/>
      <c r="AC52" s="137"/>
    </row>
    <row r="53" spans="2:47">
      <c r="B53" s="138"/>
      <c r="C53" s="138"/>
      <c r="D53" s="138"/>
      <c r="E53" s="138"/>
      <c r="F53" s="138"/>
      <c r="G53" s="138"/>
      <c r="H53" s="138"/>
      <c r="I53" s="138"/>
      <c r="J53" s="138"/>
      <c r="K53" s="138"/>
      <c r="L53" s="138"/>
      <c r="M53" s="138"/>
      <c r="N53" s="138"/>
      <c r="O53" s="138"/>
      <c r="P53" s="138"/>
      <c r="Q53" s="138"/>
      <c r="R53" s="138"/>
      <c r="S53" s="138"/>
      <c r="T53" s="138"/>
      <c r="U53" s="138"/>
      <c r="V53" s="138"/>
      <c r="W53" s="138"/>
      <c r="X53" s="138"/>
      <c r="Y53" s="138"/>
      <c r="Z53" s="138"/>
      <c r="AA53" s="138"/>
      <c r="AB53" s="138"/>
      <c r="AC53" s="138"/>
    </row>
    <row r="54" spans="2:47" ht="24.75" customHeight="1">
      <c r="B54" s="1232" t="s">
        <v>153</v>
      </c>
      <c r="C54" s="1232"/>
      <c r="D54" s="1232"/>
      <c r="E54" s="1232"/>
      <c r="F54" s="1232"/>
      <c r="G54" s="1232"/>
      <c r="H54" s="1232"/>
      <c r="I54" s="1232"/>
      <c r="J54" s="1232"/>
      <c r="K54" s="1232"/>
      <c r="L54" s="1232"/>
      <c r="M54" s="145" t="s">
        <v>2</v>
      </c>
      <c r="N54" s="1221" t="str">
        <f>UPPER(_nama_sekolah)</f>
        <v>SMP NEGERI 1 ABUNG SURAKARTA</v>
      </c>
      <c r="O54" s="1221"/>
      <c r="P54" s="1221"/>
      <c r="Q54" s="1221"/>
      <c r="R54" s="1221"/>
      <c r="S54" s="1221"/>
      <c r="T54" s="1221"/>
      <c r="U54" s="1221"/>
      <c r="V54" s="1221"/>
      <c r="W54" s="1221"/>
      <c r="X54" s="1221"/>
      <c r="Y54" s="1221"/>
      <c r="Z54" s="1221"/>
      <c r="AA54" s="1221"/>
      <c r="AB54" s="1221"/>
      <c r="AC54" s="146"/>
      <c r="AJ54" s="16" t="s">
        <v>183</v>
      </c>
    </row>
    <row r="55" spans="2:47" ht="24.75" customHeight="1">
      <c r="B55" s="1232" t="s">
        <v>212</v>
      </c>
      <c r="C55" s="1232"/>
      <c r="D55" s="1232"/>
      <c r="E55" s="1232"/>
      <c r="F55" s="1232"/>
      <c r="G55" s="1232"/>
      <c r="H55" s="1232"/>
      <c r="I55" s="1232"/>
      <c r="J55" s="1232"/>
      <c r="K55" s="1232"/>
      <c r="L55" s="1232"/>
      <c r="M55" s="145" t="s">
        <v>2</v>
      </c>
      <c r="N55" s="1221" t="str">
        <f>_NSS_NPSN</f>
        <v>10802887</v>
      </c>
      <c r="O55" s="1221"/>
      <c r="P55" s="1221"/>
      <c r="Q55" s="1221"/>
      <c r="R55" s="1221"/>
      <c r="S55" s="1221"/>
      <c r="T55" s="1221"/>
      <c r="U55" s="1221"/>
      <c r="V55" s="1221"/>
      <c r="W55" s="1221"/>
      <c r="X55" s="1221"/>
      <c r="Y55" s="1221"/>
      <c r="Z55" s="1221"/>
      <c r="AA55" s="1221"/>
      <c r="AB55" s="1221"/>
      <c r="AC55" s="146"/>
      <c r="AJ55" s="102">
        <f>IF(C54=_MP1,1,IF(C54=_MP2,2,IF(C54=_MP3,3,IF(C54=_MP4,4,5))))</f>
        <v>5</v>
      </c>
    </row>
    <row r="56" spans="2:47" ht="24.75" customHeight="1">
      <c r="B56" s="1232" t="s">
        <v>213</v>
      </c>
      <c r="C56" s="1232"/>
      <c r="D56" s="1232"/>
      <c r="E56" s="1232"/>
      <c r="F56" s="1232"/>
      <c r="G56" s="1232"/>
      <c r="H56" s="1232"/>
      <c r="I56" s="1232"/>
      <c r="J56" s="1232"/>
      <c r="K56" s="1232"/>
      <c r="L56" s="1232"/>
      <c r="M56" s="145" t="s">
        <v>2</v>
      </c>
      <c r="N56" s="1221" t="str">
        <f>_NIS_NSS</f>
        <v>20.1.12.03.14.001</v>
      </c>
      <c r="O56" s="1221"/>
      <c r="P56" s="1221"/>
      <c r="Q56" s="1221"/>
      <c r="R56" s="1221"/>
      <c r="S56" s="1221"/>
      <c r="T56" s="1221"/>
      <c r="U56" s="1221"/>
      <c r="V56" s="1221"/>
      <c r="W56" s="1221"/>
      <c r="X56" s="1221"/>
      <c r="Y56" s="1221"/>
      <c r="Z56" s="1221"/>
      <c r="AA56" s="1221"/>
      <c r="AB56" s="1221"/>
      <c r="AC56" s="146"/>
    </row>
    <row r="57" spans="2:47" ht="24.75" customHeight="1">
      <c r="B57" s="1232" t="s">
        <v>156</v>
      </c>
      <c r="C57" s="1232"/>
      <c r="D57" s="1232"/>
      <c r="E57" s="1232"/>
      <c r="F57" s="1232"/>
      <c r="G57" s="1232"/>
      <c r="H57" s="1232"/>
      <c r="I57" s="1232"/>
      <c r="J57" s="1232"/>
      <c r="K57" s="1232"/>
      <c r="L57" s="1232"/>
      <c r="M57" s="145" t="s">
        <v>2</v>
      </c>
      <c r="N57" s="1221" t="str">
        <f>PROPER(_alamat_sekolah)</f>
        <v>Jl. Pendidikan No. 24</v>
      </c>
      <c r="O57" s="1221"/>
      <c r="P57" s="1221"/>
      <c r="Q57" s="1221"/>
      <c r="R57" s="1221"/>
      <c r="S57" s="1221"/>
      <c r="T57" s="1221"/>
      <c r="U57" s="1221"/>
      <c r="V57" s="1221"/>
      <c r="W57" s="1221"/>
      <c r="X57" s="1221"/>
      <c r="Y57" s="1221"/>
      <c r="Z57" s="1221"/>
      <c r="AA57" s="1221"/>
      <c r="AB57" s="1221"/>
      <c r="AC57" s="146"/>
    </row>
    <row r="58" spans="2:47" ht="24.75" customHeight="1">
      <c r="B58" s="1232"/>
      <c r="C58" s="1232"/>
      <c r="D58" s="1232"/>
      <c r="E58" s="1232"/>
      <c r="F58" s="1232"/>
      <c r="G58" s="1232"/>
      <c r="H58" s="1232"/>
      <c r="I58" s="1232"/>
      <c r="J58" s="1232"/>
      <c r="K58" s="1232"/>
      <c r="L58" s="1232"/>
      <c r="M58" s="145"/>
      <c r="N58" s="1221" t="str">
        <f>"Kode Pos : "&amp;_kode_pos</f>
        <v>Kode Pos : 34584</v>
      </c>
      <c r="O58" s="1221"/>
      <c r="P58" s="1221"/>
      <c r="Q58" s="1221"/>
      <c r="R58" s="1221"/>
      <c r="S58" s="1221"/>
      <c r="T58" s="1221" t="str">
        <f>"Telp. : "&amp;_telpon</f>
        <v>Telp. : -</v>
      </c>
      <c r="U58" s="1221"/>
      <c r="V58" s="1221"/>
      <c r="W58" s="1221"/>
      <c r="X58" s="1221"/>
      <c r="Y58" s="1221"/>
      <c r="Z58" s="1221"/>
      <c r="AA58" s="1221"/>
      <c r="AB58" s="1221"/>
      <c r="AC58" s="1221"/>
    </row>
    <row r="59" spans="2:47" ht="24.75" customHeight="1">
      <c r="B59" s="1232" t="s">
        <v>214</v>
      </c>
      <c r="C59" s="1232"/>
      <c r="D59" s="1232"/>
      <c r="E59" s="1232"/>
      <c r="F59" s="1232"/>
      <c r="G59" s="1232"/>
      <c r="H59" s="1232"/>
      <c r="I59" s="1232"/>
      <c r="J59" s="1232"/>
      <c r="K59" s="1232"/>
      <c r="L59" s="1232"/>
      <c r="M59" s="145" t="s">
        <v>2</v>
      </c>
      <c r="N59" s="1221" t="str">
        <f>PROPER(_kelurahan)</f>
        <v>Tatakarya</v>
      </c>
      <c r="O59" s="1221"/>
      <c r="P59" s="1221"/>
      <c r="Q59" s="1221"/>
      <c r="R59" s="1221"/>
      <c r="S59" s="1221"/>
      <c r="T59" s="1221"/>
      <c r="U59" s="1221"/>
      <c r="V59" s="1221"/>
      <c r="W59" s="1221"/>
      <c r="X59" s="1221"/>
      <c r="Y59" s="1221"/>
      <c r="Z59" s="1221"/>
      <c r="AA59" s="1221"/>
      <c r="AB59" s="1221"/>
      <c r="AC59" s="146"/>
    </row>
    <row r="60" spans="2:47" ht="24.75" customHeight="1">
      <c r="B60" s="1232" t="s">
        <v>158</v>
      </c>
      <c r="C60" s="1232"/>
      <c r="D60" s="1232"/>
      <c r="E60" s="1232"/>
      <c r="F60" s="1232"/>
      <c r="G60" s="1232"/>
      <c r="H60" s="1232"/>
      <c r="I60" s="1232"/>
      <c r="J60" s="1232"/>
      <c r="K60" s="1232"/>
      <c r="L60" s="1232"/>
      <c r="M60" s="145" t="s">
        <v>2</v>
      </c>
      <c r="N60" s="1221" t="str">
        <f>PROPER(_kecamatan)</f>
        <v>Abung Surakarta</v>
      </c>
      <c r="O60" s="1221"/>
      <c r="P60" s="1221"/>
      <c r="Q60" s="1221"/>
      <c r="R60" s="1221"/>
      <c r="S60" s="1221"/>
      <c r="T60" s="1221"/>
      <c r="U60" s="1221"/>
      <c r="V60" s="1221"/>
      <c r="W60" s="1221"/>
      <c r="X60" s="1221"/>
      <c r="Y60" s="1221"/>
      <c r="Z60" s="1221"/>
      <c r="AA60" s="1221"/>
      <c r="AB60" s="1221"/>
      <c r="AC60" s="146"/>
    </row>
    <row r="61" spans="2:47" ht="24.75" customHeight="1">
      <c r="B61" s="1232" t="s">
        <v>215</v>
      </c>
      <c r="C61" s="1232"/>
      <c r="D61" s="1232"/>
      <c r="E61" s="1232"/>
      <c r="F61" s="1232"/>
      <c r="G61" s="1232"/>
      <c r="H61" s="1232"/>
      <c r="I61" s="1232"/>
      <c r="J61" s="1232"/>
      <c r="K61" s="1232"/>
      <c r="L61" s="1232"/>
      <c r="M61" s="145" t="s">
        <v>2</v>
      </c>
      <c r="N61" s="1221" t="str">
        <f>PROPER(_kabupaten)</f>
        <v>Lampung Utara</v>
      </c>
      <c r="O61" s="1221"/>
      <c r="P61" s="1221"/>
      <c r="Q61" s="1221"/>
      <c r="R61" s="1221"/>
      <c r="S61" s="1221"/>
      <c r="T61" s="1221"/>
      <c r="U61" s="1221"/>
      <c r="V61" s="1221"/>
      <c r="W61" s="1221"/>
      <c r="X61" s="1221"/>
      <c r="Y61" s="1221"/>
      <c r="Z61" s="1221"/>
      <c r="AA61" s="1221"/>
      <c r="AB61" s="1221"/>
      <c r="AC61" s="146"/>
    </row>
    <row r="62" spans="2:47" ht="24.75" customHeight="1">
      <c r="B62" s="1232" t="s">
        <v>160</v>
      </c>
      <c r="C62" s="1232"/>
      <c r="D62" s="1232"/>
      <c r="E62" s="1232"/>
      <c r="F62" s="1232"/>
      <c r="G62" s="1232"/>
      <c r="H62" s="1232"/>
      <c r="I62" s="1232"/>
      <c r="J62" s="1232"/>
      <c r="K62" s="1232"/>
      <c r="L62" s="1232"/>
      <c r="M62" s="145" t="s">
        <v>2</v>
      </c>
      <c r="N62" s="1221" t="str">
        <f>PROPER(_provinsi)</f>
        <v>Lampung</v>
      </c>
      <c r="O62" s="1221"/>
      <c r="P62" s="1221"/>
      <c r="Q62" s="1221"/>
      <c r="R62" s="1221"/>
      <c r="S62" s="1221"/>
      <c r="T62" s="1221"/>
      <c r="U62" s="1221"/>
      <c r="V62" s="1221"/>
      <c r="W62" s="1221"/>
      <c r="X62" s="1221"/>
      <c r="Y62" s="1221"/>
      <c r="Z62" s="1221"/>
      <c r="AA62" s="1221"/>
      <c r="AB62" s="1221"/>
      <c r="AC62" s="146"/>
      <c r="AH62" s="17"/>
      <c r="AI62" s="17"/>
      <c r="AJ62" s="17"/>
      <c r="AK62" s="17"/>
      <c r="AL62" s="17"/>
      <c r="AM62" s="17"/>
      <c r="AN62" s="17"/>
      <c r="AO62" s="17"/>
      <c r="AP62" s="17"/>
      <c r="AQ62" s="17"/>
      <c r="AR62" s="17"/>
      <c r="AS62" s="17"/>
      <c r="AT62" s="17"/>
      <c r="AU62" s="17"/>
    </row>
    <row r="63" spans="2:47" s="17" customFormat="1" ht="24.75" customHeight="1">
      <c r="B63" s="1232" t="s">
        <v>216</v>
      </c>
      <c r="C63" s="1232"/>
      <c r="D63" s="1232"/>
      <c r="E63" s="1232"/>
      <c r="F63" s="1232"/>
      <c r="G63" s="1232"/>
      <c r="H63" s="1232"/>
      <c r="I63" s="1232"/>
      <c r="J63" s="1232"/>
      <c r="K63" s="1232"/>
      <c r="L63" s="1232"/>
      <c r="M63" s="145" t="s">
        <v>2</v>
      </c>
      <c r="N63" s="1221" t="str">
        <f>_website</f>
        <v>-</v>
      </c>
      <c r="O63" s="1221"/>
      <c r="P63" s="1221"/>
      <c r="Q63" s="1221"/>
      <c r="R63" s="1221"/>
      <c r="S63" s="1221"/>
      <c r="T63" s="1221"/>
      <c r="U63" s="1221"/>
      <c r="V63" s="1221"/>
      <c r="W63" s="1221"/>
      <c r="X63" s="1221"/>
      <c r="Y63" s="1221"/>
      <c r="Z63" s="1221"/>
      <c r="AA63" s="1221"/>
      <c r="AB63" s="1221"/>
      <c r="AC63" s="146"/>
      <c r="AH63" s="16"/>
      <c r="AI63" s="16"/>
      <c r="AJ63" s="16"/>
      <c r="AK63" s="16"/>
      <c r="AL63" s="16"/>
      <c r="AM63" s="16"/>
      <c r="AN63" s="16"/>
      <c r="AO63" s="16"/>
      <c r="AP63" s="16"/>
      <c r="AQ63" s="16"/>
      <c r="AR63" s="16"/>
      <c r="AS63" s="16"/>
      <c r="AT63" s="16"/>
      <c r="AU63" s="16"/>
    </row>
    <row r="64" spans="2:47" ht="24.75" customHeight="1">
      <c r="B64" s="1232" t="s">
        <v>217</v>
      </c>
      <c r="C64" s="1232"/>
      <c r="D64" s="1232"/>
      <c r="E64" s="1232"/>
      <c r="F64" s="1232"/>
      <c r="G64" s="1232"/>
      <c r="H64" s="1232"/>
      <c r="I64" s="1232"/>
      <c r="J64" s="1232"/>
      <c r="K64" s="1232"/>
      <c r="L64" s="1232"/>
      <c r="M64" s="145" t="s">
        <v>2</v>
      </c>
      <c r="N64" s="1221" t="str">
        <f>_email</f>
        <v>smpnegeri1abungsurakarta@yahoo.com</v>
      </c>
      <c r="O64" s="1221"/>
      <c r="P64" s="1221"/>
      <c r="Q64" s="1221"/>
      <c r="R64" s="1221"/>
      <c r="S64" s="1221"/>
      <c r="T64" s="1221"/>
      <c r="U64" s="1221"/>
      <c r="V64" s="1221"/>
      <c r="W64" s="1221"/>
      <c r="X64" s="1221"/>
      <c r="Y64" s="1221"/>
      <c r="Z64" s="1221"/>
      <c r="AA64" s="1221"/>
      <c r="AB64" s="1221"/>
      <c r="AC64" s="146"/>
    </row>
    <row r="65" spans="2:29" ht="24.75" customHeight="1">
      <c r="B65" s="274"/>
      <c r="C65" s="274"/>
      <c r="D65" s="274"/>
      <c r="E65" s="274"/>
      <c r="F65" s="274"/>
      <c r="G65" s="274"/>
      <c r="H65" s="274"/>
      <c r="I65" s="274"/>
      <c r="J65" s="274"/>
      <c r="K65" s="274"/>
      <c r="L65" s="274"/>
      <c r="M65" s="145"/>
      <c r="N65" s="273"/>
      <c r="O65" s="273"/>
      <c r="P65" s="273"/>
      <c r="Q65" s="273"/>
      <c r="R65" s="273"/>
      <c r="S65" s="273"/>
      <c r="T65" s="273"/>
      <c r="U65" s="273"/>
      <c r="V65" s="273"/>
      <c r="W65" s="273"/>
      <c r="X65" s="273"/>
      <c r="Y65" s="273"/>
      <c r="Z65" s="273"/>
      <c r="AA65" s="273"/>
      <c r="AB65" s="273"/>
      <c r="AC65" s="146"/>
    </row>
    <row r="66" spans="2:29" ht="24.75" customHeight="1">
      <c r="B66" s="274"/>
      <c r="C66" s="274"/>
      <c r="D66" s="274"/>
      <c r="E66" s="274"/>
      <c r="F66" s="274"/>
      <c r="G66" s="274"/>
      <c r="H66" s="274"/>
      <c r="I66" s="274"/>
      <c r="J66" s="274"/>
      <c r="K66" s="274"/>
      <c r="L66" s="274"/>
      <c r="M66" s="145"/>
      <c r="N66" s="273"/>
      <c r="O66" s="273"/>
      <c r="P66" s="273"/>
      <c r="Q66" s="273"/>
      <c r="R66" s="273"/>
      <c r="S66" s="273"/>
      <c r="T66" s="273"/>
      <c r="U66" s="273"/>
      <c r="V66" s="273"/>
      <c r="W66" s="273"/>
      <c r="X66" s="273"/>
      <c r="Y66" s="273"/>
      <c r="Z66" s="273"/>
      <c r="AA66" s="273"/>
      <c r="AB66" s="273"/>
      <c r="AC66" s="146"/>
    </row>
    <row r="67" spans="2:29" ht="24.75" customHeight="1">
      <c r="B67" s="274"/>
      <c r="C67" s="274"/>
      <c r="D67" s="274"/>
      <c r="E67" s="274"/>
      <c r="F67" s="274"/>
      <c r="G67" s="274"/>
      <c r="H67" s="274"/>
      <c r="I67" s="274"/>
      <c r="J67" s="274"/>
      <c r="K67" s="274"/>
      <c r="L67" s="274"/>
      <c r="M67" s="145"/>
      <c r="N67" s="273"/>
      <c r="O67" s="273"/>
      <c r="P67" s="273"/>
      <c r="Q67" s="273"/>
      <c r="R67" s="273"/>
      <c r="S67" s="273"/>
      <c r="T67" s="273"/>
      <c r="U67" s="273"/>
      <c r="V67" s="273"/>
      <c r="W67" s="273"/>
      <c r="X67" s="273"/>
      <c r="Y67" s="273"/>
      <c r="Z67" s="273"/>
      <c r="AA67" s="273"/>
      <c r="AB67" s="273"/>
      <c r="AC67" s="146"/>
    </row>
    <row r="68" spans="2:29" ht="24.75" customHeight="1">
      <c r="B68" s="274"/>
      <c r="C68" s="274"/>
      <c r="D68" s="274"/>
      <c r="E68" s="274"/>
      <c r="F68" s="274"/>
      <c r="G68" s="274"/>
      <c r="H68" s="274"/>
      <c r="I68" s="274"/>
      <c r="J68" s="274"/>
      <c r="K68" s="274"/>
      <c r="L68" s="274"/>
      <c r="M68" s="145"/>
      <c r="N68" s="273"/>
      <c r="O68" s="273"/>
      <c r="P68" s="273"/>
      <c r="Q68" s="273"/>
      <c r="R68" s="273"/>
      <c r="S68" s="273"/>
      <c r="T68" s="273"/>
      <c r="U68" s="273"/>
      <c r="V68" s="273"/>
      <c r="W68" s="273"/>
      <c r="X68" s="273"/>
      <c r="Y68" s="273"/>
      <c r="Z68" s="273"/>
      <c r="AA68" s="273"/>
      <c r="AB68" s="273"/>
      <c r="AC68" s="146"/>
    </row>
    <row r="69" spans="2:29" ht="24.75" customHeight="1">
      <c r="B69" s="274"/>
      <c r="C69" s="274"/>
      <c r="D69" s="274"/>
      <c r="E69" s="274"/>
      <c r="F69" s="274"/>
      <c r="G69" s="274"/>
      <c r="H69" s="274"/>
      <c r="I69" s="274"/>
      <c r="J69" s="274"/>
      <c r="K69" s="274"/>
      <c r="L69" s="274"/>
      <c r="M69" s="145"/>
      <c r="N69" s="273"/>
      <c r="O69" s="273"/>
      <c r="P69" s="273"/>
      <c r="Q69" s="273"/>
      <c r="R69" s="273"/>
      <c r="S69" s="273"/>
      <c r="T69" s="273"/>
      <c r="U69" s="273"/>
      <c r="V69" s="273"/>
      <c r="W69" s="273"/>
      <c r="X69" s="273"/>
      <c r="Y69" s="273"/>
      <c r="Z69" s="273"/>
      <c r="AA69" s="273"/>
      <c r="AB69" s="273"/>
      <c r="AC69" s="146"/>
    </row>
    <row r="70" spans="2:29" ht="24.75" customHeight="1">
      <c r="B70" s="274"/>
      <c r="C70" s="274"/>
      <c r="D70" s="274"/>
      <c r="E70" s="274"/>
      <c r="F70" s="274"/>
      <c r="G70" s="274"/>
      <c r="H70" s="274"/>
      <c r="I70" s="274"/>
      <c r="J70" s="274"/>
      <c r="K70" s="274"/>
      <c r="L70" s="274"/>
      <c r="M70" s="145"/>
      <c r="N70" s="273"/>
      <c r="O70" s="273"/>
      <c r="P70" s="273"/>
      <c r="Q70" s="273"/>
      <c r="R70" s="273"/>
      <c r="S70" s="273"/>
      <c r="T70" s="273"/>
      <c r="U70" s="273"/>
      <c r="V70" s="273"/>
      <c r="W70" s="273"/>
      <c r="X70" s="273"/>
      <c r="Y70" s="273"/>
      <c r="Z70" s="273"/>
      <c r="AA70" s="273"/>
      <c r="AB70" s="273"/>
      <c r="AC70" s="146"/>
    </row>
    <row r="71" spans="2:29" ht="24.75" customHeight="1">
      <c r="B71" s="274"/>
      <c r="C71" s="274"/>
      <c r="D71" s="274"/>
      <c r="E71" s="274"/>
      <c r="F71" s="274"/>
      <c r="G71" s="274"/>
      <c r="H71" s="274"/>
      <c r="I71" s="274"/>
      <c r="J71" s="274"/>
      <c r="K71" s="274"/>
      <c r="L71" s="274"/>
      <c r="M71" s="145"/>
      <c r="N71" s="273"/>
      <c r="O71" s="273"/>
      <c r="P71" s="273"/>
      <c r="Q71" s="273"/>
      <c r="R71" s="273"/>
      <c r="S71" s="273"/>
      <c r="T71" s="273"/>
      <c r="U71" s="273"/>
      <c r="V71" s="273"/>
      <c r="W71" s="273"/>
      <c r="X71" s="273"/>
      <c r="Y71" s="273"/>
      <c r="Z71" s="273"/>
      <c r="AA71" s="273"/>
      <c r="AB71" s="273"/>
      <c r="AC71" s="146"/>
    </row>
    <row r="72" spans="2:29" ht="24.75" customHeight="1">
      <c r="B72" s="274"/>
      <c r="C72" s="274"/>
      <c r="D72" s="274"/>
      <c r="E72" s="274"/>
      <c r="F72" s="274"/>
      <c r="G72" s="274"/>
      <c r="H72" s="274"/>
      <c r="I72" s="274"/>
      <c r="J72" s="274"/>
      <c r="K72" s="274"/>
      <c r="L72" s="274"/>
      <c r="M72" s="145"/>
      <c r="N72" s="273"/>
      <c r="O72" s="273"/>
      <c r="P72" s="273"/>
      <c r="Q72" s="273"/>
      <c r="R72" s="273"/>
      <c r="S72" s="273"/>
      <c r="T72" s="273"/>
      <c r="U72" s="273"/>
      <c r="V72" s="273"/>
      <c r="W72" s="273"/>
      <c r="X72" s="273"/>
      <c r="Y72" s="273"/>
      <c r="Z72" s="273"/>
      <c r="AA72" s="273"/>
      <c r="AB72" s="273"/>
      <c r="AC72" s="146"/>
    </row>
    <row r="73" spans="2:29" ht="24.75" customHeight="1">
      <c r="B73" s="274"/>
      <c r="C73" s="274"/>
      <c r="D73" s="274"/>
      <c r="E73" s="274"/>
      <c r="F73" s="274"/>
      <c r="G73" s="274"/>
      <c r="H73" s="274"/>
      <c r="I73" s="274"/>
      <c r="J73" s="274"/>
      <c r="K73" s="274"/>
      <c r="L73" s="274"/>
      <c r="M73" s="145"/>
      <c r="N73" s="273"/>
      <c r="O73" s="273"/>
      <c r="P73" s="273"/>
      <c r="Q73" s="273"/>
      <c r="R73" s="273"/>
      <c r="S73" s="273"/>
      <c r="T73" s="273"/>
      <c r="U73" s="273"/>
      <c r="V73" s="273"/>
      <c r="W73" s="273"/>
      <c r="X73" s="273"/>
      <c r="Y73" s="273"/>
      <c r="Z73" s="273"/>
      <c r="AA73" s="273"/>
      <c r="AB73" s="273"/>
      <c r="AC73" s="146"/>
    </row>
    <row r="74" spans="2:29" ht="24.75" customHeight="1">
      <c r="B74" s="274"/>
      <c r="C74" s="274"/>
      <c r="D74" s="274"/>
      <c r="E74" s="274"/>
      <c r="F74" s="274"/>
      <c r="G74" s="274"/>
      <c r="H74" s="274"/>
      <c r="I74" s="274"/>
      <c r="J74" s="274"/>
      <c r="K74" s="274"/>
      <c r="L74" s="274"/>
      <c r="M74" s="145"/>
      <c r="N74" s="273"/>
      <c r="O74" s="273"/>
      <c r="P74" s="273"/>
      <c r="Q74" s="273"/>
      <c r="R74" s="273"/>
      <c r="S74" s="273"/>
      <c r="T74" s="273"/>
      <c r="U74" s="273"/>
      <c r="V74" s="273"/>
      <c r="W74" s="273"/>
      <c r="X74" s="273"/>
      <c r="Y74" s="273"/>
      <c r="Z74" s="273"/>
      <c r="AA74" s="273"/>
      <c r="AB74" s="273"/>
      <c r="AC74" s="146"/>
    </row>
    <row r="75" spans="2:29" ht="24.75" customHeight="1">
      <c r="B75" s="274"/>
      <c r="C75" s="274"/>
      <c r="D75" s="274"/>
      <c r="E75" s="274"/>
      <c r="F75" s="274"/>
      <c r="G75" s="274"/>
      <c r="H75" s="274"/>
      <c r="I75" s="274"/>
      <c r="J75" s="274"/>
      <c r="K75" s="274"/>
      <c r="L75" s="274"/>
      <c r="M75" s="145"/>
      <c r="N75" s="273"/>
      <c r="O75" s="273"/>
      <c r="P75" s="273"/>
      <c r="Q75" s="273"/>
      <c r="R75" s="273"/>
      <c r="S75" s="273"/>
      <c r="T75" s="273"/>
      <c r="U75" s="273"/>
      <c r="V75" s="273"/>
      <c r="W75" s="273"/>
      <c r="X75" s="273"/>
      <c r="Y75" s="273"/>
      <c r="Z75" s="273"/>
      <c r="AA75" s="273"/>
      <c r="AB75" s="273"/>
      <c r="AC75" s="146"/>
    </row>
    <row r="76" spans="2:29" ht="26.25" customHeight="1">
      <c r="B76" s="274"/>
      <c r="C76" s="274"/>
      <c r="D76" s="274"/>
      <c r="E76" s="274"/>
      <c r="F76" s="274"/>
      <c r="G76" s="274"/>
      <c r="H76" s="274"/>
      <c r="I76" s="274"/>
      <c r="J76" s="274"/>
      <c r="K76" s="274"/>
      <c r="L76" s="274"/>
      <c r="M76" s="145"/>
      <c r="N76" s="273"/>
      <c r="O76" s="273"/>
      <c r="P76" s="273"/>
      <c r="Q76" s="273"/>
      <c r="R76" s="273"/>
      <c r="S76" s="273"/>
      <c r="T76" s="273"/>
      <c r="U76" s="273"/>
      <c r="V76" s="273"/>
      <c r="W76" s="273"/>
      <c r="X76" s="273"/>
      <c r="Y76" s="273"/>
      <c r="Z76" s="273"/>
      <c r="AA76" s="273"/>
      <c r="AB76" s="273"/>
      <c r="AC76" s="146"/>
    </row>
    <row r="77" spans="2:29" ht="24.75" customHeight="1">
      <c r="B77" s="274"/>
      <c r="C77" s="274"/>
      <c r="D77" s="274"/>
      <c r="E77" s="274"/>
      <c r="F77" s="274"/>
      <c r="G77" s="274"/>
      <c r="H77" s="274"/>
      <c r="I77" s="274"/>
      <c r="J77" s="274"/>
      <c r="K77" s="274"/>
      <c r="L77" s="274"/>
      <c r="M77" s="145"/>
      <c r="N77" s="273"/>
      <c r="O77" s="273"/>
      <c r="P77" s="273"/>
      <c r="Q77" s="273"/>
      <c r="R77" s="273"/>
      <c r="S77" s="273"/>
      <c r="T77" s="273"/>
      <c r="U77" s="273"/>
      <c r="V77" s="273"/>
      <c r="W77" s="273"/>
      <c r="X77" s="273"/>
      <c r="Y77" s="273"/>
      <c r="Z77" s="273"/>
      <c r="AA77" s="273"/>
      <c r="AB77" s="273"/>
      <c r="AC77" s="146"/>
    </row>
    <row r="78" spans="2:29" ht="4.5" customHeight="1">
      <c r="B78" s="274"/>
      <c r="C78" s="274"/>
      <c r="D78" s="274"/>
      <c r="E78" s="274"/>
      <c r="F78" s="274"/>
      <c r="G78" s="274"/>
      <c r="H78" s="274"/>
      <c r="I78" s="274"/>
      <c r="J78" s="274"/>
      <c r="K78" s="274"/>
      <c r="L78" s="274"/>
      <c r="M78" s="145"/>
      <c r="N78" s="273"/>
      <c r="O78" s="273"/>
      <c r="P78" s="273"/>
      <c r="Q78" s="273"/>
      <c r="R78" s="273"/>
      <c r="S78" s="273"/>
      <c r="T78" s="273"/>
      <c r="U78" s="273"/>
      <c r="V78" s="273"/>
      <c r="W78" s="273"/>
      <c r="X78" s="273"/>
      <c r="Y78" s="273"/>
      <c r="Z78" s="273"/>
      <c r="AA78" s="273"/>
      <c r="AB78" s="273"/>
      <c r="AC78" s="146"/>
    </row>
    <row r="79" spans="2:29" ht="24.75" customHeight="1">
      <c r="B79" s="274"/>
      <c r="C79" s="274"/>
      <c r="D79" s="274"/>
      <c r="E79" s="274"/>
      <c r="F79" s="274"/>
      <c r="G79" s="274"/>
      <c r="H79" s="274"/>
      <c r="I79" s="274"/>
      <c r="J79" s="274"/>
      <c r="K79" s="274"/>
      <c r="L79" s="274"/>
      <c r="M79" s="145"/>
      <c r="N79" s="273"/>
      <c r="O79" s="273"/>
      <c r="P79" s="273"/>
      <c r="Q79" s="273"/>
      <c r="R79" s="273"/>
      <c r="S79" s="273"/>
      <c r="T79" s="273"/>
      <c r="U79" s="273"/>
      <c r="V79" s="273"/>
      <c r="W79" s="273"/>
      <c r="X79" s="273"/>
      <c r="Y79" s="273"/>
      <c r="Z79" s="273"/>
      <c r="AA79" s="273"/>
      <c r="AB79" s="273"/>
      <c r="AC79" s="146"/>
    </row>
    <row r="80" spans="2:29">
      <c r="B80" s="139"/>
      <c r="C80" s="139"/>
      <c r="D80" s="139"/>
      <c r="E80" s="139"/>
      <c r="F80" s="139"/>
      <c r="G80" s="139"/>
      <c r="H80" s="139"/>
      <c r="I80" s="139"/>
      <c r="J80" s="139"/>
      <c r="K80" s="139"/>
      <c r="L80" s="139"/>
      <c r="M80" s="139"/>
      <c r="N80" s="139"/>
      <c r="O80" s="139"/>
      <c r="P80" s="139"/>
      <c r="Q80" s="140"/>
      <c r="R80" s="140"/>
      <c r="S80" s="140"/>
      <c r="T80" s="140"/>
      <c r="U80" s="140"/>
      <c r="V80" s="140"/>
      <c r="W80" s="140"/>
      <c r="X80" s="140"/>
      <c r="Y80" s="140"/>
      <c r="Z80" s="140"/>
      <c r="AA80" s="140"/>
      <c r="AB80" s="140"/>
      <c r="AC80" s="140"/>
    </row>
    <row r="81" spans="2:29">
      <c r="B81" s="138"/>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138"/>
      <c r="AC81" s="138"/>
    </row>
    <row r="82" spans="2:29" ht="18.75" customHeight="1">
      <c r="B82" s="139"/>
      <c r="C82" s="139"/>
      <c r="D82" s="139"/>
      <c r="E82" s="139"/>
      <c r="F82" s="139"/>
      <c r="G82" s="139"/>
      <c r="H82" s="139"/>
      <c r="I82" s="139"/>
      <c r="J82" s="139"/>
      <c r="K82" s="139"/>
      <c r="L82" s="139"/>
      <c r="M82" s="139"/>
      <c r="N82" s="139"/>
      <c r="O82" s="139"/>
      <c r="P82" s="139"/>
      <c r="Q82" s="140"/>
      <c r="R82" s="140"/>
      <c r="S82" s="140"/>
      <c r="T82" s="140"/>
      <c r="U82" s="140"/>
      <c r="V82" s="140"/>
      <c r="W82" s="140"/>
      <c r="X82" s="140"/>
      <c r="Y82" s="140"/>
      <c r="Z82" s="140"/>
      <c r="AA82" s="140"/>
      <c r="AB82" s="140"/>
      <c r="AC82" s="140"/>
    </row>
    <row r="83" spans="2:29">
      <c r="B83" s="139"/>
      <c r="C83" s="139"/>
      <c r="D83" s="139"/>
      <c r="E83" s="139"/>
      <c r="F83" s="139"/>
      <c r="G83" s="139"/>
      <c r="H83" s="139"/>
      <c r="I83" s="139"/>
      <c r="J83" s="139"/>
      <c r="K83" s="139"/>
      <c r="L83" s="139"/>
      <c r="M83" s="139"/>
      <c r="N83" s="139"/>
      <c r="O83" s="139"/>
      <c r="P83" s="139"/>
      <c r="Q83" s="140"/>
      <c r="R83" s="140"/>
      <c r="S83" s="1234"/>
      <c r="T83" s="1234"/>
      <c r="U83" s="1234"/>
      <c r="V83" s="1234"/>
      <c r="W83" s="1234"/>
      <c r="X83" s="1234"/>
      <c r="Y83" s="1234"/>
      <c r="Z83" s="1234"/>
      <c r="AA83" s="1234"/>
      <c r="AB83" s="1234"/>
      <c r="AC83" s="1234"/>
    </row>
    <row r="84" spans="2:29" ht="21">
      <c r="B84" s="1197" t="s">
        <v>220</v>
      </c>
      <c r="C84" s="1197"/>
      <c r="D84" s="1197"/>
      <c r="E84" s="1197"/>
      <c r="F84" s="1197"/>
      <c r="G84" s="1197"/>
      <c r="H84" s="1197"/>
      <c r="I84" s="1197"/>
      <c r="J84" s="1197"/>
      <c r="K84" s="1197"/>
      <c r="L84" s="1197"/>
      <c r="M84" s="1197"/>
      <c r="N84" s="1197"/>
      <c r="O84" s="1197"/>
      <c r="P84" s="1197"/>
      <c r="Q84" s="1197"/>
      <c r="R84" s="1197"/>
      <c r="S84" s="1197"/>
      <c r="T84" s="1197"/>
      <c r="U84" s="1197"/>
      <c r="V84" s="1197"/>
      <c r="W84" s="1197"/>
      <c r="X84" s="1197"/>
      <c r="Y84" s="1197"/>
      <c r="Z84" s="1197"/>
      <c r="AA84" s="1197"/>
      <c r="AB84" s="1197"/>
      <c r="AC84" s="1197"/>
    </row>
    <row r="85" spans="2:29">
      <c r="T85" s="97"/>
      <c r="X85" s="97"/>
    </row>
    <row r="86" spans="2:29">
      <c r="T86" s="97"/>
      <c r="X86" s="97"/>
    </row>
    <row r="87" spans="2:29" ht="22.5" customHeight="1">
      <c r="B87" s="106"/>
      <c r="C87" s="196" t="str">
        <f>1&amp;"."</f>
        <v>1.</v>
      </c>
      <c r="D87" s="148"/>
      <c r="E87" s="148" t="s">
        <v>221</v>
      </c>
      <c r="F87" s="148"/>
      <c r="G87" s="148"/>
      <c r="H87" s="148"/>
      <c r="I87" s="148"/>
      <c r="J87" s="148"/>
      <c r="K87" s="148"/>
      <c r="L87" s="148"/>
      <c r="M87" s="148"/>
      <c r="N87" s="148" t="s">
        <v>2</v>
      </c>
      <c r="O87" s="1221" t="str">
        <f>IFERROR(IF(UPPER(VLOOKUP($AE$4,_Biodata_Lengkap,4,FALSE))=0,"-",(UPPER(VLOOKUP($AE$4,_Biodata_Lengkap,4,FALSE)))),"-")</f>
        <v>CALISSTA SABRINA SALWA AURELIA</v>
      </c>
      <c r="P87" s="1221"/>
      <c r="Q87" s="1221"/>
      <c r="R87" s="1221"/>
      <c r="S87" s="1221"/>
      <c r="T87" s="1221"/>
      <c r="U87" s="1221"/>
      <c r="V87" s="1221"/>
      <c r="W87" s="1221"/>
      <c r="X87" s="1221"/>
      <c r="Y87" s="1221"/>
      <c r="Z87" s="1221"/>
      <c r="AA87" s="1221"/>
      <c r="AB87" s="1221"/>
      <c r="AC87" s="1221"/>
    </row>
    <row r="88" spans="2:29" ht="22.5" customHeight="1">
      <c r="B88" s="131"/>
      <c r="C88" s="196" t="str">
        <f>2&amp;"."</f>
        <v>2.</v>
      </c>
      <c r="D88" s="193"/>
      <c r="E88" s="193" t="s">
        <v>166</v>
      </c>
      <c r="F88" s="193"/>
      <c r="G88" s="193"/>
      <c r="H88" s="193"/>
      <c r="I88" s="193"/>
      <c r="J88" s="193"/>
      <c r="K88" s="193"/>
      <c r="L88" s="193"/>
      <c r="M88" s="145"/>
      <c r="N88" s="148" t="s">
        <v>2</v>
      </c>
      <c r="O88" s="1221" t="str">
        <f>IFERROR(IF((VLOOKUP($AE$4,_Biodata_Lengkap,2,FALSE))=0,"-",((VLOOKUP($AE$4,_Biodata_Lengkap,2,FALSE))&amp;" / "&amp;IF(VLOOKUP(AE4,_Biodata_Lengkap,3,FALSE)=0,"-",(VLOOKUP(AE4,_Biodata_Lengkap,3,FALSE))))),"-")</f>
        <v>7069 / 0055373501</v>
      </c>
      <c r="P88" s="1221"/>
      <c r="Q88" s="1221"/>
      <c r="R88" s="1221"/>
      <c r="S88" s="1221"/>
      <c r="T88" s="1221"/>
      <c r="U88" s="1221"/>
      <c r="V88" s="1221"/>
      <c r="W88" s="1221"/>
      <c r="X88" s="1221"/>
      <c r="Y88" s="1221"/>
      <c r="Z88" s="1221"/>
      <c r="AA88" s="1221"/>
      <c r="AB88" s="1221"/>
      <c r="AC88" s="1221"/>
    </row>
    <row r="89" spans="2:29" ht="22.5" customHeight="1">
      <c r="B89" s="139"/>
      <c r="C89" s="196" t="str">
        <f>3&amp;"."</f>
        <v>3.</v>
      </c>
      <c r="D89" s="148"/>
      <c r="E89" s="148" t="s">
        <v>222</v>
      </c>
      <c r="F89" s="148"/>
      <c r="G89" s="148"/>
      <c r="H89" s="148"/>
      <c r="I89" s="148"/>
      <c r="J89" s="148"/>
      <c r="K89" s="148"/>
      <c r="L89" s="148"/>
      <c r="M89" s="148"/>
      <c r="N89" s="148" t="s">
        <v>2</v>
      </c>
      <c r="O89" s="1240" t="str">
        <f>IFERROR(IF(PROPER(VLOOKUP($AE$4,_Biodata_Lengkap,5,FALSE))=0,"-",(PROPER(VLOOKUP($AE$4,_Biodata_Lengkap,5,FALSE))&amp;", "&amp;IF(VLOOKUP(AE4,_Biodata_Lengkap,6,FALSE)=0,"-",(TEXT(VLOOKUP(AE4,_Biodata_Lengkap,6,FALSE),"DD MMMM yyyy"))))),"-")</f>
        <v>Tatakarya, 07 Oktober 2005</v>
      </c>
      <c r="P89" s="1240"/>
      <c r="Q89" s="1240"/>
      <c r="R89" s="1240"/>
      <c r="S89" s="1240"/>
      <c r="T89" s="1240"/>
      <c r="U89" s="1240"/>
      <c r="V89" s="1240"/>
      <c r="W89" s="1240"/>
      <c r="X89" s="1240"/>
      <c r="Y89" s="1240"/>
      <c r="Z89" s="1240"/>
      <c r="AA89" s="1240"/>
      <c r="AB89" s="1240"/>
      <c r="AC89" s="1240"/>
    </row>
    <row r="90" spans="2:29" ht="22.5" customHeight="1">
      <c r="B90" s="139"/>
      <c r="C90" s="196" t="str">
        <f>4&amp;"."</f>
        <v>4.</v>
      </c>
      <c r="D90" s="148"/>
      <c r="E90" s="148" t="s">
        <v>134</v>
      </c>
      <c r="F90" s="148"/>
      <c r="G90" s="148"/>
      <c r="H90" s="148"/>
      <c r="I90" s="148"/>
      <c r="J90" s="148"/>
      <c r="K90" s="148"/>
      <c r="L90" s="148"/>
      <c r="M90" s="148"/>
      <c r="N90" s="148" t="s">
        <v>2</v>
      </c>
      <c r="O90" s="1221" t="str">
        <f>IFERROR(IF(VLOOKUP(AE4,_Biodata_Lengkap,7,FALSE)=0,"-",(VLOOKUP(AE4,_Biodata_Lengkap,7,FALSE))),"-")</f>
        <v>Perempuan</v>
      </c>
      <c r="P90" s="1221"/>
      <c r="Q90" s="1221"/>
      <c r="R90" s="1221"/>
      <c r="S90" s="1221"/>
      <c r="T90" s="1221"/>
      <c r="U90" s="1221"/>
      <c r="V90" s="1221"/>
      <c r="W90" s="1221"/>
      <c r="X90" s="1221"/>
      <c r="Y90" s="1221"/>
      <c r="Z90" s="1221"/>
      <c r="AA90" s="1221"/>
      <c r="AB90" s="1221"/>
      <c r="AC90" s="1221"/>
    </row>
    <row r="91" spans="2:29" ht="22.5" customHeight="1">
      <c r="B91" s="139"/>
      <c r="C91" s="196" t="str">
        <f>5&amp;"."</f>
        <v>5.</v>
      </c>
      <c r="D91" s="148"/>
      <c r="E91" s="148" t="s">
        <v>135</v>
      </c>
      <c r="F91" s="148"/>
      <c r="G91" s="148"/>
      <c r="H91" s="148"/>
      <c r="I91" s="148"/>
      <c r="J91" s="148"/>
      <c r="K91" s="148"/>
      <c r="L91" s="148"/>
      <c r="M91" s="148"/>
      <c r="N91" s="148" t="s">
        <v>2</v>
      </c>
      <c r="O91" s="1221" t="str">
        <f>IFERROR(IF(VLOOKUP($AE$4,_Biodata_Lengkap,8,FALSE)=0,"-",(VLOOKUP($AE$4,_Biodata_Lengkap,8,FALSE))),"-")</f>
        <v>Islam</v>
      </c>
      <c r="P91" s="1221"/>
      <c r="Q91" s="1221"/>
      <c r="R91" s="1221"/>
      <c r="S91" s="1221"/>
      <c r="T91" s="1221"/>
      <c r="U91" s="1221"/>
      <c r="V91" s="1221"/>
      <c r="W91" s="1221"/>
      <c r="X91" s="1221"/>
      <c r="Y91" s="1221"/>
      <c r="Z91" s="1221"/>
      <c r="AA91" s="1221"/>
      <c r="AB91" s="1221"/>
      <c r="AC91" s="1221"/>
    </row>
    <row r="92" spans="2:29" ht="22.5" customHeight="1">
      <c r="B92" s="139"/>
      <c r="C92" s="196" t="str">
        <f>6&amp;"."</f>
        <v>6.</v>
      </c>
      <c r="D92" s="148"/>
      <c r="E92" s="148" t="s">
        <v>136</v>
      </c>
      <c r="F92" s="148"/>
      <c r="G92" s="148"/>
      <c r="H92" s="148"/>
      <c r="I92" s="148"/>
      <c r="J92" s="148"/>
      <c r="K92" s="148"/>
      <c r="L92" s="148"/>
      <c r="M92" s="148"/>
      <c r="N92" s="148" t="s">
        <v>2</v>
      </c>
      <c r="O92" s="1221" t="str">
        <f>IFERROR(IF(VLOOKUP($AE$4,_Biodata_Lengkap,9,FALSE)=0,"-",(VLOOKUP($AE$4,_Biodata_Lengkap,9,FALSE))),"-")</f>
        <v>Anak Kandung</v>
      </c>
      <c r="P92" s="1221"/>
      <c r="Q92" s="1221"/>
      <c r="R92" s="1221"/>
      <c r="S92" s="1221"/>
      <c r="T92" s="1221"/>
      <c r="U92" s="1221"/>
      <c r="V92" s="1221"/>
      <c r="W92" s="1221"/>
      <c r="X92" s="1221"/>
      <c r="Y92" s="1221"/>
      <c r="Z92" s="1221"/>
      <c r="AA92" s="1221"/>
      <c r="AB92" s="1221"/>
      <c r="AC92" s="1221"/>
    </row>
    <row r="93" spans="2:29" ht="22.5" customHeight="1">
      <c r="B93" s="139"/>
      <c r="C93" s="196" t="str">
        <f>7&amp;"."</f>
        <v>7.</v>
      </c>
      <c r="D93" s="148"/>
      <c r="E93" s="148" t="s">
        <v>223</v>
      </c>
      <c r="F93" s="148"/>
      <c r="G93" s="148"/>
      <c r="H93" s="148"/>
      <c r="I93" s="148"/>
      <c r="J93" s="148"/>
      <c r="K93" s="148"/>
      <c r="L93" s="148"/>
      <c r="M93" s="148"/>
      <c r="N93" s="148" t="s">
        <v>2</v>
      </c>
      <c r="O93" s="1221" t="str">
        <f>IFERROR(IF(VLOOKUP($AE$4,_Biodata_Lengkap,10,FALSE)=0,"-",VLOOKUP($AE$4,_Biodata_Lengkap,10,FALSE)),"-")</f>
        <v>2 (Dua)</v>
      </c>
      <c r="P93" s="1221"/>
      <c r="Q93" s="1221"/>
      <c r="R93" s="1221"/>
      <c r="S93" s="1221"/>
      <c r="T93" s="1221"/>
      <c r="U93" s="1221"/>
      <c r="V93" s="1221"/>
      <c r="W93" s="1221"/>
      <c r="X93" s="1221"/>
      <c r="Y93" s="1221"/>
      <c r="Z93" s="1221"/>
      <c r="AA93" s="1221"/>
      <c r="AB93" s="1221"/>
      <c r="AC93" s="1221"/>
    </row>
    <row r="94" spans="2:29" ht="22.5" customHeight="1">
      <c r="B94" s="139"/>
      <c r="C94" s="196" t="str">
        <f>8&amp;"."</f>
        <v>8.</v>
      </c>
      <c r="D94" s="148"/>
      <c r="E94" s="148" t="s">
        <v>137</v>
      </c>
      <c r="F94" s="148"/>
      <c r="G94" s="148"/>
      <c r="H94" s="148"/>
      <c r="I94" s="148"/>
      <c r="J94" s="148"/>
      <c r="K94" s="148"/>
      <c r="L94" s="148"/>
      <c r="M94" s="148"/>
      <c r="N94" s="148" t="s">
        <v>2</v>
      </c>
      <c r="O94" s="1221" t="str">
        <f>IFERROR(IF(VLOOKUP($AE$4,_Biodata_Lengkap,11,FALSE)=0,"-",(PROPER(VLOOKUP($AE$4,_Biodata_Lengkap,11,FALSE)))),"-")</f>
        <v>Tatakarya</v>
      </c>
      <c r="P94" s="1221"/>
      <c r="Q94" s="1221"/>
      <c r="R94" s="1221"/>
      <c r="S94" s="1221"/>
      <c r="T94" s="1221"/>
      <c r="U94" s="1221"/>
      <c r="V94" s="1221"/>
      <c r="W94" s="1221"/>
      <c r="X94" s="1221"/>
      <c r="Y94" s="1221"/>
      <c r="Z94" s="1221"/>
      <c r="AA94" s="1221"/>
      <c r="AB94" s="1221"/>
      <c r="AC94" s="1221"/>
    </row>
    <row r="95" spans="2:29" ht="22.5" customHeight="1">
      <c r="B95" s="101"/>
      <c r="C95" s="196" t="str">
        <f>9&amp;"."</f>
        <v>9.</v>
      </c>
      <c r="D95" s="148"/>
      <c r="E95" s="148" t="s">
        <v>224</v>
      </c>
      <c r="F95" s="148"/>
      <c r="G95" s="148"/>
      <c r="H95" s="148"/>
      <c r="I95" s="148"/>
      <c r="J95" s="148"/>
      <c r="K95" s="148"/>
      <c r="L95" s="148"/>
      <c r="M95" s="148"/>
      <c r="N95" s="148" t="s">
        <v>2</v>
      </c>
      <c r="O95" s="1221" t="str">
        <f>IFERROR(IF(VLOOKUP($AE$4,_Biodata_Lengkap,12,FALSE)=0,"-",(VLOOKUP($AE$4,_Biodata_Lengkap,12,FALSE))),"-")</f>
        <v>-</v>
      </c>
      <c r="P95" s="1221"/>
      <c r="Q95" s="1221"/>
      <c r="R95" s="1221"/>
      <c r="S95" s="1221"/>
      <c r="T95" s="1221"/>
      <c r="U95" s="1221"/>
      <c r="V95" s="1221"/>
      <c r="W95" s="1221"/>
      <c r="X95" s="1221"/>
      <c r="Y95" s="1221"/>
      <c r="Z95" s="1221"/>
      <c r="AA95" s="1221"/>
      <c r="AB95" s="1221"/>
      <c r="AC95" s="1221"/>
    </row>
    <row r="96" spans="2:29" ht="22.5" customHeight="1">
      <c r="C96" s="196" t="str">
        <f>10&amp;"."</f>
        <v>10.</v>
      </c>
      <c r="D96" s="148"/>
      <c r="E96" s="148" t="s">
        <v>139</v>
      </c>
      <c r="F96" s="148"/>
      <c r="G96" s="148"/>
      <c r="H96" s="148"/>
      <c r="I96" s="148"/>
      <c r="J96" s="148"/>
      <c r="K96" s="148"/>
      <c r="L96" s="148"/>
      <c r="M96" s="148"/>
      <c r="N96" s="148" t="s">
        <v>2</v>
      </c>
      <c r="O96" s="1221" t="str">
        <f>IFERROR(IF(VLOOKUP($AE$4,_Biodata_Lengkap,13,FALSE)=0,"-",(VLOOKUP($AE$4,_Biodata_Lengkap,13,FALSE))),"-")</f>
        <v>SDN 2 Tatakarya</v>
      </c>
      <c r="P96" s="1221"/>
      <c r="Q96" s="1221"/>
      <c r="R96" s="1221"/>
      <c r="S96" s="1221"/>
      <c r="T96" s="1221"/>
      <c r="U96" s="1221"/>
      <c r="V96" s="1221"/>
      <c r="W96" s="1221"/>
      <c r="X96" s="1221"/>
      <c r="Y96" s="1221"/>
      <c r="Z96" s="1221"/>
      <c r="AA96" s="1221"/>
      <c r="AB96" s="1221"/>
      <c r="AC96" s="1221"/>
    </row>
    <row r="97" spans="2:29" ht="22.5" customHeight="1">
      <c r="B97" s="100"/>
      <c r="C97" s="196" t="str">
        <f>11&amp;"."</f>
        <v>11.</v>
      </c>
      <c r="D97" s="148"/>
      <c r="E97" s="148" t="s">
        <v>225</v>
      </c>
      <c r="F97" s="148"/>
      <c r="G97" s="148"/>
      <c r="H97" s="148"/>
      <c r="I97" s="148"/>
      <c r="J97" s="148"/>
      <c r="K97" s="148"/>
      <c r="L97" s="148"/>
      <c r="M97" s="148"/>
      <c r="N97" s="148"/>
      <c r="O97" s="1221"/>
      <c r="P97" s="1221"/>
      <c r="Q97" s="1221"/>
      <c r="R97" s="1221"/>
      <c r="S97" s="1221"/>
      <c r="T97" s="1221"/>
      <c r="U97" s="1221"/>
      <c r="V97" s="1221"/>
      <c r="W97" s="1221"/>
      <c r="X97" s="1221"/>
      <c r="Y97" s="1221"/>
      <c r="Z97" s="1221"/>
      <c r="AA97" s="1221"/>
      <c r="AB97" s="1221"/>
      <c r="AC97" s="1221"/>
    </row>
    <row r="98" spans="2:29" ht="22.5" customHeight="1">
      <c r="B98" s="132"/>
      <c r="C98" s="148"/>
      <c r="D98" s="150"/>
      <c r="E98" s="148" t="s">
        <v>227</v>
      </c>
      <c r="F98" s="150"/>
      <c r="G98" s="150"/>
      <c r="H98" s="150"/>
      <c r="I98" s="150"/>
      <c r="J98" s="150"/>
      <c r="K98" s="150"/>
      <c r="L98" s="150"/>
      <c r="M98" s="150"/>
      <c r="N98" s="148" t="s">
        <v>2</v>
      </c>
      <c r="O98" s="1221" t="str">
        <f>IFERROR(IF(VLOOKUP($AE$4,_Biodata_Lengkap,14,FALSE)=0,"-",(VLOOKUP($AE$4,_Biodata_Lengkap,14,FALSE))),"-")</f>
        <v>VIII A</v>
      </c>
      <c r="P98" s="1221"/>
      <c r="Q98" s="1221"/>
      <c r="R98" s="1221"/>
      <c r="S98" s="1221"/>
      <c r="T98" s="1221"/>
      <c r="U98" s="1221"/>
      <c r="V98" s="1221"/>
      <c r="W98" s="1221"/>
      <c r="X98" s="1221"/>
      <c r="Y98" s="1221"/>
      <c r="Z98" s="1221"/>
      <c r="AA98" s="1221"/>
      <c r="AB98" s="1221"/>
      <c r="AC98" s="1221"/>
    </row>
    <row r="99" spans="2:29" ht="22.5" customHeight="1">
      <c r="B99" s="131"/>
      <c r="C99" s="148"/>
      <c r="D99" s="148"/>
      <c r="E99" s="148" t="s">
        <v>226</v>
      </c>
      <c r="F99" s="148"/>
      <c r="G99" s="148"/>
      <c r="H99" s="148"/>
      <c r="I99" s="148"/>
      <c r="J99" s="148"/>
      <c r="K99" s="148"/>
      <c r="L99" s="148"/>
      <c r="M99" s="148"/>
      <c r="N99" s="148" t="s">
        <v>2</v>
      </c>
      <c r="O99" s="1221" t="str">
        <f>IFERROR(IF(VLOOKUP($AE$4,_Biodata_Lengkap,15,FALSE)=0,"-",(TEXT(VLOOKUP($AE$4,_Biodata_Lengkap,15,FALSE),"DD MMMM yyyy"))),"-")</f>
        <v>16 Juli 2018</v>
      </c>
      <c r="P99" s="1221"/>
      <c r="Q99" s="1221"/>
      <c r="R99" s="1221"/>
      <c r="S99" s="1221"/>
      <c r="T99" s="1221"/>
      <c r="U99" s="1221"/>
      <c r="V99" s="1221"/>
      <c r="W99" s="1221"/>
      <c r="X99" s="1221"/>
      <c r="Y99" s="1221"/>
      <c r="Z99" s="1221"/>
      <c r="AA99" s="1221"/>
      <c r="AB99" s="1221"/>
      <c r="AC99" s="1221"/>
    </row>
    <row r="100" spans="2:29" ht="22.5" customHeight="1">
      <c r="B100" s="131"/>
      <c r="C100" s="196" t="str">
        <f>12&amp;"."</f>
        <v>12.</v>
      </c>
      <c r="D100" s="148"/>
      <c r="E100" s="148" t="s">
        <v>228</v>
      </c>
      <c r="F100" s="148"/>
      <c r="G100" s="148"/>
      <c r="H100" s="148"/>
      <c r="I100" s="148"/>
      <c r="J100" s="148"/>
      <c r="K100" s="148"/>
      <c r="L100" s="148"/>
      <c r="M100" s="148"/>
      <c r="N100" s="148"/>
      <c r="O100" s="1221"/>
      <c r="P100" s="1221"/>
      <c r="Q100" s="1221"/>
      <c r="R100" s="1221"/>
      <c r="S100" s="1221"/>
      <c r="T100" s="1221"/>
      <c r="U100" s="1221"/>
      <c r="V100" s="1221"/>
      <c r="W100" s="1221"/>
      <c r="X100" s="1221"/>
      <c r="Y100" s="1221"/>
      <c r="Z100" s="1221"/>
      <c r="AA100" s="1221"/>
      <c r="AB100" s="1221"/>
      <c r="AC100" s="1221"/>
    </row>
    <row r="101" spans="2:29" ht="22.5" customHeight="1">
      <c r="B101" s="131"/>
      <c r="C101" s="148"/>
      <c r="D101" s="148"/>
      <c r="E101" s="148" t="s">
        <v>229</v>
      </c>
      <c r="F101" s="148"/>
      <c r="G101" s="148"/>
      <c r="H101" s="148"/>
      <c r="I101" s="148"/>
      <c r="J101" s="148"/>
      <c r="K101" s="148"/>
      <c r="L101" s="148"/>
      <c r="M101" s="148"/>
      <c r="N101" s="148" t="s">
        <v>2</v>
      </c>
      <c r="O101" s="1221" t="str">
        <f>IFERROR(IF(VLOOKUP($AE$4,_Biodata_Lengkap,16,FALSE)=0,"-",(VLOOKUP($AE$4,_Biodata_Lengkap,16,FALSE))),"-")</f>
        <v>HERRY SUWANTO</v>
      </c>
      <c r="P101" s="1221"/>
      <c r="Q101" s="1221"/>
      <c r="R101" s="1221"/>
      <c r="S101" s="1221"/>
      <c r="T101" s="1221"/>
      <c r="U101" s="1221"/>
      <c r="V101" s="1221"/>
      <c r="W101" s="1221"/>
      <c r="X101" s="1221"/>
      <c r="Y101" s="1221"/>
      <c r="Z101" s="1221"/>
      <c r="AA101" s="1221"/>
      <c r="AB101" s="1221"/>
      <c r="AC101" s="1221"/>
    </row>
    <row r="102" spans="2:29" ht="22.5" customHeight="1">
      <c r="C102" s="148"/>
      <c r="D102" s="148"/>
      <c r="E102" s="148" t="s">
        <v>230</v>
      </c>
      <c r="F102" s="148"/>
      <c r="G102" s="148"/>
      <c r="H102" s="148"/>
      <c r="I102" s="148"/>
      <c r="J102" s="148"/>
      <c r="K102" s="148"/>
      <c r="L102" s="148"/>
      <c r="M102" s="148"/>
      <c r="N102" s="148" t="s">
        <v>2</v>
      </c>
      <c r="O102" s="1221" t="str">
        <f>IFERROR(IF(VLOOKUP($AE$4,_Biodata_Lengkap,21,FALSE)=0,"-",(VLOOKUP($AE$4,_Biodata_Lengkap,21,FALSE))),"-")</f>
        <v>MARSINAH</v>
      </c>
      <c r="P102" s="1221"/>
      <c r="Q102" s="1221"/>
      <c r="R102" s="1221"/>
      <c r="S102" s="1221"/>
      <c r="T102" s="1221"/>
      <c r="U102" s="1221"/>
      <c r="V102" s="1221"/>
      <c r="W102" s="1221"/>
      <c r="X102" s="1221"/>
      <c r="Y102" s="1221"/>
      <c r="Z102" s="1221"/>
      <c r="AA102" s="1221"/>
      <c r="AB102" s="1221"/>
      <c r="AC102" s="1221"/>
    </row>
    <row r="103" spans="2:29" ht="22.5" customHeight="1">
      <c r="B103" s="100"/>
      <c r="C103" s="196" t="str">
        <f>13&amp;"."</f>
        <v>13.</v>
      </c>
      <c r="D103" s="148"/>
      <c r="E103" s="148" t="s">
        <v>231</v>
      </c>
      <c r="F103" s="148"/>
      <c r="G103" s="148"/>
      <c r="H103" s="148"/>
      <c r="I103" s="148"/>
      <c r="J103" s="148"/>
      <c r="K103" s="148"/>
      <c r="L103" s="148"/>
      <c r="M103" s="148"/>
      <c r="N103" s="148" t="s">
        <v>2</v>
      </c>
      <c r="O103" s="1221" t="str">
        <f>IFERROR(IF(VLOOKUP($AE$4,_Biodata_Lengkap,18,FALSE)=0,"-",(PROPER(VLOOKUP($AE$4,_Biodata_Lengkap,18,FALSE)))),"-")</f>
        <v>Tatakarya</v>
      </c>
      <c r="P103" s="1221"/>
      <c r="Q103" s="1221"/>
      <c r="R103" s="1221"/>
      <c r="S103" s="1221"/>
      <c r="T103" s="1221"/>
      <c r="U103" s="1221"/>
      <c r="V103" s="1221"/>
      <c r="W103" s="1221"/>
      <c r="X103" s="1221"/>
      <c r="Y103" s="1221"/>
      <c r="Z103" s="1221"/>
      <c r="AA103" s="1221"/>
      <c r="AB103" s="1221"/>
      <c r="AC103" s="1221"/>
    </row>
    <row r="104" spans="2:29" ht="22.5" customHeight="1">
      <c r="B104" s="97"/>
      <c r="C104" s="148"/>
      <c r="D104" s="148"/>
      <c r="E104" s="148" t="s">
        <v>232</v>
      </c>
      <c r="F104" s="148"/>
      <c r="G104" s="148"/>
      <c r="H104" s="145"/>
      <c r="I104" s="148"/>
      <c r="J104" s="148"/>
      <c r="K104" s="161"/>
      <c r="L104" s="161"/>
      <c r="M104" s="161"/>
      <c r="N104" s="148" t="s">
        <v>2</v>
      </c>
      <c r="O104" s="1221" t="str">
        <f>IFERROR(IF(VLOOKUP($AE$4,_Biodata_Lengkap,19,FALSE)=0,"-",(VLOOKUP($AE$4,_Biodata_Lengkap,19,FALSE))),"-")</f>
        <v>-</v>
      </c>
      <c r="P104" s="1221"/>
      <c r="Q104" s="1221"/>
      <c r="R104" s="1221"/>
      <c r="S104" s="1221"/>
      <c r="T104" s="1221"/>
      <c r="U104" s="1221"/>
      <c r="V104" s="1221"/>
      <c r="W104" s="1221"/>
      <c r="X104" s="1221"/>
      <c r="Y104" s="1221"/>
      <c r="Z104" s="1221"/>
      <c r="AA104" s="1221"/>
      <c r="AB104" s="1221"/>
      <c r="AC104" s="1221"/>
    </row>
    <row r="105" spans="2:29" ht="22.5" customHeight="1">
      <c r="B105" s="97"/>
      <c r="C105" s="196" t="str">
        <f>14&amp;"."</f>
        <v>14.</v>
      </c>
      <c r="D105" s="148"/>
      <c r="E105" s="148" t="s">
        <v>233</v>
      </c>
      <c r="F105" s="148"/>
      <c r="G105" s="148"/>
      <c r="H105" s="145"/>
      <c r="I105" s="148"/>
      <c r="J105" s="148"/>
      <c r="K105" s="161"/>
      <c r="L105" s="161"/>
      <c r="M105" s="161"/>
      <c r="N105" s="148"/>
      <c r="O105" s="1221"/>
      <c r="P105" s="1221"/>
      <c r="Q105" s="1221"/>
      <c r="R105" s="1221"/>
      <c r="S105" s="1221"/>
      <c r="T105" s="1221"/>
      <c r="U105" s="1221"/>
      <c r="V105" s="1221"/>
      <c r="W105" s="1221"/>
      <c r="X105" s="1221"/>
      <c r="Y105" s="1221"/>
      <c r="Z105" s="1221"/>
      <c r="AA105" s="1221"/>
      <c r="AB105" s="1221"/>
      <c r="AC105" s="1221"/>
    </row>
    <row r="106" spans="2:29" ht="22.5" customHeight="1">
      <c r="B106" s="97"/>
      <c r="C106" s="148"/>
      <c r="D106" s="148"/>
      <c r="E106" s="148" t="s">
        <v>229</v>
      </c>
      <c r="F106" s="148"/>
      <c r="G106" s="148"/>
      <c r="H106" s="145"/>
      <c r="I106" s="148"/>
      <c r="J106" s="148"/>
      <c r="K106" s="161"/>
      <c r="L106" s="161"/>
      <c r="M106" s="161"/>
      <c r="N106" s="148" t="s">
        <v>2</v>
      </c>
      <c r="O106" s="1221" t="str">
        <f>IFERROR(IF(VLOOKUP($AE$4,_Biodata_Lengkap,17,FALSE)=0,"-",(VLOOKUP($AE$4,_Biodata_Lengkap,17,FALSE))),"-")</f>
        <v>Wiraswasta</v>
      </c>
      <c r="P106" s="1221"/>
      <c r="Q106" s="1221"/>
      <c r="R106" s="1221"/>
      <c r="S106" s="1221"/>
      <c r="T106" s="1221"/>
      <c r="U106" s="1221"/>
      <c r="V106" s="1221"/>
      <c r="W106" s="1221"/>
      <c r="X106" s="1221"/>
      <c r="Y106" s="1221"/>
      <c r="Z106" s="1221"/>
      <c r="AA106" s="1221"/>
      <c r="AB106" s="1221"/>
      <c r="AC106" s="1221"/>
    </row>
    <row r="107" spans="2:29" ht="22.5" customHeight="1">
      <c r="C107" s="148"/>
      <c r="D107" s="148"/>
      <c r="E107" s="148" t="s">
        <v>230</v>
      </c>
      <c r="F107" s="148"/>
      <c r="G107" s="148"/>
      <c r="H107" s="148"/>
      <c r="I107" s="148"/>
      <c r="J107" s="148"/>
      <c r="K107" s="148"/>
      <c r="L107" s="148"/>
      <c r="M107" s="148"/>
      <c r="N107" s="148" t="s">
        <v>2</v>
      </c>
      <c r="O107" s="1221" t="str">
        <f>IFERROR(IF(VLOOKUP($AE$4,_Biodata_Lengkap,22,FALSE)=0,"-",(VLOOKUP($AE$4,_Biodata_Lengkap,22,FALSE))),"-")</f>
        <v>Ibu Rumah Tangga</v>
      </c>
      <c r="P107" s="1221"/>
      <c r="Q107" s="1221"/>
      <c r="R107" s="1221"/>
      <c r="S107" s="1221"/>
      <c r="T107" s="1221"/>
      <c r="U107" s="1221"/>
      <c r="V107" s="1221"/>
      <c r="W107" s="1221"/>
      <c r="X107" s="1221"/>
      <c r="Y107" s="1221"/>
      <c r="Z107" s="1221"/>
      <c r="AA107" s="1221"/>
      <c r="AB107" s="1221"/>
      <c r="AC107" s="1221"/>
    </row>
    <row r="108" spans="2:29" ht="22.5" customHeight="1">
      <c r="B108" s="97"/>
      <c r="C108" s="196" t="str">
        <f>15&amp;"."</f>
        <v>15.</v>
      </c>
      <c r="D108" s="148"/>
      <c r="E108" s="148" t="s">
        <v>234</v>
      </c>
      <c r="F108" s="148"/>
      <c r="G108" s="148"/>
      <c r="H108" s="148"/>
      <c r="I108" s="148"/>
      <c r="J108" s="148"/>
      <c r="K108" s="148"/>
      <c r="L108" s="148"/>
      <c r="M108" s="148"/>
      <c r="N108" s="148" t="s">
        <v>2</v>
      </c>
      <c r="O108" s="1221" t="str">
        <f>IFERROR(IF(VLOOKUP($AE$4,_Biodata_Lengkap,26,FALSE)=0,"-",(VLOOKUP($AE$4,_Biodata_Lengkap,26,FALSE))),"-")</f>
        <v>-</v>
      </c>
      <c r="P108" s="1221"/>
      <c r="Q108" s="1221"/>
      <c r="R108" s="1221"/>
      <c r="S108" s="1221"/>
      <c r="T108" s="1221"/>
      <c r="U108" s="1221"/>
      <c r="V108" s="1221"/>
      <c r="W108" s="1221"/>
      <c r="X108" s="1221"/>
      <c r="Y108" s="1221"/>
      <c r="Z108" s="1221"/>
      <c r="AA108" s="1221"/>
      <c r="AB108" s="1221"/>
      <c r="AC108" s="1221"/>
    </row>
    <row r="109" spans="2:29" ht="22.5" customHeight="1">
      <c r="B109" s="97"/>
      <c r="C109" s="196" t="str">
        <f>16&amp;"."</f>
        <v>16.</v>
      </c>
      <c r="D109" s="148"/>
      <c r="E109" s="148" t="s">
        <v>235</v>
      </c>
      <c r="F109" s="148"/>
      <c r="G109" s="148"/>
      <c r="H109" s="148"/>
      <c r="I109" s="148"/>
      <c r="J109" s="148"/>
      <c r="K109" s="148"/>
      <c r="L109" s="148"/>
      <c r="M109" s="148"/>
      <c r="N109" s="148" t="s">
        <v>2</v>
      </c>
      <c r="O109" s="1221" t="str">
        <f>IFERROR(IF(VLOOKUP($AE$4,_Biodata_Lengkap,28,FALSE)=0,"-",(VLOOKUP($AE$4,_Biodata_Lengkap,28,FALSE))),"-")</f>
        <v>-</v>
      </c>
      <c r="P109" s="1221"/>
      <c r="Q109" s="1221"/>
      <c r="R109" s="1221"/>
      <c r="S109" s="1221"/>
      <c r="T109" s="1221"/>
      <c r="U109" s="1221"/>
      <c r="V109" s="1221"/>
      <c r="W109" s="1221"/>
      <c r="X109" s="1221"/>
      <c r="Y109" s="1221"/>
      <c r="Z109" s="1221"/>
      <c r="AA109" s="1221"/>
      <c r="AB109" s="1221"/>
      <c r="AC109" s="1221"/>
    </row>
    <row r="110" spans="2:29" ht="22.5" customHeight="1">
      <c r="C110" s="148"/>
      <c r="D110" s="148"/>
      <c r="E110" s="148" t="s">
        <v>232</v>
      </c>
      <c r="F110" s="148"/>
      <c r="G110" s="148"/>
      <c r="H110" s="148"/>
      <c r="I110" s="148"/>
      <c r="J110" s="148"/>
      <c r="K110" s="148"/>
      <c r="L110" s="148"/>
      <c r="M110" s="148"/>
      <c r="N110" s="148" t="s">
        <v>2</v>
      </c>
      <c r="O110" s="1221" t="str">
        <f>IFERROR(IF(VLOOKUP($AE$4,_Biodata_Lengkap,29,FALSE)=0,"-",(VLOOKUP($AE$4,_Biodata_Lengkap,29,FALSE))),"-")</f>
        <v>-</v>
      </c>
      <c r="P110" s="1221"/>
      <c r="Q110" s="1221"/>
      <c r="R110" s="1221"/>
      <c r="S110" s="1221"/>
      <c r="T110" s="1221"/>
      <c r="U110" s="1221"/>
      <c r="V110" s="1221"/>
      <c r="W110" s="1221"/>
      <c r="X110" s="1221"/>
      <c r="Y110" s="1221"/>
      <c r="Z110" s="1221"/>
      <c r="AA110" s="1221"/>
      <c r="AB110" s="1221"/>
      <c r="AC110" s="1221"/>
    </row>
    <row r="111" spans="2:29" ht="22.5" customHeight="1">
      <c r="C111" s="196" t="str">
        <f>17&amp;"."</f>
        <v>17.</v>
      </c>
      <c r="D111" s="148"/>
      <c r="E111" s="148" t="s">
        <v>236</v>
      </c>
      <c r="F111" s="148"/>
      <c r="G111" s="148"/>
      <c r="H111" s="148"/>
      <c r="I111" s="148"/>
      <c r="J111" s="148"/>
      <c r="K111" s="148"/>
      <c r="L111" s="148"/>
      <c r="M111" s="148"/>
      <c r="N111" s="148" t="s">
        <v>2</v>
      </c>
      <c r="O111" s="1221" t="str">
        <f>IFERROR(IF(VLOOKUP($AE$4,_Biodata_Lengkap,27,FALSE)=0,"-",(VLOOKUP($AE$4,_Biodata_Lengkap,27,FALSE))),"-")</f>
        <v>-</v>
      </c>
      <c r="P111" s="1221"/>
      <c r="Q111" s="1221"/>
      <c r="R111" s="1221"/>
      <c r="S111" s="1221"/>
      <c r="T111" s="1221"/>
      <c r="U111" s="1221"/>
      <c r="V111" s="1221"/>
      <c r="W111" s="1221"/>
      <c r="X111" s="1221"/>
      <c r="Y111" s="1221"/>
      <c r="Z111" s="1221"/>
      <c r="AA111" s="1221"/>
      <c r="AB111" s="1221"/>
      <c r="AC111" s="1221"/>
    </row>
    <row r="112" spans="2:29" ht="15.75">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row>
    <row r="113" spans="2:29" ht="15.75">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row>
    <row r="114" spans="2:29" ht="15.75">
      <c r="B114" s="141"/>
      <c r="C114" s="162"/>
      <c r="D114" s="162"/>
      <c r="E114" s="162"/>
      <c r="F114" s="162"/>
      <c r="G114" s="162"/>
      <c r="H114" s="162"/>
      <c r="I114" s="162"/>
      <c r="J114" s="162"/>
      <c r="K114" s="149"/>
      <c r="L114" s="149"/>
      <c r="M114" s="149"/>
      <c r="N114" s="149"/>
      <c r="O114" s="149"/>
      <c r="P114" s="149"/>
      <c r="Q114" s="149"/>
      <c r="R114" s="149"/>
      <c r="S114" s="149"/>
      <c r="T114" s="162"/>
      <c r="U114" s="162"/>
      <c r="V114" s="162"/>
      <c r="W114" s="162"/>
      <c r="X114" s="162"/>
      <c r="Y114" s="162"/>
      <c r="Z114" s="162"/>
      <c r="AA114" s="162"/>
      <c r="AB114" s="162"/>
      <c r="AC114" s="162"/>
    </row>
    <row r="115" spans="2:29" ht="15.75">
      <c r="C115" s="149"/>
      <c r="D115" s="149"/>
      <c r="E115" s="149"/>
      <c r="F115" s="149"/>
      <c r="G115" s="149"/>
      <c r="H115" s="149"/>
      <c r="I115" s="149"/>
      <c r="J115" s="149"/>
      <c r="K115" s="149"/>
      <c r="L115" s="149"/>
      <c r="M115" s="149"/>
      <c r="N115" s="149"/>
      <c r="O115" s="149"/>
      <c r="P115" s="149"/>
      <c r="Q115" s="149"/>
      <c r="R115" s="149"/>
      <c r="S115" s="1219" t="str">
        <f>_tempat_penyerahan&amp;", "&amp;_tgl_rapor_ganjil</f>
        <v>Abung Surakarta, 21 Desember 2018</v>
      </c>
      <c r="T115" s="1219"/>
      <c r="U115" s="1219"/>
      <c r="V115" s="1219"/>
      <c r="W115" s="1219"/>
      <c r="X115" s="1219"/>
      <c r="Y115" s="1219"/>
      <c r="Z115" s="1219"/>
      <c r="AA115" s="1219"/>
      <c r="AB115" s="1219"/>
      <c r="AC115" s="1219"/>
    </row>
    <row r="116" spans="2:29" ht="15.75">
      <c r="B116" s="97"/>
      <c r="C116" s="149"/>
      <c r="D116" s="149"/>
      <c r="E116" s="149"/>
      <c r="F116" s="149"/>
      <c r="G116" s="163"/>
      <c r="H116" s="164"/>
      <c r="I116" s="164"/>
      <c r="J116" s="165"/>
      <c r="K116" s="149"/>
      <c r="L116" s="149"/>
      <c r="M116" s="149"/>
      <c r="N116" s="149"/>
      <c r="O116" s="149"/>
      <c r="P116" s="149"/>
      <c r="Q116" s="149"/>
      <c r="R116" s="149"/>
      <c r="S116" s="1220" t="str">
        <f>"Kepala SMP "&amp;PROPER(MID(_nama_sekolah,5,30))</f>
        <v>Kepala SMP Negeri 1 Abung Surakarta</v>
      </c>
      <c r="T116" s="1220"/>
      <c r="U116" s="1220"/>
      <c r="V116" s="1220"/>
      <c r="W116" s="1220"/>
      <c r="X116" s="1220"/>
      <c r="Y116" s="1220"/>
      <c r="Z116" s="1220"/>
      <c r="AA116" s="1220"/>
      <c r="AB116" s="1220"/>
      <c r="AC116" s="1220"/>
    </row>
    <row r="117" spans="2:29" ht="15.75">
      <c r="B117" s="97"/>
      <c r="C117" s="149"/>
      <c r="D117" s="149"/>
      <c r="E117" s="149"/>
      <c r="F117" s="149"/>
      <c r="G117" s="166"/>
      <c r="H117" s="149"/>
      <c r="I117" s="149"/>
      <c r="J117" s="167"/>
      <c r="K117" s="149"/>
      <c r="L117" s="149"/>
      <c r="M117" s="149"/>
      <c r="N117" s="149"/>
      <c r="O117" s="149"/>
      <c r="P117" s="149"/>
      <c r="Q117" s="149"/>
      <c r="R117" s="149"/>
      <c r="S117" s="149"/>
      <c r="T117" s="149"/>
      <c r="U117" s="149"/>
      <c r="V117" s="149"/>
      <c r="W117" s="149"/>
      <c r="X117" s="149"/>
      <c r="Y117" s="149"/>
      <c r="Z117" s="149"/>
      <c r="AA117" s="149"/>
      <c r="AB117" s="149"/>
      <c r="AC117" s="149"/>
    </row>
    <row r="118" spans="2:29" ht="15.75">
      <c r="C118" s="149"/>
      <c r="D118" s="149"/>
      <c r="E118" s="149"/>
      <c r="F118" s="149"/>
      <c r="G118" s="1216" t="s">
        <v>237</v>
      </c>
      <c r="H118" s="1217"/>
      <c r="I118" s="1217"/>
      <c r="J118" s="1218"/>
      <c r="K118" s="149"/>
      <c r="L118" s="149"/>
      <c r="M118" s="149"/>
      <c r="N118" s="149"/>
      <c r="O118" s="149"/>
      <c r="P118" s="149"/>
      <c r="Q118" s="149"/>
      <c r="R118" s="149"/>
      <c r="S118" s="149"/>
      <c r="T118" s="149"/>
      <c r="U118" s="149"/>
      <c r="V118" s="149"/>
      <c r="W118" s="149"/>
      <c r="X118" s="149"/>
      <c r="Y118" s="149"/>
      <c r="Z118" s="149"/>
      <c r="AA118" s="149"/>
      <c r="AB118" s="149"/>
      <c r="AC118" s="149"/>
    </row>
    <row r="119" spans="2:29" ht="15.75">
      <c r="C119" s="149"/>
      <c r="D119" s="149"/>
      <c r="E119" s="149"/>
      <c r="F119" s="149"/>
      <c r="G119" s="1216" t="s">
        <v>238</v>
      </c>
      <c r="H119" s="1217"/>
      <c r="I119" s="1217"/>
      <c r="J119" s="1218"/>
      <c r="K119" s="149"/>
      <c r="L119" s="149"/>
      <c r="M119" s="149"/>
      <c r="N119" s="149"/>
      <c r="O119" s="149"/>
      <c r="P119" s="149"/>
      <c r="Q119" s="149"/>
      <c r="R119" s="149"/>
      <c r="S119" s="149"/>
      <c r="T119" s="149"/>
      <c r="U119" s="149"/>
      <c r="V119" s="149"/>
      <c r="W119" s="149"/>
      <c r="X119" s="149"/>
      <c r="Y119" s="149"/>
      <c r="Z119" s="149"/>
      <c r="AA119" s="149"/>
      <c r="AB119" s="149"/>
      <c r="AC119" s="149"/>
    </row>
    <row r="120" spans="2:29" ht="15.75">
      <c r="C120" s="149"/>
      <c r="D120" s="149"/>
      <c r="E120" s="149"/>
      <c r="F120" s="149"/>
      <c r="G120" s="166"/>
      <c r="H120" s="149"/>
      <c r="I120" s="149"/>
      <c r="J120" s="167"/>
      <c r="K120" s="149"/>
      <c r="L120" s="149"/>
      <c r="M120" s="149"/>
      <c r="N120" s="149"/>
      <c r="O120" s="149"/>
      <c r="P120" s="149"/>
      <c r="Q120" s="149"/>
      <c r="R120" s="149"/>
      <c r="S120" s="149"/>
      <c r="T120" s="149"/>
      <c r="U120" s="149"/>
      <c r="V120" s="149"/>
      <c r="W120" s="149"/>
      <c r="X120" s="149"/>
      <c r="Y120" s="149"/>
      <c r="Z120" s="149"/>
      <c r="AA120" s="149"/>
      <c r="AB120" s="149"/>
      <c r="AC120" s="149"/>
    </row>
    <row r="121" spans="2:29" ht="15.75">
      <c r="C121" s="149"/>
      <c r="D121" s="149"/>
      <c r="E121" s="149"/>
      <c r="F121" s="149"/>
      <c r="G121" s="168"/>
      <c r="H121" s="169"/>
      <c r="I121" s="169"/>
      <c r="J121" s="170"/>
      <c r="K121" s="149"/>
      <c r="L121" s="149"/>
      <c r="M121" s="149"/>
      <c r="N121" s="149"/>
      <c r="O121" s="149"/>
      <c r="P121" s="149"/>
      <c r="Q121" s="149"/>
      <c r="R121" s="149"/>
      <c r="S121" s="1225" t="str">
        <f>_kepsek</f>
        <v>Hj. YURNILAWATI, S.Pd.I</v>
      </c>
      <c r="T121" s="1225"/>
      <c r="U121" s="1225"/>
      <c r="V121" s="1225"/>
      <c r="W121" s="1225"/>
      <c r="X121" s="1225"/>
      <c r="Y121" s="1225"/>
      <c r="Z121" s="1225"/>
      <c r="AA121" s="1225"/>
      <c r="AB121" s="1225"/>
      <c r="AC121" s="1225"/>
    </row>
    <row r="122" spans="2:29" ht="15.75">
      <c r="C122" s="149"/>
      <c r="D122" s="149"/>
      <c r="E122" s="149"/>
      <c r="F122" s="149"/>
      <c r="G122" s="149"/>
      <c r="H122" s="149"/>
      <c r="I122" s="149"/>
      <c r="J122" s="149"/>
      <c r="K122" s="149"/>
      <c r="L122" s="149"/>
      <c r="M122" s="149"/>
      <c r="N122" s="149"/>
      <c r="O122" s="149"/>
      <c r="P122" s="149"/>
      <c r="Q122" s="149"/>
      <c r="R122" s="149"/>
      <c r="S122" s="1220" t="str">
        <f>"NIP. "&amp;_nip_kepsek</f>
        <v>NIP. 19590208 198102 2 001</v>
      </c>
      <c r="T122" s="1220"/>
      <c r="U122" s="1220"/>
      <c r="V122" s="1220"/>
      <c r="W122" s="1220"/>
      <c r="X122" s="1220"/>
      <c r="Y122" s="1220"/>
      <c r="Z122" s="1220"/>
      <c r="AA122" s="1220"/>
      <c r="AB122" s="1220"/>
      <c r="AC122" s="1220"/>
    </row>
    <row r="123" spans="2:29" ht="9.75" customHeight="1">
      <c r="C123" s="149"/>
      <c r="D123" s="149"/>
      <c r="E123" s="149"/>
      <c r="F123" s="149"/>
      <c r="G123" s="149"/>
      <c r="H123" s="149"/>
      <c r="I123" s="149"/>
      <c r="J123" s="149"/>
      <c r="K123" s="149"/>
      <c r="L123" s="149"/>
      <c r="M123" s="149"/>
      <c r="N123" s="149"/>
      <c r="O123" s="149"/>
      <c r="P123" s="149"/>
      <c r="Q123" s="149"/>
      <c r="R123" s="149"/>
      <c r="S123" s="276"/>
      <c r="T123" s="276"/>
      <c r="U123" s="276"/>
      <c r="V123" s="276"/>
      <c r="W123" s="276"/>
      <c r="X123" s="276"/>
      <c r="Y123" s="276"/>
      <c r="Z123" s="276"/>
      <c r="AA123" s="276"/>
      <c r="AB123" s="276"/>
      <c r="AC123" s="276"/>
    </row>
    <row r="124" spans="2:29">
      <c r="B124" s="141"/>
      <c r="C124" s="141"/>
      <c r="D124" s="141"/>
      <c r="E124" s="141"/>
      <c r="F124" s="141"/>
      <c r="G124" s="141"/>
      <c r="H124" s="141"/>
      <c r="I124" s="141"/>
      <c r="J124" s="141"/>
      <c r="K124" s="141"/>
      <c r="L124" s="141"/>
      <c r="M124" s="141"/>
      <c r="N124" s="141"/>
      <c r="O124" s="141"/>
      <c r="P124" s="141"/>
      <c r="Q124" s="141"/>
      <c r="R124" s="141"/>
      <c r="S124" s="1234"/>
      <c r="T124" s="1234"/>
      <c r="U124" s="1234"/>
      <c r="V124" s="1234"/>
      <c r="W124" s="1234"/>
      <c r="X124" s="1234"/>
      <c r="Y124" s="1234"/>
      <c r="Z124" s="1234"/>
      <c r="AA124" s="1234"/>
      <c r="AB124" s="1234"/>
      <c r="AC124" s="1234"/>
    </row>
    <row r="125" spans="2:29"/>
    <row r="126" spans="2:29" ht="30" customHeight="1">
      <c r="B126" s="1197" t="s">
        <v>277</v>
      </c>
      <c r="C126" s="1197"/>
      <c r="D126" s="1197"/>
      <c r="E126" s="1197"/>
      <c r="F126" s="1197"/>
      <c r="G126" s="1197"/>
      <c r="H126" s="1197"/>
      <c r="I126" s="1197"/>
      <c r="J126" s="1197"/>
      <c r="K126" s="1197"/>
      <c r="L126" s="1197"/>
      <c r="M126" s="1197"/>
      <c r="N126" s="1197"/>
      <c r="O126" s="1197"/>
      <c r="P126" s="1197"/>
      <c r="Q126" s="1197"/>
      <c r="R126" s="1197"/>
      <c r="S126" s="1197"/>
      <c r="T126" s="1197"/>
      <c r="U126" s="1197"/>
      <c r="V126" s="1197"/>
      <c r="W126" s="1197"/>
      <c r="X126" s="1197"/>
      <c r="Y126" s="1197"/>
      <c r="Z126" s="1197"/>
      <c r="AA126" s="1197"/>
      <c r="AB126" s="1197"/>
      <c r="AC126" s="1197"/>
    </row>
    <row r="127" spans="2:29" ht="15.75">
      <c r="B127" s="171"/>
      <c r="C127" s="171"/>
      <c r="D127" s="171"/>
      <c r="E127" s="171"/>
      <c r="F127" s="171"/>
      <c r="G127" s="171"/>
      <c r="H127" s="171"/>
      <c r="I127" s="171"/>
      <c r="J127" s="171"/>
      <c r="K127" s="171"/>
      <c r="L127" s="171"/>
      <c r="M127" s="171"/>
      <c r="N127" s="171"/>
      <c r="O127" s="171"/>
      <c r="P127" s="171"/>
      <c r="Q127" s="171"/>
      <c r="R127" s="171"/>
      <c r="S127" s="171"/>
      <c r="T127" s="171"/>
      <c r="U127" s="171"/>
      <c r="V127" s="171"/>
      <c r="W127" s="171"/>
      <c r="X127" s="171"/>
      <c r="Y127" s="171"/>
      <c r="Z127" s="171"/>
      <c r="AA127" s="171"/>
      <c r="AB127" s="171"/>
      <c r="AC127" s="171"/>
    </row>
    <row r="128" spans="2:29">
      <c r="B128" s="99" t="s">
        <v>278</v>
      </c>
      <c r="I128" s="99" t="s">
        <v>2</v>
      </c>
      <c r="J128" s="1223" t="str">
        <f>IFERROR(PROPER(VLOOKUP($AE$4,_Biodata_Lengkap,4,FALSE)),"-")</f>
        <v>Calissta Sabrina Salwa Aurelia</v>
      </c>
      <c r="K128" s="1223"/>
      <c r="L128" s="1223"/>
      <c r="M128" s="1223"/>
      <c r="N128" s="1223"/>
      <c r="O128" s="1223"/>
      <c r="P128" s="1223"/>
      <c r="Q128" s="1223"/>
      <c r="R128" s="1223"/>
      <c r="S128" s="1223"/>
      <c r="T128" s="1223"/>
      <c r="U128" s="1223"/>
      <c r="V128" s="1223"/>
      <c r="W128" s="1223"/>
      <c r="X128" s="1223"/>
      <c r="Y128" s="1223"/>
      <c r="Z128" s="1223"/>
      <c r="AA128" s="1223"/>
      <c r="AB128" s="1223"/>
      <c r="AC128" s="1223"/>
    </row>
    <row r="129" spans="2:29">
      <c r="B129" s="106" t="s">
        <v>166</v>
      </c>
      <c r="C129" s="106"/>
      <c r="D129" s="106"/>
      <c r="E129" s="106"/>
      <c r="F129" s="106"/>
      <c r="G129" s="106"/>
      <c r="H129" s="106"/>
      <c r="I129" s="106" t="s">
        <v>2</v>
      </c>
      <c r="J129" s="1223" t="str">
        <f>IFERROR((VLOOKUP($AE$4,_Biodata_Lengkap,2,FALSE))&amp;" / "&amp;VLOOKUP($AE$4,_Biodata_Lengkap,3,FALSE),"-")</f>
        <v>7069 / 0055373501</v>
      </c>
      <c r="K129" s="1223"/>
      <c r="L129" s="1223"/>
      <c r="M129" s="1223"/>
      <c r="N129" s="1223"/>
      <c r="O129" s="1223"/>
      <c r="P129" s="1223"/>
      <c r="Q129" s="1223"/>
      <c r="R129" s="1223"/>
      <c r="S129" s="1223"/>
      <c r="T129" s="1223"/>
      <c r="U129" s="1223"/>
      <c r="V129" s="1223"/>
      <c r="W129" s="1223"/>
      <c r="X129" s="1223"/>
      <c r="Y129" s="106"/>
      <c r="Z129" s="106"/>
      <c r="AA129" s="106"/>
      <c r="AB129" s="106"/>
      <c r="AC129" s="106"/>
    </row>
    <row r="130" spans="2:29" ht="15.75">
      <c r="B130" s="160"/>
      <c r="C130" s="160"/>
      <c r="D130" s="160"/>
      <c r="E130" s="160"/>
      <c r="F130" s="160"/>
      <c r="G130" s="160"/>
      <c r="H130" s="160"/>
      <c r="I130" s="160"/>
      <c r="J130" s="160"/>
      <c r="K130" s="160"/>
      <c r="L130" s="160"/>
      <c r="M130" s="160"/>
      <c r="N130" s="160"/>
      <c r="O130" s="160"/>
      <c r="P130" s="160"/>
      <c r="Q130" s="160"/>
      <c r="R130" s="160"/>
      <c r="S130" s="160"/>
      <c r="T130" s="160"/>
      <c r="U130" s="160"/>
      <c r="V130" s="160"/>
      <c r="W130" s="160"/>
      <c r="X130" s="160"/>
      <c r="Y130" s="160"/>
      <c r="Z130" s="160"/>
      <c r="AA130" s="160"/>
      <c r="AB130" s="160"/>
      <c r="AC130" s="160"/>
    </row>
    <row r="131" spans="2:29" ht="18.75">
      <c r="B131" s="1224" t="s">
        <v>280</v>
      </c>
      <c r="C131" s="1224"/>
      <c r="D131" s="1224"/>
      <c r="E131" s="1224"/>
      <c r="F131" s="1224"/>
      <c r="G131" s="1224"/>
      <c r="H131" s="1224"/>
      <c r="I131" s="1224"/>
      <c r="J131" s="1224"/>
      <c r="K131" s="1224"/>
      <c r="L131" s="1224"/>
      <c r="M131" s="1224"/>
      <c r="N131" s="1224"/>
      <c r="O131" s="1224"/>
      <c r="P131" s="1224"/>
      <c r="Q131" s="1224"/>
      <c r="R131" s="1224"/>
      <c r="S131" s="1224"/>
      <c r="T131" s="1224"/>
      <c r="U131" s="1224"/>
      <c r="V131" s="1224"/>
      <c r="W131" s="1224"/>
      <c r="X131" s="1224"/>
      <c r="Y131" s="1224"/>
      <c r="Z131" s="1224"/>
      <c r="AA131" s="1224"/>
      <c r="AB131" s="1224"/>
      <c r="AC131" s="1224"/>
    </row>
    <row r="132" spans="2:29" ht="48" customHeight="1">
      <c r="B132" s="1222" t="s">
        <v>140</v>
      </c>
      <c r="C132" s="1222"/>
      <c r="D132" s="1222"/>
      <c r="E132" s="1222"/>
      <c r="F132" s="1222" t="s">
        <v>279</v>
      </c>
      <c r="G132" s="1222"/>
      <c r="H132" s="1222"/>
      <c r="I132" s="1222"/>
      <c r="J132" s="1222"/>
      <c r="K132" s="1222" t="s">
        <v>281</v>
      </c>
      <c r="L132" s="1222"/>
      <c r="M132" s="1222"/>
      <c r="N132" s="1222"/>
      <c r="O132" s="1222"/>
      <c r="P132" s="1222"/>
      <c r="Q132" s="1222"/>
      <c r="R132" s="1222"/>
      <c r="S132" s="1222"/>
      <c r="T132" s="1222"/>
      <c r="U132" s="1222" t="s">
        <v>282</v>
      </c>
      <c r="V132" s="1222"/>
      <c r="W132" s="1222"/>
      <c r="X132" s="1222"/>
      <c r="Y132" s="1222"/>
      <c r="Z132" s="1222"/>
      <c r="AA132" s="1222"/>
      <c r="AB132" s="1222"/>
      <c r="AC132" s="1222"/>
    </row>
    <row r="133" spans="2:29">
      <c r="B133" s="1205"/>
      <c r="C133" s="1205"/>
      <c r="D133" s="1205"/>
      <c r="E133" s="1205"/>
      <c r="F133" s="1205"/>
      <c r="G133" s="1205"/>
      <c r="H133" s="1205"/>
      <c r="I133" s="1205"/>
      <c r="J133" s="1205"/>
      <c r="K133" s="1205"/>
      <c r="L133" s="1205"/>
      <c r="M133" s="1205"/>
      <c r="N133" s="1205"/>
      <c r="O133" s="1205"/>
      <c r="P133" s="1205"/>
      <c r="Q133" s="1205"/>
      <c r="R133" s="1205"/>
      <c r="S133" s="1205"/>
      <c r="T133" s="1205"/>
      <c r="U133" s="1206" t="s">
        <v>293</v>
      </c>
      <c r="V133" s="1207"/>
      <c r="W133" s="1207"/>
      <c r="X133" s="1207"/>
      <c r="Y133" s="1207"/>
      <c r="Z133" s="1207"/>
      <c r="AA133" s="1207"/>
      <c r="AB133" s="1207"/>
      <c r="AC133" s="1208"/>
    </row>
    <row r="134" spans="2:29">
      <c r="B134" s="1205"/>
      <c r="C134" s="1205"/>
      <c r="D134" s="1205"/>
      <c r="E134" s="1205"/>
      <c r="F134" s="1205"/>
      <c r="G134" s="1205"/>
      <c r="H134" s="1205"/>
      <c r="I134" s="1205"/>
      <c r="J134" s="1205"/>
      <c r="K134" s="1205"/>
      <c r="L134" s="1205"/>
      <c r="M134" s="1205"/>
      <c r="N134" s="1205"/>
      <c r="O134" s="1205"/>
      <c r="P134" s="1205"/>
      <c r="Q134" s="1205"/>
      <c r="R134" s="1205"/>
      <c r="S134" s="1205"/>
      <c r="T134" s="1205"/>
      <c r="U134" s="1209" t="s">
        <v>283</v>
      </c>
      <c r="V134" s="1188"/>
      <c r="W134" s="1188"/>
      <c r="X134" s="1188"/>
      <c r="Y134" s="1188"/>
      <c r="Z134" s="1188"/>
      <c r="AA134" s="1188"/>
      <c r="AB134" s="1188"/>
      <c r="AC134" s="1189"/>
    </row>
    <row r="135" spans="2:29">
      <c r="B135" s="1205"/>
      <c r="C135" s="1205"/>
      <c r="D135" s="1205"/>
      <c r="E135" s="1205"/>
      <c r="F135" s="1205"/>
      <c r="G135" s="1205"/>
      <c r="H135" s="1205"/>
      <c r="I135" s="1205"/>
      <c r="J135" s="1205"/>
      <c r="K135" s="1205"/>
      <c r="L135" s="1205"/>
      <c r="M135" s="1205"/>
      <c r="N135" s="1205"/>
      <c r="O135" s="1205"/>
      <c r="P135" s="1205"/>
      <c r="Q135" s="1205"/>
      <c r="R135" s="1205"/>
      <c r="S135" s="1205"/>
      <c r="T135" s="1205"/>
      <c r="U135" s="172"/>
      <c r="AC135" s="173"/>
    </row>
    <row r="136" spans="2:29">
      <c r="B136" s="1205"/>
      <c r="C136" s="1205"/>
      <c r="D136" s="1205"/>
      <c r="E136" s="1205"/>
      <c r="F136" s="1205"/>
      <c r="G136" s="1205"/>
      <c r="H136" s="1205"/>
      <c r="I136" s="1205"/>
      <c r="J136" s="1205"/>
      <c r="K136" s="1205"/>
      <c r="L136" s="1205"/>
      <c r="M136" s="1205"/>
      <c r="N136" s="1205"/>
      <c r="O136" s="1205"/>
      <c r="P136" s="1205"/>
      <c r="Q136" s="1205"/>
      <c r="R136" s="1205"/>
      <c r="S136" s="1205"/>
      <c r="T136" s="1205"/>
      <c r="U136" s="172"/>
      <c r="AC136" s="173"/>
    </row>
    <row r="137" spans="2:29">
      <c r="B137" s="1205"/>
      <c r="C137" s="1205"/>
      <c r="D137" s="1205"/>
      <c r="E137" s="1205"/>
      <c r="F137" s="1205"/>
      <c r="G137" s="1205"/>
      <c r="H137" s="1205"/>
      <c r="I137" s="1205"/>
      <c r="J137" s="1205"/>
      <c r="K137" s="1205"/>
      <c r="L137" s="1205"/>
      <c r="M137" s="1205"/>
      <c r="N137" s="1205"/>
      <c r="O137" s="1205"/>
      <c r="P137" s="1205"/>
      <c r="Q137" s="1205"/>
      <c r="R137" s="1205"/>
      <c r="S137" s="1205"/>
      <c r="T137" s="1205"/>
      <c r="U137" s="172"/>
      <c r="AC137" s="173"/>
    </row>
    <row r="138" spans="2:29">
      <c r="B138" s="1205"/>
      <c r="C138" s="1205"/>
      <c r="D138" s="1205"/>
      <c r="E138" s="1205"/>
      <c r="F138" s="1205"/>
      <c r="G138" s="1205"/>
      <c r="H138" s="1205"/>
      <c r="I138" s="1205"/>
      <c r="J138" s="1205"/>
      <c r="K138" s="1205"/>
      <c r="L138" s="1205"/>
      <c r="M138" s="1205"/>
      <c r="N138" s="1205"/>
      <c r="O138" s="1205"/>
      <c r="P138" s="1205"/>
      <c r="Q138" s="1205"/>
      <c r="R138" s="1205"/>
      <c r="S138" s="1205"/>
      <c r="T138" s="1205"/>
      <c r="U138" s="1213" t="str">
        <f>_kepsek</f>
        <v>Hj. YURNILAWATI, S.Pd.I</v>
      </c>
      <c r="V138" s="1214"/>
      <c r="W138" s="1214"/>
      <c r="X138" s="1214"/>
      <c r="Y138" s="1214"/>
      <c r="Z138" s="1214"/>
      <c r="AA138" s="1214"/>
      <c r="AB138" s="1214"/>
      <c r="AC138" s="1215"/>
    </row>
    <row r="139" spans="2:29">
      <c r="B139" s="1205"/>
      <c r="C139" s="1205"/>
      <c r="D139" s="1205"/>
      <c r="E139" s="1205"/>
      <c r="F139" s="1205"/>
      <c r="G139" s="1205"/>
      <c r="H139" s="1205"/>
      <c r="I139" s="1205"/>
      <c r="J139" s="1205"/>
      <c r="K139" s="1205"/>
      <c r="L139" s="1205"/>
      <c r="M139" s="1205"/>
      <c r="N139" s="1205"/>
      <c r="O139" s="1205"/>
      <c r="P139" s="1205"/>
      <c r="Q139" s="1205"/>
      <c r="R139" s="1205"/>
      <c r="S139" s="1205"/>
      <c r="T139" s="1205"/>
      <c r="U139" s="1209" t="str">
        <f>"NIP. "&amp;_nip_kepsek</f>
        <v>NIP. 19590208 198102 2 001</v>
      </c>
      <c r="V139" s="1188"/>
      <c r="W139" s="1188"/>
      <c r="X139" s="1188"/>
      <c r="Y139" s="1188"/>
      <c r="Z139" s="1188"/>
      <c r="AA139" s="1188"/>
      <c r="AB139" s="1188"/>
      <c r="AC139" s="1189"/>
    </row>
    <row r="140" spans="2:29" ht="4.5" customHeight="1">
      <c r="B140" s="1205"/>
      <c r="C140" s="1205"/>
      <c r="D140" s="1205"/>
      <c r="E140" s="1205"/>
      <c r="F140" s="1205"/>
      <c r="G140" s="1205"/>
      <c r="H140" s="1205"/>
      <c r="I140" s="1205"/>
      <c r="J140" s="1205"/>
      <c r="K140" s="1205"/>
      <c r="L140" s="1205"/>
      <c r="M140" s="1205"/>
      <c r="N140" s="1205"/>
      <c r="O140" s="1205"/>
      <c r="P140" s="1205"/>
      <c r="Q140" s="1205"/>
      <c r="R140" s="1205"/>
      <c r="S140" s="1205"/>
      <c r="T140" s="1205"/>
      <c r="U140" s="174"/>
      <c r="V140" s="103"/>
      <c r="W140" s="103"/>
      <c r="X140" s="103"/>
      <c r="Y140" s="103"/>
      <c r="Z140" s="103"/>
      <c r="AA140" s="103"/>
      <c r="AB140" s="103"/>
      <c r="AC140" s="175"/>
    </row>
    <row r="141" spans="2:29">
      <c r="B141" s="1205"/>
      <c r="C141" s="1205"/>
      <c r="D141" s="1205"/>
      <c r="E141" s="1205"/>
      <c r="F141" s="1205"/>
      <c r="G141" s="1205"/>
      <c r="H141" s="1205"/>
      <c r="I141" s="1205"/>
      <c r="J141" s="1205"/>
      <c r="K141" s="1205"/>
      <c r="L141" s="1205"/>
      <c r="M141" s="1205"/>
      <c r="N141" s="1205"/>
      <c r="O141" s="1205"/>
      <c r="P141" s="1205"/>
      <c r="Q141" s="1205"/>
      <c r="R141" s="1205"/>
      <c r="S141" s="1205"/>
      <c r="T141" s="1205"/>
      <c r="U141" s="1209" t="s">
        <v>190</v>
      </c>
      <c r="V141" s="1188"/>
      <c r="W141" s="1188"/>
      <c r="X141" s="1188"/>
      <c r="Y141" s="1188"/>
      <c r="Z141" s="1188"/>
      <c r="AA141" s="1188"/>
      <c r="AB141" s="1188"/>
      <c r="AC141" s="1189"/>
    </row>
    <row r="142" spans="2:29">
      <c r="B142" s="1205"/>
      <c r="C142" s="1205"/>
      <c r="D142" s="1205"/>
      <c r="E142" s="1205"/>
      <c r="F142" s="1205"/>
      <c r="G142" s="1205"/>
      <c r="H142" s="1205"/>
      <c r="I142" s="1205"/>
      <c r="J142" s="1205"/>
      <c r="K142" s="1205"/>
      <c r="L142" s="1205"/>
      <c r="M142" s="1205"/>
      <c r="N142" s="1205"/>
      <c r="O142" s="1205"/>
      <c r="P142" s="1205"/>
      <c r="Q142" s="1205"/>
      <c r="R142" s="1205"/>
      <c r="S142" s="1205"/>
      <c r="T142" s="1205"/>
      <c r="U142" s="174"/>
      <c r="V142" s="103"/>
      <c r="W142" s="103"/>
      <c r="X142" s="103"/>
      <c r="Y142" s="103"/>
      <c r="Z142" s="103"/>
      <c r="AA142" s="103"/>
      <c r="AB142" s="103"/>
      <c r="AC142" s="175"/>
    </row>
    <row r="143" spans="2:29">
      <c r="B143" s="1205"/>
      <c r="C143" s="1205"/>
      <c r="D143" s="1205"/>
      <c r="E143" s="1205"/>
      <c r="F143" s="1205"/>
      <c r="G143" s="1205"/>
      <c r="H143" s="1205"/>
      <c r="I143" s="1205"/>
      <c r="J143" s="1205"/>
      <c r="K143" s="1205"/>
      <c r="L143" s="1205"/>
      <c r="M143" s="1205"/>
      <c r="N143" s="1205"/>
      <c r="O143" s="1205"/>
      <c r="P143" s="1205"/>
      <c r="Q143" s="1205"/>
      <c r="R143" s="1205"/>
      <c r="S143" s="1205"/>
      <c r="T143" s="1205"/>
      <c r="U143" s="174"/>
      <c r="V143" s="103"/>
      <c r="W143" s="103"/>
      <c r="X143" s="103"/>
      <c r="Y143" s="103"/>
      <c r="Z143" s="103"/>
      <c r="AA143" s="103"/>
      <c r="AB143" s="103"/>
      <c r="AC143" s="175"/>
    </row>
    <row r="144" spans="2:29">
      <c r="B144" s="1205"/>
      <c r="C144" s="1205"/>
      <c r="D144" s="1205"/>
      <c r="E144" s="1205"/>
      <c r="F144" s="1205"/>
      <c r="G144" s="1205"/>
      <c r="H144" s="1205"/>
      <c r="I144" s="1205"/>
      <c r="J144" s="1205"/>
      <c r="K144" s="1205"/>
      <c r="L144" s="1205"/>
      <c r="M144" s="1205"/>
      <c r="N144" s="1205"/>
      <c r="O144" s="1205"/>
      <c r="P144" s="1205"/>
      <c r="Q144" s="1205"/>
      <c r="R144" s="1205"/>
      <c r="S144" s="1205"/>
      <c r="T144" s="1205"/>
      <c r="U144" s="174"/>
      <c r="V144" s="103"/>
      <c r="W144" s="103"/>
      <c r="X144" s="103"/>
      <c r="Y144" s="103"/>
      <c r="Z144" s="103"/>
      <c r="AA144" s="103"/>
      <c r="AB144" s="103"/>
      <c r="AC144" s="175"/>
    </row>
    <row r="145" spans="2:29">
      <c r="B145" s="1205"/>
      <c r="C145" s="1205"/>
      <c r="D145" s="1205"/>
      <c r="E145" s="1205"/>
      <c r="F145" s="1205"/>
      <c r="G145" s="1205"/>
      <c r="H145" s="1205"/>
      <c r="I145" s="1205"/>
      <c r="J145" s="1205"/>
      <c r="K145" s="1205"/>
      <c r="L145" s="1205"/>
      <c r="M145" s="1205"/>
      <c r="N145" s="1205"/>
      <c r="O145" s="1205"/>
      <c r="P145" s="1205"/>
      <c r="Q145" s="1205"/>
      <c r="R145" s="1205"/>
      <c r="S145" s="1205"/>
      <c r="T145" s="1205"/>
      <c r="U145" s="1210" t="s">
        <v>284</v>
      </c>
      <c r="V145" s="1211"/>
      <c r="W145" s="1211"/>
      <c r="X145" s="1211"/>
      <c r="Y145" s="1211"/>
      <c r="Z145" s="1211"/>
      <c r="AA145" s="1211"/>
      <c r="AB145" s="1211"/>
      <c r="AC145" s="1212"/>
    </row>
    <row r="146" spans="2:29">
      <c r="B146" s="1205"/>
      <c r="C146" s="1205"/>
      <c r="D146" s="1205"/>
      <c r="E146" s="1205"/>
      <c r="F146" s="1205"/>
      <c r="G146" s="1205"/>
      <c r="H146" s="1205"/>
      <c r="I146" s="1205"/>
      <c r="J146" s="1205"/>
      <c r="K146" s="1205"/>
      <c r="L146" s="1205"/>
      <c r="M146" s="1205"/>
      <c r="N146" s="1205"/>
      <c r="O146" s="1205"/>
      <c r="P146" s="1205"/>
      <c r="Q146" s="1205"/>
      <c r="R146" s="1205"/>
      <c r="S146" s="1205"/>
      <c r="T146" s="1205"/>
      <c r="U146" s="176"/>
      <c r="V146" s="177"/>
      <c r="W146" s="177"/>
      <c r="X146" s="177"/>
      <c r="Y146" s="177"/>
      <c r="Z146" s="177"/>
      <c r="AA146" s="177"/>
      <c r="AB146" s="177"/>
      <c r="AC146" s="178"/>
    </row>
    <row r="147" spans="2:29">
      <c r="B147" s="1205"/>
      <c r="C147" s="1205"/>
      <c r="D147" s="1205"/>
      <c r="E147" s="1205"/>
      <c r="F147" s="1205"/>
      <c r="G147" s="1205"/>
      <c r="H147" s="1205"/>
      <c r="I147" s="1205"/>
      <c r="J147" s="1205"/>
      <c r="K147" s="1205"/>
      <c r="L147" s="1205"/>
      <c r="M147" s="1205"/>
      <c r="N147" s="1205"/>
      <c r="O147" s="1205"/>
      <c r="P147" s="1205"/>
      <c r="Q147" s="1205"/>
      <c r="R147" s="1205"/>
      <c r="S147" s="1205"/>
      <c r="T147" s="1205"/>
      <c r="U147" s="1206" t="s">
        <v>293</v>
      </c>
      <c r="V147" s="1207"/>
      <c r="W147" s="1207"/>
      <c r="X147" s="1207"/>
      <c r="Y147" s="1207"/>
      <c r="Z147" s="1207"/>
      <c r="AA147" s="1207"/>
      <c r="AB147" s="1207"/>
      <c r="AC147" s="1208"/>
    </row>
    <row r="148" spans="2:29">
      <c r="B148" s="1205"/>
      <c r="C148" s="1205"/>
      <c r="D148" s="1205"/>
      <c r="E148" s="1205"/>
      <c r="F148" s="1205"/>
      <c r="G148" s="1205"/>
      <c r="H148" s="1205"/>
      <c r="I148" s="1205"/>
      <c r="J148" s="1205"/>
      <c r="K148" s="1205"/>
      <c r="L148" s="1205"/>
      <c r="M148" s="1205"/>
      <c r="N148" s="1205"/>
      <c r="O148" s="1205"/>
      <c r="P148" s="1205"/>
      <c r="Q148" s="1205"/>
      <c r="R148" s="1205"/>
      <c r="S148" s="1205"/>
      <c r="T148" s="1205"/>
      <c r="U148" s="1209" t="s">
        <v>283</v>
      </c>
      <c r="V148" s="1188"/>
      <c r="W148" s="1188"/>
      <c r="X148" s="1188"/>
      <c r="Y148" s="1188"/>
      <c r="Z148" s="1188"/>
      <c r="AA148" s="1188"/>
      <c r="AB148" s="1188"/>
      <c r="AC148" s="1189"/>
    </row>
    <row r="149" spans="2:29">
      <c r="B149" s="1205"/>
      <c r="C149" s="1205"/>
      <c r="D149" s="1205"/>
      <c r="E149" s="1205"/>
      <c r="F149" s="1205"/>
      <c r="G149" s="1205"/>
      <c r="H149" s="1205"/>
      <c r="I149" s="1205"/>
      <c r="J149" s="1205"/>
      <c r="K149" s="1205"/>
      <c r="L149" s="1205"/>
      <c r="M149" s="1205"/>
      <c r="N149" s="1205"/>
      <c r="O149" s="1205"/>
      <c r="P149" s="1205"/>
      <c r="Q149" s="1205"/>
      <c r="R149" s="1205"/>
      <c r="S149" s="1205"/>
      <c r="T149" s="1205"/>
      <c r="U149" s="172"/>
      <c r="AC149" s="173"/>
    </row>
    <row r="150" spans="2:29">
      <c r="B150" s="1205"/>
      <c r="C150" s="1205"/>
      <c r="D150" s="1205"/>
      <c r="E150" s="1205"/>
      <c r="F150" s="1205"/>
      <c r="G150" s="1205"/>
      <c r="H150" s="1205"/>
      <c r="I150" s="1205"/>
      <c r="J150" s="1205"/>
      <c r="K150" s="1205"/>
      <c r="L150" s="1205"/>
      <c r="M150" s="1205"/>
      <c r="N150" s="1205"/>
      <c r="O150" s="1205"/>
      <c r="P150" s="1205"/>
      <c r="Q150" s="1205"/>
      <c r="R150" s="1205"/>
      <c r="S150" s="1205"/>
      <c r="T150" s="1205"/>
      <c r="U150" s="172"/>
      <c r="AC150" s="173"/>
    </row>
    <row r="151" spans="2:29">
      <c r="B151" s="1205"/>
      <c r="C151" s="1205"/>
      <c r="D151" s="1205"/>
      <c r="E151" s="1205"/>
      <c r="F151" s="1205"/>
      <c r="G151" s="1205"/>
      <c r="H151" s="1205"/>
      <c r="I151" s="1205"/>
      <c r="J151" s="1205"/>
      <c r="K151" s="1205"/>
      <c r="L151" s="1205"/>
      <c r="M151" s="1205"/>
      <c r="N151" s="1205"/>
      <c r="O151" s="1205"/>
      <c r="P151" s="1205"/>
      <c r="Q151" s="1205"/>
      <c r="R151" s="1205"/>
      <c r="S151" s="1205"/>
      <c r="T151" s="1205"/>
      <c r="U151" s="172"/>
      <c r="AC151" s="173"/>
    </row>
    <row r="152" spans="2:29">
      <c r="B152" s="1205"/>
      <c r="C152" s="1205"/>
      <c r="D152" s="1205"/>
      <c r="E152" s="1205"/>
      <c r="F152" s="1205"/>
      <c r="G152" s="1205"/>
      <c r="H152" s="1205"/>
      <c r="I152" s="1205"/>
      <c r="J152" s="1205"/>
      <c r="K152" s="1205"/>
      <c r="L152" s="1205"/>
      <c r="M152" s="1205"/>
      <c r="N152" s="1205"/>
      <c r="O152" s="1205"/>
      <c r="P152" s="1205"/>
      <c r="Q152" s="1205"/>
      <c r="R152" s="1205"/>
      <c r="S152" s="1205"/>
      <c r="T152" s="1205"/>
      <c r="U152" s="1184" t="s">
        <v>284</v>
      </c>
      <c r="V152" s="1188"/>
      <c r="W152" s="1188"/>
      <c r="X152" s="1188"/>
      <c r="Y152" s="1188"/>
      <c r="Z152" s="1188"/>
      <c r="AA152" s="1188"/>
      <c r="AB152" s="1188"/>
      <c r="AC152" s="1189"/>
    </row>
    <row r="153" spans="2:29">
      <c r="B153" s="1205"/>
      <c r="C153" s="1205"/>
      <c r="D153" s="1205"/>
      <c r="E153" s="1205"/>
      <c r="F153" s="1205"/>
      <c r="G153" s="1205"/>
      <c r="H153" s="1205"/>
      <c r="I153" s="1205"/>
      <c r="J153" s="1205"/>
      <c r="K153" s="1205"/>
      <c r="L153" s="1205"/>
      <c r="M153" s="1205"/>
      <c r="N153" s="1205"/>
      <c r="O153" s="1205"/>
      <c r="P153" s="1205"/>
      <c r="Q153" s="1205"/>
      <c r="R153" s="1205"/>
      <c r="S153" s="1205"/>
      <c r="T153" s="1205"/>
      <c r="U153" s="1184" t="s">
        <v>292</v>
      </c>
      <c r="V153" s="1188"/>
      <c r="W153" s="1188"/>
      <c r="X153" s="1188"/>
      <c r="Y153" s="1188"/>
      <c r="Z153" s="1188"/>
      <c r="AA153" s="1188"/>
      <c r="AB153" s="1188"/>
      <c r="AC153" s="1189"/>
    </row>
    <row r="154" spans="2:29">
      <c r="B154" s="1205"/>
      <c r="C154" s="1205"/>
      <c r="D154" s="1205"/>
      <c r="E154" s="1205"/>
      <c r="F154" s="1205"/>
      <c r="G154" s="1205"/>
      <c r="H154" s="1205"/>
      <c r="I154" s="1205"/>
      <c r="J154" s="1205"/>
      <c r="K154" s="1205"/>
      <c r="L154" s="1205"/>
      <c r="M154" s="1205"/>
      <c r="N154" s="1205"/>
      <c r="O154" s="1205"/>
      <c r="P154" s="1205"/>
      <c r="Q154" s="1205"/>
      <c r="R154" s="1205"/>
      <c r="S154" s="1205"/>
      <c r="T154" s="1205"/>
      <c r="U154" s="174"/>
      <c r="V154" s="103"/>
      <c r="W154" s="103"/>
      <c r="X154" s="103"/>
      <c r="Y154" s="103"/>
      <c r="Z154" s="103"/>
      <c r="AA154" s="103"/>
      <c r="AB154" s="103"/>
      <c r="AC154" s="175"/>
    </row>
    <row r="155" spans="2:29">
      <c r="B155" s="1205"/>
      <c r="C155" s="1205"/>
      <c r="D155" s="1205"/>
      <c r="E155" s="1205"/>
      <c r="F155" s="1205"/>
      <c r="G155" s="1205"/>
      <c r="H155" s="1205"/>
      <c r="I155" s="1205"/>
      <c r="J155" s="1205"/>
      <c r="K155" s="1205"/>
      <c r="L155" s="1205"/>
      <c r="M155" s="1205"/>
      <c r="N155" s="1205"/>
      <c r="O155" s="1205"/>
      <c r="P155" s="1205"/>
      <c r="Q155" s="1205"/>
      <c r="R155" s="1205"/>
      <c r="S155" s="1205"/>
      <c r="T155" s="1205"/>
      <c r="U155" s="1209" t="s">
        <v>190</v>
      </c>
      <c r="V155" s="1188"/>
      <c r="W155" s="1188"/>
      <c r="X155" s="1188"/>
      <c r="Y155" s="1188"/>
      <c r="Z155" s="1188"/>
      <c r="AA155" s="1188"/>
      <c r="AB155" s="1188"/>
      <c r="AC155" s="1189"/>
    </row>
    <row r="156" spans="2:29">
      <c r="B156" s="1205"/>
      <c r="C156" s="1205"/>
      <c r="D156" s="1205"/>
      <c r="E156" s="1205"/>
      <c r="F156" s="1205"/>
      <c r="G156" s="1205"/>
      <c r="H156" s="1205"/>
      <c r="I156" s="1205"/>
      <c r="J156" s="1205"/>
      <c r="K156" s="1205"/>
      <c r="L156" s="1205"/>
      <c r="M156" s="1205"/>
      <c r="N156" s="1205"/>
      <c r="O156" s="1205"/>
      <c r="P156" s="1205"/>
      <c r="Q156" s="1205"/>
      <c r="R156" s="1205"/>
      <c r="S156" s="1205"/>
      <c r="T156" s="1205"/>
      <c r="U156" s="174"/>
      <c r="V156" s="103"/>
      <c r="W156" s="103"/>
      <c r="X156" s="103"/>
      <c r="Y156" s="103"/>
      <c r="Z156" s="103"/>
      <c r="AA156" s="103"/>
      <c r="AB156" s="103"/>
      <c r="AC156" s="175"/>
    </row>
    <row r="157" spans="2:29">
      <c r="B157" s="1205"/>
      <c r="C157" s="1205"/>
      <c r="D157" s="1205"/>
      <c r="E157" s="1205"/>
      <c r="F157" s="1205"/>
      <c r="G157" s="1205"/>
      <c r="H157" s="1205"/>
      <c r="I157" s="1205"/>
      <c r="J157" s="1205"/>
      <c r="K157" s="1205"/>
      <c r="L157" s="1205"/>
      <c r="M157" s="1205"/>
      <c r="N157" s="1205"/>
      <c r="O157" s="1205"/>
      <c r="P157" s="1205"/>
      <c r="Q157" s="1205"/>
      <c r="R157" s="1205"/>
      <c r="S157" s="1205"/>
      <c r="T157" s="1205"/>
      <c r="U157" s="174"/>
      <c r="V157" s="103"/>
      <c r="W157" s="103"/>
      <c r="X157" s="103"/>
      <c r="Y157" s="103"/>
      <c r="Z157" s="103"/>
      <c r="AA157" s="103"/>
      <c r="AB157" s="103"/>
      <c r="AC157" s="175"/>
    </row>
    <row r="158" spans="2:29">
      <c r="B158" s="1205"/>
      <c r="C158" s="1205"/>
      <c r="D158" s="1205"/>
      <c r="E158" s="1205"/>
      <c r="F158" s="1205"/>
      <c r="G158" s="1205"/>
      <c r="H158" s="1205"/>
      <c r="I158" s="1205"/>
      <c r="J158" s="1205"/>
      <c r="K158" s="1205"/>
      <c r="L158" s="1205"/>
      <c r="M158" s="1205"/>
      <c r="N158" s="1205"/>
      <c r="O158" s="1205"/>
      <c r="P158" s="1205"/>
      <c r="Q158" s="1205"/>
      <c r="R158" s="1205"/>
      <c r="S158" s="1205"/>
      <c r="T158" s="1205"/>
      <c r="U158" s="174"/>
      <c r="V158" s="103"/>
      <c r="W158" s="103"/>
      <c r="X158" s="103"/>
      <c r="Y158" s="103"/>
      <c r="Z158" s="103"/>
      <c r="AA158" s="103"/>
      <c r="AB158" s="103"/>
      <c r="AC158" s="175"/>
    </row>
    <row r="159" spans="2:29">
      <c r="B159" s="1205"/>
      <c r="C159" s="1205"/>
      <c r="D159" s="1205"/>
      <c r="E159" s="1205"/>
      <c r="F159" s="1205"/>
      <c r="G159" s="1205"/>
      <c r="H159" s="1205"/>
      <c r="I159" s="1205"/>
      <c r="J159" s="1205"/>
      <c r="K159" s="1205"/>
      <c r="L159" s="1205"/>
      <c r="M159" s="1205"/>
      <c r="N159" s="1205"/>
      <c r="O159" s="1205"/>
      <c r="P159" s="1205"/>
      <c r="Q159" s="1205"/>
      <c r="R159" s="1205"/>
      <c r="S159" s="1205"/>
      <c r="T159" s="1205"/>
      <c r="U159" s="1210" t="s">
        <v>284</v>
      </c>
      <c r="V159" s="1211"/>
      <c r="W159" s="1211"/>
      <c r="X159" s="1211"/>
      <c r="Y159" s="1211"/>
      <c r="Z159" s="1211"/>
      <c r="AA159" s="1211"/>
      <c r="AB159" s="1211"/>
      <c r="AC159" s="1212"/>
    </row>
    <row r="160" spans="2:29">
      <c r="B160" s="1205"/>
      <c r="C160" s="1205"/>
      <c r="D160" s="1205"/>
      <c r="E160" s="1205"/>
      <c r="F160" s="1205"/>
      <c r="G160" s="1205"/>
      <c r="H160" s="1205"/>
      <c r="I160" s="1205"/>
      <c r="J160" s="1205"/>
      <c r="K160" s="1205"/>
      <c r="L160" s="1205"/>
      <c r="M160" s="1205"/>
      <c r="N160" s="1205"/>
      <c r="O160" s="1205"/>
      <c r="P160" s="1205"/>
      <c r="Q160" s="1205"/>
      <c r="R160" s="1205"/>
      <c r="S160" s="1205"/>
      <c r="T160" s="1205"/>
      <c r="U160" s="176"/>
      <c r="V160" s="177"/>
      <c r="W160" s="177"/>
      <c r="X160" s="177"/>
      <c r="Y160" s="177"/>
      <c r="Z160" s="177"/>
      <c r="AA160" s="177"/>
      <c r="AB160" s="177"/>
      <c r="AC160" s="178"/>
    </row>
    <row r="161" spans="2:29">
      <c r="B161" s="1205"/>
      <c r="C161" s="1205"/>
      <c r="D161" s="1205"/>
      <c r="E161" s="1205"/>
      <c r="F161" s="1205"/>
      <c r="G161" s="1205"/>
      <c r="H161" s="1205"/>
      <c r="I161" s="1205"/>
      <c r="J161" s="1205"/>
      <c r="K161" s="1205"/>
      <c r="L161" s="1205"/>
      <c r="M161" s="1205"/>
      <c r="N161" s="1205"/>
      <c r="O161" s="1205"/>
      <c r="P161" s="1205"/>
      <c r="Q161" s="1205"/>
      <c r="R161" s="1205"/>
      <c r="S161" s="1205"/>
      <c r="T161" s="1205"/>
      <c r="U161" s="1206" t="s">
        <v>293</v>
      </c>
      <c r="V161" s="1207"/>
      <c r="W161" s="1207"/>
      <c r="X161" s="1207"/>
      <c r="Y161" s="1207"/>
      <c r="Z161" s="1207"/>
      <c r="AA161" s="1207"/>
      <c r="AB161" s="1207"/>
      <c r="AC161" s="1208"/>
    </row>
    <row r="162" spans="2:29">
      <c r="B162" s="1205"/>
      <c r="C162" s="1205"/>
      <c r="D162" s="1205"/>
      <c r="E162" s="1205"/>
      <c r="F162" s="1205"/>
      <c r="G162" s="1205"/>
      <c r="H162" s="1205"/>
      <c r="I162" s="1205"/>
      <c r="J162" s="1205"/>
      <c r="K162" s="1205"/>
      <c r="L162" s="1205"/>
      <c r="M162" s="1205"/>
      <c r="N162" s="1205"/>
      <c r="O162" s="1205"/>
      <c r="P162" s="1205"/>
      <c r="Q162" s="1205"/>
      <c r="R162" s="1205"/>
      <c r="S162" s="1205"/>
      <c r="T162" s="1205"/>
      <c r="U162" s="1209" t="s">
        <v>283</v>
      </c>
      <c r="V162" s="1188"/>
      <c r="W162" s="1188"/>
      <c r="X162" s="1188"/>
      <c r="Y162" s="1188"/>
      <c r="Z162" s="1188"/>
      <c r="AA162" s="1188"/>
      <c r="AB162" s="1188"/>
      <c r="AC162" s="1189"/>
    </row>
    <row r="163" spans="2:29">
      <c r="B163" s="1205"/>
      <c r="C163" s="1205"/>
      <c r="D163" s="1205"/>
      <c r="E163" s="1205"/>
      <c r="F163" s="1205"/>
      <c r="G163" s="1205"/>
      <c r="H163" s="1205"/>
      <c r="I163" s="1205"/>
      <c r="J163" s="1205"/>
      <c r="K163" s="1205"/>
      <c r="L163" s="1205"/>
      <c r="M163" s="1205"/>
      <c r="N163" s="1205"/>
      <c r="O163" s="1205"/>
      <c r="P163" s="1205"/>
      <c r="Q163" s="1205"/>
      <c r="R163" s="1205"/>
      <c r="S163" s="1205"/>
      <c r="T163" s="1205"/>
      <c r="U163" s="172"/>
      <c r="AC163" s="173"/>
    </row>
    <row r="164" spans="2:29">
      <c r="B164" s="1205"/>
      <c r="C164" s="1205"/>
      <c r="D164" s="1205"/>
      <c r="E164" s="1205"/>
      <c r="F164" s="1205"/>
      <c r="G164" s="1205"/>
      <c r="H164" s="1205"/>
      <c r="I164" s="1205"/>
      <c r="J164" s="1205"/>
      <c r="K164" s="1205"/>
      <c r="L164" s="1205"/>
      <c r="M164" s="1205"/>
      <c r="N164" s="1205"/>
      <c r="O164" s="1205"/>
      <c r="P164" s="1205"/>
      <c r="Q164" s="1205"/>
      <c r="R164" s="1205"/>
      <c r="S164" s="1205"/>
      <c r="T164" s="1205"/>
      <c r="U164" s="172"/>
      <c r="AC164" s="173"/>
    </row>
    <row r="165" spans="2:29">
      <c r="B165" s="1205"/>
      <c r="C165" s="1205"/>
      <c r="D165" s="1205"/>
      <c r="E165" s="1205"/>
      <c r="F165" s="1205"/>
      <c r="G165" s="1205"/>
      <c r="H165" s="1205"/>
      <c r="I165" s="1205"/>
      <c r="J165" s="1205"/>
      <c r="K165" s="1205"/>
      <c r="L165" s="1205"/>
      <c r="M165" s="1205"/>
      <c r="N165" s="1205"/>
      <c r="O165" s="1205"/>
      <c r="P165" s="1205"/>
      <c r="Q165" s="1205"/>
      <c r="R165" s="1205"/>
      <c r="S165" s="1205"/>
      <c r="T165" s="1205"/>
      <c r="U165" s="172"/>
      <c r="AC165" s="173"/>
    </row>
    <row r="166" spans="2:29">
      <c r="B166" s="1205"/>
      <c r="C166" s="1205"/>
      <c r="D166" s="1205"/>
      <c r="E166" s="1205"/>
      <c r="F166" s="1205"/>
      <c r="G166" s="1205"/>
      <c r="H166" s="1205"/>
      <c r="I166" s="1205"/>
      <c r="J166" s="1205"/>
      <c r="K166" s="1205"/>
      <c r="L166" s="1205"/>
      <c r="M166" s="1205"/>
      <c r="N166" s="1205"/>
      <c r="O166" s="1205"/>
      <c r="P166" s="1205"/>
      <c r="Q166" s="1205"/>
      <c r="R166" s="1205"/>
      <c r="S166" s="1205"/>
      <c r="T166" s="1205"/>
      <c r="U166" s="1184" t="s">
        <v>284</v>
      </c>
      <c r="V166" s="1188"/>
      <c r="W166" s="1188"/>
      <c r="X166" s="1188"/>
      <c r="Y166" s="1188"/>
      <c r="Z166" s="1188"/>
      <c r="AA166" s="1188"/>
      <c r="AB166" s="1188"/>
      <c r="AC166" s="1189"/>
    </row>
    <row r="167" spans="2:29">
      <c r="B167" s="1205"/>
      <c r="C167" s="1205"/>
      <c r="D167" s="1205"/>
      <c r="E167" s="1205"/>
      <c r="F167" s="1205"/>
      <c r="G167" s="1205"/>
      <c r="H167" s="1205"/>
      <c r="I167" s="1205"/>
      <c r="J167" s="1205"/>
      <c r="K167" s="1205"/>
      <c r="L167" s="1205"/>
      <c r="M167" s="1205"/>
      <c r="N167" s="1205"/>
      <c r="O167" s="1205"/>
      <c r="P167" s="1205"/>
      <c r="Q167" s="1205"/>
      <c r="R167" s="1205"/>
      <c r="S167" s="1205"/>
      <c r="T167" s="1205"/>
      <c r="U167" s="1184" t="s">
        <v>292</v>
      </c>
      <c r="V167" s="1188"/>
      <c r="W167" s="1188"/>
      <c r="X167" s="1188"/>
      <c r="Y167" s="1188"/>
      <c r="Z167" s="1188"/>
      <c r="AA167" s="1188"/>
      <c r="AB167" s="1188"/>
      <c r="AC167" s="1189"/>
    </row>
    <row r="168" spans="2:29">
      <c r="B168" s="1205"/>
      <c r="C168" s="1205"/>
      <c r="D168" s="1205"/>
      <c r="E168" s="1205"/>
      <c r="F168" s="1205"/>
      <c r="G168" s="1205"/>
      <c r="H168" s="1205"/>
      <c r="I168" s="1205"/>
      <c r="J168" s="1205"/>
      <c r="K168" s="1205"/>
      <c r="L168" s="1205"/>
      <c r="M168" s="1205"/>
      <c r="N168" s="1205"/>
      <c r="O168" s="1205"/>
      <c r="P168" s="1205"/>
      <c r="Q168" s="1205"/>
      <c r="R168" s="1205"/>
      <c r="S168" s="1205"/>
      <c r="T168" s="1205"/>
      <c r="U168" s="174"/>
      <c r="V168" s="103"/>
      <c r="W168" s="103"/>
      <c r="X168" s="103"/>
      <c r="Y168" s="103"/>
      <c r="Z168" s="103"/>
      <c r="AA168" s="103"/>
      <c r="AB168" s="103"/>
      <c r="AC168" s="175"/>
    </row>
    <row r="169" spans="2:29">
      <c r="B169" s="1205"/>
      <c r="C169" s="1205"/>
      <c r="D169" s="1205"/>
      <c r="E169" s="1205"/>
      <c r="F169" s="1205"/>
      <c r="G169" s="1205"/>
      <c r="H169" s="1205"/>
      <c r="I169" s="1205"/>
      <c r="J169" s="1205"/>
      <c r="K169" s="1205"/>
      <c r="L169" s="1205"/>
      <c r="M169" s="1205"/>
      <c r="N169" s="1205"/>
      <c r="O169" s="1205"/>
      <c r="P169" s="1205"/>
      <c r="Q169" s="1205"/>
      <c r="R169" s="1205"/>
      <c r="S169" s="1205"/>
      <c r="T169" s="1205"/>
      <c r="U169" s="1209" t="s">
        <v>190</v>
      </c>
      <c r="V169" s="1188"/>
      <c r="W169" s="1188"/>
      <c r="X169" s="1188"/>
      <c r="Y169" s="1188"/>
      <c r="Z169" s="1188"/>
      <c r="AA169" s="1188"/>
      <c r="AB169" s="1188"/>
      <c r="AC169" s="1189"/>
    </row>
    <row r="170" spans="2:29">
      <c r="B170" s="1205"/>
      <c r="C170" s="1205"/>
      <c r="D170" s="1205"/>
      <c r="E170" s="1205"/>
      <c r="F170" s="1205"/>
      <c r="G170" s="1205"/>
      <c r="H170" s="1205"/>
      <c r="I170" s="1205"/>
      <c r="J170" s="1205"/>
      <c r="K170" s="1205"/>
      <c r="L170" s="1205"/>
      <c r="M170" s="1205"/>
      <c r="N170" s="1205"/>
      <c r="O170" s="1205"/>
      <c r="P170" s="1205"/>
      <c r="Q170" s="1205"/>
      <c r="R170" s="1205"/>
      <c r="S170" s="1205"/>
      <c r="T170" s="1205"/>
      <c r="U170" s="174"/>
      <c r="V170" s="103"/>
      <c r="W170" s="103"/>
      <c r="X170" s="103"/>
      <c r="Y170" s="103"/>
      <c r="Z170" s="103"/>
      <c r="AA170" s="103"/>
      <c r="AB170" s="103"/>
      <c r="AC170" s="175"/>
    </row>
    <row r="171" spans="2:29">
      <c r="B171" s="1205"/>
      <c r="C171" s="1205"/>
      <c r="D171" s="1205"/>
      <c r="E171" s="1205"/>
      <c r="F171" s="1205"/>
      <c r="G171" s="1205"/>
      <c r="H171" s="1205"/>
      <c r="I171" s="1205"/>
      <c r="J171" s="1205"/>
      <c r="K171" s="1205"/>
      <c r="L171" s="1205"/>
      <c r="M171" s="1205"/>
      <c r="N171" s="1205"/>
      <c r="O171" s="1205"/>
      <c r="P171" s="1205"/>
      <c r="Q171" s="1205"/>
      <c r="R171" s="1205"/>
      <c r="S171" s="1205"/>
      <c r="T171" s="1205"/>
      <c r="U171" s="174"/>
      <c r="V171" s="103"/>
      <c r="W171" s="103"/>
      <c r="X171" s="103"/>
      <c r="Y171" s="103"/>
      <c r="Z171" s="103"/>
      <c r="AA171" s="103"/>
      <c r="AB171" s="103"/>
      <c r="AC171" s="175"/>
    </row>
    <row r="172" spans="2:29">
      <c r="B172" s="1205"/>
      <c r="C172" s="1205"/>
      <c r="D172" s="1205"/>
      <c r="E172" s="1205"/>
      <c r="F172" s="1205"/>
      <c r="G172" s="1205"/>
      <c r="H172" s="1205"/>
      <c r="I172" s="1205"/>
      <c r="J172" s="1205"/>
      <c r="K172" s="1205"/>
      <c r="L172" s="1205"/>
      <c r="M172" s="1205"/>
      <c r="N172" s="1205"/>
      <c r="O172" s="1205"/>
      <c r="P172" s="1205"/>
      <c r="Q172" s="1205"/>
      <c r="R172" s="1205"/>
      <c r="S172" s="1205"/>
      <c r="T172" s="1205"/>
      <c r="U172" s="174"/>
      <c r="V172" s="103"/>
      <c r="W172" s="103"/>
      <c r="X172" s="103"/>
      <c r="Y172" s="103"/>
      <c r="Z172" s="103"/>
      <c r="AA172" s="103"/>
      <c r="AB172" s="103"/>
      <c r="AC172" s="175"/>
    </row>
    <row r="173" spans="2:29">
      <c r="B173" s="1205"/>
      <c r="C173" s="1205"/>
      <c r="D173" s="1205"/>
      <c r="E173" s="1205"/>
      <c r="F173" s="1205"/>
      <c r="G173" s="1205"/>
      <c r="H173" s="1205"/>
      <c r="I173" s="1205"/>
      <c r="J173" s="1205"/>
      <c r="K173" s="1205"/>
      <c r="L173" s="1205"/>
      <c r="M173" s="1205"/>
      <c r="N173" s="1205"/>
      <c r="O173" s="1205"/>
      <c r="P173" s="1205"/>
      <c r="Q173" s="1205"/>
      <c r="R173" s="1205"/>
      <c r="S173" s="1205"/>
      <c r="T173" s="1205"/>
      <c r="U173" s="1210" t="s">
        <v>284</v>
      </c>
      <c r="V173" s="1211"/>
      <c r="W173" s="1211"/>
      <c r="X173" s="1211"/>
      <c r="Y173" s="1211"/>
      <c r="Z173" s="1211"/>
      <c r="AA173" s="1211"/>
      <c r="AB173" s="1211"/>
      <c r="AC173" s="1212"/>
    </row>
    <row r="174" spans="2:29">
      <c r="B174" s="1205"/>
      <c r="C174" s="1205"/>
      <c r="D174" s="1205"/>
      <c r="E174" s="1205"/>
      <c r="F174" s="1205"/>
      <c r="G174" s="1205"/>
      <c r="H174" s="1205"/>
      <c r="I174" s="1205"/>
      <c r="J174" s="1205"/>
      <c r="K174" s="1205"/>
      <c r="L174" s="1205"/>
      <c r="M174" s="1205"/>
      <c r="N174" s="1205"/>
      <c r="O174" s="1205"/>
      <c r="P174" s="1205"/>
      <c r="Q174" s="1205"/>
      <c r="R174" s="1205"/>
      <c r="S174" s="1205"/>
      <c r="T174" s="1205"/>
      <c r="U174" s="176"/>
      <c r="V174" s="177"/>
      <c r="W174" s="177"/>
      <c r="X174" s="177"/>
      <c r="Y174" s="177"/>
      <c r="Z174" s="177"/>
      <c r="AA174" s="177"/>
      <c r="AB174" s="177"/>
      <c r="AC174" s="178"/>
    </row>
    <row r="175" spans="2:29" ht="19.5" customHeight="1">
      <c r="S175" s="1234"/>
      <c r="T175" s="1234"/>
      <c r="U175" s="1234"/>
      <c r="V175" s="1234"/>
      <c r="W175" s="1234"/>
      <c r="X175" s="1234"/>
      <c r="Y175" s="1234"/>
      <c r="Z175" s="1234"/>
      <c r="AA175" s="1234"/>
      <c r="AB175" s="1234"/>
      <c r="AC175" s="1234"/>
    </row>
    <row r="176" spans="2:29"/>
    <row r="177" spans="2:29" ht="21">
      <c r="B177" s="1197" t="s">
        <v>277</v>
      </c>
      <c r="C177" s="1197"/>
      <c r="D177" s="1197"/>
      <c r="E177" s="1197"/>
      <c r="F177" s="1197"/>
      <c r="G177" s="1197"/>
      <c r="H177" s="1197"/>
      <c r="I177" s="1197"/>
      <c r="J177" s="1197"/>
      <c r="K177" s="1197"/>
      <c r="L177" s="1197"/>
      <c r="M177" s="1197"/>
      <c r="N177" s="1197"/>
      <c r="O177" s="1197"/>
      <c r="P177" s="1197"/>
      <c r="Q177" s="1197"/>
      <c r="R177" s="1197"/>
      <c r="S177" s="1197"/>
      <c r="T177" s="1197"/>
      <c r="U177" s="1197"/>
      <c r="V177" s="1197"/>
      <c r="W177" s="1197"/>
      <c r="X177" s="1197"/>
      <c r="Y177" s="1197"/>
      <c r="Z177" s="1197"/>
      <c r="AA177" s="1197"/>
      <c r="AB177" s="1197"/>
      <c r="AC177" s="1197"/>
    </row>
    <row r="178" spans="2:29" ht="15.75">
      <c r="B178" s="171"/>
      <c r="C178" s="171"/>
      <c r="D178" s="171"/>
      <c r="E178" s="171"/>
      <c r="F178" s="171"/>
      <c r="G178" s="171"/>
      <c r="H178" s="171"/>
      <c r="I178" s="171"/>
      <c r="J178" s="171"/>
      <c r="K178" s="171"/>
      <c r="L178" s="171"/>
      <c r="M178" s="171"/>
      <c r="N178" s="171"/>
      <c r="O178" s="171"/>
      <c r="P178" s="171"/>
      <c r="Q178" s="171"/>
      <c r="R178" s="171"/>
      <c r="S178" s="171"/>
      <c r="T178" s="171"/>
      <c r="U178" s="171"/>
      <c r="V178" s="171"/>
      <c r="W178" s="171"/>
      <c r="X178" s="171"/>
      <c r="Y178" s="171"/>
      <c r="Z178" s="171"/>
      <c r="AA178" s="171"/>
      <c r="AB178" s="171"/>
      <c r="AC178" s="171"/>
    </row>
    <row r="179" spans="2:29">
      <c r="B179" s="99" t="s">
        <v>278</v>
      </c>
      <c r="I179" s="99" t="s">
        <v>2</v>
      </c>
      <c r="J179" s="1204"/>
      <c r="K179" s="1204"/>
      <c r="L179" s="1204"/>
      <c r="M179" s="1204"/>
      <c r="N179" s="1204"/>
      <c r="O179" s="1204"/>
      <c r="P179" s="1204"/>
      <c r="Q179" s="1204"/>
      <c r="R179" s="1204"/>
      <c r="S179" s="1204"/>
      <c r="T179" s="1204"/>
      <c r="U179" s="1204"/>
      <c r="V179" s="106"/>
      <c r="W179" s="106"/>
      <c r="X179" s="106"/>
      <c r="Y179" s="106"/>
      <c r="Z179" s="106"/>
      <c r="AA179" s="106"/>
      <c r="AB179" s="106"/>
      <c r="AC179" s="106"/>
    </row>
    <row r="180" spans="2:29">
      <c r="B180" s="147" t="s">
        <v>51</v>
      </c>
      <c r="C180" s="106"/>
      <c r="D180" s="106"/>
      <c r="E180" s="106"/>
      <c r="F180" s="106"/>
      <c r="G180" s="106"/>
      <c r="H180" s="106"/>
      <c r="I180" s="106" t="s">
        <v>2</v>
      </c>
      <c r="J180" s="1204"/>
      <c r="K180" s="1204"/>
      <c r="L180" s="1204"/>
      <c r="M180" s="1204"/>
      <c r="N180" s="1204"/>
      <c r="O180" s="1204"/>
      <c r="P180" s="1204"/>
      <c r="Q180" s="1204"/>
      <c r="R180" s="1204"/>
      <c r="S180" s="1204"/>
      <c r="T180" s="1204"/>
      <c r="U180" s="1204"/>
      <c r="V180" s="106"/>
      <c r="W180" s="106"/>
      <c r="X180" s="106"/>
      <c r="Y180" s="106"/>
      <c r="Z180" s="106"/>
      <c r="AA180" s="106"/>
      <c r="AB180" s="106"/>
      <c r="AC180" s="106"/>
    </row>
    <row r="181" spans="2:29" ht="15.75">
      <c r="B181" s="160"/>
      <c r="C181" s="160"/>
      <c r="D181" s="160"/>
      <c r="E181" s="160"/>
      <c r="F181" s="160"/>
      <c r="G181" s="160"/>
      <c r="H181" s="160"/>
      <c r="I181" s="160"/>
      <c r="J181" s="160"/>
      <c r="K181" s="160"/>
      <c r="L181" s="160"/>
      <c r="M181" s="160"/>
      <c r="N181" s="160"/>
      <c r="O181" s="160"/>
      <c r="P181" s="160"/>
      <c r="Q181" s="160"/>
      <c r="R181" s="160"/>
      <c r="S181" s="160"/>
      <c r="T181" s="160"/>
      <c r="U181" s="160"/>
      <c r="V181" s="160"/>
      <c r="W181" s="160"/>
      <c r="X181" s="160"/>
      <c r="Y181" s="160"/>
      <c r="Z181" s="160"/>
      <c r="AA181" s="160"/>
      <c r="AB181" s="160"/>
      <c r="AC181" s="160"/>
    </row>
    <row r="182" spans="2:29" ht="18.75" customHeight="1">
      <c r="B182" s="1198" t="s">
        <v>286</v>
      </c>
      <c r="C182" s="1199"/>
      <c r="D182" s="1198" t="s">
        <v>285</v>
      </c>
      <c r="E182" s="1199"/>
      <c r="F182" s="1199"/>
      <c r="G182" s="1199"/>
      <c r="H182" s="1199"/>
      <c r="I182" s="1199"/>
      <c r="J182" s="1199"/>
      <c r="K182" s="1199"/>
      <c r="L182" s="1199"/>
      <c r="M182" s="1199"/>
      <c r="N182" s="1199"/>
      <c r="O182" s="1199"/>
      <c r="P182" s="1199"/>
      <c r="Q182" s="1199"/>
      <c r="R182" s="1199"/>
      <c r="S182" s="1199"/>
      <c r="T182" s="1199"/>
      <c r="U182" s="1199"/>
      <c r="V182" s="1199"/>
      <c r="W182" s="1199"/>
      <c r="X182" s="1199"/>
      <c r="Y182" s="1199"/>
      <c r="Z182" s="1199"/>
      <c r="AA182" s="1199"/>
      <c r="AB182" s="1199"/>
      <c r="AC182" s="1202"/>
    </row>
    <row r="183" spans="2:29" ht="15" customHeight="1">
      <c r="B183" s="1200"/>
      <c r="C183" s="1201"/>
      <c r="D183" s="1200"/>
      <c r="E183" s="1201"/>
      <c r="F183" s="1201"/>
      <c r="G183" s="1201"/>
      <c r="H183" s="1201"/>
      <c r="I183" s="1201"/>
      <c r="J183" s="1201"/>
      <c r="K183" s="1201"/>
      <c r="L183" s="1201"/>
      <c r="M183" s="1201"/>
      <c r="N183" s="1201"/>
      <c r="O183" s="1201"/>
      <c r="P183" s="1201"/>
      <c r="Q183" s="1201"/>
      <c r="R183" s="1201"/>
      <c r="S183" s="1201"/>
      <c r="T183" s="1201"/>
      <c r="U183" s="1201"/>
      <c r="V183" s="1201"/>
      <c r="W183" s="1201"/>
      <c r="X183" s="1201"/>
      <c r="Y183" s="1201"/>
      <c r="Z183" s="1201"/>
      <c r="AA183" s="1201"/>
      <c r="AB183" s="1201"/>
      <c r="AC183" s="1203"/>
    </row>
    <row r="184" spans="2:29">
      <c r="B184" s="1194"/>
      <c r="C184" s="1195"/>
      <c r="D184" s="180"/>
      <c r="E184" s="180"/>
      <c r="F184" s="180"/>
      <c r="G184" s="180"/>
      <c r="H184" s="180"/>
      <c r="I184" s="180"/>
      <c r="J184" s="180"/>
      <c r="K184" s="187"/>
      <c r="L184" s="180"/>
      <c r="M184" s="180"/>
      <c r="N184" s="180"/>
      <c r="O184" s="180"/>
      <c r="P184" s="180"/>
      <c r="Q184" s="180"/>
      <c r="R184" s="180"/>
      <c r="S184" s="180"/>
      <c r="T184" s="181"/>
      <c r="U184" s="179"/>
      <c r="V184" s="180"/>
      <c r="W184" s="180"/>
      <c r="X184" s="180"/>
      <c r="Y184" s="180"/>
      <c r="Z184" s="180"/>
      <c r="AA184" s="180"/>
      <c r="AB184" s="180"/>
      <c r="AC184" s="181"/>
    </row>
    <row r="185" spans="2:29">
      <c r="B185" s="1190">
        <v>1</v>
      </c>
      <c r="C185" s="1191"/>
      <c r="D185" s="1184" t="s">
        <v>97</v>
      </c>
      <c r="E185" s="1185"/>
      <c r="F185" s="1185"/>
      <c r="G185" s="1185"/>
      <c r="H185" s="1185"/>
      <c r="I185" s="1185"/>
      <c r="J185" s="1185"/>
      <c r="K185" s="172"/>
      <c r="L185" s="1196"/>
      <c r="M185" s="1196"/>
      <c r="N185" s="1196"/>
      <c r="O185" s="1196"/>
      <c r="P185" s="1196"/>
      <c r="Q185" s="1196"/>
      <c r="R185" s="1196"/>
      <c r="S185" s="1196"/>
      <c r="T185" s="173"/>
      <c r="U185" s="1184" t="s">
        <v>293</v>
      </c>
      <c r="V185" s="1188"/>
      <c r="W185" s="1188"/>
      <c r="X185" s="1188"/>
      <c r="Y185" s="1188"/>
      <c r="Z185" s="1188"/>
      <c r="AA185" s="1188"/>
      <c r="AB185" s="1188"/>
      <c r="AC185" s="1189"/>
    </row>
    <row r="186" spans="2:29">
      <c r="B186" s="1190">
        <v>2</v>
      </c>
      <c r="C186" s="1191"/>
      <c r="D186" s="1184" t="s">
        <v>287</v>
      </c>
      <c r="E186" s="1185"/>
      <c r="F186" s="1185"/>
      <c r="G186" s="1185"/>
      <c r="H186" s="1185"/>
      <c r="I186" s="1185"/>
      <c r="J186" s="1185"/>
      <c r="K186" s="172"/>
      <c r="L186" s="185"/>
      <c r="M186" s="185"/>
      <c r="N186" s="185"/>
      <c r="O186" s="185"/>
      <c r="P186" s="185"/>
      <c r="Q186" s="185"/>
      <c r="R186" s="185"/>
      <c r="S186" s="192"/>
      <c r="T186" s="173"/>
      <c r="U186" s="182" t="s">
        <v>283</v>
      </c>
      <c r="V186" s="183"/>
      <c r="W186" s="183"/>
      <c r="X186" s="183"/>
      <c r="Y186" s="183"/>
      <c r="Z186" s="183"/>
      <c r="AA186" s="183"/>
      <c r="AB186" s="183"/>
      <c r="AC186" s="184"/>
    </row>
    <row r="187" spans="2:29">
      <c r="B187" s="1190">
        <v>3</v>
      </c>
      <c r="C187" s="1191"/>
      <c r="D187" s="1184" t="s">
        <v>153</v>
      </c>
      <c r="E187" s="1185"/>
      <c r="F187" s="1185"/>
      <c r="G187" s="1185"/>
      <c r="H187" s="1185"/>
      <c r="I187" s="1185"/>
      <c r="J187" s="1185"/>
      <c r="K187" s="172"/>
      <c r="L187" s="1186"/>
      <c r="M187" s="1186"/>
      <c r="N187" s="1186"/>
      <c r="O187" s="1186"/>
      <c r="P187" s="1186"/>
      <c r="Q187" s="1186"/>
      <c r="R187" s="1186"/>
      <c r="S187" s="1186"/>
      <c r="T187" s="173"/>
      <c r="U187" s="172"/>
      <c r="AC187" s="173"/>
    </row>
    <row r="188" spans="2:29">
      <c r="B188" s="1190">
        <v>4</v>
      </c>
      <c r="C188" s="1191"/>
      <c r="D188" s="1184" t="s">
        <v>291</v>
      </c>
      <c r="E188" s="1185"/>
      <c r="F188" s="1185"/>
      <c r="G188" s="1185"/>
      <c r="H188" s="1185"/>
      <c r="I188" s="1185"/>
      <c r="J188" s="1185"/>
      <c r="K188" s="1190"/>
      <c r="L188" s="792"/>
      <c r="M188" s="792"/>
      <c r="N188" s="792"/>
      <c r="O188" s="792"/>
      <c r="P188" s="792"/>
      <c r="Q188" s="792"/>
      <c r="R188" s="792"/>
      <c r="S188" s="792"/>
      <c r="T188" s="173"/>
      <c r="U188" s="172"/>
      <c r="AC188" s="173"/>
    </row>
    <row r="189" spans="2:29">
      <c r="B189" s="1190"/>
      <c r="C189" s="1191"/>
      <c r="D189" s="189" t="s">
        <v>288</v>
      </c>
      <c r="E189" s="1187" t="s">
        <v>140</v>
      </c>
      <c r="F189" s="1187"/>
      <c r="G189" s="1187"/>
      <c r="H189" s="1187"/>
      <c r="I189" s="1187"/>
      <c r="J189" s="1187"/>
      <c r="K189" s="172"/>
      <c r="L189" s="185"/>
      <c r="M189" s="185"/>
      <c r="N189" s="185"/>
      <c r="O189" s="185"/>
      <c r="P189" s="185"/>
      <c r="Q189" s="185"/>
      <c r="R189" s="185"/>
      <c r="S189" s="185"/>
      <c r="T189" s="173"/>
      <c r="U189" s="172"/>
      <c r="AC189" s="173"/>
    </row>
    <row r="190" spans="2:29">
      <c r="B190" s="1190"/>
      <c r="C190" s="1191"/>
      <c r="D190" s="189" t="s">
        <v>289</v>
      </c>
      <c r="E190" s="1187" t="s">
        <v>290</v>
      </c>
      <c r="F190" s="1187"/>
      <c r="G190" s="1187"/>
      <c r="H190" s="1187"/>
      <c r="I190" s="1187"/>
      <c r="J190" s="1187"/>
      <c r="K190" s="172"/>
      <c r="L190" s="194"/>
      <c r="M190" s="194"/>
      <c r="N190" s="194"/>
      <c r="O190" s="194"/>
      <c r="P190" s="194"/>
      <c r="Q190" s="194"/>
      <c r="R190" s="194"/>
      <c r="S190" s="194"/>
      <c r="T190" s="173"/>
      <c r="U190" s="1184" t="s">
        <v>284</v>
      </c>
      <c r="V190" s="1188"/>
      <c r="W190" s="1188"/>
      <c r="X190" s="1188"/>
      <c r="Y190" s="1188"/>
      <c r="Z190" s="1188"/>
      <c r="AA190" s="1188"/>
      <c r="AB190" s="1188"/>
      <c r="AC190" s="1189"/>
    </row>
    <row r="191" spans="2:29">
      <c r="B191" s="1190">
        <v>5</v>
      </c>
      <c r="C191" s="1191"/>
      <c r="D191" s="1184" t="s">
        <v>3</v>
      </c>
      <c r="E191" s="1185"/>
      <c r="F191" s="1185"/>
      <c r="G191" s="1185"/>
      <c r="H191" s="1185"/>
      <c r="I191" s="1185"/>
      <c r="J191" s="1185"/>
      <c r="K191" s="172"/>
      <c r="L191" s="194"/>
      <c r="M191" s="194"/>
      <c r="N191" s="194"/>
      <c r="O191" s="194"/>
      <c r="P191" s="194"/>
      <c r="Q191" s="194"/>
      <c r="R191" s="194"/>
      <c r="S191" s="194"/>
      <c r="T191" s="173"/>
      <c r="U191" s="1184" t="s">
        <v>292</v>
      </c>
      <c r="V191" s="1188"/>
      <c r="W191" s="1188"/>
      <c r="X191" s="1188"/>
      <c r="Y191" s="1188"/>
      <c r="Z191" s="1188"/>
      <c r="AA191" s="1188"/>
      <c r="AB191" s="1188"/>
      <c r="AC191" s="1189"/>
    </row>
    <row r="192" spans="2:29">
      <c r="B192" s="1190"/>
      <c r="C192" s="1191"/>
      <c r="D192" s="158"/>
      <c r="E192" s="158"/>
      <c r="F192" s="158"/>
      <c r="G192" s="158"/>
      <c r="H192" s="158"/>
      <c r="I192" s="158"/>
      <c r="K192" s="172"/>
      <c r="T192" s="173"/>
      <c r="AC192" s="173"/>
    </row>
    <row r="193" spans="2:29">
      <c r="B193" s="1192"/>
      <c r="C193" s="1193"/>
      <c r="D193" s="190"/>
      <c r="E193" s="190"/>
      <c r="F193" s="190"/>
      <c r="G193" s="190"/>
      <c r="H193" s="190"/>
      <c r="I193" s="190"/>
      <c r="J193" s="185"/>
      <c r="K193" s="188"/>
      <c r="L193" s="185"/>
      <c r="M193" s="185"/>
      <c r="N193" s="185"/>
      <c r="O193" s="185"/>
      <c r="P193" s="185"/>
      <c r="Q193" s="185"/>
      <c r="R193" s="185"/>
      <c r="S193" s="185"/>
      <c r="T193" s="186"/>
      <c r="U193" s="176"/>
      <c r="V193" s="177"/>
      <c r="W193" s="177"/>
      <c r="X193" s="177"/>
      <c r="Y193" s="177"/>
      <c r="Z193" s="177"/>
      <c r="AA193" s="177"/>
      <c r="AB193" s="177"/>
      <c r="AC193" s="178"/>
    </row>
    <row r="194" spans="2:29">
      <c r="B194" s="1194"/>
      <c r="C194" s="1195"/>
      <c r="D194" s="180"/>
      <c r="E194" s="180"/>
      <c r="F194" s="180"/>
      <c r="G194" s="180"/>
      <c r="H194" s="180"/>
      <c r="I194" s="180"/>
      <c r="J194" s="180"/>
      <c r="K194" s="187"/>
      <c r="L194" s="180"/>
      <c r="M194" s="180"/>
      <c r="N194" s="180"/>
      <c r="O194" s="180"/>
      <c r="P194" s="180"/>
      <c r="Q194" s="180"/>
      <c r="R194" s="180"/>
      <c r="S194" s="180"/>
      <c r="T194" s="181"/>
      <c r="U194" s="179"/>
      <c r="V194" s="180"/>
      <c r="W194" s="180"/>
      <c r="X194" s="180"/>
      <c r="Y194" s="180"/>
      <c r="Z194" s="180"/>
      <c r="AA194" s="180"/>
      <c r="AB194" s="180"/>
      <c r="AC194" s="181"/>
    </row>
    <row r="195" spans="2:29">
      <c r="B195" s="1190">
        <v>1</v>
      </c>
      <c r="C195" s="1191"/>
      <c r="D195" s="1184" t="s">
        <v>97</v>
      </c>
      <c r="E195" s="1185"/>
      <c r="F195" s="1185"/>
      <c r="G195" s="1185"/>
      <c r="H195" s="1185"/>
      <c r="I195" s="1185"/>
      <c r="J195" s="1185"/>
      <c r="K195" s="172"/>
      <c r="L195" s="1196"/>
      <c r="M195" s="1196"/>
      <c r="N195" s="1196"/>
      <c r="O195" s="1196"/>
      <c r="P195" s="1196"/>
      <c r="Q195" s="1196"/>
      <c r="R195" s="1196"/>
      <c r="S195" s="1196"/>
      <c r="T195" s="173"/>
      <c r="U195" s="1184" t="s">
        <v>293</v>
      </c>
      <c r="V195" s="1188"/>
      <c r="W195" s="1188"/>
      <c r="X195" s="1188"/>
      <c r="Y195" s="1188"/>
      <c r="Z195" s="1188"/>
      <c r="AA195" s="1188"/>
      <c r="AB195" s="1188"/>
      <c r="AC195" s="1189"/>
    </row>
    <row r="196" spans="2:29">
      <c r="B196" s="1190">
        <v>2</v>
      </c>
      <c r="C196" s="1191"/>
      <c r="D196" s="1184" t="s">
        <v>287</v>
      </c>
      <c r="E196" s="1185"/>
      <c r="F196" s="1185"/>
      <c r="G196" s="1185"/>
      <c r="H196" s="1185"/>
      <c r="I196" s="1185"/>
      <c r="J196" s="1185"/>
      <c r="K196" s="172"/>
      <c r="L196" s="185"/>
      <c r="M196" s="185"/>
      <c r="N196" s="185"/>
      <c r="O196" s="185"/>
      <c r="P196" s="185"/>
      <c r="Q196" s="185"/>
      <c r="R196" s="185"/>
      <c r="S196" s="192"/>
      <c r="T196" s="173"/>
      <c r="U196" s="182" t="s">
        <v>283</v>
      </c>
      <c r="V196" s="183"/>
      <c r="W196" s="183"/>
      <c r="X196" s="183"/>
      <c r="Y196" s="183"/>
      <c r="Z196" s="183"/>
      <c r="AA196" s="183"/>
      <c r="AB196" s="183"/>
      <c r="AC196" s="184"/>
    </row>
    <row r="197" spans="2:29">
      <c r="B197" s="1190">
        <v>3</v>
      </c>
      <c r="C197" s="1191"/>
      <c r="D197" s="1184" t="s">
        <v>153</v>
      </c>
      <c r="E197" s="1185"/>
      <c r="F197" s="1185"/>
      <c r="G197" s="1185"/>
      <c r="H197" s="1185"/>
      <c r="I197" s="1185"/>
      <c r="J197" s="1185"/>
      <c r="K197" s="172"/>
      <c r="L197" s="1186"/>
      <c r="M197" s="1186"/>
      <c r="N197" s="1186"/>
      <c r="O197" s="1186"/>
      <c r="P197" s="1186"/>
      <c r="Q197" s="1186"/>
      <c r="R197" s="1186"/>
      <c r="S197" s="1186"/>
      <c r="T197" s="173"/>
      <c r="U197" s="172"/>
      <c r="AC197" s="173"/>
    </row>
    <row r="198" spans="2:29">
      <c r="B198" s="1190">
        <v>4</v>
      </c>
      <c r="C198" s="1191"/>
      <c r="D198" s="1184" t="s">
        <v>291</v>
      </c>
      <c r="E198" s="1185"/>
      <c r="F198" s="1185"/>
      <c r="G198" s="1185"/>
      <c r="H198" s="1185"/>
      <c r="I198" s="1185"/>
      <c r="J198" s="1185"/>
      <c r="K198" s="1190"/>
      <c r="L198" s="792"/>
      <c r="M198" s="792"/>
      <c r="N198" s="792"/>
      <c r="O198" s="792"/>
      <c r="P198" s="792"/>
      <c r="Q198" s="792"/>
      <c r="R198" s="792"/>
      <c r="S198" s="792"/>
      <c r="T198" s="173"/>
      <c r="U198" s="172"/>
      <c r="AC198" s="173"/>
    </row>
    <row r="199" spans="2:29">
      <c r="B199" s="1190"/>
      <c r="C199" s="1191"/>
      <c r="D199" s="191" t="s">
        <v>288</v>
      </c>
      <c r="E199" s="1187" t="s">
        <v>140</v>
      </c>
      <c r="F199" s="1187"/>
      <c r="G199" s="1187"/>
      <c r="H199" s="1187"/>
      <c r="I199" s="1187"/>
      <c r="J199" s="1187"/>
      <c r="K199" s="172"/>
      <c r="L199" s="185"/>
      <c r="M199" s="185"/>
      <c r="N199" s="185"/>
      <c r="O199" s="185"/>
      <c r="P199" s="185"/>
      <c r="Q199" s="185"/>
      <c r="R199" s="185"/>
      <c r="S199" s="185"/>
      <c r="T199" s="173"/>
      <c r="U199" s="172"/>
      <c r="AC199" s="173"/>
    </row>
    <row r="200" spans="2:29">
      <c r="B200" s="1190"/>
      <c r="C200" s="1191"/>
      <c r="D200" s="191" t="s">
        <v>289</v>
      </c>
      <c r="E200" s="1187" t="s">
        <v>290</v>
      </c>
      <c r="F200" s="1187"/>
      <c r="G200" s="1187"/>
      <c r="H200" s="1187"/>
      <c r="I200" s="1187"/>
      <c r="J200" s="1187"/>
      <c r="K200" s="172"/>
      <c r="L200" s="194"/>
      <c r="M200" s="194"/>
      <c r="N200" s="194"/>
      <c r="O200" s="194"/>
      <c r="P200" s="194"/>
      <c r="Q200" s="194"/>
      <c r="R200" s="194"/>
      <c r="S200" s="194"/>
      <c r="T200" s="173"/>
      <c r="U200" s="1184" t="s">
        <v>284</v>
      </c>
      <c r="V200" s="1188"/>
      <c r="W200" s="1188"/>
      <c r="X200" s="1188"/>
      <c r="Y200" s="1188"/>
      <c r="Z200" s="1188"/>
      <c r="AA200" s="1188"/>
      <c r="AB200" s="1188"/>
      <c r="AC200" s="1189"/>
    </row>
    <row r="201" spans="2:29">
      <c r="B201" s="1190">
        <v>5</v>
      </c>
      <c r="C201" s="1191"/>
      <c r="D201" s="1184" t="s">
        <v>3</v>
      </c>
      <c r="E201" s="1185"/>
      <c r="F201" s="1185"/>
      <c r="G201" s="1185"/>
      <c r="H201" s="1185"/>
      <c r="I201" s="1185"/>
      <c r="J201" s="1185"/>
      <c r="K201" s="172"/>
      <c r="L201" s="194"/>
      <c r="M201" s="194"/>
      <c r="N201" s="194"/>
      <c r="O201" s="194"/>
      <c r="P201" s="194"/>
      <c r="Q201" s="194"/>
      <c r="R201" s="194"/>
      <c r="S201" s="194"/>
      <c r="T201" s="173"/>
      <c r="U201" s="1184" t="s">
        <v>292</v>
      </c>
      <c r="V201" s="1188"/>
      <c r="W201" s="1188"/>
      <c r="X201" s="1188"/>
      <c r="Y201" s="1188"/>
      <c r="Z201" s="1188"/>
      <c r="AA201" s="1188"/>
      <c r="AB201" s="1188"/>
      <c r="AC201" s="1189"/>
    </row>
    <row r="202" spans="2:29">
      <c r="B202" s="1190"/>
      <c r="C202" s="1191"/>
      <c r="D202" s="158"/>
      <c r="E202" s="158"/>
      <c r="F202" s="158"/>
      <c r="G202" s="158"/>
      <c r="H202" s="158"/>
      <c r="I202" s="158"/>
      <c r="K202" s="172"/>
      <c r="T202" s="173"/>
      <c r="AC202" s="173"/>
    </row>
    <row r="203" spans="2:29">
      <c r="B203" s="1192"/>
      <c r="C203" s="1193"/>
      <c r="D203" s="190"/>
      <c r="E203" s="190"/>
      <c r="F203" s="190"/>
      <c r="G203" s="190"/>
      <c r="H203" s="190"/>
      <c r="I203" s="190"/>
      <c r="J203" s="185"/>
      <c r="K203" s="188"/>
      <c r="L203" s="185"/>
      <c r="M203" s="185"/>
      <c r="N203" s="185"/>
      <c r="O203" s="185"/>
      <c r="P203" s="185"/>
      <c r="Q203" s="185"/>
      <c r="R203" s="185"/>
      <c r="S203" s="185"/>
      <c r="T203" s="186"/>
      <c r="U203" s="176"/>
      <c r="V203" s="177"/>
      <c r="W203" s="177"/>
      <c r="X203" s="177"/>
      <c r="Y203" s="177"/>
      <c r="Z203" s="177"/>
      <c r="AA203" s="177"/>
      <c r="AB203" s="177"/>
      <c r="AC203" s="178"/>
    </row>
    <row r="204" spans="2:29">
      <c r="B204" s="1194"/>
      <c r="C204" s="1195"/>
      <c r="D204" s="180"/>
      <c r="E204" s="180"/>
      <c r="F204" s="180"/>
      <c r="G204" s="180"/>
      <c r="H204" s="180"/>
      <c r="I204" s="180"/>
      <c r="J204" s="180"/>
      <c r="K204" s="187"/>
      <c r="L204" s="180"/>
      <c r="M204" s="180"/>
      <c r="N204" s="180"/>
      <c r="O204" s="180"/>
      <c r="P204" s="180"/>
      <c r="Q204" s="180"/>
      <c r="R204" s="180"/>
      <c r="S204" s="180"/>
      <c r="T204" s="181"/>
      <c r="U204" s="179"/>
      <c r="V204" s="180"/>
      <c r="W204" s="180"/>
      <c r="X204" s="180"/>
      <c r="Y204" s="180"/>
      <c r="Z204" s="180"/>
      <c r="AA204" s="180"/>
      <c r="AB204" s="180"/>
      <c r="AC204" s="181"/>
    </row>
    <row r="205" spans="2:29">
      <c r="B205" s="1190">
        <v>1</v>
      </c>
      <c r="C205" s="1191"/>
      <c r="D205" s="1184" t="s">
        <v>97</v>
      </c>
      <c r="E205" s="1185"/>
      <c r="F205" s="1185"/>
      <c r="G205" s="1185"/>
      <c r="H205" s="1185"/>
      <c r="I205" s="1185"/>
      <c r="J205" s="1185"/>
      <c r="K205" s="172"/>
      <c r="L205" s="1196"/>
      <c r="M205" s="1196"/>
      <c r="N205" s="1196"/>
      <c r="O205" s="1196"/>
      <c r="P205" s="1196"/>
      <c r="Q205" s="1196"/>
      <c r="R205" s="1196"/>
      <c r="S205" s="1196"/>
      <c r="T205" s="173"/>
      <c r="U205" s="1184" t="s">
        <v>293</v>
      </c>
      <c r="V205" s="1188"/>
      <c r="W205" s="1188"/>
      <c r="X205" s="1188"/>
      <c r="Y205" s="1188"/>
      <c r="Z205" s="1188"/>
      <c r="AA205" s="1188"/>
      <c r="AB205" s="1188"/>
      <c r="AC205" s="1189"/>
    </row>
    <row r="206" spans="2:29">
      <c r="B206" s="1190">
        <v>2</v>
      </c>
      <c r="C206" s="1191"/>
      <c r="D206" s="1184" t="s">
        <v>287</v>
      </c>
      <c r="E206" s="1185"/>
      <c r="F206" s="1185"/>
      <c r="G206" s="1185"/>
      <c r="H206" s="1185"/>
      <c r="I206" s="1185"/>
      <c r="J206" s="1185"/>
      <c r="K206" s="172"/>
      <c r="L206" s="185"/>
      <c r="M206" s="185"/>
      <c r="N206" s="185"/>
      <c r="O206" s="185"/>
      <c r="P206" s="185"/>
      <c r="Q206" s="185"/>
      <c r="R206" s="185"/>
      <c r="S206" s="192"/>
      <c r="T206" s="173"/>
      <c r="U206" s="182" t="s">
        <v>283</v>
      </c>
      <c r="V206" s="183"/>
      <c r="W206" s="183"/>
      <c r="X206" s="183"/>
      <c r="Y206" s="183"/>
      <c r="Z206" s="183"/>
      <c r="AA206" s="183"/>
      <c r="AB206" s="183"/>
      <c r="AC206" s="184"/>
    </row>
    <row r="207" spans="2:29">
      <c r="B207" s="1190">
        <v>3</v>
      </c>
      <c r="C207" s="1191"/>
      <c r="D207" s="1184" t="s">
        <v>153</v>
      </c>
      <c r="E207" s="1185"/>
      <c r="F207" s="1185"/>
      <c r="G207" s="1185"/>
      <c r="H207" s="1185"/>
      <c r="I207" s="1185"/>
      <c r="J207" s="1185"/>
      <c r="K207" s="172"/>
      <c r="L207" s="1186"/>
      <c r="M207" s="1186"/>
      <c r="N207" s="1186"/>
      <c r="O207" s="1186"/>
      <c r="P207" s="1186"/>
      <c r="Q207" s="1186"/>
      <c r="R207" s="1186"/>
      <c r="S207" s="1186"/>
      <c r="T207" s="173"/>
      <c r="U207" s="172"/>
      <c r="AC207" s="173"/>
    </row>
    <row r="208" spans="2:29">
      <c r="B208" s="1190">
        <v>4</v>
      </c>
      <c r="C208" s="1191"/>
      <c r="D208" s="1184" t="s">
        <v>291</v>
      </c>
      <c r="E208" s="1185"/>
      <c r="F208" s="1185"/>
      <c r="G208" s="1185"/>
      <c r="H208" s="1185"/>
      <c r="I208" s="1185"/>
      <c r="J208" s="1185"/>
      <c r="K208" s="1190"/>
      <c r="L208" s="792"/>
      <c r="M208" s="792"/>
      <c r="N208" s="792"/>
      <c r="O208" s="792"/>
      <c r="P208" s="792"/>
      <c r="Q208" s="792"/>
      <c r="R208" s="792"/>
      <c r="S208" s="792"/>
      <c r="T208" s="173"/>
      <c r="U208" s="172"/>
      <c r="AC208" s="173"/>
    </row>
    <row r="209" spans="2:29">
      <c r="B209" s="1190"/>
      <c r="C209" s="1191"/>
      <c r="D209" s="191" t="s">
        <v>288</v>
      </c>
      <c r="E209" s="1187" t="s">
        <v>140</v>
      </c>
      <c r="F209" s="1187"/>
      <c r="G209" s="1187"/>
      <c r="H209" s="1187"/>
      <c r="I209" s="1187"/>
      <c r="J209" s="1187"/>
      <c r="K209" s="172"/>
      <c r="L209" s="185"/>
      <c r="M209" s="185"/>
      <c r="N209" s="185"/>
      <c r="O209" s="185"/>
      <c r="P209" s="185"/>
      <c r="Q209" s="185"/>
      <c r="R209" s="185"/>
      <c r="S209" s="185"/>
      <c r="T209" s="173"/>
      <c r="U209" s="172"/>
      <c r="AC209" s="173"/>
    </row>
    <row r="210" spans="2:29">
      <c r="B210" s="1190"/>
      <c r="C210" s="1191"/>
      <c r="D210" s="191" t="s">
        <v>289</v>
      </c>
      <c r="E210" s="1187" t="s">
        <v>290</v>
      </c>
      <c r="F210" s="1187"/>
      <c r="G210" s="1187"/>
      <c r="H210" s="1187"/>
      <c r="I210" s="1187"/>
      <c r="J210" s="1187"/>
      <c r="K210" s="172"/>
      <c r="L210" s="194"/>
      <c r="M210" s="194"/>
      <c r="N210" s="194"/>
      <c r="O210" s="194"/>
      <c r="P210" s="194"/>
      <c r="Q210" s="194"/>
      <c r="R210" s="194"/>
      <c r="S210" s="194"/>
      <c r="T210" s="173"/>
      <c r="U210" s="1184" t="s">
        <v>284</v>
      </c>
      <c r="V210" s="1188"/>
      <c r="W210" s="1188"/>
      <c r="X210" s="1188"/>
      <c r="Y210" s="1188"/>
      <c r="Z210" s="1188"/>
      <c r="AA210" s="1188"/>
      <c r="AB210" s="1188"/>
      <c r="AC210" s="1189"/>
    </row>
    <row r="211" spans="2:29">
      <c r="B211" s="1190">
        <v>5</v>
      </c>
      <c r="C211" s="1191"/>
      <c r="D211" s="1184" t="s">
        <v>3</v>
      </c>
      <c r="E211" s="1185"/>
      <c r="F211" s="1185"/>
      <c r="G211" s="1185"/>
      <c r="H211" s="1185"/>
      <c r="I211" s="1185"/>
      <c r="J211" s="1185"/>
      <c r="K211" s="172"/>
      <c r="L211" s="194"/>
      <c r="M211" s="194"/>
      <c r="N211" s="194"/>
      <c r="O211" s="194"/>
      <c r="P211" s="194"/>
      <c r="Q211" s="194"/>
      <c r="R211" s="194"/>
      <c r="S211" s="194"/>
      <c r="T211" s="173"/>
      <c r="U211" s="1184" t="s">
        <v>292</v>
      </c>
      <c r="V211" s="1188"/>
      <c r="W211" s="1188"/>
      <c r="X211" s="1188"/>
      <c r="Y211" s="1188"/>
      <c r="Z211" s="1188"/>
      <c r="AA211" s="1188"/>
      <c r="AB211" s="1188"/>
      <c r="AC211" s="1189"/>
    </row>
    <row r="212" spans="2:29">
      <c r="B212" s="1190"/>
      <c r="C212" s="1191"/>
      <c r="D212" s="158"/>
      <c r="E212" s="158"/>
      <c r="F212" s="158"/>
      <c r="G212" s="158"/>
      <c r="H212" s="158"/>
      <c r="I212" s="158"/>
      <c r="K212" s="172"/>
      <c r="T212" s="173"/>
      <c r="AC212" s="173"/>
    </row>
    <row r="213" spans="2:29">
      <c r="B213" s="1192"/>
      <c r="C213" s="1193"/>
      <c r="D213" s="190"/>
      <c r="E213" s="190"/>
      <c r="F213" s="190"/>
      <c r="G213" s="190"/>
      <c r="H213" s="190"/>
      <c r="I213" s="190"/>
      <c r="J213" s="185"/>
      <c r="K213" s="188"/>
      <c r="L213" s="185"/>
      <c r="M213" s="185"/>
      <c r="N213" s="185"/>
      <c r="O213" s="185"/>
      <c r="P213" s="185"/>
      <c r="Q213" s="185"/>
      <c r="R213" s="185"/>
      <c r="S213" s="185"/>
      <c r="T213" s="186"/>
      <c r="U213" s="176"/>
      <c r="V213" s="177"/>
      <c r="W213" s="177"/>
      <c r="X213" s="177"/>
      <c r="Y213" s="177"/>
      <c r="Z213" s="177"/>
      <c r="AA213" s="177"/>
      <c r="AB213" s="177"/>
      <c r="AC213" s="178"/>
    </row>
    <row r="214" spans="2:29">
      <c r="B214" s="1194"/>
      <c r="C214" s="1195"/>
      <c r="D214" s="180"/>
      <c r="E214" s="180"/>
      <c r="F214" s="180"/>
      <c r="G214" s="180"/>
      <c r="H214" s="180"/>
      <c r="I214" s="180"/>
      <c r="J214" s="180"/>
      <c r="K214" s="187"/>
      <c r="L214" s="180"/>
      <c r="M214" s="180"/>
      <c r="N214" s="180"/>
      <c r="O214" s="180"/>
      <c r="P214" s="180"/>
      <c r="Q214" s="180"/>
      <c r="R214" s="180"/>
      <c r="S214" s="180"/>
      <c r="T214" s="181"/>
      <c r="U214" s="179"/>
      <c r="V214" s="180"/>
      <c r="W214" s="180"/>
      <c r="X214" s="180"/>
      <c r="Y214" s="180"/>
      <c r="Z214" s="180"/>
      <c r="AA214" s="180"/>
      <c r="AB214" s="180"/>
      <c r="AC214" s="181"/>
    </row>
    <row r="215" spans="2:29">
      <c r="B215" s="1190">
        <v>1</v>
      </c>
      <c r="C215" s="1191"/>
      <c r="D215" s="1184" t="s">
        <v>97</v>
      </c>
      <c r="E215" s="1185"/>
      <c r="F215" s="1185"/>
      <c r="G215" s="1185"/>
      <c r="H215" s="1185"/>
      <c r="I215" s="1185"/>
      <c r="J215" s="1185"/>
      <c r="K215" s="172"/>
      <c r="L215" s="1196"/>
      <c r="M215" s="1196"/>
      <c r="N215" s="1196"/>
      <c r="O215" s="1196"/>
      <c r="P215" s="1196"/>
      <c r="Q215" s="1196"/>
      <c r="R215" s="1196"/>
      <c r="S215" s="1196"/>
      <c r="T215" s="173"/>
      <c r="U215" s="1184" t="s">
        <v>293</v>
      </c>
      <c r="V215" s="1188"/>
      <c r="W215" s="1188"/>
      <c r="X215" s="1188"/>
      <c r="Y215" s="1188"/>
      <c r="Z215" s="1188"/>
      <c r="AA215" s="1188"/>
      <c r="AB215" s="1188"/>
      <c r="AC215" s="1189"/>
    </row>
    <row r="216" spans="2:29">
      <c r="B216" s="1190">
        <v>2</v>
      </c>
      <c r="C216" s="1191"/>
      <c r="D216" s="1184" t="s">
        <v>287</v>
      </c>
      <c r="E216" s="1185"/>
      <c r="F216" s="1185"/>
      <c r="G216" s="1185"/>
      <c r="H216" s="1185"/>
      <c r="I216" s="1185"/>
      <c r="J216" s="1185"/>
      <c r="K216" s="172"/>
      <c r="L216" s="185"/>
      <c r="M216" s="185"/>
      <c r="N216" s="185"/>
      <c r="O216" s="185"/>
      <c r="P216" s="185"/>
      <c r="Q216" s="185"/>
      <c r="R216" s="185"/>
      <c r="S216" s="192"/>
      <c r="T216" s="173"/>
      <c r="U216" s="182" t="s">
        <v>283</v>
      </c>
      <c r="V216" s="183"/>
      <c r="W216" s="183"/>
      <c r="X216" s="183"/>
      <c r="Y216" s="183"/>
      <c r="Z216" s="183"/>
      <c r="AA216" s="183"/>
      <c r="AB216" s="183"/>
      <c r="AC216" s="184"/>
    </row>
    <row r="217" spans="2:29">
      <c r="B217" s="1190">
        <v>3</v>
      </c>
      <c r="C217" s="1191"/>
      <c r="D217" s="1184" t="s">
        <v>153</v>
      </c>
      <c r="E217" s="1185"/>
      <c r="F217" s="1185"/>
      <c r="G217" s="1185"/>
      <c r="H217" s="1185"/>
      <c r="I217" s="1185"/>
      <c r="J217" s="1185"/>
      <c r="K217" s="172"/>
      <c r="L217" s="1186"/>
      <c r="M217" s="1186"/>
      <c r="N217" s="1186"/>
      <c r="O217" s="1186"/>
      <c r="P217" s="1186"/>
      <c r="Q217" s="1186"/>
      <c r="R217" s="1186"/>
      <c r="S217" s="1186"/>
      <c r="T217" s="173"/>
      <c r="U217" s="172"/>
      <c r="AC217" s="173"/>
    </row>
    <row r="218" spans="2:29">
      <c r="B218" s="1190">
        <v>4</v>
      </c>
      <c r="C218" s="1191"/>
      <c r="D218" s="1184" t="s">
        <v>291</v>
      </c>
      <c r="E218" s="1185"/>
      <c r="F218" s="1185"/>
      <c r="G218" s="1185"/>
      <c r="H218" s="1185"/>
      <c r="I218" s="1185"/>
      <c r="J218" s="1185"/>
      <c r="K218" s="1190"/>
      <c r="L218" s="792"/>
      <c r="M218" s="792"/>
      <c r="N218" s="792"/>
      <c r="O218" s="792"/>
      <c r="P218" s="792"/>
      <c r="Q218" s="792"/>
      <c r="R218" s="792"/>
      <c r="S218" s="792"/>
      <c r="T218" s="173"/>
      <c r="U218" s="172"/>
      <c r="AC218" s="173"/>
    </row>
    <row r="219" spans="2:29">
      <c r="B219" s="1190"/>
      <c r="C219" s="1191"/>
      <c r="D219" s="191" t="s">
        <v>288</v>
      </c>
      <c r="E219" s="1187" t="s">
        <v>140</v>
      </c>
      <c r="F219" s="1187"/>
      <c r="G219" s="1187"/>
      <c r="H219" s="1187"/>
      <c r="I219" s="1187"/>
      <c r="J219" s="1187"/>
      <c r="K219" s="172"/>
      <c r="L219" s="185"/>
      <c r="M219" s="185"/>
      <c r="N219" s="185"/>
      <c r="O219" s="185"/>
      <c r="P219" s="185"/>
      <c r="Q219" s="185"/>
      <c r="R219" s="185"/>
      <c r="S219" s="185"/>
      <c r="T219" s="173"/>
      <c r="U219" s="172"/>
      <c r="AC219" s="173"/>
    </row>
    <row r="220" spans="2:29">
      <c r="B220" s="1190"/>
      <c r="C220" s="1191"/>
      <c r="D220" s="191" t="s">
        <v>289</v>
      </c>
      <c r="E220" s="1187" t="s">
        <v>290</v>
      </c>
      <c r="F220" s="1187"/>
      <c r="G220" s="1187"/>
      <c r="H220" s="1187"/>
      <c r="I220" s="1187"/>
      <c r="J220" s="1187"/>
      <c r="K220" s="172"/>
      <c r="L220" s="194"/>
      <c r="M220" s="194"/>
      <c r="N220" s="194"/>
      <c r="O220" s="194"/>
      <c r="P220" s="194"/>
      <c r="Q220" s="194"/>
      <c r="R220" s="194"/>
      <c r="S220" s="194"/>
      <c r="T220" s="173"/>
      <c r="U220" s="1184" t="s">
        <v>284</v>
      </c>
      <c r="V220" s="1188"/>
      <c r="W220" s="1188"/>
      <c r="X220" s="1188"/>
      <c r="Y220" s="1188"/>
      <c r="Z220" s="1188"/>
      <c r="AA220" s="1188"/>
      <c r="AB220" s="1188"/>
      <c r="AC220" s="1189"/>
    </row>
    <row r="221" spans="2:29">
      <c r="B221" s="1190">
        <v>5</v>
      </c>
      <c r="C221" s="1191"/>
      <c r="D221" s="1184" t="s">
        <v>3</v>
      </c>
      <c r="E221" s="1185"/>
      <c r="F221" s="1185"/>
      <c r="G221" s="1185"/>
      <c r="H221" s="1185"/>
      <c r="I221" s="1185"/>
      <c r="J221" s="1185"/>
      <c r="K221" s="172"/>
      <c r="L221" s="194"/>
      <c r="M221" s="194"/>
      <c r="N221" s="194"/>
      <c r="O221" s="194"/>
      <c r="P221" s="194"/>
      <c r="Q221" s="194"/>
      <c r="R221" s="194"/>
      <c r="S221" s="194"/>
      <c r="T221" s="173"/>
      <c r="U221" s="1184" t="s">
        <v>292</v>
      </c>
      <c r="V221" s="1188"/>
      <c r="W221" s="1188"/>
      <c r="X221" s="1188"/>
      <c r="Y221" s="1188"/>
      <c r="Z221" s="1188"/>
      <c r="AA221" s="1188"/>
      <c r="AB221" s="1188"/>
      <c r="AC221" s="1189"/>
    </row>
    <row r="222" spans="2:29">
      <c r="B222" s="1190"/>
      <c r="C222" s="1191"/>
      <c r="D222" s="158"/>
      <c r="E222" s="158"/>
      <c r="F222" s="158"/>
      <c r="G222" s="158"/>
      <c r="H222" s="158"/>
      <c r="I222" s="158"/>
      <c r="K222" s="172"/>
      <c r="T222" s="173"/>
      <c r="AC222" s="173"/>
    </row>
    <row r="223" spans="2:29">
      <c r="B223" s="1192"/>
      <c r="C223" s="1193"/>
      <c r="D223" s="190"/>
      <c r="E223" s="190"/>
      <c r="F223" s="190"/>
      <c r="G223" s="190"/>
      <c r="H223" s="190"/>
      <c r="I223" s="190"/>
      <c r="J223" s="185"/>
      <c r="K223" s="188"/>
      <c r="L223" s="185"/>
      <c r="M223" s="185"/>
      <c r="N223" s="185"/>
      <c r="O223" s="185"/>
      <c r="P223" s="185"/>
      <c r="Q223" s="185"/>
      <c r="R223" s="185"/>
      <c r="S223" s="185"/>
      <c r="T223" s="186"/>
      <c r="U223" s="176"/>
      <c r="V223" s="177"/>
      <c r="W223" s="177"/>
      <c r="X223" s="177"/>
      <c r="Y223" s="177"/>
      <c r="Z223" s="177"/>
      <c r="AA223" s="177"/>
      <c r="AB223" s="177"/>
      <c r="AC223" s="178"/>
    </row>
    <row r="224" spans="2:29"/>
    <row r="225" spans="19:29"/>
    <row r="226" spans="19:29"/>
    <row r="227" spans="19:29" ht="19.5" customHeight="1"/>
    <row r="228" spans="19:29">
      <c r="S228" s="1234"/>
      <c r="T228" s="1234"/>
      <c r="U228" s="1234"/>
      <c r="V228" s="1234"/>
      <c r="W228" s="1234"/>
      <c r="X228" s="1234"/>
      <c r="Y228" s="1234"/>
      <c r="Z228" s="1234"/>
      <c r="AA228" s="1234"/>
      <c r="AB228" s="1234"/>
      <c r="AC228" s="1234"/>
    </row>
  </sheetData>
  <sheetProtection password="CE75" sheet="1" objects="1" scenarios="1" selectLockedCells="1"/>
  <mergeCells count="207">
    <mergeCell ref="S228:AC228"/>
    <mergeCell ref="B28:AC29"/>
    <mergeCell ref="AE3:AF3"/>
    <mergeCell ref="AE4:AF7"/>
    <mergeCell ref="AH8:AI8"/>
    <mergeCell ref="F30:Y31"/>
    <mergeCell ref="B7:AC8"/>
    <mergeCell ref="B9:AC10"/>
    <mergeCell ref="B11:AC12"/>
    <mergeCell ref="N60:AB60"/>
    <mergeCell ref="B59:L59"/>
    <mergeCell ref="B60:L60"/>
    <mergeCell ref="B58:L58"/>
    <mergeCell ref="N57:AB57"/>
    <mergeCell ref="B57:L57"/>
    <mergeCell ref="B43:AC44"/>
    <mergeCell ref="B33:AC34"/>
    <mergeCell ref="N58:S58"/>
    <mergeCell ref="T58:AC58"/>
    <mergeCell ref="B47:AC47"/>
    <mergeCell ref="N56:AB56"/>
    <mergeCell ref="O87:AC87"/>
    <mergeCell ref="O88:AC88"/>
    <mergeCell ref="O89:AC89"/>
    <mergeCell ref="O90:AC90"/>
    <mergeCell ref="S46:AC46"/>
    <mergeCell ref="S83:AC83"/>
    <mergeCell ref="S124:AC124"/>
    <mergeCell ref="S175:AC175"/>
    <mergeCell ref="O91:AC91"/>
    <mergeCell ref="O92:AC92"/>
    <mergeCell ref="O93:AC93"/>
    <mergeCell ref="O94:AC94"/>
    <mergeCell ref="O95:AC95"/>
    <mergeCell ref="O96:AC96"/>
    <mergeCell ref="O97:AC97"/>
    <mergeCell ref="O98:AC98"/>
    <mergeCell ref="O99:AC99"/>
    <mergeCell ref="O100:AC100"/>
    <mergeCell ref="U141:AC141"/>
    <mergeCell ref="U145:AC145"/>
    <mergeCell ref="K133:T146"/>
    <mergeCell ref="J35:U36"/>
    <mergeCell ref="B84:AC84"/>
    <mergeCell ref="B64:L64"/>
    <mergeCell ref="N64:AB64"/>
    <mergeCell ref="N61:AB61"/>
    <mergeCell ref="N62:AB62"/>
    <mergeCell ref="B61:L61"/>
    <mergeCell ref="B62:L62"/>
    <mergeCell ref="B41:AC42"/>
    <mergeCell ref="B63:L63"/>
    <mergeCell ref="N63:AB63"/>
    <mergeCell ref="N59:AB59"/>
    <mergeCell ref="B54:L54"/>
    <mergeCell ref="B55:L55"/>
    <mergeCell ref="B56:L56"/>
    <mergeCell ref="B48:AC48"/>
    <mergeCell ref="B49:AC49"/>
    <mergeCell ref="N54:AB54"/>
    <mergeCell ref="N55:AB55"/>
    <mergeCell ref="B132:E132"/>
    <mergeCell ref="F132:J132"/>
    <mergeCell ref="K132:T132"/>
    <mergeCell ref="U132:AC132"/>
    <mergeCell ref="B126:AC126"/>
    <mergeCell ref="J128:AC128"/>
    <mergeCell ref="J129:X129"/>
    <mergeCell ref="B131:AC131"/>
    <mergeCell ref="S121:AC121"/>
    <mergeCell ref="S122:AC122"/>
    <mergeCell ref="G118:J118"/>
    <mergeCell ref="G119:J119"/>
    <mergeCell ref="S115:AC115"/>
    <mergeCell ref="S116:AC116"/>
    <mergeCell ref="O101:AC101"/>
    <mergeCell ref="O102:AC102"/>
    <mergeCell ref="O103:AC103"/>
    <mergeCell ref="O104:AC104"/>
    <mergeCell ref="O105:AC105"/>
    <mergeCell ref="O106:AC106"/>
    <mergeCell ref="O107:AC107"/>
    <mergeCell ref="O108:AC108"/>
    <mergeCell ref="O109:AC109"/>
    <mergeCell ref="O110:AC110"/>
    <mergeCell ref="O111:AC111"/>
    <mergeCell ref="B133:E146"/>
    <mergeCell ref="U133:AC133"/>
    <mergeCell ref="U134:AC134"/>
    <mergeCell ref="U138:AC138"/>
    <mergeCell ref="U139:AC139"/>
    <mergeCell ref="B147:E160"/>
    <mergeCell ref="F147:J160"/>
    <mergeCell ref="K147:T160"/>
    <mergeCell ref="U147:AC147"/>
    <mergeCell ref="U148:AC148"/>
    <mergeCell ref="U152:AC152"/>
    <mergeCell ref="U153:AC153"/>
    <mergeCell ref="U155:AC155"/>
    <mergeCell ref="U159:AC159"/>
    <mergeCell ref="F133:J146"/>
    <mergeCell ref="B161:E174"/>
    <mergeCell ref="F161:J174"/>
    <mergeCell ref="K161:T174"/>
    <mergeCell ref="U161:AC161"/>
    <mergeCell ref="U162:AC162"/>
    <mergeCell ref="U166:AC166"/>
    <mergeCell ref="U167:AC167"/>
    <mergeCell ref="U169:AC169"/>
    <mergeCell ref="U173:AC173"/>
    <mergeCell ref="U185:AC185"/>
    <mergeCell ref="B185:C185"/>
    <mergeCell ref="B186:C186"/>
    <mergeCell ref="B187:C187"/>
    <mergeCell ref="B177:AC177"/>
    <mergeCell ref="B182:C183"/>
    <mergeCell ref="D182:AC183"/>
    <mergeCell ref="J179:U179"/>
    <mergeCell ref="J180:U180"/>
    <mergeCell ref="K188:S188"/>
    <mergeCell ref="B184:C184"/>
    <mergeCell ref="B188:C188"/>
    <mergeCell ref="B189:C189"/>
    <mergeCell ref="B190:C190"/>
    <mergeCell ref="B191:C191"/>
    <mergeCell ref="D185:J185"/>
    <mergeCell ref="D186:J186"/>
    <mergeCell ref="D187:J187"/>
    <mergeCell ref="D188:J188"/>
    <mergeCell ref="E189:J189"/>
    <mergeCell ref="L185:S185"/>
    <mergeCell ref="L187:S187"/>
    <mergeCell ref="U195:AC195"/>
    <mergeCell ref="B196:C196"/>
    <mergeCell ref="B193:C193"/>
    <mergeCell ref="B194:C194"/>
    <mergeCell ref="B192:C192"/>
    <mergeCell ref="U190:AC190"/>
    <mergeCell ref="U191:AC191"/>
    <mergeCell ref="E190:J190"/>
    <mergeCell ref="D191:J191"/>
    <mergeCell ref="D195:J195"/>
    <mergeCell ref="L195:S195"/>
    <mergeCell ref="D196:J196"/>
    <mergeCell ref="B197:C197"/>
    <mergeCell ref="B198:C198"/>
    <mergeCell ref="K198:S198"/>
    <mergeCell ref="D197:J197"/>
    <mergeCell ref="L197:S197"/>
    <mergeCell ref="D198:J198"/>
    <mergeCell ref="E199:J199"/>
    <mergeCell ref="E200:J200"/>
    <mergeCell ref="B195:C195"/>
    <mergeCell ref="B203:C203"/>
    <mergeCell ref="B204:C204"/>
    <mergeCell ref="B205:C205"/>
    <mergeCell ref="B201:C201"/>
    <mergeCell ref="U201:AC201"/>
    <mergeCell ref="B202:C202"/>
    <mergeCell ref="D201:J201"/>
    <mergeCell ref="B199:C199"/>
    <mergeCell ref="B200:C200"/>
    <mergeCell ref="K208:S208"/>
    <mergeCell ref="B209:C209"/>
    <mergeCell ref="U205:AC205"/>
    <mergeCell ref="B206:C206"/>
    <mergeCell ref="B207:C207"/>
    <mergeCell ref="D205:J205"/>
    <mergeCell ref="L205:S205"/>
    <mergeCell ref="D206:J206"/>
    <mergeCell ref="D207:J207"/>
    <mergeCell ref="L207:S207"/>
    <mergeCell ref="D208:J208"/>
    <mergeCell ref="E209:J209"/>
    <mergeCell ref="B223:C223"/>
    <mergeCell ref="U200:AC200"/>
    <mergeCell ref="U210:AC210"/>
    <mergeCell ref="U220:AC220"/>
    <mergeCell ref="B220:C220"/>
    <mergeCell ref="B221:C221"/>
    <mergeCell ref="B218:C218"/>
    <mergeCell ref="K218:S218"/>
    <mergeCell ref="B219:C219"/>
    <mergeCell ref="B216:C216"/>
    <mergeCell ref="B217:C217"/>
    <mergeCell ref="U211:AC211"/>
    <mergeCell ref="B212:C212"/>
    <mergeCell ref="B213:C213"/>
    <mergeCell ref="B214:C214"/>
    <mergeCell ref="B215:C215"/>
    <mergeCell ref="U215:AC215"/>
    <mergeCell ref="B210:C210"/>
    <mergeCell ref="B211:C211"/>
    <mergeCell ref="E210:J210"/>
    <mergeCell ref="D211:J211"/>
    <mergeCell ref="D215:J215"/>
    <mergeCell ref="L215:S215"/>
    <mergeCell ref="B208:C208"/>
    <mergeCell ref="D216:J216"/>
    <mergeCell ref="D217:J217"/>
    <mergeCell ref="L217:S217"/>
    <mergeCell ref="D218:J218"/>
    <mergeCell ref="E219:J219"/>
    <mergeCell ref="E220:J220"/>
    <mergeCell ref="D221:J221"/>
    <mergeCell ref="U221:AC221"/>
    <mergeCell ref="B222:C222"/>
  </mergeCells>
  <pageMargins left="0.7" right="0.7" top="0.66" bottom="0.63" header="0.3" footer="0.3"/>
  <pageSetup paperSize="9" scale="95" orientation="portrait" r:id="rId1"/>
  <rowBreaks count="3" manualBreakCount="3">
    <brk id="46" min="1" max="28" man="1"/>
    <brk id="83" min="1" max="28" man="1"/>
    <brk id="124" min="1" max="28" man="1"/>
  </rowBreaks>
  <colBreaks count="1" manualBreakCount="1">
    <brk id="29" min="3" max="69" man="1"/>
  </colBreaks>
  <ignoredErrors>
    <ignoredError sqref="S115" unlockedFormula="1"/>
  </ignoredErrors>
  <drawing r:id="rId2"/>
  <legacyDrawing r:id="rId3"/>
</worksheet>
</file>

<file path=xl/worksheets/sheet21.xml><?xml version="1.0" encoding="utf-8"?>
<worksheet xmlns="http://schemas.openxmlformats.org/spreadsheetml/2006/main" xmlns:r="http://schemas.openxmlformats.org/officeDocument/2006/relationships">
  <sheetPr codeName="Sheet1">
    <tabColor rgb="FFFF0000"/>
  </sheetPr>
  <dimension ref="A1:AT221"/>
  <sheetViews>
    <sheetView showGridLines="0" showRowColHeaders="0" zoomScaleSheetLayoutView="100" workbookViewId="0"/>
  </sheetViews>
  <sheetFormatPr defaultColWidth="0" defaultRowHeight="15" customHeight="1" zeroHeight="1"/>
  <cols>
    <col min="1" max="1" width="14.7109375" style="198" customWidth="1"/>
    <col min="2" max="2" width="4.28515625" style="717" customWidth="1"/>
    <col min="3" max="9" width="3.28515625" style="717" customWidth="1"/>
    <col min="10" max="10" width="2.28515625" style="717" customWidth="1"/>
    <col min="11" max="11" width="2.140625" style="717" customWidth="1"/>
    <col min="12" max="12" width="1.85546875" style="717" customWidth="1"/>
    <col min="13" max="20" width="3.28515625" style="717" customWidth="1"/>
    <col min="21" max="21" width="6.42578125" style="717" customWidth="1"/>
    <col min="22" max="27" width="3.28515625" style="717" customWidth="1"/>
    <col min="28" max="28" width="5.85546875" style="717" customWidth="1"/>
    <col min="29" max="29" width="4.140625" style="198" customWidth="1"/>
    <col min="30" max="30" width="4.7109375" style="198" customWidth="1"/>
    <col min="31" max="31" width="9.140625" style="198" customWidth="1"/>
    <col min="32" max="32" width="7.28515625" style="198" customWidth="1"/>
    <col min="33" max="33" width="9.140625" style="198" customWidth="1"/>
    <col min="34" max="34" width="12.28515625" style="198" customWidth="1"/>
    <col min="35" max="35" width="18.140625" style="198" hidden="1" customWidth="1"/>
    <col min="36" max="46" width="0" style="198" hidden="1" customWidth="1"/>
    <col min="47" max="16384" width="9.140625" style="198" hidden="1"/>
  </cols>
  <sheetData>
    <row r="1" spans="1:46" ht="3" customHeight="1">
      <c r="A1" s="713"/>
      <c r="B1" s="714"/>
      <c r="C1" s="714"/>
      <c r="D1" s="714"/>
      <c r="E1" s="714"/>
      <c r="F1" s="714"/>
      <c r="G1" s="714"/>
      <c r="H1" s="714"/>
      <c r="I1" s="714"/>
      <c r="J1" s="714"/>
      <c r="K1" s="714"/>
      <c r="L1" s="714"/>
      <c r="M1" s="714"/>
      <c r="N1" s="714"/>
      <c r="O1" s="714"/>
      <c r="P1" s="714"/>
      <c r="Q1" s="714"/>
      <c r="R1" s="714"/>
      <c r="S1" s="714"/>
      <c r="T1" s="714"/>
      <c r="U1" s="714"/>
      <c r="V1" s="714"/>
      <c r="W1" s="714"/>
      <c r="X1" s="714"/>
      <c r="Y1" s="714"/>
      <c r="Z1" s="714"/>
      <c r="AA1" s="714"/>
      <c r="AB1" s="714"/>
    </row>
    <row r="2" spans="1:46" ht="23.25" customHeight="1">
      <c r="B2" s="255" t="str">
        <f>"RAPOR SEMESTER "&amp;UPPER(_smt_ganjil)&amp;" - KELAS "&amp;_kelas</f>
        <v>RAPOR SEMESTER 3 (TIGA) - KELAS VIII A</v>
      </c>
      <c r="C2" s="714"/>
      <c r="D2" s="714"/>
      <c r="E2" s="714"/>
      <c r="F2" s="714"/>
      <c r="G2" s="714"/>
      <c r="H2" s="714"/>
      <c r="I2" s="714"/>
      <c r="J2" s="714"/>
      <c r="K2" s="714"/>
      <c r="L2" s="714"/>
      <c r="M2" s="714"/>
      <c r="N2" s="714"/>
      <c r="O2" s="714"/>
      <c r="P2" s="714"/>
      <c r="Q2" s="714"/>
      <c r="R2" s="714"/>
      <c r="S2" s="714"/>
      <c r="T2" s="714"/>
      <c r="U2" s="714"/>
      <c r="V2" s="1377"/>
      <c r="W2" s="1377"/>
      <c r="X2" s="1377"/>
      <c r="Y2" s="1377"/>
      <c r="Z2" s="1377"/>
      <c r="AA2" s="1377"/>
      <c r="AB2" s="1377"/>
    </row>
    <row r="3" spans="1:46" ht="30" customHeight="1" thickBot="1">
      <c r="B3" s="715" t="str">
        <f>"Tahun Pelajaran "&amp;DK!$D$8</f>
        <v>Tahun Pelajaran 2018 / 2019</v>
      </c>
      <c r="C3" s="714"/>
      <c r="D3" s="714"/>
      <c r="E3" s="714"/>
      <c r="F3" s="714"/>
      <c r="G3" s="714"/>
      <c r="H3" s="714"/>
      <c r="I3" s="714"/>
      <c r="J3" s="714"/>
      <c r="K3" s="714"/>
      <c r="L3" s="714"/>
      <c r="M3" s="714"/>
      <c r="N3" s="714"/>
      <c r="O3" s="714"/>
      <c r="P3" s="714"/>
      <c r="Q3" s="714"/>
      <c r="R3" s="714"/>
      <c r="S3" s="714"/>
      <c r="T3" s="714"/>
      <c r="U3" s="714"/>
      <c r="V3" s="1377"/>
      <c r="W3" s="1377"/>
      <c r="X3" s="1377"/>
      <c r="Y3" s="1377"/>
      <c r="Z3" s="1377"/>
      <c r="AA3" s="1377"/>
      <c r="AB3" s="1377"/>
      <c r="AD3" s="1379"/>
      <c r="AE3" s="1379"/>
    </row>
    <row r="4" spans="1:46" ht="33" customHeight="1">
      <c r="B4" s="1316" t="s">
        <v>165</v>
      </c>
      <c r="C4" s="1316"/>
      <c r="D4" s="1316"/>
      <c r="E4" s="1316"/>
      <c r="F4" s="1316"/>
      <c r="G4" s="1316"/>
      <c r="H4" s="1316"/>
      <c r="I4" s="1316"/>
      <c r="J4" s="1316"/>
      <c r="K4" s="1316"/>
      <c r="L4" s="1316"/>
      <c r="M4" s="1316"/>
      <c r="N4" s="1316"/>
      <c r="O4" s="1316"/>
      <c r="P4" s="1316"/>
      <c r="Q4" s="1316"/>
      <c r="R4" s="1316"/>
      <c r="S4" s="1316"/>
      <c r="T4" s="1316"/>
      <c r="U4" s="1316"/>
      <c r="V4" s="1316"/>
      <c r="W4" s="1316"/>
      <c r="X4" s="1316"/>
      <c r="Y4" s="1316"/>
      <c r="Z4" s="1316"/>
      <c r="AA4" s="1316"/>
      <c r="AB4" s="1316"/>
      <c r="AD4" s="1298">
        <v>15</v>
      </c>
      <c r="AE4" s="1299"/>
    </row>
    <row r="5" spans="1:46" s="716" customFormat="1">
      <c r="B5" s="717"/>
      <c r="C5" s="717"/>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D5" s="1300"/>
      <c r="AE5" s="1301"/>
      <c r="AG5" s="198"/>
      <c r="AH5" s="198"/>
      <c r="AI5" s="198"/>
      <c r="AJ5" s="198"/>
      <c r="AK5" s="198"/>
      <c r="AL5" s="198"/>
      <c r="AM5" s="198"/>
      <c r="AN5" s="198"/>
      <c r="AO5" s="198"/>
      <c r="AP5" s="198"/>
      <c r="AQ5" s="198"/>
      <c r="AR5" s="198"/>
      <c r="AS5" s="198"/>
      <c r="AT5" s="198"/>
    </row>
    <row r="6" spans="1:46" ht="15.75" customHeight="1">
      <c r="B6" s="717" t="s">
        <v>153</v>
      </c>
      <c r="G6" s="717" t="s">
        <v>2</v>
      </c>
      <c r="H6" s="718" t="str">
        <f>_sekolah_label</f>
        <v>SMP Negeri 1 Abung Surakarta</v>
      </c>
      <c r="T6" s="718" t="s">
        <v>5</v>
      </c>
      <c r="X6" s="718" t="s">
        <v>2</v>
      </c>
      <c r="Y6" s="717" t="str">
        <f>DK!$D$5</f>
        <v>VIII A</v>
      </c>
      <c r="AD6" s="1300"/>
      <c r="AE6" s="1301"/>
    </row>
    <row r="7" spans="1:46" ht="15" customHeight="1" thickBot="1">
      <c r="B7" s="717" t="s">
        <v>156</v>
      </c>
      <c r="G7" s="717" t="s">
        <v>2</v>
      </c>
      <c r="H7" s="717" t="str">
        <f>_alamat_sekolah</f>
        <v>Jl. Pendidikan No. 24</v>
      </c>
      <c r="T7" s="718" t="s">
        <v>4</v>
      </c>
      <c r="X7" s="718" t="s">
        <v>2</v>
      </c>
      <c r="Y7" s="717" t="str">
        <f>_smt_ganjil</f>
        <v>3 (Tiga)</v>
      </c>
      <c r="AD7" s="1302"/>
      <c r="AE7" s="1303"/>
    </row>
    <row r="8" spans="1:46" ht="15.75" customHeight="1">
      <c r="B8" s="717" t="s">
        <v>97</v>
      </c>
      <c r="G8" s="717" t="s">
        <v>2</v>
      </c>
      <c r="H8" s="717" t="str">
        <f>IFERROR(PROPER(VLOOKUP($AD$4,_Biodata_Lengkap,4,FALSE)),"-")</f>
        <v>Hikmatullah Umar Malik Abdul Aziz</v>
      </c>
      <c r="T8" s="718" t="s">
        <v>3</v>
      </c>
      <c r="X8" s="718" t="s">
        <v>2</v>
      </c>
      <c r="Y8" s="717" t="str">
        <f>DK!$D$8</f>
        <v>2018 / 2019</v>
      </c>
      <c r="AG8" s="1381"/>
      <c r="AH8" s="1381"/>
    </row>
    <row r="9" spans="1:46" ht="22.5" customHeight="1">
      <c r="B9" s="719" t="s">
        <v>166</v>
      </c>
      <c r="C9" s="719"/>
      <c r="D9" s="719"/>
      <c r="E9" s="719"/>
      <c r="F9" s="719"/>
      <c r="G9" s="719" t="s">
        <v>2</v>
      </c>
      <c r="H9" s="719" t="str">
        <f>IFERROR(IF(VLOOKUP($AD$4,_Biodata_Lengkap,2,FALSE)="","-",VLOOKUP($AD$4,_Biodata_Lengkap,2,FALSE)&amp;" / "&amp;IF(VLOOKUP($AD$4,_Biodata_Lengkap,3,FALSE)="","-",VLOOKUP($AD$4,_Biodata_Lengkap,3,FALSE))),"-")</f>
        <v>7095 / 0045430012</v>
      </c>
      <c r="I9" s="719"/>
      <c r="J9" s="719"/>
      <c r="K9" s="719"/>
      <c r="L9" s="719"/>
      <c r="M9" s="719"/>
      <c r="N9" s="719"/>
      <c r="O9" s="719"/>
      <c r="P9" s="719"/>
      <c r="Q9" s="719"/>
      <c r="R9" s="719"/>
      <c r="S9" s="719"/>
      <c r="T9" s="719"/>
      <c r="U9" s="719"/>
      <c r="V9" s="719"/>
      <c r="W9" s="719"/>
      <c r="X9" s="719"/>
      <c r="Y9" s="719"/>
      <c r="Z9" s="719"/>
      <c r="AA9" s="719"/>
      <c r="AB9" s="719"/>
    </row>
    <row r="10" spans="1:46" ht="15.75" customHeight="1">
      <c r="B10" s="1380"/>
      <c r="C10" s="1380"/>
      <c r="D10" s="1380"/>
      <c r="E10" s="1380"/>
      <c r="F10" s="1380"/>
      <c r="G10" s="1380"/>
      <c r="H10" s="1380"/>
      <c r="I10" s="1380"/>
      <c r="J10" s="1380"/>
      <c r="K10" s="1380"/>
      <c r="L10" s="1380"/>
      <c r="M10" s="1380"/>
      <c r="N10" s="1380"/>
      <c r="O10" s="1380"/>
      <c r="P10" s="1380"/>
      <c r="Q10" s="1380"/>
      <c r="R10" s="1380"/>
      <c r="S10" s="1380"/>
      <c r="T10" s="1380"/>
      <c r="U10" s="1380"/>
      <c r="V10" s="1380"/>
      <c r="W10" s="1380"/>
      <c r="X10" s="1380"/>
      <c r="Y10" s="1380"/>
      <c r="Z10" s="1380"/>
      <c r="AA10" s="1380"/>
      <c r="AB10" s="1380"/>
    </row>
    <row r="11" spans="1:46" ht="15.75" customHeight="1">
      <c r="B11" s="1304" t="s">
        <v>173</v>
      </c>
      <c r="C11" s="1305"/>
      <c r="D11" s="1305"/>
      <c r="E11" s="1305"/>
      <c r="F11" s="1305"/>
      <c r="G11" s="1305"/>
      <c r="H11" s="1305"/>
      <c r="I11" s="1305"/>
      <c r="J11" s="1305"/>
      <c r="K11" s="1305"/>
      <c r="L11" s="1305"/>
      <c r="M11" s="1305"/>
      <c r="N11" s="1305"/>
      <c r="O11" s="1305"/>
      <c r="P11" s="1305"/>
      <c r="Q11" s="1305"/>
      <c r="R11" s="1305"/>
      <c r="S11" s="1305"/>
      <c r="T11" s="1305"/>
      <c r="U11" s="1305"/>
      <c r="V11" s="1305"/>
      <c r="W11" s="1305"/>
      <c r="X11" s="1305"/>
      <c r="Y11" s="1305"/>
      <c r="Z11" s="1305"/>
      <c r="AA11" s="1305"/>
      <c r="AB11" s="1306"/>
    </row>
    <row r="12" spans="1:46" ht="15.75" customHeight="1">
      <c r="B12" s="1304" t="s">
        <v>294</v>
      </c>
      <c r="C12" s="1305"/>
      <c r="D12" s="1305"/>
      <c r="E12" s="1305"/>
      <c r="F12" s="1305"/>
      <c r="G12" s="1305"/>
      <c r="H12" s="1305"/>
      <c r="I12" s="1305"/>
      <c r="J12" s="1305"/>
      <c r="K12" s="1305"/>
      <c r="L12" s="1305"/>
      <c r="M12" s="1305"/>
      <c r="N12" s="1305"/>
      <c r="O12" s="1305"/>
      <c r="P12" s="1305"/>
      <c r="Q12" s="1305"/>
      <c r="R12" s="1305"/>
      <c r="S12" s="1305"/>
      <c r="T12" s="1305"/>
      <c r="U12" s="1305"/>
      <c r="V12" s="1305"/>
      <c r="W12" s="1305"/>
      <c r="X12" s="1305"/>
      <c r="Y12" s="1305"/>
      <c r="Z12" s="1305"/>
      <c r="AA12" s="1305"/>
      <c r="AB12" s="1306"/>
    </row>
    <row r="13" spans="1:46" ht="15.75" customHeight="1" thickBot="1">
      <c r="B13" s="1313" t="s">
        <v>113</v>
      </c>
      <c r="C13" s="1314"/>
      <c r="D13" s="1314"/>
      <c r="E13" s="1315"/>
      <c r="F13" s="1313" t="s">
        <v>174</v>
      </c>
      <c r="G13" s="1314"/>
      <c r="H13" s="1314"/>
      <c r="I13" s="1314"/>
      <c r="J13" s="1314"/>
      <c r="K13" s="1314"/>
      <c r="L13" s="1314"/>
      <c r="M13" s="1314"/>
      <c r="N13" s="1314"/>
      <c r="O13" s="1314"/>
      <c r="P13" s="1314"/>
      <c r="Q13" s="1314"/>
      <c r="R13" s="1314"/>
      <c r="S13" s="1314"/>
      <c r="T13" s="1314"/>
      <c r="U13" s="1314"/>
      <c r="V13" s="1314"/>
      <c r="W13" s="1314"/>
      <c r="X13" s="1314"/>
      <c r="Y13" s="1314"/>
      <c r="Z13" s="1314"/>
      <c r="AA13" s="1314"/>
      <c r="AB13" s="1315"/>
    </row>
    <row r="14" spans="1:46" ht="15.75" customHeight="1" thickTop="1">
      <c r="B14" s="1307" t="str">
        <f>IFERROR(VLOOKUP(AD4,_Sikap,4,FALSE),"-")</f>
        <v>B</v>
      </c>
      <c r="C14" s="1308"/>
      <c r="D14" s="1308"/>
      <c r="E14" s="1309"/>
      <c r="F14" s="1319" t="str">
        <f>H8&amp;" "&amp;IFERROR(VLOOKUP(B14,_sikap_predikat1,2,FALSE),"-")</f>
        <v>Hikmatullah Umar Malik Abdul Aziz selalu bersyukur dan berdoa sebelum melakukan kegiatan serta memiliki toleran yang tinggi pada pemeluk agama yang berbeda, ketaatan beribadah baik dan sering mengingatkan teman-temannya untuk melaksanakan ajaran agamanya dengan baik.</v>
      </c>
      <c r="G14" s="1320"/>
      <c r="H14" s="1320"/>
      <c r="I14" s="1320"/>
      <c r="J14" s="1320"/>
      <c r="K14" s="1320"/>
      <c r="L14" s="1320"/>
      <c r="M14" s="1320"/>
      <c r="N14" s="1320"/>
      <c r="O14" s="1320"/>
      <c r="P14" s="1320"/>
      <c r="Q14" s="1320"/>
      <c r="R14" s="1320"/>
      <c r="S14" s="1320"/>
      <c r="T14" s="1320"/>
      <c r="U14" s="1320"/>
      <c r="V14" s="1320"/>
      <c r="W14" s="1320"/>
      <c r="X14" s="1320"/>
      <c r="Y14" s="1320"/>
      <c r="Z14" s="1320"/>
      <c r="AA14" s="1320"/>
      <c r="AB14" s="1321"/>
    </row>
    <row r="15" spans="1:46" ht="15.75" customHeight="1">
      <c r="B15" s="1307"/>
      <c r="C15" s="1308"/>
      <c r="D15" s="1308"/>
      <c r="E15" s="1309"/>
      <c r="F15" s="1322"/>
      <c r="G15" s="1323"/>
      <c r="H15" s="1323"/>
      <c r="I15" s="1323"/>
      <c r="J15" s="1323"/>
      <c r="K15" s="1323"/>
      <c r="L15" s="1323"/>
      <c r="M15" s="1323"/>
      <c r="N15" s="1323"/>
      <c r="O15" s="1323"/>
      <c r="P15" s="1323"/>
      <c r="Q15" s="1323"/>
      <c r="R15" s="1323"/>
      <c r="S15" s="1323"/>
      <c r="T15" s="1323"/>
      <c r="U15" s="1323"/>
      <c r="V15" s="1323"/>
      <c r="W15" s="1323"/>
      <c r="X15" s="1323"/>
      <c r="Y15" s="1323"/>
      <c r="Z15" s="1323"/>
      <c r="AA15" s="1323"/>
      <c r="AB15" s="1324"/>
    </row>
    <row r="16" spans="1:46" ht="15.75" customHeight="1">
      <c r="B16" s="1307"/>
      <c r="C16" s="1308"/>
      <c r="D16" s="1308"/>
      <c r="E16" s="1309"/>
      <c r="F16" s="1322"/>
      <c r="G16" s="1323"/>
      <c r="H16" s="1323"/>
      <c r="I16" s="1323"/>
      <c r="J16" s="1323"/>
      <c r="K16" s="1323"/>
      <c r="L16" s="1323"/>
      <c r="M16" s="1323"/>
      <c r="N16" s="1323"/>
      <c r="O16" s="1323"/>
      <c r="P16" s="1323"/>
      <c r="Q16" s="1323"/>
      <c r="R16" s="1323"/>
      <c r="S16" s="1323"/>
      <c r="T16" s="1323"/>
      <c r="U16" s="1323"/>
      <c r="V16" s="1323"/>
      <c r="W16" s="1323"/>
      <c r="X16" s="1323"/>
      <c r="Y16" s="1323"/>
      <c r="Z16" s="1323"/>
      <c r="AA16" s="1323"/>
      <c r="AB16" s="1324"/>
    </row>
    <row r="17" spans="2:28" ht="22.5" customHeight="1">
      <c r="B17" s="1310"/>
      <c r="C17" s="1311"/>
      <c r="D17" s="1311"/>
      <c r="E17" s="1312"/>
      <c r="F17" s="1325"/>
      <c r="G17" s="1326"/>
      <c r="H17" s="1326"/>
      <c r="I17" s="1326"/>
      <c r="J17" s="1326"/>
      <c r="K17" s="1326"/>
      <c r="L17" s="1326"/>
      <c r="M17" s="1326"/>
      <c r="N17" s="1326"/>
      <c r="O17" s="1326"/>
      <c r="P17" s="1326"/>
      <c r="Q17" s="1326"/>
      <c r="R17" s="1326"/>
      <c r="S17" s="1326"/>
      <c r="T17" s="1326"/>
      <c r="U17" s="1326"/>
      <c r="V17" s="1326"/>
      <c r="W17" s="1326"/>
      <c r="X17" s="1326"/>
      <c r="Y17" s="1326"/>
      <c r="Z17" s="1326"/>
      <c r="AA17" s="1326"/>
      <c r="AB17" s="1327"/>
    </row>
    <row r="18" spans="2:28" ht="15.75" customHeight="1"/>
    <row r="19" spans="2:28" ht="15.75" customHeight="1">
      <c r="B19" s="720" t="s">
        <v>175</v>
      </c>
    </row>
    <row r="20" spans="2:28" ht="15.75" customHeight="1" thickBot="1">
      <c r="B20" s="1296" t="s">
        <v>113</v>
      </c>
      <c r="C20" s="1296"/>
      <c r="D20" s="1296"/>
      <c r="E20" s="1296"/>
      <c r="F20" s="1296" t="s">
        <v>174</v>
      </c>
      <c r="G20" s="1296"/>
      <c r="H20" s="1296"/>
      <c r="I20" s="1296"/>
      <c r="J20" s="1296"/>
      <c r="K20" s="1296"/>
      <c r="L20" s="1296"/>
      <c r="M20" s="1296"/>
      <c r="N20" s="1296"/>
      <c r="O20" s="1296"/>
      <c r="P20" s="1296"/>
      <c r="Q20" s="1296"/>
      <c r="R20" s="1296"/>
      <c r="S20" s="1296"/>
      <c r="T20" s="1296"/>
      <c r="U20" s="1296"/>
      <c r="V20" s="1296"/>
      <c r="W20" s="1296"/>
      <c r="X20" s="1296"/>
      <c r="Y20" s="1296"/>
      <c r="Z20" s="1296"/>
      <c r="AA20" s="1296"/>
      <c r="AB20" s="1296"/>
    </row>
    <row r="21" spans="2:28" ht="30.75" customHeight="1" thickTop="1">
      <c r="B21" s="1317" t="str">
        <f>IFERROR(VLOOKUP(AD4,_Sikap,5,FALSE),"-")</f>
        <v>B</v>
      </c>
      <c r="C21" s="1317"/>
      <c r="D21" s="1317"/>
      <c r="E21" s="1317"/>
      <c r="F21" s="1319" t="str">
        <f>H8&amp;" "&amp;IFERROR(VLOOKUP(B21,_sikap_predikat1,3,FALSE),"-")</f>
        <v>Hikmatullah Umar Malik Abdul Aziz memiliki sikap santun pada orang lain, peduli pada sesama teman, memiliki kepercaya diri yang baik, cukup responsif dalam pergaulan, memiliki sikap jujur, disiplin, dan tanggungjawab yang cukup tinggi.</v>
      </c>
      <c r="G21" s="1320"/>
      <c r="H21" s="1320"/>
      <c r="I21" s="1320"/>
      <c r="J21" s="1320"/>
      <c r="K21" s="1320"/>
      <c r="L21" s="1320"/>
      <c r="M21" s="1320"/>
      <c r="N21" s="1320"/>
      <c r="O21" s="1320"/>
      <c r="P21" s="1320"/>
      <c r="Q21" s="1320"/>
      <c r="R21" s="1320"/>
      <c r="S21" s="1320"/>
      <c r="T21" s="1320"/>
      <c r="U21" s="1320"/>
      <c r="V21" s="1320"/>
      <c r="W21" s="1320"/>
      <c r="X21" s="1320"/>
      <c r="Y21" s="1320"/>
      <c r="Z21" s="1320"/>
      <c r="AA21" s="1320"/>
      <c r="AB21" s="1321"/>
    </row>
    <row r="22" spans="2:28" ht="36" customHeight="1">
      <c r="B22" s="1318"/>
      <c r="C22" s="1318"/>
      <c r="D22" s="1318"/>
      <c r="E22" s="1318"/>
      <c r="F22" s="1325"/>
      <c r="G22" s="1326"/>
      <c r="H22" s="1326"/>
      <c r="I22" s="1326"/>
      <c r="J22" s="1326"/>
      <c r="K22" s="1326"/>
      <c r="L22" s="1326"/>
      <c r="M22" s="1326"/>
      <c r="N22" s="1326"/>
      <c r="O22" s="1326"/>
      <c r="P22" s="1326"/>
      <c r="Q22" s="1326"/>
      <c r="R22" s="1326"/>
      <c r="S22" s="1326"/>
      <c r="T22" s="1326"/>
      <c r="U22" s="1326"/>
      <c r="V22" s="1326"/>
      <c r="W22" s="1326"/>
      <c r="X22" s="1326"/>
      <c r="Y22" s="1326"/>
      <c r="Z22" s="1326"/>
      <c r="AA22" s="1326"/>
      <c r="AB22" s="1327"/>
    </row>
    <row r="23" spans="2:28" ht="24" customHeight="1">
      <c r="B23" s="1297" t="s">
        <v>176</v>
      </c>
      <c r="C23" s="1297"/>
      <c r="D23" s="1297"/>
      <c r="E23" s="1297"/>
      <c r="F23" s="1297"/>
      <c r="G23" s="1297"/>
      <c r="H23" s="1297"/>
      <c r="I23" s="1297"/>
      <c r="J23" s="1297"/>
      <c r="K23" s="1297"/>
      <c r="L23" s="1297"/>
      <c r="M23" s="1297"/>
      <c r="N23" s="1297"/>
      <c r="O23" s="1297"/>
      <c r="P23" s="1297"/>
      <c r="Q23" s="1297"/>
      <c r="R23" s="1297"/>
      <c r="S23" s="1297"/>
      <c r="T23" s="1297"/>
      <c r="U23" s="1297"/>
      <c r="V23" s="1297"/>
      <c r="W23" s="1297"/>
      <c r="X23" s="1297"/>
      <c r="Y23" s="1297"/>
      <c r="Z23" s="1297"/>
      <c r="AA23" s="1297"/>
      <c r="AB23" s="1297"/>
    </row>
    <row r="24" spans="2:28" ht="15.75" customHeight="1">
      <c r="B24" s="1330" t="s">
        <v>50</v>
      </c>
      <c r="C24" s="1330" t="s">
        <v>119</v>
      </c>
      <c r="D24" s="1330"/>
      <c r="E24" s="1330"/>
      <c r="F24" s="1330"/>
      <c r="G24" s="1330"/>
      <c r="H24" s="1330"/>
      <c r="I24" s="1330"/>
      <c r="J24" s="1330"/>
      <c r="K24" s="1330"/>
      <c r="L24" s="1330"/>
      <c r="M24" s="1330" t="s">
        <v>80</v>
      </c>
      <c r="N24" s="1330"/>
      <c r="O24" s="1295" t="s">
        <v>121</v>
      </c>
      <c r="P24" s="1295"/>
      <c r="Q24" s="1295"/>
      <c r="R24" s="1295"/>
      <c r="S24" s="1295"/>
      <c r="T24" s="1295"/>
      <c r="U24" s="1295"/>
      <c r="V24" s="1295" t="s">
        <v>122</v>
      </c>
      <c r="W24" s="1295"/>
      <c r="X24" s="1295"/>
      <c r="Y24" s="1295"/>
      <c r="Z24" s="1295"/>
      <c r="AA24" s="1295"/>
      <c r="AB24" s="1295"/>
    </row>
    <row r="25" spans="2:28" ht="15.75" customHeight="1" thickBot="1">
      <c r="B25" s="1331"/>
      <c r="C25" s="1331"/>
      <c r="D25" s="1331"/>
      <c r="E25" s="1331"/>
      <c r="F25" s="1331"/>
      <c r="G25" s="1331"/>
      <c r="H25" s="1331"/>
      <c r="I25" s="1331"/>
      <c r="J25" s="1331"/>
      <c r="K25" s="1331"/>
      <c r="L25" s="1331"/>
      <c r="M25" s="1331"/>
      <c r="N25" s="1331"/>
      <c r="O25" s="1296" t="s">
        <v>59</v>
      </c>
      <c r="P25" s="1296"/>
      <c r="Q25" s="1296"/>
      <c r="R25" s="1296"/>
      <c r="S25" s="1296" t="s">
        <v>113</v>
      </c>
      <c r="T25" s="1296"/>
      <c r="U25" s="1296"/>
      <c r="V25" s="1296" t="s">
        <v>59</v>
      </c>
      <c r="W25" s="1296"/>
      <c r="X25" s="1296"/>
      <c r="Y25" s="1296"/>
      <c r="Z25" s="1296" t="s">
        <v>113</v>
      </c>
      <c r="AA25" s="1296"/>
      <c r="AB25" s="1296"/>
    </row>
    <row r="26" spans="2:28" ht="18" customHeight="1" thickTop="1">
      <c r="B26" s="1332" t="s">
        <v>53</v>
      </c>
      <c r="C26" s="1333"/>
      <c r="D26" s="1333"/>
      <c r="E26" s="1333"/>
      <c r="F26" s="1333"/>
      <c r="G26" s="1333"/>
      <c r="H26" s="1333"/>
      <c r="I26" s="1333"/>
      <c r="J26" s="1333"/>
      <c r="K26" s="1333"/>
      <c r="L26" s="1333"/>
      <c r="M26" s="1333"/>
      <c r="N26" s="1333"/>
      <c r="O26" s="1333"/>
      <c r="P26" s="1333"/>
      <c r="Q26" s="1333"/>
      <c r="R26" s="1333"/>
      <c r="S26" s="1333"/>
      <c r="T26" s="1333"/>
      <c r="U26" s="1333"/>
      <c r="V26" s="1333"/>
      <c r="W26" s="1333"/>
      <c r="X26" s="1333"/>
      <c r="Y26" s="1333"/>
      <c r="Z26" s="1333"/>
      <c r="AA26" s="1333"/>
      <c r="AB26" s="1334"/>
    </row>
    <row r="27" spans="2:28" ht="15.75" customHeight="1">
      <c r="B27" s="721">
        <v>1</v>
      </c>
      <c r="C27" s="1329" t="str">
        <f>IFERROR(IF(VLOOKUP(AD4,_Biodata_Lengkap,8,FALSE)="ISLAM",_MP1,IF(VLOOKUP(AD4,_Biodata_Lengkap,8,FALSE)="KRISTEN",_MP2,IF(VLOOKUP(AD4,_Biodata_Lengkap,8,FALSE)="KATOLIK",_MP3,IF(VLOOKUP(AD4,_Biodata_Lengkap,8,FALSE)="HINDU",_MP4,IF(VLOOKUP(AD4,_Biodata_Lengkap,8,FALSE)="BUDHA",_MP5,"Cek Agama di Biodata!"))))),"-")</f>
        <v>Pendidikan Agama Islam</v>
      </c>
      <c r="D27" s="1329"/>
      <c r="E27" s="1329"/>
      <c r="F27" s="1329"/>
      <c r="G27" s="1329"/>
      <c r="H27" s="1329"/>
      <c r="I27" s="1329"/>
      <c r="J27" s="1329"/>
      <c r="K27" s="1329"/>
      <c r="L27" s="1329"/>
      <c r="M27" s="1328">
        <f t="shared" ref="M27:M33" si="0">_KKM</f>
        <v>75</v>
      </c>
      <c r="N27" s="1328"/>
      <c r="O27" s="1335">
        <f>IFERROR(IF($C$27=_MP1,VLOOKUP($AD$4,_Leger1,5,FALSE),IF($C$27=_MP2,VLOOKUP($AD$4,_Leger1,8,FALSE),IF($C$27=_MP3,VLOOKUP($AD$4,_Leger1,11,FALSE),IF($C$27=_MP4,VLOOKUP($AD$4,_Leger1,14,FALSE),VLOOKUP($AD$4,_Leger1,17,FALSE))))),"-")</f>
        <v>81.25</v>
      </c>
      <c r="P27" s="1335"/>
      <c r="Q27" s="1335"/>
      <c r="R27" s="1335"/>
      <c r="S27" s="1336" t="str">
        <f t="shared" ref="S27:S33" si="1">IF(O27="-","-",IF(O27&gt;=(M27+2/3*(100-M27)),"A",IF(O27&gt;=(M27+1/3*(100-M27)),"B",IF(O27&gt;=M27,"C","D"))))</f>
        <v>C</v>
      </c>
      <c r="T27" s="1337"/>
      <c r="U27" s="1338"/>
      <c r="V27" s="1335">
        <f>IFERROR(IF($C$27=_MP1,VLOOKUP($AD$4,_Leger1,6,FALSE),IF($C$27=_MP2,VLOOKUP($AD$4,_Leger1,9,FALSE),IF($C$27=_MP3,VLOOKUP($AD$4,_Leger1,12,FALSE),IF($C$27=_MP4,VLOOKUP($AD$4,_Leger1,15,FALSE),VLOOKUP($AD$4,_Leger1,18,FALSE))))),"-")</f>
        <v>83</v>
      </c>
      <c r="W27" s="1335"/>
      <c r="X27" s="1335"/>
      <c r="Y27" s="1335"/>
      <c r="Z27" s="1336" t="str">
        <f t="shared" ref="Z27:Z33" si="2">IF(V27="-","-",IF(V27&gt;=(M27+2/3*(100-M27)),"A",IF(V27&gt;=(M27+1/3*(100-M27)),"B",IF(V27&gt;=M27,"C","D"))))</f>
        <v>C</v>
      </c>
      <c r="AA27" s="1337"/>
      <c r="AB27" s="1338"/>
    </row>
    <row r="28" spans="2:28" ht="15.75" customHeight="1">
      <c r="B28" s="721">
        <v>2</v>
      </c>
      <c r="C28" s="1329" t="str">
        <f>_MP6</f>
        <v>PKn</v>
      </c>
      <c r="D28" s="1329"/>
      <c r="E28" s="1329"/>
      <c r="F28" s="1329"/>
      <c r="G28" s="1329"/>
      <c r="H28" s="1329"/>
      <c r="I28" s="1329"/>
      <c r="J28" s="1329"/>
      <c r="K28" s="1329"/>
      <c r="L28" s="1329"/>
      <c r="M28" s="1328">
        <f t="shared" si="0"/>
        <v>75</v>
      </c>
      <c r="N28" s="1328"/>
      <c r="O28" s="1335">
        <f>IFERROR(VLOOKUP($AD$4,_Leger1,20,FALSE),"-")</f>
        <v>80.8</v>
      </c>
      <c r="P28" s="1335"/>
      <c r="Q28" s="1335"/>
      <c r="R28" s="1335"/>
      <c r="S28" s="1336" t="str">
        <f t="shared" si="1"/>
        <v>C</v>
      </c>
      <c r="T28" s="1337"/>
      <c r="U28" s="1338"/>
      <c r="V28" s="1335">
        <f>IFERROR(VLOOKUP($AD$4,_Leger1,21,FALSE),"-")</f>
        <v>82</v>
      </c>
      <c r="W28" s="1335"/>
      <c r="X28" s="1335"/>
      <c r="Y28" s="1335"/>
      <c r="Z28" s="1336" t="str">
        <f t="shared" si="2"/>
        <v>C</v>
      </c>
      <c r="AA28" s="1337"/>
      <c r="AB28" s="1338"/>
    </row>
    <row r="29" spans="2:28" ht="15.75" customHeight="1">
      <c r="B29" s="721">
        <v>3</v>
      </c>
      <c r="C29" s="1329" t="str">
        <f>_MP7</f>
        <v xml:space="preserve">Bahasa Indonesia </v>
      </c>
      <c r="D29" s="1329"/>
      <c r="E29" s="1329"/>
      <c r="F29" s="1329"/>
      <c r="G29" s="1329"/>
      <c r="H29" s="1329"/>
      <c r="I29" s="1329"/>
      <c r="J29" s="1329"/>
      <c r="K29" s="1329"/>
      <c r="L29" s="1329"/>
      <c r="M29" s="1328">
        <f t="shared" si="0"/>
        <v>75</v>
      </c>
      <c r="N29" s="1328"/>
      <c r="O29" s="1335">
        <f>IFERROR(VLOOKUP($AD$4,_Leger1,23,FALSE),"-")</f>
        <v>81.66</v>
      </c>
      <c r="P29" s="1335"/>
      <c r="Q29" s="1335"/>
      <c r="R29" s="1335"/>
      <c r="S29" s="1336" t="str">
        <f t="shared" si="1"/>
        <v>C</v>
      </c>
      <c r="T29" s="1337"/>
      <c r="U29" s="1338"/>
      <c r="V29" s="1335">
        <f>IFERROR(VLOOKUP($AD$4,_Leger1,24,FALSE),"-")</f>
        <v>79.3</v>
      </c>
      <c r="W29" s="1335"/>
      <c r="X29" s="1335"/>
      <c r="Y29" s="1335"/>
      <c r="Z29" s="1336" t="str">
        <f t="shared" si="2"/>
        <v>C</v>
      </c>
      <c r="AA29" s="1337"/>
      <c r="AB29" s="1338"/>
    </row>
    <row r="30" spans="2:28" ht="15.75" customHeight="1">
      <c r="B30" s="721">
        <v>4</v>
      </c>
      <c r="C30" s="1329" t="str">
        <f>_MP8</f>
        <v xml:space="preserve">Matematika </v>
      </c>
      <c r="D30" s="1329"/>
      <c r="E30" s="1329"/>
      <c r="F30" s="1329"/>
      <c r="G30" s="1329"/>
      <c r="H30" s="1329"/>
      <c r="I30" s="1329"/>
      <c r="J30" s="1329"/>
      <c r="K30" s="1329"/>
      <c r="L30" s="1329"/>
      <c r="M30" s="1328">
        <f t="shared" si="0"/>
        <v>75</v>
      </c>
      <c r="N30" s="1328"/>
      <c r="O30" s="1335">
        <f>IFERROR(VLOOKUP($AD$4,_Leger1,26,FALSE),"-")</f>
        <v>79.08</v>
      </c>
      <c r="P30" s="1335"/>
      <c r="Q30" s="1335"/>
      <c r="R30" s="1335"/>
      <c r="S30" s="1336" t="str">
        <f t="shared" si="1"/>
        <v>C</v>
      </c>
      <c r="T30" s="1337"/>
      <c r="U30" s="1338"/>
      <c r="V30" s="1335">
        <f>IFERROR(VLOOKUP($AD$4,_Leger1,27,FALSE),"-")</f>
        <v>79</v>
      </c>
      <c r="W30" s="1335"/>
      <c r="X30" s="1335"/>
      <c r="Y30" s="1335"/>
      <c r="Z30" s="1336" t="str">
        <f t="shared" si="2"/>
        <v>C</v>
      </c>
      <c r="AA30" s="1337"/>
      <c r="AB30" s="1338"/>
    </row>
    <row r="31" spans="2:28" ht="15.75" customHeight="1">
      <c r="B31" s="721">
        <v>5</v>
      </c>
      <c r="C31" s="1329" t="str">
        <f>_MP9</f>
        <v xml:space="preserve">Ilmu Pengetahuan Alam </v>
      </c>
      <c r="D31" s="1329"/>
      <c r="E31" s="1329"/>
      <c r="F31" s="1329"/>
      <c r="G31" s="1329"/>
      <c r="H31" s="1329"/>
      <c r="I31" s="1329"/>
      <c r="J31" s="1329"/>
      <c r="K31" s="1329"/>
      <c r="L31" s="1329"/>
      <c r="M31" s="1328">
        <f t="shared" si="0"/>
        <v>75</v>
      </c>
      <c r="N31" s="1328"/>
      <c r="O31" s="1335">
        <f>IFERROR(VLOOKUP($AD$4,_Leger1,29,FALSE),"-")</f>
        <v>80.099999999999994</v>
      </c>
      <c r="P31" s="1335"/>
      <c r="Q31" s="1335"/>
      <c r="R31" s="1335"/>
      <c r="S31" s="1336" t="str">
        <f t="shared" si="1"/>
        <v>C</v>
      </c>
      <c r="T31" s="1337"/>
      <c r="U31" s="1338"/>
      <c r="V31" s="1335">
        <f>IFERROR(VLOOKUP($AD$4,_Leger1,30,FALSE),"-")</f>
        <v>80.166666666666671</v>
      </c>
      <c r="W31" s="1335"/>
      <c r="X31" s="1335"/>
      <c r="Y31" s="1335"/>
      <c r="Z31" s="1336" t="str">
        <f t="shared" si="2"/>
        <v>C</v>
      </c>
      <c r="AA31" s="1337"/>
      <c r="AB31" s="1338"/>
    </row>
    <row r="32" spans="2:28" ht="15.75" customHeight="1">
      <c r="B32" s="721">
        <v>6</v>
      </c>
      <c r="C32" s="1329" t="str">
        <f>_MP10</f>
        <v xml:space="preserve">Ilmu Pengetahuan Sosial </v>
      </c>
      <c r="D32" s="1329"/>
      <c r="E32" s="1329"/>
      <c r="F32" s="1329"/>
      <c r="G32" s="1329"/>
      <c r="H32" s="1329"/>
      <c r="I32" s="1329"/>
      <c r="J32" s="1329"/>
      <c r="K32" s="1329"/>
      <c r="L32" s="1329"/>
      <c r="M32" s="1328">
        <f t="shared" si="0"/>
        <v>75</v>
      </c>
      <c r="N32" s="1328"/>
      <c r="O32" s="1335">
        <f>IFERROR(VLOOKUP($AD$4,_Leger1,32,FALSE),"-")</f>
        <v>79.899999999999991</v>
      </c>
      <c r="P32" s="1335"/>
      <c r="Q32" s="1335"/>
      <c r="R32" s="1335"/>
      <c r="S32" s="1336" t="str">
        <f t="shared" si="1"/>
        <v>C</v>
      </c>
      <c r="T32" s="1337"/>
      <c r="U32" s="1338"/>
      <c r="V32" s="1335">
        <f>IFERROR(VLOOKUP($AD$4,_Leger1,33,FALSE),"-")</f>
        <v>81.5</v>
      </c>
      <c r="W32" s="1335"/>
      <c r="X32" s="1335"/>
      <c r="Y32" s="1335"/>
      <c r="Z32" s="1336" t="str">
        <f t="shared" si="2"/>
        <v>C</v>
      </c>
      <c r="AA32" s="1337"/>
      <c r="AB32" s="1338"/>
    </row>
    <row r="33" spans="2:28" ht="15.75" customHeight="1">
      <c r="B33" s="721">
        <v>7</v>
      </c>
      <c r="C33" s="1329" t="str">
        <f>_MP11</f>
        <v xml:space="preserve">Bahasa Inggris </v>
      </c>
      <c r="D33" s="1329"/>
      <c r="E33" s="1329"/>
      <c r="F33" s="1329"/>
      <c r="G33" s="1329"/>
      <c r="H33" s="1329"/>
      <c r="I33" s="1329"/>
      <c r="J33" s="1329"/>
      <c r="K33" s="1329"/>
      <c r="L33" s="1329"/>
      <c r="M33" s="1328">
        <f t="shared" si="0"/>
        <v>75</v>
      </c>
      <c r="N33" s="1328"/>
      <c r="O33" s="1335">
        <f>IFERROR(VLOOKUP($AD$4,_Leger1,35,FALSE),"-")</f>
        <v>81.371428571428567</v>
      </c>
      <c r="P33" s="1335"/>
      <c r="Q33" s="1335"/>
      <c r="R33" s="1335"/>
      <c r="S33" s="1336" t="str">
        <f t="shared" si="1"/>
        <v>C</v>
      </c>
      <c r="T33" s="1337"/>
      <c r="U33" s="1338"/>
      <c r="V33" s="1335">
        <f>IFERROR(VLOOKUP($AD$4,_Leger1,36,FALSE),"-")</f>
        <v>80.428571428571431</v>
      </c>
      <c r="W33" s="1335"/>
      <c r="X33" s="1335"/>
      <c r="Y33" s="1335"/>
      <c r="Z33" s="1336" t="str">
        <f t="shared" si="2"/>
        <v>C</v>
      </c>
      <c r="AA33" s="1337"/>
      <c r="AB33" s="1338"/>
    </row>
    <row r="34" spans="2:28" ht="18" customHeight="1">
      <c r="B34" s="1339" t="s">
        <v>58</v>
      </c>
      <c r="C34" s="1340"/>
      <c r="D34" s="1340"/>
      <c r="E34" s="1340"/>
      <c r="F34" s="1340"/>
      <c r="G34" s="1340"/>
      <c r="H34" s="1340"/>
      <c r="I34" s="1340"/>
      <c r="J34" s="1340"/>
      <c r="K34" s="1340"/>
      <c r="L34" s="1340"/>
      <c r="M34" s="1340"/>
      <c r="N34" s="1340"/>
      <c r="O34" s="1340"/>
      <c r="P34" s="1340"/>
      <c r="Q34" s="1340"/>
      <c r="R34" s="1340"/>
      <c r="S34" s="1340"/>
      <c r="T34" s="1340"/>
      <c r="U34" s="1340"/>
      <c r="V34" s="1340"/>
      <c r="W34" s="1340"/>
      <c r="X34" s="1340"/>
      <c r="Y34" s="1340"/>
      <c r="Z34" s="1340"/>
      <c r="AA34" s="1340"/>
      <c r="AB34" s="1341"/>
    </row>
    <row r="35" spans="2:28" ht="15.75" customHeight="1">
      <c r="B35" s="721">
        <v>1</v>
      </c>
      <c r="C35" s="1329" t="str">
        <f>_MP12</f>
        <v>Seni Budaya</v>
      </c>
      <c r="D35" s="1329"/>
      <c r="E35" s="1329"/>
      <c r="F35" s="1329"/>
      <c r="G35" s="1329"/>
      <c r="H35" s="1329"/>
      <c r="I35" s="1329"/>
      <c r="J35" s="1329"/>
      <c r="K35" s="1329"/>
      <c r="L35" s="1329"/>
      <c r="M35" s="1328">
        <f>_KKM</f>
        <v>75</v>
      </c>
      <c r="N35" s="1328"/>
      <c r="O35" s="1335">
        <f>IFERROR(VLOOKUP($AD$4,_Leger1,38,FALSE),"-")</f>
        <v>79.52</v>
      </c>
      <c r="P35" s="1335"/>
      <c r="Q35" s="1335"/>
      <c r="R35" s="1335"/>
      <c r="S35" s="1336" t="str">
        <f>IF(O35="-","-",IF(O35&gt;=(M35+2/3*(100-M35)),"A",IF(O35&gt;=(M35+1/3*(100-M35)),"B",IF(O35&gt;=M35,"C","D"))))</f>
        <v>C</v>
      </c>
      <c r="T35" s="1337"/>
      <c r="U35" s="1338"/>
      <c r="V35" s="1335">
        <f>IFERROR(VLOOKUP($AD$4,_Leger1,39,FALSE),"-")</f>
        <v>82.8</v>
      </c>
      <c r="W35" s="1335"/>
      <c r="X35" s="1335"/>
      <c r="Y35" s="1335"/>
      <c r="Z35" s="1336" t="str">
        <f>IF(V35="-","-",IF(V35&gt;=(M35+2/3*(100-M35)),"A",IF(V35&gt;=(M35+1/3*(100-M35)),"B",IF(V35&gt;=M35,"C","D"))))</f>
        <v>C</v>
      </c>
      <c r="AA35" s="1337"/>
      <c r="AB35" s="1338"/>
    </row>
    <row r="36" spans="2:28" ht="15.75" customHeight="1">
      <c r="B36" s="721">
        <v>2</v>
      </c>
      <c r="C36" s="1329" t="str">
        <f>_MP13</f>
        <v>Penjaskes</v>
      </c>
      <c r="D36" s="1329"/>
      <c r="E36" s="1329"/>
      <c r="F36" s="1329"/>
      <c r="G36" s="1329"/>
      <c r="H36" s="1329"/>
      <c r="I36" s="1329"/>
      <c r="J36" s="1329"/>
      <c r="K36" s="1329"/>
      <c r="L36" s="1329"/>
      <c r="M36" s="1328">
        <f>_KKM</f>
        <v>75</v>
      </c>
      <c r="N36" s="1328"/>
      <c r="O36" s="1335">
        <f>IFERROR(VLOOKUP($AD$4,_Leger1,41,FALSE),"-")</f>
        <v>80.100000000000009</v>
      </c>
      <c r="P36" s="1335"/>
      <c r="Q36" s="1335"/>
      <c r="R36" s="1335"/>
      <c r="S36" s="1336" t="str">
        <f>IF(O36="-","-",IF(O36&gt;=(M36+2/3*(100-M36)),"A",IF(O36&gt;=(M36+1/3*(100-M36)),"B",IF(O36&gt;=M36,"C","D"))))</f>
        <v>C</v>
      </c>
      <c r="T36" s="1337"/>
      <c r="U36" s="1338"/>
      <c r="V36" s="1335">
        <f>IFERROR(VLOOKUP($AD$4,_Leger1,42,FALSE),"-")</f>
        <v>79.75</v>
      </c>
      <c r="W36" s="1335"/>
      <c r="X36" s="1335"/>
      <c r="Y36" s="1335"/>
      <c r="Z36" s="1336" t="str">
        <f>IF(V36="-","-",IF(V36&gt;=(M36+2/3*(100-M36)),"A",IF(V36&gt;=(M36+1/3*(100-M36)),"B",IF(V36&gt;=M36,"C","D"))))</f>
        <v>C</v>
      </c>
      <c r="AA36" s="1337"/>
      <c r="AB36" s="1338"/>
    </row>
    <row r="37" spans="2:28" ht="15.75" customHeight="1">
      <c r="B37" s="721">
        <v>3</v>
      </c>
      <c r="C37" s="1329" t="str">
        <f>_MP14</f>
        <v>Prakarya</v>
      </c>
      <c r="D37" s="1329"/>
      <c r="E37" s="1329"/>
      <c r="F37" s="1329"/>
      <c r="G37" s="1329"/>
      <c r="H37" s="1329"/>
      <c r="I37" s="1329"/>
      <c r="J37" s="1329"/>
      <c r="K37" s="1329"/>
      <c r="L37" s="1329"/>
      <c r="M37" s="1328">
        <f>_KKM</f>
        <v>75</v>
      </c>
      <c r="N37" s="1328"/>
      <c r="O37" s="1335">
        <f>IFERROR(VLOOKUP($AD$4,_Leger1,44,FALSE),"-")</f>
        <v>80.8</v>
      </c>
      <c r="P37" s="1335"/>
      <c r="Q37" s="1335"/>
      <c r="R37" s="1335"/>
      <c r="S37" s="1336" t="str">
        <f>IF(O37="-","-",IF(O37&gt;=(M37+2/3*(100-M37)),"A",IF(O37&gt;=(M37+1/3*(100-M37)),"B",IF(O37&gt;=M37,"C","D"))))</f>
        <v>C</v>
      </c>
      <c r="T37" s="1337"/>
      <c r="U37" s="1338"/>
      <c r="V37" s="1335">
        <f>IFERROR(VLOOKUP($AD$4,_Leger1,45,FALSE),"-")</f>
        <v>83</v>
      </c>
      <c r="W37" s="1335"/>
      <c r="X37" s="1335"/>
      <c r="Y37" s="1335"/>
      <c r="Z37" s="1336" t="str">
        <f>IF(V37="-","-",IF(V37&gt;=(M37+2/3*(100-M37)),"A",IF(V37&gt;=(M37+1/3*(100-M37)),"B",IF(V37&gt;=M37,"C","D"))))</f>
        <v>C</v>
      </c>
      <c r="AA37" s="1337"/>
      <c r="AB37" s="1338"/>
    </row>
    <row r="38" spans="2:28" ht="15.75" customHeight="1">
      <c r="B38" s="721">
        <v>4</v>
      </c>
      <c r="C38" s="1329" t="str">
        <f>_MP15&amp;"*"</f>
        <v>Bahasa dan Aksara Lampung*</v>
      </c>
      <c r="D38" s="1329"/>
      <c r="E38" s="1329"/>
      <c r="F38" s="1329"/>
      <c r="G38" s="1329"/>
      <c r="H38" s="1329"/>
      <c r="I38" s="1329"/>
      <c r="J38" s="1329"/>
      <c r="K38" s="1329"/>
      <c r="L38" s="1329"/>
      <c r="M38" s="1328">
        <f>_KKM</f>
        <v>75</v>
      </c>
      <c r="N38" s="1328"/>
      <c r="O38" s="1335">
        <f>IFERROR(VLOOKUP($AD$4,_Leger1,47,FALSE),"-")</f>
        <v>79.7</v>
      </c>
      <c r="P38" s="1335"/>
      <c r="Q38" s="1335"/>
      <c r="R38" s="1335"/>
      <c r="S38" s="1336" t="str">
        <f>IF(O38="-","-",IF(O38&gt;=(M38+2/3*(100-M38)),"A",IF(O38&gt;=(M38+1/3*(100-M38)),"B",IF(O38&gt;=M38,"C","D"))))</f>
        <v>C</v>
      </c>
      <c r="T38" s="1337"/>
      <c r="U38" s="1338"/>
      <c r="V38" s="1335">
        <f>IFERROR(VLOOKUP($AD$4,_Leger1,48,FALSE),"-")</f>
        <v>79.5</v>
      </c>
      <c r="W38" s="1335"/>
      <c r="X38" s="1335"/>
      <c r="Y38" s="1335"/>
      <c r="Z38" s="1336" t="str">
        <f>IF(V38="-","-",IF(V38&gt;=(M38+2/3*(100-M38)),"A",IF(V38&gt;=(M38+1/3*(100-M38)),"B",IF(V38&gt;=M38,"C","D"))))</f>
        <v>C</v>
      </c>
      <c r="AA38" s="1337"/>
      <c r="AB38" s="1338"/>
    </row>
    <row r="39" spans="2:28" ht="15" customHeight="1">
      <c r="B39" s="722"/>
    </row>
    <row r="40" spans="2:28" s="201" customFormat="1" ht="20.25" customHeight="1">
      <c r="B40" s="1342" t="s">
        <v>177</v>
      </c>
      <c r="C40" s="1342"/>
      <c r="D40" s="1342"/>
      <c r="E40" s="1342"/>
      <c r="F40" s="1342"/>
      <c r="G40" s="1342"/>
      <c r="H40" s="1342"/>
      <c r="I40" s="1342"/>
      <c r="J40" s="1342"/>
      <c r="K40" s="1342"/>
      <c r="L40" s="1342"/>
      <c r="M40" s="1342"/>
      <c r="N40" s="1342"/>
      <c r="O40" s="1343">
        <f>IFERROR(VLOOKUP(AD4,_Leger1,50,FALSE),"-")</f>
        <v>884.28142857142859</v>
      </c>
      <c r="P40" s="1344"/>
      <c r="Q40" s="1344"/>
      <c r="R40" s="1344"/>
      <c r="S40" s="1344"/>
      <c r="T40" s="1344"/>
      <c r="U40" s="1344"/>
      <c r="V40" s="1344"/>
      <c r="W40" s="1344"/>
      <c r="X40" s="1344"/>
      <c r="Y40" s="1344"/>
      <c r="Z40" s="1344"/>
      <c r="AA40" s="1344"/>
      <c r="AB40" s="1345"/>
    </row>
    <row r="41" spans="2:28" s="201" customFormat="1" ht="20.25" customHeight="1">
      <c r="B41" s="1342" t="s">
        <v>178</v>
      </c>
      <c r="C41" s="1342"/>
      <c r="D41" s="1342"/>
      <c r="E41" s="1342"/>
      <c r="F41" s="1342"/>
      <c r="G41" s="1342"/>
      <c r="H41" s="1342"/>
      <c r="I41" s="1342"/>
      <c r="J41" s="1342"/>
      <c r="K41" s="1342"/>
      <c r="L41" s="1342"/>
      <c r="M41" s="1342"/>
      <c r="N41" s="1342"/>
      <c r="O41" s="1346" t="str">
        <f>IFERROR(IF(OR(VLOOKUP(AD4,_Leger1,52,FALSE)=0,(VLOOKUP(AD4,_Leger1,52,FALSE)&gt;10)),"-",(VLOOKUP(AD4,_Leger1,52,FALSE)&amp;" dari "&amp;Leger1!E47&amp;" siswa")),"-")</f>
        <v>-</v>
      </c>
      <c r="P41" s="1347"/>
      <c r="Q41" s="1347"/>
      <c r="R41" s="1347"/>
      <c r="S41" s="1347"/>
      <c r="T41" s="1347"/>
      <c r="U41" s="1347"/>
      <c r="V41" s="1347"/>
      <c r="W41" s="1347"/>
      <c r="X41" s="1347"/>
      <c r="Y41" s="1347"/>
      <c r="Z41" s="1347"/>
      <c r="AA41" s="1347"/>
      <c r="AB41" s="1348"/>
    </row>
    <row r="42" spans="2:28" ht="15" customHeight="1">
      <c r="B42" s="723" t="s">
        <v>179</v>
      </c>
    </row>
    <row r="43" spans="2:28" ht="15" customHeight="1">
      <c r="B43" s="723"/>
    </row>
    <row r="44" spans="2:28" ht="15" customHeight="1">
      <c r="B44" s="723"/>
    </row>
    <row r="45" spans="2:28" ht="15" customHeight="1">
      <c r="B45" s="723"/>
    </row>
    <row r="46" spans="2:28" ht="15" customHeight="1">
      <c r="B46" s="723"/>
    </row>
    <row r="47" spans="2:28" ht="39" customHeight="1">
      <c r="Q47" s="1378"/>
      <c r="R47" s="1378"/>
      <c r="S47" s="1378"/>
      <c r="T47" s="1378"/>
      <c r="U47" s="1378"/>
      <c r="V47" s="1378"/>
      <c r="W47" s="1378"/>
      <c r="X47" s="1378"/>
      <c r="Y47" s="1378"/>
      <c r="Z47" s="1378"/>
      <c r="AA47" s="1378"/>
      <c r="AB47" s="1378"/>
    </row>
    <row r="48" spans="2:28" ht="18.75" customHeight="1">
      <c r="B48" s="717" t="s">
        <v>153</v>
      </c>
      <c r="G48" s="717" t="s">
        <v>2</v>
      </c>
      <c r="H48" s="717" t="str">
        <f>_sekolah_label</f>
        <v>SMP Negeri 1 Abung Surakarta</v>
      </c>
      <c r="T48" s="718" t="s">
        <v>5</v>
      </c>
      <c r="X48" s="718" t="s">
        <v>2</v>
      </c>
      <c r="Y48" s="717" t="str">
        <f>DK!$D$5</f>
        <v>VIII A</v>
      </c>
    </row>
    <row r="49" spans="2:46" ht="15" customHeight="1">
      <c r="B49" s="717" t="s">
        <v>156</v>
      </c>
      <c r="G49" s="717" t="s">
        <v>2</v>
      </c>
      <c r="H49" s="717" t="str">
        <f>_alamat_sekolah</f>
        <v>Jl. Pendidikan No. 24</v>
      </c>
      <c r="T49" s="718" t="s">
        <v>4</v>
      </c>
      <c r="X49" s="718" t="s">
        <v>2</v>
      </c>
      <c r="Y49" s="717" t="str">
        <f>_smt_ganjil</f>
        <v>3 (Tiga)</v>
      </c>
    </row>
    <row r="50" spans="2:46" ht="15" customHeight="1">
      <c r="B50" s="717" t="s">
        <v>97</v>
      </c>
      <c r="G50" s="717" t="s">
        <v>2</v>
      </c>
      <c r="H50" s="717" t="str">
        <f>IFERROR(PROPER(VLOOKUP($AD$4,_Biodata_Lengkap,4,FALSE)),"-")</f>
        <v>Hikmatullah Umar Malik Abdul Aziz</v>
      </c>
      <c r="T50" s="718" t="s">
        <v>3</v>
      </c>
      <c r="X50" s="718" t="s">
        <v>2</v>
      </c>
      <c r="Y50" s="717" t="str">
        <f>DK!$D$8</f>
        <v>2018 / 2019</v>
      </c>
    </row>
    <row r="51" spans="2:46" ht="18.75" customHeight="1">
      <c r="B51" s="752" t="s">
        <v>166</v>
      </c>
      <c r="C51" s="752"/>
      <c r="D51" s="752"/>
      <c r="E51" s="752"/>
      <c r="F51" s="752"/>
      <c r="G51" s="752" t="s">
        <v>2</v>
      </c>
      <c r="H51" s="752" t="str">
        <f>IFERROR(IF(VLOOKUP($AD$4,_Biodata_Lengkap,2,FALSE)="","-",VLOOKUP($AD$4,_Biodata_Lengkap,2,FALSE)&amp;" / "&amp;IF(VLOOKUP($AD$4,_Biodata_Lengkap,3,FALSE)="","-",VLOOKUP($AD$4,_Biodata_Lengkap,3,FALSE))),"-")</f>
        <v>7095 / 0045430012</v>
      </c>
      <c r="I51" s="752"/>
      <c r="J51" s="752"/>
      <c r="K51" s="752"/>
      <c r="L51" s="752"/>
      <c r="M51" s="752"/>
      <c r="N51" s="752"/>
      <c r="O51" s="752"/>
      <c r="P51" s="752"/>
      <c r="Q51" s="752"/>
      <c r="R51" s="752"/>
      <c r="S51" s="752"/>
      <c r="T51" s="752"/>
      <c r="U51" s="752"/>
      <c r="V51" s="752"/>
      <c r="W51" s="752"/>
      <c r="X51" s="752"/>
      <c r="Y51" s="752"/>
      <c r="Z51" s="752"/>
      <c r="AA51" s="752"/>
      <c r="AB51" s="752"/>
    </row>
    <row r="52" spans="2:46" ht="19.5" customHeight="1">
      <c r="B52" s="724" t="s">
        <v>180</v>
      </c>
      <c r="C52" s="725"/>
      <c r="D52" s="725"/>
      <c r="E52" s="725"/>
      <c r="F52" s="725"/>
      <c r="G52" s="725"/>
      <c r="H52" s="725"/>
      <c r="I52" s="725"/>
      <c r="J52" s="725"/>
      <c r="K52" s="725"/>
      <c r="L52" s="725"/>
      <c r="M52" s="725"/>
      <c r="N52" s="725"/>
      <c r="O52" s="725"/>
      <c r="P52" s="725"/>
      <c r="Q52" s="725"/>
      <c r="R52" s="725"/>
      <c r="S52" s="725"/>
      <c r="T52" s="725"/>
      <c r="U52" s="725"/>
      <c r="V52" s="725"/>
      <c r="W52" s="725"/>
      <c r="X52" s="725"/>
      <c r="Y52" s="725"/>
      <c r="Z52" s="725"/>
      <c r="AA52" s="725"/>
      <c r="AB52" s="725"/>
    </row>
    <row r="53" spans="2:46" ht="23.25" customHeight="1" thickBot="1">
      <c r="B53" s="726" t="s">
        <v>50</v>
      </c>
      <c r="C53" s="1291" t="s">
        <v>119</v>
      </c>
      <c r="D53" s="1291"/>
      <c r="E53" s="1291"/>
      <c r="F53" s="1291"/>
      <c r="G53" s="1291"/>
      <c r="H53" s="1291"/>
      <c r="I53" s="1291"/>
      <c r="J53" s="1292" t="s">
        <v>181</v>
      </c>
      <c r="K53" s="1293"/>
      <c r="L53" s="1293"/>
      <c r="M53" s="1293"/>
      <c r="N53" s="1294"/>
      <c r="O53" s="1292" t="s">
        <v>174</v>
      </c>
      <c r="P53" s="1293"/>
      <c r="Q53" s="1293"/>
      <c r="R53" s="1293"/>
      <c r="S53" s="1293"/>
      <c r="T53" s="1293"/>
      <c r="U53" s="1293"/>
      <c r="V53" s="1293"/>
      <c r="W53" s="1293"/>
      <c r="X53" s="1293"/>
      <c r="Y53" s="1293"/>
      <c r="Z53" s="1293"/>
      <c r="AA53" s="1293"/>
      <c r="AB53" s="1294"/>
    </row>
    <row r="54" spans="2:46" ht="15" customHeight="1" thickTop="1">
      <c r="B54" s="1288" t="s">
        <v>53</v>
      </c>
      <c r="C54" s="1289"/>
      <c r="D54" s="1289"/>
      <c r="E54" s="1289"/>
      <c r="F54" s="1289"/>
      <c r="G54" s="1289"/>
      <c r="H54" s="1289"/>
      <c r="I54" s="1289"/>
      <c r="J54" s="1289"/>
      <c r="K54" s="1289"/>
      <c r="L54" s="1289"/>
      <c r="M54" s="1289"/>
      <c r="N54" s="1289"/>
      <c r="O54" s="1289"/>
      <c r="P54" s="1289"/>
      <c r="Q54" s="1289"/>
      <c r="R54" s="1289"/>
      <c r="S54" s="1289"/>
      <c r="T54" s="1289"/>
      <c r="U54" s="1289"/>
      <c r="V54" s="1289"/>
      <c r="W54" s="1289"/>
      <c r="X54" s="1289"/>
      <c r="Y54" s="1289"/>
      <c r="Z54" s="1289"/>
      <c r="AA54" s="1289"/>
      <c r="AB54" s="1290"/>
    </row>
    <row r="55" spans="2:46" ht="70.5" customHeight="1">
      <c r="B55" s="1270">
        <v>1</v>
      </c>
      <c r="C55" s="1282" t="str">
        <f>C27</f>
        <v>Pendidikan Agama Islam</v>
      </c>
      <c r="D55" s="1282"/>
      <c r="E55" s="1282"/>
      <c r="F55" s="1282"/>
      <c r="G55" s="1282"/>
      <c r="H55" s="1282"/>
      <c r="I55" s="1282"/>
      <c r="J55" s="1266" t="s">
        <v>121</v>
      </c>
      <c r="K55" s="1266"/>
      <c r="L55" s="1266"/>
      <c r="M55" s="1266"/>
      <c r="N55" s="1266"/>
      <c r="O55" s="1255" t="str">
        <f>IFERROR(IF(IF(AI56=1,(VLOOKUP($AD$4,_des_smt1,5,FALSE)),IF(AI56=2,(VLOOKUP($AD$4,_des_smt1,7,FALSE)),IF(AI56=3,(VLOOKUP($AD$4,_des_smt1,9,FALSE)),IF(AI56=4,(VLOOKUP($AD$4,_des_smt1,11,FALSE)),IF(AI56=5,(VLOOKUP($AD$4,_des_smt1,13,FALSE)))))))=0,"-",IF(AI56=1,(VLOOKUP($AD$4,_des_smt1,5,FALSE)),IF(AI56=2,(VLOOKUP($AD$4,_des_smt1,7,FALSE)),IF(AI56=3,(VLOOKUP($AD$4,_des_smt1,9,FALSE)),IF(AI56=4,(VLOOKUP($AD$4,_des_smt1,11,FALSE)),IF(AI56=5,(VLOOKUP($AD$4,_des_smt1,13,FALSE)))))))),"-")</f>
        <v>cukup baik dalam beriman kepada kitab-kitab dan Rasul Allah Swt, cukup baik dalam menghindari minuman keras, judi dan makanan/minuman halal, baik dalam shalat sunah dan hikmah sujud syukur, sahwi, tilawah dan cukup baik dalam hadis tentang rendah hati,hemat dan masa umayyah.</v>
      </c>
      <c r="P55" s="1256"/>
      <c r="Q55" s="1256"/>
      <c r="R55" s="1256"/>
      <c r="S55" s="1256"/>
      <c r="T55" s="1256"/>
      <c r="U55" s="1256"/>
      <c r="V55" s="1256"/>
      <c r="W55" s="1256"/>
      <c r="X55" s="1256"/>
      <c r="Y55" s="1256"/>
      <c r="Z55" s="1256"/>
      <c r="AA55" s="1256"/>
      <c r="AB55" s="1257"/>
      <c r="AI55" s="198" t="s">
        <v>183</v>
      </c>
    </row>
    <row r="56" spans="2:46" ht="76.5" customHeight="1">
      <c r="B56" s="1271"/>
      <c r="C56" s="1282"/>
      <c r="D56" s="1282"/>
      <c r="E56" s="1282"/>
      <c r="F56" s="1282"/>
      <c r="G56" s="1282"/>
      <c r="H56" s="1282"/>
      <c r="I56" s="1282"/>
      <c r="J56" s="1266" t="s">
        <v>122</v>
      </c>
      <c r="K56" s="1266"/>
      <c r="L56" s="1266"/>
      <c r="M56" s="1266"/>
      <c r="N56" s="1266"/>
      <c r="O56" s="1255" t="str">
        <f>IFERROR(IF(IF(AI56=1,(VLOOKUP($AD$4,_des_smt1,6,FALSE)),IF(AI56=2,(VLOOKUP($AD$4,_des_smt1,8,FALSE)),IF(AI56=3,(VLOOKUP($AD$4,_des_smt1,10,FALSE)),IF(AI56=4,(VLOOKUP($AD$4,_des_smt1,12,FALSE)),IF(AI56=5,(VLOOKUP($AD$4,_des_smt1,14,FALSE)))))))=0,"-",IF(AI56=1,(VLOOKUP($AD$4,_des_smt1,6,FALSE)),IF(AI56=2,(VLOOKUP($AD$4,_des_smt1,8,FALSE)),IF(AI56=3,(VLOOKUP($AD$4,_des_smt1,10,FALSE)),IF(AI56=4,(VLOOKUP($AD$4,_des_smt1,12,FALSE)),IF(AI56=5,(VLOOKUP($AD$4,_des_smt1,14,FALSE)))))))),"-")</f>
        <v>cukup baik dalam mengumpulkan artikel tentang kitab-kitab Allah Swt, cukup baik dalam mengumpulkan gambar minuman/makanan halal dan haram, baik dalam praktek sujud syukur, sahwi, tilawah di musolla sekolah dan baik dalam diskusi kandungan Q.S Al isra (27) Q.S Al Furqon (25).</v>
      </c>
      <c r="P56" s="1256"/>
      <c r="Q56" s="1256"/>
      <c r="R56" s="1256"/>
      <c r="S56" s="1256"/>
      <c r="T56" s="1256"/>
      <c r="U56" s="1256"/>
      <c r="V56" s="1256"/>
      <c r="W56" s="1256"/>
      <c r="X56" s="1256"/>
      <c r="Y56" s="1256"/>
      <c r="Z56" s="1256"/>
      <c r="AA56" s="1256"/>
      <c r="AB56" s="1257"/>
      <c r="AI56" s="727">
        <f>IF(C55=_MP1,1,IF(C55=_MP2,2,IF(C55=_MP3,3,IF(C55=_MP4,4,5))))</f>
        <v>1</v>
      </c>
    </row>
    <row r="57" spans="2:46" ht="76.5" customHeight="1">
      <c r="B57" s="1270">
        <v>2</v>
      </c>
      <c r="C57" s="1282" t="str">
        <f>C28</f>
        <v>PKn</v>
      </c>
      <c r="D57" s="1282"/>
      <c r="E57" s="1282"/>
      <c r="F57" s="1282"/>
      <c r="G57" s="1282"/>
      <c r="H57" s="1282"/>
      <c r="I57" s="1282"/>
      <c r="J57" s="1266" t="s">
        <v>121</v>
      </c>
      <c r="K57" s="1266"/>
      <c r="L57" s="1266"/>
      <c r="M57" s="1266"/>
      <c r="N57" s="1266"/>
      <c r="O57" s="1255" t="str">
        <f>IFERROR(IF((VLOOKUP($AD$4,_des_smt1,15,FALSE))=0,"-",(VLOOKUP($AD$4,_des_smt1,15,FALSE))),"-")</f>
        <v>cukup baik dalam menelaah pancasila sebagai dasar negara dan pandangan hidup bangsa, cukup baik dalam menelaah makna kedudukan dan fungsi UUD.N.R.I. th 1945 dan cukup baik dalam memahami tataurutan peraturan perundang undangan dalam sistem hukum nasional di indonesia..</v>
      </c>
      <c r="P57" s="1256"/>
      <c r="Q57" s="1256"/>
      <c r="R57" s="1256"/>
      <c r="S57" s="1256"/>
      <c r="T57" s="1256"/>
      <c r="U57" s="1256"/>
      <c r="V57" s="1256"/>
      <c r="W57" s="1256"/>
      <c r="X57" s="1256"/>
      <c r="Y57" s="1256"/>
      <c r="Z57" s="1256"/>
      <c r="AA57" s="1256"/>
      <c r="AB57" s="1257"/>
    </row>
    <row r="58" spans="2:46" ht="76.5" customHeight="1">
      <c r="B58" s="1271"/>
      <c r="C58" s="1282"/>
      <c r="D58" s="1282"/>
      <c r="E58" s="1282"/>
      <c r="F58" s="1282"/>
      <c r="G58" s="1282"/>
      <c r="H58" s="1282"/>
      <c r="I58" s="1282"/>
      <c r="J58" s="1266" t="s">
        <v>122</v>
      </c>
      <c r="K58" s="1266"/>
      <c r="L58" s="1266"/>
      <c r="M58" s="1266"/>
      <c r="N58" s="1266"/>
      <c r="O58" s="1258" t="str">
        <f>IFERROR(IF((VLOOKUP($AD$4,_des_smt1,16,FALSE))=0,"-",(VLOOKUP($AD$4,_des_smt1,16,FALSE))),"-")</f>
        <v>cukup baik dalam menyajikan hasil telaah nilai-nilai pancasila sebagai dasar negara dan pandangan hidup bangsa dalam kehidupan sehari-hari., cukup baik dalam menyajikan hasil telaah makna kedudukan dan fungsi UUD.N.R.I.th 1945 dan baik dalam mendemostrasikan pola pengembangan tataurutan peraturan perundang undangan dalam sistem hukum nasional di indonesia..</v>
      </c>
      <c r="P58" s="1259"/>
      <c r="Q58" s="1259"/>
      <c r="R58" s="1259"/>
      <c r="S58" s="1259"/>
      <c r="T58" s="1259"/>
      <c r="U58" s="1259"/>
      <c r="V58" s="1259"/>
      <c r="W58" s="1259"/>
      <c r="X58" s="1259"/>
      <c r="Y58" s="1259"/>
      <c r="Z58" s="1259"/>
      <c r="AA58" s="1259"/>
      <c r="AB58" s="1260"/>
    </row>
    <row r="59" spans="2:46" ht="76.5" customHeight="1">
      <c r="B59" s="1270">
        <v>3</v>
      </c>
      <c r="C59" s="1282" t="str">
        <f>C29</f>
        <v xml:space="preserve">Bahasa Indonesia </v>
      </c>
      <c r="D59" s="1282"/>
      <c r="E59" s="1282"/>
      <c r="F59" s="1282"/>
      <c r="G59" s="1282"/>
      <c r="H59" s="1282"/>
      <c r="I59" s="1282"/>
      <c r="J59" s="1266" t="s">
        <v>121</v>
      </c>
      <c r="K59" s="1266"/>
      <c r="L59" s="1266"/>
      <c r="M59" s="1266"/>
      <c r="N59" s="1266"/>
      <c r="O59" s="1285" t="str">
        <f>IFERROR(IF(VLOOKUP($AD$4,_des_smt1,17,FALSE)=0,"-",VLOOKUP($AD$4,_des_smt1,17,FALSE)),"-")</f>
        <v>baik dalam mengidentifikasi unsur berita, baik dalam menelaah struktur dan kebahasaan teks berita, cukup baik dalam mengidentifikasi informasi teks iklan,slogan, poster, cukup baik dalam menelaah pola penyajian dan kebahasaan teks, cukup baik dalam mengidentifikasi informasi teks eksposisi, cukup baik dalam mengidentifikasi struktur teks eksposisi, cukup baik dalam mengidentifikasi unsur pembangun teks puisi, cukup baik dalam menelaah unsur pembangun teks puisi, cukup baik dalam mengidentifikasi informasi dari teks eksplanasi dan cukup baik dalam menelaah teks eksplanasi kejadian fenomena alam.</v>
      </c>
      <c r="P59" s="1286"/>
      <c r="Q59" s="1286"/>
      <c r="R59" s="1286"/>
      <c r="S59" s="1286"/>
      <c r="T59" s="1286"/>
      <c r="U59" s="1286"/>
      <c r="V59" s="1286"/>
      <c r="W59" s="1286"/>
      <c r="X59" s="1286"/>
      <c r="Y59" s="1286"/>
      <c r="Z59" s="1286"/>
      <c r="AA59" s="1286"/>
      <c r="AB59" s="1287"/>
    </row>
    <row r="60" spans="2:46" ht="76.5" customHeight="1">
      <c r="B60" s="1271"/>
      <c r="C60" s="1282"/>
      <c r="D60" s="1282"/>
      <c r="E60" s="1282"/>
      <c r="F60" s="1282"/>
      <c r="G60" s="1282"/>
      <c r="H60" s="1282"/>
      <c r="I60" s="1282"/>
      <c r="J60" s="1266" t="s">
        <v>122</v>
      </c>
      <c r="K60" s="1266"/>
      <c r="L60" s="1266"/>
      <c r="M60" s="1266"/>
      <c r="N60" s="1266"/>
      <c r="O60" s="1285" t="str">
        <f>IFERROR(IF(VLOOKUP($AD$4,_des_smt1,18,FALSE)=0,"-",VLOOKUP($AD$4,_des_smt1,18,FALSE)),"-")</f>
        <v>baik dalam menyimpulkan isi berita, cukup baik dalam menyajikan data dan informasi, cukup baik dalam menyimpulkan isi iklan,slogan,atau poster, cukup baik dalam menyajikan gagasan,pesan,dan ajakan, cukup baik dalam menyimpulkan isi teks eksposisi., cukup baik dalam menyajikan pendapat , bentuk teks eksposisi, cukup baik dalam menyimpulkan unsur pembangun teks puisi, cukup baik dalam menyajikan perasaan dalam teks puisi, cukup baik dalam meringkas isi teks eksplanasi dan cukup baik dalam menyajikan informasi ,bentuk teks eksplanasi.</v>
      </c>
      <c r="P60" s="1286"/>
      <c r="Q60" s="1286"/>
      <c r="R60" s="1286"/>
      <c r="S60" s="1286"/>
      <c r="T60" s="1286"/>
      <c r="U60" s="1286"/>
      <c r="V60" s="1286"/>
      <c r="W60" s="1286"/>
      <c r="X60" s="1286"/>
      <c r="Y60" s="1286"/>
      <c r="Z60" s="1286"/>
      <c r="AA60" s="1286"/>
      <c r="AB60" s="1287"/>
    </row>
    <row r="61" spans="2:46" ht="76.5" customHeight="1">
      <c r="B61" s="1270">
        <v>4</v>
      </c>
      <c r="C61" s="1282" t="str">
        <f>C30</f>
        <v xml:space="preserve">Matematika </v>
      </c>
      <c r="D61" s="1282"/>
      <c r="E61" s="1282"/>
      <c r="F61" s="1282"/>
      <c r="G61" s="1282"/>
      <c r="H61" s="1282"/>
      <c r="I61" s="1282"/>
      <c r="J61" s="1266" t="s">
        <v>121</v>
      </c>
      <c r="K61" s="1266"/>
      <c r="L61" s="1266"/>
      <c r="M61" s="1266"/>
      <c r="N61" s="1266"/>
      <c r="O61" s="1255" t="str">
        <f>IFERROR(IF(VLOOKUP($AD$4,_des_smt1,19,FALSE)=0,"-",VLOOKUP($AD$4,_des_smt1,19,FALSE)),"-")</f>
        <v>cukup baik dalam membuat pola pada barisan bilangan, cukup baik dalam menjelaskan kedudukan titik pada bidang koordinat , baik dalam mendeskripsikan relasi dan fungsi, cukup baik dalam menganalisis fungsi linear sebagai persamaan garis lurus dan cukup baik dalam menjelaskan sistem persamaan linear dua variabel.</v>
      </c>
      <c r="P61" s="1256"/>
      <c r="Q61" s="1256"/>
      <c r="R61" s="1256"/>
      <c r="S61" s="1256"/>
      <c r="T61" s="1256"/>
      <c r="U61" s="1256"/>
      <c r="V61" s="1256"/>
      <c r="W61" s="1256"/>
      <c r="X61" s="1256"/>
      <c r="Y61" s="1256"/>
      <c r="Z61" s="1256"/>
      <c r="AA61" s="1256"/>
      <c r="AB61" s="1257"/>
    </row>
    <row r="62" spans="2:46" ht="76.5" customHeight="1">
      <c r="B62" s="1271"/>
      <c r="C62" s="1282"/>
      <c r="D62" s="1282"/>
      <c r="E62" s="1282"/>
      <c r="F62" s="1282"/>
      <c r="G62" s="1282"/>
      <c r="H62" s="1282"/>
      <c r="I62" s="1282"/>
      <c r="J62" s="1266" t="s">
        <v>122</v>
      </c>
      <c r="K62" s="1266"/>
      <c r="L62" s="1266"/>
      <c r="M62" s="1266"/>
      <c r="N62" s="1266"/>
      <c r="O62" s="1279" t="str">
        <f>IFERROR(IF(VLOOKUP($AD$4,_des_smt1,20,FALSE)=0,"-",VLOOKUP($AD$4,_des_smt1,20,FALSE)),"-")</f>
        <v>cukup baik dalam menyelesaikan masalah pola pada barisan bilangan, cukup baik dalam menyelesaikan masalah kedudukan titik dalam bidang koordinat, baik dalam menyelesaikan masalah relasi dan fungsi, cukup baik dalam menyelesaikan masalah kontekstual sebagai persamaan garis lurus dan cukup baik dalam menyelesaikan masalah sistem persamaan linear dua variabel.</v>
      </c>
      <c r="P62" s="1280"/>
      <c r="Q62" s="1280"/>
      <c r="R62" s="1280"/>
      <c r="S62" s="1280"/>
      <c r="T62" s="1280"/>
      <c r="U62" s="1280"/>
      <c r="V62" s="1280"/>
      <c r="W62" s="1280"/>
      <c r="X62" s="1280"/>
      <c r="Y62" s="1280"/>
      <c r="Z62" s="1280"/>
      <c r="AA62" s="1280"/>
      <c r="AB62" s="1281"/>
    </row>
    <row r="63" spans="2:46" ht="76.5" customHeight="1">
      <c r="B63" s="1270">
        <v>5</v>
      </c>
      <c r="C63" s="1282" t="str">
        <f>C31</f>
        <v xml:space="preserve">Ilmu Pengetahuan Alam </v>
      </c>
      <c r="D63" s="1282"/>
      <c r="E63" s="1282"/>
      <c r="F63" s="1282"/>
      <c r="G63" s="1282"/>
      <c r="H63" s="1282"/>
      <c r="I63" s="1282"/>
      <c r="J63" s="1266" t="s">
        <v>121</v>
      </c>
      <c r="K63" s="1266"/>
      <c r="L63" s="1266"/>
      <c r="M63" s="1266"/>
      <c r="N63" s="1266"/>
      <c r="O63" s="1255" t="str">
        <f>IFERROR(IF(VLOOKUP($AD$4,_des_smt1,21,FALSE)=0,"-",VLOOKUP($AD$4,_des_smt1,21,FALSE)),"-")</f>
        <v>cukup baik dalam gerak benda dan mahluk hidup, cukup baik dalam usaha dan pesawat sederhana, cukup baik dalam stuktur dan fungsi tumbuhan, cukup baik dalam sistem pencernaan manusia, cukup baik dalam zat adiktif dan zat adiktif dan cukup baik dalam sistem peredaran darah manusia.</v>
      </c>
      <c r="P63" s="1256"/>
      <c r="Q63" s="1256"/>
      <c r="R63" s="1256"/>
      <c r="S63" s="1256"/>
      <c r="T63" s="1256"/>
      <c r="U63" s="1256"/>
      <c r="V63" s="1256"/>
      <c r="W63" s="1256"/>
      <c r="X63" s="1256"/>
      <c r="Y63" s="1256"/>
      <c r="Z63" s="1256"/>
      <c r="AA63" s="1256"/>
      <c r="AB63" s="1257"/>
    </row>
    <row r="64" spans="2:46" ht="76.5" customHeight="1">
      <c r="B64" s="1271"/>
      <c r="C64" s="1282"/>
      <c r="D64" s="1282"/>
      <c r="E64" s="1282"/>
      <c r="F64" s="1282"/>
      <c r="G64" s="1282"/>
      <c r="H64" s="1282"/>
      <c r="I64" s="1282"/>
      <c r="J64" s="1266" t="s">
        <v>122</v>
      </c>
      <c r="K64" s="1266"/>
      <c r="L64" s="1266"/>
      <c r="M64" s="1266"/>
      <c r="N64" s="1266"/>
      <c r="O64" s="1255" t="str">
        <f>IFERROR(IF(VLOOKUP($AD$4,_des_smt1,22,FALSE)=0,"-",VLOOKUP($AD$4,_des_smt1,22,FALSE)),"-")</f>
        <v>cukup baik dalam mempratektekkan gerak benda, cukup baik dalam mempresentasikan jenis pesawat sederhana, cukup baik dalam mempresentasikan fungsi tumbuhan, cukup baik dalam mempresentasikan urutan saluran pencernaan, cukup baik dalam mempresentasikan jenis zat aditif dan adiktif dan cukup baik dalam mempresentasikan fungsi darah.</v>
      </c>
      <c r="P64" s="1256"/>
      <c r="Q64" s="1256"/>
      <c r="R64" s="1256"/>
      <c r="S64" s="1256"/>
      <c r="T64" s="1256"/>
      <c r="U64" s="1256"/>
      <c r="V64" s="1256"/>
      <c r="W64" s="1256"/>
      <c r="X64" s="1256"/>
      <c r="Y64" s="1256"/>
      <c r="Z64" s="1256"/>
      <c r="AA64" s="1256"/>
      <c r="AB64" s="1257"/>
      <c r="AG64" s="199"/>
      <c r="AH64" s="199"/>
      <c r="AI64" s="199"/>
      <c r="AJ64" s="199"/>
      <c r="AK64" s="199"/>
      <c r="AL64" s="199"/>
      <c r="AM64" s="199"/>
      <c r="AN64" s="199"/>
      <c r="AO64" s="199"/>
      <c r="AP64" s="199"/>
      <c r="AQ64" s="199"/>
      <c r="AR64" s="199"/>
      <c r="AS64" s="199"/>
      <c r="AT64" s="199"/>
    </row>
    <row r="65" spans="2:46" ht="18.75" customHeight="1">
      <c r="B65" s="717" t="s">
        <v>153</v>
      </c>
      <c r="G65" s="717" t="s">
        <v>2</v>
      </c>
      <c r="H65" s="717" t="str">
        <f>_sekolah_label</f>
        <v>SMP Negeri 1 Abung Surakarta</v>
      </c>
      <c r="T65" s="718" t="s">
        <v>5</v>
      </c>
      <c r="X65" s="718" t="s">
        <v>2</v>
      </c>
      <c r="Y65" s="717" t="str">
        <f>DK!$D$5</f>
        <v>VIII A</v>
      </c>
    </row>
    <row r="66" spans="2:46" ht="15" customHeight="1">
      <c r="B66" s="717" t="s">
        <v>156</v>
      </c>
      <c r="G66" s="717" t="s">
        <v>2</v>
      </c>
      <c r="H66" s="717" t="str">
        <f>_alamat_sekolah</f>
        <v>Jl. Pendidikan No. 24</v>
      </c>
      <c r="T66" s="718" t="s">
        <v>4</v>
      </c>
      <c r="X66" s="718" t="s">
        <v>2</v>
      </c>
      <c r="Y66" s="717" t="str">
        <f>_smt_ganjil</f>
        <v>3 (Tiga)</v>
      </c>
    </row>
    <row r="67" spans="2:46" ht="15" customHeight="1">
      <c r="B67" s="717" t="s">
        <v>97</v>
      </c>
      <c r="G67" s="717" t="s">
        <v>2</v>
      </c>
      <c r="H67" s="717" t="str">
        <f>IFERROR(PROPER(VLOOKUP($AD$4,_Biodata_Lengkap,4,FALSE)),"-")</f>
        <v>Hikmatullah Umar Malik Abdul Aziz</v>
      </c>
      <c r="T67" s="718" t="s">
        <v>3</v>
      </c>
      <c r="X67" s="718" t="s">
        <v>2</v>
      </c>
      <c r="Y67" s="717" t="str">
        <f>DK!$D$8</f>
        <v>2018 / 2019</v>
      </c>
    </row>
    <row r="68" spans="2:46" ht="20.25" customHeight="1">
      <c r="B68" s="752" t="s">
        <v>166</v>
      </c>
      <c r="C68" s="752"/>
      <c r="D68" s="752"/>
      <c r="E68" s="752"/>
      <c r="F68" s="752"/>
      <c r="G68" s="752" t="s">
        <v>2</v>
      </c>
      <c r="H68" s="752" t="str">
        <f>IFERROR(IF(VLOOKUP($AD$4,_Biodata_Lengkap,2,FALSE)="","-",VLOOKUP($AD$4,_Biodata_Lengkap,2,FALSE)&amp;" / "&amp;IF(VLOOKUP($AD$4,_Biodata_Lengkap,3,FALSE)="","-",VLOOKUP($AD$4,_Biodata_Lengkap,3,FALSE))),"-")</f>
        <v>7095 / 0045430012</v>
      </c>
      <c r="I68" s="752"/>
      <c r="J68" s="752"/>
      <c r="K68" s="752"/>
      <c r="L68" s="752"/>
      <c r="M68" s="752"/>
      <c r="N68" s="752"/>
      <c r="O68" s="752"/>
      <c r="P68" s="752"/>
      <c r="Q68" s="752"/>
      <c r="R68" s="752"/>
      <c r="S68" s="752"/>
      <c r="T68" s="752"/>
      <c r="U68" s="752"/>
      <c r="V68" s="752"/>
      <c r="W68" s="752"/>
      <c r="X68" s="752"/>
      <c r="Y68" s="752"/>
      <c r="Z68" s="752"/>
      <c r="AA68" s="752"/>
      <c r="AB68" s="752"/>
    </row>
    <row r="69" spans="2:46" ht="8.25" customHeight="1">
      <c r="B69" s="1276"/>
      <c r="C69" s="1277"/>
      <c r="D69" s="1277"/>
      <c r="E69" s="1277"/>
      <c r="F69" s="1277"/>
      <c r="G69" s="1277"/>
      <c r="H69" s="1277"/>
      <c r="I69" s="1277"/>
      <c r="J69" s="1277"/>
      <c r="K69" s="1277"/>
      <c r="L69" s="1277"/>
      <c r="M69" s="1277"/>
      <c r="N69" s="1277"/>
      <c r="O69" s="1277"/>
      <c r="P69" s="1277"/>
      <c r="Q69" s="1277"/>
      <c r="R69" s="1277"/>
      <c r="S69" s="1277"/>
      <c r="T69" s="1277"/>
      <c r="U69" s="1277"/>
      <c r="V69" s="1277"/>
      <c r="W69" s="1277"/>
      <c r="X69" s="1277"/>
      <c r="Y69" s="1277"/>
      <c r="Z69" s="1277"/>
      <c r="AA69" s="1277"/>
      <c r="AB69" s="1278"/>
      <c r="AG69" s="199"/>
      <c r="AH69" s="199"/>
      <c r="AI69" s="199"/>
      <c r="AJ69" s="199"/>
      <c r="AK69" s="199"/>
      <c r="AL69" s="199"/>
      <c r="AM69" s="199"/>
      <c r="AN69" s="199"/>
      <c r="AO69" s="199"/>
      <c r="AP69" s="199"/>
      <c r="AQ69" s="199"/>
      <c r="AR69" s="199"/>
      <c r="AS69" s="199"/>
      <c r="AT69" s="199"/>
    </row>
    <row r="70" spans="2:46" s="199" customFormat="1" ht="76.5" customHeight="1">
      <c r="B70" s="1270">
        <v>6</v>
      </c>
      <c r="C70" s="1282" t="str">
        <f>C32</f>
        <v xml:space="preserve">Ilmu Pengetahuan Sosial </v>
      </c>
      <c r="D70" s="1282"/>
      <c r="E70" s="1282"/>
      <c r="F70" s="1282"/>
      <c r="G70" s="1282"/>
      <c r="H70" s="1282"/>
      <c r="I70" s="1282"/>
      <c r="J70" s="1266" t="s">
        <v>121</v>
      </c>
      <c r="K70" s="1266"/>
      <c r="L70" s="1266"/>
      <c r="M70" s="1266"/>
      <c r="N70" s="1266"/>
      <c r="O70" s="1255" t="str">
        <f>IFERROR(IF(VLOOKUP($AD$4,_des_smt1,23,FALSE)=0,"-",VLOOKUP($AD$4,_des_smt1,23,FALSE)),"-")</f>
        <v>baik dalam menelaah perubahan &amp; interaksi ruang Indonesia &amp; ASEAN dan cukup baik dalam menganalisis pengaruh interaksi sosial dalam ruang berbeda.</v>
      </c>
      <c r="P70" s="1256"/>
      <c r="Q70" s="1256"/>
      <c r="R70" s="1256"/>
      <c r="S70" s="1256"/>
      <c r="T70" s="1256"/>
      <c r="U70" s="1256"/>
      <c r="V70" s="1256"/>
      <c r="W70" s="1256"/>
      <c r="X70" s="1256"/>
      <c r="Y70" s="1256"/>
      <c r="Z70" s="1256"/>
      <c r="AA70" s="1256"/>
      <c r="AB70" s="1257"/>
      <c r="AG70" s="198"/>
      <c r="AH70" s="198"/>
      <c r="AI70" s="198"/>
      <c r="AJ70" s="198"/>
      <c r="AK70" s="198"/>
      <c r="AL70" s="198"/>
      <c r="AM70" s="198"/>
      <c r="AN70" s="198"/>
      <c r="AO70" s="198"/>
      <c r="AP70" s="198"/>
      <c r="AQ70" s="198"/>
      <c r="AR70" s="198"/>
      <c r="AS70" s="198"/>
      <c r="AT70" s="198"/>
    </row>
    <row r="71" spans="2:46" ht="76.5" customHeight="1">
      <c r="B71" s="1271"/>
      <c r="C71" s="1282"/>
      <c r="D71" s="1282"/>
      <c r="E71" s="1282"/>
      <c r="F71" s="1282"/>
      <c r="G71" s="1282"/>
      <c r="H71" s="1282"/>
      <c r="I71" s="1282"/>
      <c r="J71" s="1266" t="s">
        <v>122</v>
      </c>
      <c r="K71" s="1266"/>
      <c r="L71" s="1266"/>
      <c r="M71" s="1266"/>
      <c r="N71" s="1266"/>
      <c r="O71" s="1255" t="str">
        <f>IFERROR(IF(VLOOKUP($AD$4,_des_smt1,24,FALSE)=0,"-",VLOOKUP($AD$4,_des_smt1,24,FALSE)),"-")</f>
        <v>baik dalam menyajikan interaksi antar ruang Indonesia dan ASEAN dan cukup baik dalam menyajikan hasil analisis pengaruh interaksi sosial.</v>
      </c>
      <c r="P71" s="1256"/>
      <c r="Q71" s="1256"/>
      <c r="R71" s="1256"/>
      <c r="S71" s="1256"/>
      <c r="T71" s="1256"/>
      <c r="U71" s="1256"/>
      <c r="V71" s="1256"/>
      <c r="W71" s="1256"/>
      <c r="X71" s="1256"/>
      <c r="Y71" s="1256"/>
      <c r="Z71" s="1256"/>
      <c r="AA71" s="1256"/>
      <c r="AB71" s="1257"/>
    </row>
    <row r="72" spans="2:46" ht="76.5" customHeight="1">
      <c r="B72" s="1270">
        <v>7</v>
      </c>
      <c r="C72" s="1282" t="str">
        <f>C33</f>
        <v xml:space="preserve">Bahasa Inggris </v>
      </c>
      <c r="D72" s="1282"/>
      <c r="E72" s="1282"/>
      <c r="F72" s="1282"/>
      <c r="G72" s="1282"/>
      <c r="H72" s="1282"/>
      <c r="I72" s="1282"/>
      <c r="J72" s="1266" t="s">
        <v>121</v>
      </c>
      <c r="K72" s="1266"/>
      <c r="L72" s="1266"/>
      <c r="M72" s="1266"/>
      <c r="N72" s="1266"/>
      <c r="O72" s="1258" t="str">
        <f>IFERROR(IF(VLOOKUP($AD$4,_des_smt1,25,FALSE)=0,"-",VLOOKUP($AD$4,_des_smt1,25,FALSE)),"-")</f>
        <v>cukup baik dalam mengidentifikasi teks  meminta perhatian dan pendapat, cukup baik dalam mengidentifikasi  teks meminta dan memberi informasi, cukup baik dalam mengidentifikasi teks  keharusan, larangan, dan himbauan, cukup baik dalam mengidentifikasi teks  menyuruh,mengajak &amp; meminta ijin, cukup baik dalam membandingkan teks ttg  greeting card sesuai konteknya, cukup baik dalam mengidentifikasi teks ttg keberadaan orang,benda, &amp; hewan dan cukup baik dalam mengidentifikasi teks  ttg keadaan, tindakan/kegiatan rutin.</v>
      </c>
      <c r="P72" s="1259"/>
      <c r="Q72" s="1259"/>
      <c r="R72" s="1259"/>
      <c r="S72" s="1259"/>
      <c r="T72" s="1259"/>
      <c r="U72" s="1259"/>
      <c r="V72" s="1259"/>
      <c r="W72" s="1259"/>
      <c r="X72" s="1259"/>
      <c r="Y72" s="1259"/>
      <c r="Z72" s="1259"/>
      <c r="AA72" s="1259"/>
      <c r="AB72" s="1260"/>
    </row>
    <row r="73" spans="2:46" ht="76.5" customHeight="1">
      <c r="B73" s="1271"/>
      <c r="C73" s="1282"/>
      <c r="D73" s="1282"/>
      <c r="E73" s="1282"/>
      <c r="F73" s="1282"/>
      <c r="G73" s="1282"/>
      <c r="H73" s="1282"/>
      <c r="I73" s="1282"/>
      <c r="J73" s="1266" t="s">
        <v>122</v>
      </c>
      <c r="K73" s="1266"/>
      <c r="L73" s="1266"/>
      <c r="M73" s="1266"/>
      <c r="N73" s="1266"/>
      <c r="O73" s="1258" t="str">
        <f>IFERROR(IF(VLOOKUP($AD$4,_des_smt1,26,FALSE)=0,"-",VLOOKUP($AD$4,_des_smt1,26,FALSE)),"-")</f>
        <v>cukup baik dalam menyusun teks meminta perhatian,pendapat, menghargai kinerja, cukup baik dalam menyusun teks meminta/memberi informasi, cukup baik dalam menyusun teks keharusan,larangan dan himbauan, cukup baik dalam menyusun teks menyuruh,mengajak dan meminta ijin, cukup baik dalam menyusun teks  greeting card, sangat pendek,sederhana, cukup baik dalam menyusun teks tentang keberadaan orang,benda dan binatang dan cukup baik dalam menyusun teks tentang  keadaan,tindakan ,dan kegiatan  rutin.</v>
      </c>
      <c r="P73" s="1259"/>
      <c r="Q73" s="1259"/>
      <c r="R73" s="1259"/>
      <c r="S73" s="1259"/>
      <c r="T73" s="1259"/>
      <c r="U73" s="1259"/>
      <c r="V73" s="1259"/>
      <c r="W73" s="1259"/>
      <c r="X73" s="1259"/>
      <c r="Y73" s="1259"/>
      <c r="Z73" s="1259"/>
      <c r="AA73" s="1259"/>
      <c r="AB73" s="1260"/>
    </row>
    <row r="74" spans="2:46" ht="15" customHeight="1">
      <c r="B74" s="1267" t="s">
        <v>58</v>
      </c>
      <c r="C74" s="1268"/>
      <c r="D74" s="1268"/>
      <c r="E74" s="1268"/>
      <c r="F74" s="1268"/>
      <c r="G74" s="1268"/>
      <c r="H74" s="1268"/>
      <c r="I74" s="1268"/>
      <c r="J74" s="1268"/>
      <c r="K74" s="1268"/>
      <c r="L74" s="1268"/>
      <c r="M74" s="1268"/>
      <c r="N74" s="1268"/>
      <c r="O74" s="1268"/>
      <c r="P74" s="1268"/>
      <c r="Q74" s="1268"/>
      <c r="R74" s="1268"/>
      <c r="S74" s="1268"/>
      <c r="T74" s="1268"/>
      <c r="U74" s="1268"/>
      <c r="V74" s="1268"/>
      <c r="W74" s="1268"/>
      <c r="X74" s="1268"/>
      <c r="Y74" s="1268"/>
      <c r="Z74" s="1268"/>
      <c r="AA74" s="1268"/>
      <c r="AB74" s="1269"/>
    </row>
    <row r="75" spans="2:46" ht="70.5" customHeight="1">
      <c r="B75" s="1270">
        <v>1</v>
      </c>
      <c r="C75" s="1272" t="str">
        <f>C35</f>
        <v>Seni Budaya</v>
      </c>
      <c r="D75" s="1273"/>
      <c r="E75" s="1273"/>
      <c r="F75" s="1273"/>
      <c r="G75" s="1273"/>
      <c r="H75" s="1273"/>
      <c r="I75" s="1283"/>
      <c r="J75" s="1266" t="s">
        <v>121</v>
      </c>
      <c r="K75" s="1266"/>
      <c r="L75" s="1266"/>
      <c r="M75" s="1266"/>
      <c r="N75" s="1266"/>
      <c r="O75" s="1285" t="str">
        <f>IFERROR(IF(VLOOKUP($AD$4,_des_smt1,27,FALSE)=0,"-",VLOOKUP($AD$4,_des_smt1,27,FALSE)),"-")</f>
        <v>cukup baik dalam memahami unsur prinsip tekhnik dan prosedur menggambar menggunakan model dengan berbagai bahan, cukup baik dalam memahami prosedur menggambar ilustrasi dgn  tekhnik gambar/ digital, cukup baik dalam memahami tekhnik dan gaya menyanyi lagu-lagu daerah, cukup baik dalam memahami keunikan gerak tari tradisional dengan menggunakan pendukung tari dan cukup baik dalam memahami konsep, teknik dan prosedur dasar seni peran sesuai kaidahpementasan pantomim.</v>
      </c>
      <c r="P75" s="1286"/>
      <c r="Q75" s="1286"/>
      <c r="R75" s="1286"/>
      <c r="S75" s="1286"/>
      <c r="T75" s="1286"/>
      <c r="U75" s="1286"/>
      <c r="V75" s="1286"/>
      <c r="W75" s="1286"/>
      <c r="X75" s="1286"/>
      <c r="Y75" s="1286"/>
      <c r="Z75" s="1286"/>
      <c r="AA75" s="1286"/>
      <c r="AB75" s="1287"/>
    </row>
    <row r="76" spans="2:46" ht="70.5" customHeight="1">
      <c r="B76" s="1271"/>
      <c r="C76" s="1274"/>
      <c r="D76" s="1275"/>
      <c r="E76" s="1275"/>
      <c r="F76" s="1275"/>
      <c r="G76" s="1275"/>
      <c r="H76" s="1275"/>
      <c r="I76" s="1284"/>
      <c r="J76" s="1266" t="s">
        <v>122</v>
      </c>
      <c r="K76" s="1266"/>
      <c r="L76" s="1266"/>
      <c r="M76" s="1266"/>
      <c r="N76" s="1266"/>
      <c r="O76" s="1285" t="str">
        <f>IFERROR(IF(VLOOKUP($AD$4,_des_smt1,28,FALSE)=0,"-",VLOOKUP($AD$4,_des_smt1,28,FALSE)),"-")</f>
        <v>baik dalam menggambar dengan menggunakan model pada berbagai bahan dan beragam tekhnik berdasarkan pengamatan, cukup baik dalam menggambar ilustrasi pada berbagai bahan dan beragam tekhnik, cukup baik dalam menyanyikan lagu-lagu daerah yang sesuai dengan tekhnik, gaya, dan dialektika atau intonasi kedaerahan, baik dalam memeragakan tari tradisional dengan menggunakan unsur pendukung tari dan cukup baik dalam meragakan gerak pantomim sesuai konsep, teknik dan prosedur seni peran.</v>
      </c>
      <c r="P76" s="1286"/>
      <c r="Q76" s="1286"/>
      <c r="R76" s="1286"/>
      <c r="S76" s="1286"/>
      <c r="T76" s="1286"/>
      <c r="U76" s="1286"/>
      <c r="V76" s="1286"/>
      <c r="W76" s="1286"/>
      <c r="X76" s="1286"/>
      <c r="Y76" s="1286"/>
      <c r="Z76" s="1286"/>
      <c r="AA76" s="1286"/>
      <c r="AB76" s="1287"/>
    </row>
    <row r="77" spans="2:46" ht="70.5" hidden="1" customHeight="1">
      <c r="B77" s="728"/>
      <c r="C77" s="729"/>
      <c r="D77" s="729"/>
      <c r="E77" s="729"/>
      <c r="F77" s="729"/>
      <c r="G77" s="729"/>
      <c r="H77" s="729"/>
      <c r="I77" s="729"/>
      <c r="J77" s="729"/>
      <c r="K77" s="729"/>
      <c r="L77" s="729"/>
      <c r="M77" s="728"/>
      <c r="N77" s="728"/>
      <c r="O77" s="728"/>
      <c r="P77" s="728"/>
      <c r="Q77" s="730"/>
      <c r="R77" s="730"/>
      <c r="S77" s="730"/>
      <c r="T77" s="730"/>
      <c r="U77" s="730"/>
      <c r="V77" s="730"/>
      <c r="W77" s="730"/>
      <c r="X77" s="730"/>
      <c r="Y77" s="730"/>
      <c r="Z77" s="730"/>
      <c r="AA77" s="730"/>
      <c r="AB77" s="730"/>
    </row>
    <row r="78" spans="2:46" ht="70.5" hidden="1" customHeight="1">
      <c r="B78" s="728"/>
      <c r="C78" s="729"/>
      <c r="D78" s="729"/>
      <c r="E78" s="729"/>
      <c r="F78" s="729"/>
      <c r="G78" s="729"/>
      <c r="H78" s="729"/>
      <c r="I78" s="729"/>
      <c r="J78" s="729"/>
      <c r="K78" s="729"/>
      <c r="L78" s="729"/>
      <c r="M78" s="728"/>
      <c r="N78" s="728"/>
      <c r="O78" s="728"/>
      <c r="P78" s="728"/>
      <c r="Q78" s="730"/>
      <c r="R78" s="730"/>
      <c r="S78" s="730"/>
      <c r="T78" s="730"/>
      <c r="U78" s="730"/>
      <c r="V78" s="730"/>
      <c r="W78" s="730"/>
      <c r="X78" s="730"/>
      <c r="Y78" s="730"/>
      <c r="Z78" s="730"/>
      <c r="AA78" s="730"/>
      <c r="AB78" s="730"/>
    </row>
    <row r="79" spans="2:46" hidden="1">
      <c r="B79" s="728"/>
      <c r="C79" s="729"/>
      <c r="D79" s="729"/>
      <c r="E79" s="729"/>
      <c r="F79" s="729"/>
      <c r="G79" s="729"/>
      <c r="H79" s="729"/>
      <c r="I79" s="729"/>
      <c r="J79" s="729"/>
      <c r="K79" s="729"/>
      <c r="L79" s="729"/>
      <c r="M79" s="728"/>
      <c r="N79" s="728"/>
      <c r="O79" s="728"/>
      <c r="P79" s="728"/>
      <c r="Q79" s="730"/>
      <c r="R79" s="730"/>
      <c r="S79" s="730"/>
      <c r="T79" s="730"/>
      <c r="U79" s="730"/>
      <c r="V79" s="730"/>
      <c r="W79" s="730"/>
      <c r="X79" s="730"/>
      <c r="Y79" s="730"/>
      <c r="Z79" s="730"/>
      <c r="AA79" s="730"/>
      <c r="AB79" s="730"/>
    </row>
    <row r="80" spans="2:46" ht="15.75" hidden="1">
      <c r="B80" s="728"/>
      <c r="C80" s="729"/>
      <c r="D80" s="729"/>
      <c r="E80" s="729"/>
      <c r="F80" s="729"/>
      <c r="G80" s="729"/>
      <c r="H80" s="729"/>
      <c r="I80" s="729"/>
      <c r="J80" s="729"/>
      <c r="K80" s="729"/>
      <c r="L80" s="729"/>
      <c r="M80" s="728"/>
      <c r="N80" s="728"/>
      <c r="O80" s="728"/>
      <c r="P80" s="728"/>
      <c r="Q80" s="1378" t="str">
        <f>_sekolah_label</f>
        <v>SMP Negeri 1 Abung Surakarta</v>
      </c>
      <c r="R80" s="1378"/>
      <c r="S80" s="1378"/>
      <c r="T80" s="1378"/>
      <c r="U80" s="1378"/>
      <c r="V80" s="1378"/>
      <c r="W80" s="1378"/>
      <c r="X80" s="1378"/>
      <c r="Y80" s="1378"/>
      <c r="Z80" s="1378"/>
      <c r="AA80" s="1378"/>
      <c r="AB80" s="1378"/>
    </row>
    <row r="81" spans="2:46" hidden="1">
      <c r="B81" s="717" t="s">
        <v>153</v>
      </c>
      <c r="G81" s="717" t="s">
        <v>2</v>
      </c>
      <c r="H81" s="717" t="str">
        <f>_nama_sekolah</f>
        <v>SMP NEGERI 1 ABUNG SURAKARTA</v>
      </c>
      <c r="T81" s="718" t="s">
        <v>5</v>
      </c>
      <c r="X81" s="718" t="s">
        <v>2</v>
      </c>
      <c r="Y81" s="717" t="str">
        <f>DK!$D$5</f>
        <v>VIII A</v>
      </c>
    </row>
    <row r="82" spans="2:46" hidden="1">
      <c r="B82" s="717" t="s">
        <v>156</v>
      </c>
      <c r="G82" s="717" t="s">
        <v>2</v>
      </c>
      <c r="H82" s="717" t="str">
        <f>_alamat_sekolah</f>
        <v>Jl. Pendidikan No. 24</v>
      </c>
      <c r="T82" s="718" t="s">
        <v>4</v>
      </c>
      <c r="X82" s="718" t="s">
        <v>2</v>
      </c>
      <c r="Y82" s="717" t="str">
        <f>_smt_ganjil</f>
        <v>3 (Tiga)</v>
      </c>
    </row>
    <row r="83" spans="2:46" hidden="1">
      <c r="B83" s="717" t="s">
        <v>97</v>
      </c>
      <c r="G83" s="717" t="s">
        <v>2</v>
      </c>
      <c r="H83" s="717" t="str">
        <f>IFERROR(PROPER(VLOOKUP($AD$4,_Biodata_Lengkap,4,FALSE)),"-")</f>
        <v>Hikmatullah Umar Malik Abdul Aziz</v>
      </c>
      <c r="T83" s="718" t="s">
        <v>3</v>
      </c>
      <c r="X83" s="718" t="s">
        <v>2</v>
      </c>
      <c r="Y83" s="717" t="str">
        <f>DK!$D$8</f>
        <v>2018 / 2019</v>
      </c>
    </row>
    <row r="84" spans="2:46" ht="70.5" hidden="1" customHeight="1">
      <c r="B84" s="719" t="s">
        <v>166</v>
      </c>
      <c r="C84" s="719"/>
      <c r="D84" s="719"/>
      <c r="E84" s="719"/>
      <c r="F84" s="719"/>
      <c r="G84" s="719" t="s">
        <v>2</v>
      </c>
      <c r="H84" s="719" t="str">
        <f>IFERROR(IF(VLOOKUP($AD$4,_Biodata_Lengkap,2,FALSE)="","-",VLOOKUP($AD$4,_Biodata_Lengkap,2,FALSE)&amp;" / "&amp;IF(VLOOKUP($AD$4,_Biodata_Lengkap,3,FALSE)="","-",VLOOKUP($AD$4,_Biodata_Lengkap,3,FALSE))),"-")</f>
        <v>7095 / 0045430012</v>
      </c>
      <c r="I84" s="719"/>
      <c r="J84" s="719"/>
      <c r="K84" s="719"/>
      <c r="L84" s="719"/>
      <c r="M84" s="719"/>
      <c r="N84" s="719"/>
      <c r="O84" s="719"/>
      <c r="P84" s="719"/>
      <c r="Q84" s="719"/>
      <c r="R84" s="719"/>
      <c r="S84" s="719"/>
      <c r="T84" s="719"/>
      <c r="U84" s="719"/>
      <c r="V84" s="719"/>
      <c r="W84" s="719"/>
      <c r="X84" s="719"/>
      <c r="Y84" s="719"/>
      <c r="Z84" s="719"/>
      <c r="AA84" s="719"/>
      <c r="AB84" s="719"/>
    </row>
    <row r="85" spans="2:46" hidden="1">
      <c r="B85" s="731"/>
      <c r="C85" s="732"/>
      <c r="D85" s="732"/>
      <c r="E85" s="732"/>
      <c r="F85" s="732"/>
      <c r="G85" s="732"/>
      <c r="H85" s="732"/>
      <c r="I85" s="732"/>
      <c r="J85" s="732"/>
      <c r="K85" s="732"/>
      <c r="L85" s="732"/>
      <c r="M85" s="731"/>
      <c r="N85" s="731"/>
      <c r="O85" s="731"/>
      <c r="P85" s="731"/>
      <c r="Q85" s="733"/>
      <c r="R85" s="733"/>
      <c r="S85" s="733"/>
      <c r="T85" s="733"/>
      <c r="U85" s="733"/>
      <c r="V85" s="733"/>
      <c r="W85" s="733"/>
      <c r="X85" s="733"/>
      <c r="Y85" s="733"/>
      <c r="Z85" s="733"/>
      <c r="AA85" s="733"/>
      <c r="AB85" s="733"/>
    </row>
    <row r="86" spans="2:46" ht="70.5" customHeight="1">
      <c r="B86" s="1270">
        <v>2</v>
      </c>
      <c r="C86" s="1272" t="str">
        <f>C36</f>
        <v>Penjaskes</v>
      </c>
      <c r="D86" s="1273"/>
      <c r="E86" s="1273"/>
      <c r="F86" s="1273"/>
      <c r="G86" s="1273"/>
      <c r="H86" s="1273"/>
      <c r="I86" s="1273"/>
      <c r="J86" s="1266" t="s">
        <v>121</v>
      </c>
      <c r="K86" s="1266"/>
      <c r="L86" s="1266"/>
      <c r="M86" s="1266"/>
      <c r="N86" s="1266"/>
      <c r="O86" s="1255" t="str">
        <f>IFERROR(IF(VLOOKUP($AD$4,_des_smt1,29,FALSE)=0,"-",VLOOKUP($AD$4,_des_smt1,29,FALSE)),"-")</f>
        <v>cukup baik dalam memahami permainan sepak bola, basket, voly, cukup baik dalam memahami variasi bola kecil, tenis meja, cukup baik dalam memahami jalan cepat, lari lompat jauh dan cukup baik dalam memahami seni bela diri.</v>
      </c>
      <c r="P86" s="1256"/>
      <c r="Q86" s="1256"/>
      <c r="R86" s="1256"/>
      <c r="S86" s="1256"/>
      <c r="T86" s="1256"/>
      <c r="U86" s="1256"/>
      <c r="V86" s="1256"/>
      <c r="W86" s="1256"/>
      <c r="X86" s="1256"/>
      <c r="Y86" s="1256"/>
      <c r="Z86" s="1256"/>
      <c r="AA86" s="1256"/>
      <c r="AB86" s="1257"/>
    </row>
    <row r="87" spans="2:46" ht="70.5" customHeight="1">
      <c r="B87" s="1271"/>
      <c r="C87" s="1274"/>
      <c r="D87" s="1275"/>
      <c r="E87" s="1275"/>
      <c r="F87" s="1275"/>
      <c r="G87" s="1275"/>
      <c r="H87" s="1275"/>
      <c r="I87" s="1275"/>
      <c r="J87" s="1266" t="s">
        <v>122</v>
      </c>
      <c r="K87" s="1266"/>
      <c r="L87" s="1266"/>
      <c r="M87" s="1266"/>
      <c r="N87" s="1266"/>
      <c r="O87" s="1255" t="str">
        <f>IFERROR(IF(VLOOKUP($AD$4,_des_smt1,30,FALSE)=0,"-",VLOOKUP($AD$4,_des_smt1,30,FALSE)),"-")</f>
        <v>cukup baik dalam teknik dasar, menendang bola, pasing bawah, atas, cukup baik dalam teknik pukulan, cukup baik dalam teknik jalan cepat, lari jarak pendek dan cukup baik dalam teknik tangkisan, pukulan, kuda-kuda.</v>
      </c>
      <c r="P87" s="1256"/>
      <c r="Q87" s="1256"/>
      <c r="R87" s="1256"/>
      <c r="S87" s="1256"/>
      <c r="T87" s="1256"/>
      <c r="U87" s="1256"/>
      <c r="V87" s="1256"/>
      <c r="W87" s="1256"/>
      <c r="X87" s="1256"/>
      <c r="Y87" s="1256"/>
      <c r="Z87" s="1256"/>
      <c r="AA87" s="1256"/>
      <c r="AB87" s="1257"/>
    </row>
    <row r="88" spans="2:46" ht="70.5" customHeight="1">
      <c r="B88" s="1270">
        <v>3</v>
      </c>
      <c r="C88" s="1272" t="str">
        <f>C37</f>
        <v>Prakarya</v>
      </c>
      <c r="D88" s="1273"/>
      <c r="E88" s="1273"/>
      <c r="F88" s="1273"/>
      <c r="G88" s="1273"/>
      <c r="H88" s="1273"/>
      <c r="I88" s="1273"/>
      <c r="J88" s="1266" t="s">
        <v>121</v>
      </c>
      <c r="K88" s="1266"/>
      <c r="L88" s="1266"/>
      <c r="M88" s="1266"/>
      <c r="N88" s="1266"/>
      <c r="O88" s="1279" t="str">
        <f>IFERROR(IF(VLOOKUP($AD$4,_des_smt1,31,FALSE)=0,"-",VLOOKUP($AD$4,_des_smt1,31,FALSE)),"-")</f>
        <v>cukup baik dalam memahami jenis dan rancangan kerajian bahan lunak, cukup baik dalam memahami tentang perkembangan dan penerapan TIK, baik dalam memahami budidaya komonitas ternak kesayangan, cukup baik dalam menganalisis pemanfaatan bahan pangan serealia dan baik dalam menganalisis pemanfaatan bahan kacang dan umbi.</v>
      </c>
      <c r="P88" s="1280"/>
      <c r="Q88" s="1280"/>
      <c r="R88" s="1280"/>
      <c r="S88" s="1280"/>
      <c r="T88" s="1280"/>
      <c r="U88" s="1280"/>
      <c r="V88" s="1280"/>
      <c r="W88" s="1280"/>
      <c r="X88" s="1280"/>
      <c r="Y88" s="1280"/>
      <c r="Z88" s="1280"/>
      <c r="AA88" s="1280"/>
      <c r="AB88" s="1281"/>
    </row>
    <row r="89" spans="2:46" ht="70.5" customHeight="1">
      <c r="B89" s="1271"/>
      <c r="C89" s="1274"/>
      <c r="D89" s="1275"/>
      <c r="E89" s="1275"/>
      <c r="F89" s="1275"/>
      <c r="G89" s="1275"/>
      <c r="H89" s="1275"/>
      <c r="I89" s="1275"/>
      <c r="J89" s="1266" t="s">
        <v>122</v>
      </c>
      <c r="K89" s="1266"/>
      <c r="L89" s="1266"/>
      <c r="M89" s="1266"/>
      <c r="N89" s="1266"/>
      <c r="O89" s="1258" t="str">
        <f>IFERROR(IF(VLOOKUP($AD$4,_des_smt1,32,FALSE)=0,"-",VLOOKUP($AD$4,_des_smt1,32,FALSE)),"-")</f>
        <v>baik dalam memilih jenis dan rancangan pembuatan kerajinan bahan lunak, baik dalam memanipulasi dan membuat produk TIK, cukup baik dalam mempraktekkan tahapan budidaya komoditas ternak kesayangan, cukup baik dalam mengolah, menyaji dan mengemas bahan pangan serealia dan cukup baik dalam mengolah, menyaji dan mengemas bahan kacang dan umbi.</v>
      </c>
      <c r="P89" s="1259"/>
      <c r="Q89" s="1259"/>
      <c r="R89" s="1259"/>
      <c r="S89" s="1259"/>
      <c r="T89" s="1259"/>
      <c r="U89" s="1259"/>
      <c r="V89" s="1259"/>
      <c r="W89" s="1259"/>
      <c r="X89" s="1259"/>
      <c r="Y89" s="1259"/>
      <c r="Z89" s="1259"/>
      <c r="AA89" s="1259"/>
      <c r="AB89" s="1260"/>
    </row>
    <row r="90" spans="2:46" ht="18.75" customHeight="1">
      <c r="B90" s="717" t="s">
        <v>153</v>
      </c>
      <c r="G90" s="717" t="s">
        <v>2</v>
      </c>
      <c r="H90" s="717" t="str">
        <f>_sekolah_label</f>
        <v>SMP Negeri 1 Abung Surakarta</v>
      </c>
      <c r="T90" s="718" t="s">
        <v>5</v>
      </c>
      <c r="X90" s="718" t="s">
        <v>2</v>
      </c>
      <c r="Y90" s="717" t="str">
        <f>DK!$D$5</f>
        <v>VIII A</v>
      </c>
    </row>
    <row r="91" spans="2:46" ht="15" customHeight="1">
      <c r="B91" s="717" t="s">
        <v>156</v>
      </c>
      <c r="G91" s="717" t="s">
        <v>2</v>
      </c>
      <c r="H91" s="717" t="str">
        <f>_alamat_sekolah</f>
        <v>Jl. Pendidikan No. 24</v>
      </c>
      <c r="T91" s="718" t="s">
        <v>4</v>
      </c>
      <c r="X91" s="718" t="s">
        <v>2</v>
      </c>
      <c r="Y91" s="717" t="str">
        <f>_smt_ganjil</f>
        <v>3 (Tiga)</v>
      </c>
    </row>
    <row r="92" spans="2:46" ht="15" customHeight="1">
      <c r="B92" s="717" t="s">
        <v>97</v>
      </c>
      <c r="G92" s="717" t="s">
        <v>2</v>
      </c>
      <c r="H92" s="717" t="str">
        <f>IFERROR(PROPER(VLOOKUP($AD$4,_Biodata_Lengkap,4,FALSE)),"-")</f>
        <v>Hikmatullah Umar Malik Abdul Aziz</v>
      </c>
      <c r="T92" s="718" t="s">
        <v>3</v>
      </c>
      <c r="X92" s="718" t="s">
        <v>2</v>
      </c>
      <c r="Y92" s="717" t="str">
        <f>DK!$D$8</f>
        <v>2018 / 2019</v>
      </c>
    </row>
    <row r="93" spans="2:46" ht="20.25" customHeight="1">
      <c r="B93" s="752" t="s">
        <v>166</v>
      </c>
      <c r="C93" s="752"/>
      <c r="D93" s="752"/>
      <c r="E93" s="752"/>
      <c r="F93" s="752"/>
      <c r="G93" s="752" t="s">
        <v>2</v>
      </c>
      <c r="H93" s="752" t="str">
        <f>IFERROR(IF(VLOOKUP($AD$4,_Biodata_Lengkap,2,FALSE)="","-",VLOOKUP($AD$4,_Biodata_Lengkap,2,FALSE)&amp;" / "&amp;IF(VLOOKUP($AD$4,_Biodata_Lengkap,3,FALSE)="","-",VLOOKUP($AD$4,_Biodata_Lengkap,3,FALSE))),"-")</f>
        <v>7095 / 0045430012</v>
      </c>
      <c r="I93" s="752"/>
      <c r="J93" s="752"/>
      <c r="K93" s="752"/>
      <c r="L93" s="752"/>
      <c r="M93" s="752"/>
      <c r="N93" s="752"/>
      <c r="O93" s="752"/>
      <c r="P93" s="752"/>
      <c r="Q93" s="752"/>
      <c r="R93" s="752"/>
      <c r="S93" s="752"/>
      <c r="T93" s="752"/>
      <c r="U93" s="752"/>
      <c r="V93" s="752"/>
      <c r="W93" s="752"/>
      <c r="X93" s="752"/>
      <c r="Y93" s="752"/>
      <c r="Z93" s="752"/>
      <c r="AA93" s="752"/>
      <c r="AB93" s="752"/>
    </row>
    <row r="94" spans="2:46" ht="8.25" customHeight="1">
      <c r="B94" s="1276"/>
      <c r="C94" s="1277"/>
      <c r="D94" s="1277"/>
      <c r="E94" s="1277"/>
      <c r="F94" s="1277"/>
      <c r="G94" s="1277"/>
      <c r="H94" s="1277"/>
      <c r="I94" s="1277"/>
      <c r="J94" s="1277"/>
      <c r="K94" s="1277"/>
      <c r="L94" s="1277"/>
      <c r="M94" s="1277"/>
      <c r="N94" s="1277"/>
      <c r="O94" s="1277"/>
      <c r="P94" s="1277"/>
      <c r="Q94" s="1277"/>
      <c r="R94" s="1277"/>
      <c r="S94" s="1277"/>
      <c r="T94" s="1277"/>
      <c r="U94" s="1277"/>
      <c r="V94" s="1277"/>
      <c r="W94" s="1277"/>
      <c r="X94" s="1277"/>
      <c r="Y94" s="1277"/>
      <c r="Z94" s="1277"/>
      <c r="AA94" s="1277"/>
      <c r="AB94" s="1278"/>
      <c r="AG94" s="199"/>
      <c r="AH94" s="199"/>
      <c r="AI94" s="199"/>
      <c r="AJ94" s="199"/>
      <c r="AK94" s="199"/>
      <c r="AL94" s="199"/>
      <c r="AM94" s="199"/>
      <c r="AN94" s="199"/>
      <c r="AO94" s="199"/>
      <c r="AP94" s="199"/>
      <c r="AQ94" s="199"/>
      <c r="AR94" s="199"/>
      <c r="AS94" s="199"/>
      <c r="AT94" s="199"/>
    </row>
    <row r="95" spans="2:46" ht="70.5" customHeight="1">
      <c r="B95" s="1270">
        <v>4</v>
      </c>
      <c r="C95" s="1272" t="str">
        <f>C38</f>
        <v>Bahasa dan Aksara Lampung*</v>
      </c>
      <c r="D95" s="1273"/>
      <c r="E95" s="1273"/>
      <c r="F95" s="1273"/>
      <c r="G95" s="1273"/>
      <c r="H95" s="1273"/>
      <c r="I95" s="1273"/>
      <c r="J95" s="1266" t="s">
        <v>121</v>
      </c>
      <c r="K95" s="1266"/>
      <c r="L95" s="1266"/>
      <c r="M95" s="1266"/>
      <c r="N95" s="1266"/>
      <c r="O95" s="1255" t="str">
        <f>IFERROR(IF(VLOOKUP($AD$4,_des_smt1,33,FALSE)=0,"-",VLOOKUP($AD$4,_des_smt1,33,FALSE)),"-")</f>
        <v>cukup baik dalam puisi Pepaccur, cukup baik dalam Nuwo atau Lamban Lampung, cukup baik dalam Mantra (Memmang / Jappei) dan cukup baik dalam Surat.</v>
      </c>
      <c r="P95" s="1256"/>
      <c r="Q95" s="1256"/>
      <c r="R95" s="1256"/>
      <c r="S95" s="1256"/>
      <c r="T95" s="1256"/>
      <c r="U95" s="1256"/>
      <c r="V95" s="1256"/>
      <c r="W95" s="1256"/>
      <c r="X95" s="1256"/>
      <c r="Y95" s="1256"/>
      <c r="Z95" s="1256"/>
      <c r="AA95" s="1256"/>
      <c r="AB95" s="1257"/>
    </row>
    <row r="96" spans="2:46" ht="70.5" customHeight="1">
      <c r="B96" s="1271"/>
      <c r="C96" s="1274"/>
      <c r="D96" s="1275"/>
      <c r="E96" s="1275"/>
      <c r="F96" s="1275"/>
      <c r="G96" s="1275"/>
      <c r="H96" s="1275"/>
      <c r="I96" s="1275"/>
      <c r="J96" s="1266" t="s">
        <v>122</v>
      </c>
      <c r="K96" s="1266"/>
      <c r="L96" s="1266"/>
      <c r="M96" s="1266"/>
      <c r="N96" s="1266"/>
      <c r="O96" s="1258" t="str">
        <f>IFERROR(IF(VLOOKUP($AD$4,_des_smt1,34,FALSE)=0,"-",VLOOKUP($AD$4,_des_smt1,34,FALSE)),"-")</f>
        <v>cukup baik dalam menunjukkan perilaku fiil pesengiri dan proaktif dalam menggunakan bahasa lampung, cukup baik dalam mengungkapkan dan menjelaskan informasi pada teks wacana deskripsi, cukup baik dalam menjelaskan pengertian dan kegunaan memmang/jappei (Mantra) dan cukup baik dalam menulis surat dalam Bahasa Lampung dengan  tanda baca yang benar.</v>
      </c>
      <c r="P96" s="1259"/>
      <c r="Q96" s="1259"/>
      <c r="R96" s="1259"/>
      <c r="S96" s="1259"/>
      <c r="T96" s="1259"/>
      <c r="U96" s="1259"/>
      <c r="V96" s="1259"/>
      <c r="W96" s="1259"/>
      <c r="X96" s="1259"/>
      <c r="Y96" s="1259"/>
      <c r="Z96" s="1259"/>
      <c r="AA96" s="1259"/>
      <c r="AB96" s="1260"/>
    </row>
    <row r="97" spans="2:28" ht="17.25" customHeight="1">
      <c r="B97" s="723" t="s">
        <v>179</v>
      </c>
    </row>
    <row r="98" spans="2:28" ht="9" customHeight="1"/>
    <row r="99" spans="2:28" ht="15" customHeight="1">
      <c r="B99" s="720" t="s">
        <v>615</v>
      </c>
    </row>
    <row r="100" spans="2:28" ht="30.75" customHeight="1" thickBot="1">
      <c r="B100" s="734" t="s">
        <v>50</v>
      </c>
      <c r="C100" s="1243" t="s">
        <v>185</v>
      </c>
      <c r="D100" s="1244"/>
      <c r="E100" s="1244"/>
      <c r="F100" s="1244"/>
      <c r="G100" s="1244"/>
      <c r="H100" s="1244"/>
      <c r="I100" s="1245"/>
      <c r="J100" s="1243" t="s">
        <v>113</v>
      </c>
      <c r="K100" s="1244"/>
      <c r="L100" s="1244"/>
      <c r="M100" s="1244"/>
      <c r="N100" s="1245"/>
      <c r="O100" s="1243" t="s">
        <v>174</v>
      </c>
      <c r="P100" s="1244"/>
      <c r="Q100" s="1244"/>
      <c r="R100" s="1244"/>
      <c r="S100" s="1244"/>
      <c r="T100" s="1244"/>
      <c r="U100" s="1244"/>
      <c r="V100" s="1244"/>
      <c r="W100" s="1244"/>
      <c r="X100" s="1244"/>
      <c r="Y100" s="1244"/>
      <c r="Z100" s="1244"/>
      <c r="AA100" s="1244"/>
      <c r="AB100" s="1245"/>
    </row>
    <row r="101" spans="2:28" ht="16.5" customHeight="1" thickTop="1">
      <c r="B101" s="735">
        <v>1</v>
      </c>
      <c r="C101" s="1264" t="str">
        <f>IFERROR(IF(VLOOKUP($AD$4,_eks,4,FALSE)="","-",VLOOKUP($AD$4,_eks,4,FALSE)),"-")</f>
        <v>Kepramukaan</v>
      </c>
      <c r="D101" s="1265"/>
      <c r="E101" s="1265"/>
      <c r="F101" s="1265"/>
      <c r="G101" s="1265"/>
      <c r="H101" s="1265"/>
      <c r="I101" s="1265"/>
      <c r="J101" s="1246" t="str">
        <f>IFERROR(IF(VLOOKUP($AD$4,_eks,5,FALSE)="","-",VLOOKUP($AD$4,_eks,5,FALSE)),"-")</f>
        <v>B</v>
      </c>
      <c r="K101" s="1247"/>
      <c r="L101" s="1247"/>
      <c r="M101" s="1247"/>
      <c r="N101" s="1248"/>
      <c r="O101" s="1261" t="str">
        <f>IF(J101="A","Sangat aktif dalam mengikuti kegiatan "&amp;C101,IF(J101="B","Aktif dalam mengikuti kegiatan "&amp;C101,IF(J101="C","Cukup aktif dalam mengikuti kegiatan "&amp;C101,IF(J101="D","Kurang dalam mengikuti kegiatan "&amp;C101,"-"))))</f>
        <v>Aktif dalam mengikuti kegiatan Kepramukaan</v>
      </c>
      <c r="P101" s="1262"/>
      <c r="Q101" s="1262"/>
      <c r="R101" s="1262"/>
      <c r="S101" s="1262"/>
      <c r="T101" s="1262"/>
      <c r="U101" s="1262"/>
      <c r="V101" s="1262"/>
      <c r="W101" s="1262"/>
      <c r="X101" s="1262"/>
      <c r="Y101" s="1262"/>
      <c r="Z101" s="1262"/>
      <c r="AA101" s="1262"/>
      <c r="AB101" s="1263"/>
    </row>
    <row r="102" spans="2:28" ht="16.5" customHeight="1">
      <c r="B102" s="736">
        <v>2</v>
      </c>
      <c r="C102" s="1241" t="str">
        <f>IFERROR(IF(VLOOKUP($AD$4,_eks,6,FALSE)="","-",VLOOKUP($AD$4,_eks,6,FALSE)),"-")</f>
        <v>-</v>
      </c>
      <c r="D102" s="1242"/>
      <c r="E102" s="1242"/>
      <c r="F102" s="1242"/>
      <c r="G102" s="1242"/>
      <c r="H102" s="1242"/>
      <c r="I102" s="1242"/>
      <c r="J102" s="1249" t="str">
        <f>IFERROR(IF(VLOOKUP($AD$4,_eks,7,FALSE)="","-",VLOOKUP($AD$4,_eks,7,FALSE)),"-")</f>
        <v>-</v>
      </c>
      <c r="K102" s="1250"/>
      <c r="L102" s="1250"/>
      <c r="M102" s="1250"/>
      <c r="N102" s="1251"/>
      <c r="O102" s="1252" t="str">
        <f>IF(J102="A","Sangat aktif dalam mengikuti kegiatan "&amp;C102,IF(J102="B","Aktif dalam mengikuti kegiatan "&amp;C102,IF(J102="C","Cukup aktif dalam mengikuti kegiatan "&amp;C102,IF(J102="D","Kurang dalam mengikuti kegiatan "&amp;C102,"-"))))</f>
        <v>-</v>
      </c>
      <c r="P102" s="1253"/>
      <c r="Q102" s="1253"/>
      <c r="R102" s="1253"/>
      <c r="S102" s="1253"/>
      <c r="T102" s="1253"/>
      <c r="U102" s="1253"/>
      <c r="V102" s="1253"/>
      <c r="W102" s="1253"/>
      <c r="X102" s="1253"/>
      <c r="Y102" s="1253"/>
      <c r="Z102" s="1253"/>
      <c r="AA102" s="1253"/>
      <c r="AB102" s="1254"/>
    </row>
    <row r="103" spans="2:28" ht="16.5" customHeight="1">
      <c r="B103" s="736">
        <v>3</v>
      </c>
      <c r="C103" s="1241" t="str">
        <f>IFERROR(IF(VLOOKUP($AD$4,_eks,8,FALSE)="","-",VLOOKUP($AD$4,_eks,8,FALSE)),"-")</f>
        <v>-</v>
      </c>
      <c r="D103" s="1242"/>
      <c r="E103" s="1242"/>
      <c r="F103" s="1242"/>
      <c r="G103" s="1242"/>
      <c r="H103" s="1242"/>
      <c r="I103" s="1242"/>
      <c r="J103" s="1249" t="str">
        <f>IFERROR(IF(VLOOKUP($AD$4,_eks,9,FALSE)="","-",VLOOKUP($AD$4,_eks,9,FALSE)),"-")</f>
        <v>-</v>
      </c>
      <c r="K103" s="1250"/>
      <c r="L103" s="1250"/>
      <c r="M103" s="1250"/>
      <c r="N103" s="1251"/>
      <c r="O103" s="1252" t="str">
        <f>IF(J103="A","Sangat aktif dalam mengikuti kegiatan "&amp;C103,IF(J103="B","Aktif dalam mengikuti kegiatan "&amp;C103,IF(J103="C","Cukup aktif dalam mengikuti kegiatan "&amp;C103,IF(J103="D","Kurang dalam mengikuti kegiatan "&amp;C103,"-"))))</f>
        <v>-</v>
      </c>
      <c r="P103" s="1253"/>
      <c r="Q103" s="1253"/>
      <c r="R103" s="1253"/>
      <c r="S103" s="1253"/>
      <c r="T103" s="1253"/>
      <c r="U103" s="1253"/>
      <c r="V103" s="1253"/>
      <c r="W103" s="1253"/>
      <c r="X103" s="1253"/>
      <c r="Y103" s="1253"/>
      <c r="Z103" s="1253"/>
      <c r="AA103" s="1253"/>
      <c r="AB103" s="1254"/>
    </row>
    <row r="104" spans="2:28" ht="6.95" customHeight="1"/>
    <row r="105" spans="2:28" ht="15" customHeight="1">
      <c r="B105" s="720" t="s">
        <v>616</v>
      </c>
    </row>
    <row r="106" spans="2:28" ht="15" customHeight="1" thickBot="1">
      <c r="B106" s="744" t="s">
        <v>50</v>
      </c>
      <c r="C106" s="1313" t="s">
        <v>188</v>
      </c>
      <c r="D106" s="1314"/>
      <c r="E106" s="1314"/>
      <c r="F106" s="1314"/>
      <c r="G106" s="1314"/>
      <c r="H106" s="1314"/>
      <c r="I106" s="1314"/>
      <c r="J106" s="1314"/>
      <c r="K106" s="1314"/>
      <c r="L106" s="1314"/>
      <c r="M106" s="1314"/>
      <c r="N106" s="1314"/>
      <c r="O106" s="1314"/>
      <c r="P106" s="1314"/>
      <c r="Q106" s="1314"/>
      <c r="R106" s="1314"/>
      <c r="S106" s="1314"/>
      <c r="T106" s="1314"/>
      <c r="U106" s="1314"/>
      <c r="V106" s="1314"/>
      <c r="W106" s="1314"/>
      <c r="X106" s="1314"/>
      <c r="Y106" s="1314"/>
      <c r="Z106" s="1314"/>
      <c r="AA106" s="1314"/>
      <c r="AB106" s="1315"/>
    </row>
    <row r="107" spans="2:28" ht="15" customHeight="1" thickTop="1">
      <c r="B107" s="745">
        <v>1</v>
      </c>
      <c r="C107" s="1363" t="str">
        <f>IFERROR(IF(VLOOKUP($AD$4,_prestasi,4,FALSE)="","-",VLOOKUP($AD$4,_prestasi,4,FALSE)),"-")</f>
        <v>-</v>
      </c>
      <c r="D107" s="1363"/>
      <c r="E107" s="1363"/>
      <c r="F107" s="1363"/>
      <c r="G107" s="1363"/>
      <c r="H107" s="1363"/>
      <c r="I107" s="1363"/>
      <c r="J107" s="1363"/>
      <c r="K107" s="1363"/>
      <c r="L107" s="1363"/>
      <c r="M107" s="1363"/>
      <c r="N107" s="1363"/>
      <c r="O107" s="1363"/>
      <c r="P107" s="1363"/>
      <c r="Q107" s="1363"/>
      <c r="R107" s="1363"/>
      <c r="S107" s="1363"/>
      <c r="T107" s="1363"/>
      <c r="U107" s="1363"/>
      <c r="V107" s="1363"/>
      <c r="W107" s="1363"/>
      <c r="X107" s="1363"/>
      <c r="Y107" s="1363"/>
      <c r="Z107" s="1363"/>
      <c r="AA107" s="1363"/>
      <c r="AB107" s="1363"/>
    </row>
    <row r="108" spans="2:28" ht="15" customHeight="1">
      <c r="B108" s="721">
        <v>2</v>
      </c>
      <c r="C108" s="1363" t="str">
        <f>IFERROR(IF(VLOOKUP($AD$4,_prestasi,5,FALSE)="","-",VLOOKUP($AD$4,_prestasi,5,FALSE)),"-")</f>
        <v>-</v>
      </c>
      <c r="D108" s="1363"/>
      <c r="E108" s="1363"/>
      <c r="F108" s="1363"/>
      <c r="G108" s="1363"/>
      <c r="H108" s="1363"/>
      <c r="I108" s="1363"/>
      <c r="J108" s="1363"/>
      <c r="K108" s="1363"/>
      <c r="L108" s="1363"/>
      <c r="M108" s="1363"/>
      <c r="N108" s="1363"/>
      <c r="O108" s="1363"/>
      <c r="P108" s="1363"/>
      <c r="Q108" s="1363"/>
      <c r="R108" s="1363"/>
      <c r="S108" s="1363"/>
      <c r="T108" s="1363"/>
      <c r="U108" s="1363"/>
      <c r="V108" s="1363"/>
      <c r="W108" s="1363"/>
      <c r="X108" s="1363"/>
      <c r="Y108" s="1363"/>
      <c r="Z108" s="1363"/>
      <c r="AA108" s="1363"/>
      <c r="AB108" s="1363"/>
    </row>
    <row r="109" spans="2:28" ht="15" customHeight="1">
      <c r="B109" s="721">
        <v>3</v>
      </c>
      <c r="C109" s="1363" t="str">
        <f>IFERROR(IF(VLOOKUP($AD$4,_prestasi,6,FALSE)="","-",VLOOKUP($AD$4,_prestasi,6,FALSE)),"-")</f>
        <v>-</v>
      </c>
      <c r="D109" s="1363"/>
      <c r="E109" s="1363"/>
      <c r="F109" s="1363"/>
      <c r="G109" s="1363"/>
      <c r="H109" s="1363"/>
      <c r="I109" s="1363"/>
      <c r="J109" s="1363"/>
      <c r="K109" s="1363"/>
      <c r="L109" s="1363"/>
      <c r="M109" s="1363"/>
      <c r="N109" s="1363"/>
      <c r="O109" s="1363"/>
      <c r="P109" s="1363"/>
      <c r="Q109" s="1363"/>
      <c r="R109" s="1363"/>
      <c r="S109" s="1363"/>
      <c r="T109" s="1363"/>
      <c r="U109" s="1363"/>
      <c r="V109" s="1363"/>
      <c r="W109" s="1363"/>
      <c r="X109" s="1363"/>
      <c r="Y109" s="1363"/>
      <c r="Z109" s="1363"/>
      <c r="AA109" s="1363"/>
      <c r="AB109" s="1363"/>
    </row>
    <row r="110" spans="2:28" ht="6.95" customHeight="1"/>
    <row r="111" spans="2:28" ht="15" customHeight="1">
      <c r="B111" s="720" t="s">
        <v>617</v>
      </c>
    </row>
    <row r="112" spans="2:28" ht="15" customHeight="1">
      <c r="B112" s="1364" t="str">
        <f>IFERROR(VLOOKUP(AD4,_Leger1,59,FALSE),"-")</f>
        <v>Tingkatkan prestasi belajarmu!</v>
      </c>
      <c r="C112" s="1365"/>
      <c r="D112" s="1365"/>
      <c r="E112" s="1365"/>
      <c r="F112" s="1365"/>
      <c r="G112" s="1365"/>
      <c r="H112" s="1365"/>
      <c r="I112" s="1365"/>
      <c r="J112" s="1365"/>
      <c r="K112" s="1365"/>
      <c r="L112" s="1365"/>
      <c r="M112" s="1365"/>
      <c r="N112" s="1365"/>
      <c r="O112" s="1365"/>
      <c r="P112" s="1365"/>
      <c r="Q112" s="1365"/>
      <c r="R112" s="1365"/>
      <c r="S112" s="1365"/>
      <c r="T112" s="1365"/>
      <c r="U112" s="1365"/>
      <c r="V112" s="1365"/>
      <c r="W112" s="1365"/>
      <c r="X112" s="1365"/>
      <c r="Y112" s="1365"/>
      <c r="Z112" s="1365"/>
      <c r="AA112" s="1365"/>
      <c r="AB112" s="1366"/>
    </row>
    <row r="113" spans="2:28" ht="15" customHeight="1">
      <c r="B113" s="1367"/>
      <c r="C113" s="1368"/>
      <c r="D113" s="1368"/>
      <c r="E113" s="1368"/>
      <c r="F113" s="1368"/>
      <c r="G113" s="1368"/>
      <c r="H113" s="1368"/>
      <c r="I113" s="1368"/>
      <c r="J113" s="1368"/>
      <c r="K113" s="1368"/>
      <c r="L113" s="1368"/>
      <c r="M113" s="1368"/>
      <c r="N113" s="1368"/>
      <c r="O113" s="1368"/>
      <c r="P113" s="1368"/>
      <c r="Q113" s="1368"/>
      <c r="R113" s="1368"/>
      <c r="S113" s="1368"/>
      <c r="T113" s="1368"/>
      <c r="U113" s="1368"/>
      <c r="V113" s="1368"/>
      <c r="W113" s="1368"/>
      <c r="X113" s="1368"/>
      <c r="Y113" s="1368"/>
      <c r="Z113" s="1368"/>
      <c r="AA113" s="1368"/>
      <c r="AB113" s="1369"/>
    </row>
    <row r="114" spans="2:28" ht="15" customHeight="1">
      <c r="B114" s="1370"/>
      <c r="C114" s="1371"/>
      <c r="D114" s="1371"/>
      <c r="E114" s="1371"/>
      <c r="F114" s="1371"/>
      <c r="G114" s="1371"/>
      <c r="H114" s="1371"/>
      <c r="I114" s="1371"/>
      <c r="J114" s="1371"/>
      <c r="K114" s="1371"/>
      <c r="L114" s="1371"/>
      <c r="M114" s="1371"/>
      <c r="N114" s="1371"/>
      <c r="O114" s="1371"/>
      <c r="P114" s="1371"/>
      <c r="Q114" s="1371"/>
      <c r="R114" s="1371"/>
      <c r="S114" s="1371"/>
      <c r="T114" s="1371"/>
      <c r="U114" s="1371"/>
      <c r="V114" s="1371"/>
      <c r="W114" s="1371"/>
      <c r="X114" s="1371"/>
      <c r="Y114" s="1371"/>
      <c r="Z114" s="1371"/>
      <c r="AA114" s="1371"/>
      <c r="AB114" s="1372"/>
    </row>
    <row r="115" spans="2:28" ht="6.95" customHeight="1"/>
    <row r="116" spans="2:28" ht="15" customHeight="1">
      <c r="B116" s="720" t="s">
        <v>618</v>
      </c>
    </row>
    <row r="117" spans="2:28" ht="15" customHeight="1">
      <c r="B117" s="1354"/>
      <c r="C117" s="1355"/>
      <c r="D117" s="1355"/>
      <c r="E117" s="1355"/>
      <c r="F117" s="1355"/>
      <c r="G117" s="1355"/>
      <c r="H117" s="1355"/>
      <c r="I117" s="1355"/>
      <c r="J117" s="1355"/>
      <c r="K117" s="1355"/>
      <c r="L117" s="1355"/>
      <c r="M117" s="1355"/>
      <c r="N117" s="1355"/>
      <c r="O117" s="1355"/>
      <c r="P117" s="1355"/>
      <c r="Q117" s="1355"/>
      <c r="R117" s="1355"/>
      <c r="S117" s="1355"/>
      <c r="T117" s="1355"/>
      <c r="U117" s="1355"/>
      <c r="V117" s="1355"/>
      <c r="W117" s="1355"/>
      <c r="X117" s="1355"/>
      <c r="Y117" s="1355"/>
      <c r="Z117" s="1355"/>
      <c r="AA117" s="1355"/>
      <c r="AB117" s="1356"/>
    </row>
    <row r="118" spans="2:28" ht="15" customHeight="1">
      <c r="B118" s="1357"/>
      <c r="C118" s="1358"/>
      <c r="D118" s="1358"/>
      <c r="E118" s="1358"/>
      <c r="F118" s="1358"/>
      <c r="G118" s="1358"/>
      <c r="H118" s="1358"/>
      <c r="I118" s="1358"/>
      <c r="J118" s="1358"/>
      <c r="K118" s="1358"/>
      <c r="L118" s="1358"/>
      <c r="M118" s="1358"/>
      <c r="N118" s="1358"/>
      <c r="O118" s="1358"/>
      <c r="P118" s="1358"/>
      <c r="Q118" s="1358"/>
      <c r="R118" s="1358"/>
      <c r="S118" s="1358"/>
      <c r="T118" s="1358"/>
      <c r="U118" s="1358"/>
      <c r="V118" s="1358"/>
      <c r="W118" s="1358"/>
      <c r="X118" s="1358"/>
      <c r="Y118" s="1358"/>
      <c r="Z118" s="1358"/>
      <c r="AA118" s="1358"/>
      <c r="AB118" s="1359"/>
    </row>
    <row r="119" spans="2:28" ht="15" customHeight="1">
      <c r="B119" s="1360"/>
      <c r="C119" s="1361"/>
      <c r="D119" s="1361"/>
      <c r="E119" s="1361"/>
      <c r="F119" s="1361"/>
      <c r="G119" s="1361"/>
      <c r="H119" s="1361"/>
      <c r="I119" s="1361"/>
      <c r="J119" s="1361"/>
      <c r="K119" s="1361"/>
      <c r="L119" s="1361"/>
      <c r="M119" s="1361"/>
      <c r="N119" s="1361"/>
      <c r="O119" s="1361"/>
      <c r="P119" s="1361"/>
      <c r="Q119" s="1361"/>
      <c r="R119" s="1361"/>
      <c r="S119" s="1361"/>
      <c r="T119" s="1361"/>
      <c r="U119" s="1361"/>
      <c r="V119" s="1361"/>
      <c r="W119" s="1361"/>
      <c r="X119" s="1361"/>
      <c r="Y119" s="1361"/>
      <c r="Z119" s="1361"/>
      <c r="AA119" s="1361"/>
      <c r="AB119" s="1362"/>
    </row>
    <row r="120" spans="2:28" ht="6.95" customHeight="1">
      <c r="B120" s="243"/>
      <c r="C120" s="748"/>
      <c r="D120" s="748"/>
      <c r="E120" s="748"/>
      <c r="F120" s="748"/>
      <c r="G120" s="748"/>
      <c r="H120" s="746"/>
      <c r="I120" s="749"/>
      <c r="J120" s="750"/>
      <c r="K120" s="750"/>
      <c r="L120" s="750"/>
      <c r="M120" s="751"/>
      <c r="O120" s="741"/>
      <c r="P120" s="741"/>
      <c r="Q120" s="741"/>
      <c r="R120" s="741"/>
      <c r="S120" s="741"/>
      <c r="T120" s="741"/>
      <c r="U120" s="741"/>
      <c r="V120" s="741"/>
      <c r="W120" s="741"/>
      <c r="X120" s="741"/>
      <c r="Y120" s="741"/>
      <c r="Z120" s="741"/>
      <c r="AA120" s="741"/>
      <c r="AB120" s="741"/>
    </row>
    <row r="121" spans="2:28">
      <c r="B121" s="720" t="s">
        <v>619</v>
      </c>
      <c r="O121" s="720"/>
    </row>
    <row r="122" spans="2:28" ht="15" customHeight="1">
      <c r="B122" s="1373" t="s">
        <v>63</v>
      </c>
      <c r="C122" s="1374"/>
      <c r="D122" s="1374"/>
      <c r="E122" s="1374"/>
      <c r="F122" s="1374"/>
      <c r="G122" s="1374"/>
      <c r="H122" s="737" t="s">
        <v>2</v>
      </c>
      <c r="I122" s="738">
        <f>IFERROR(VLOOKUP($AD$4,_Leger1,53,FALSE),"-")</f>
        <v>0</v>
      </c>
      <c r="J122" s="739" t="s">
        <v>187</v>
      </c>
      <c r="K122" s="739"/>
      <c r="L122" s="739"/>
      <c r="M122" s="740"/>
      <c r="O122" s="741"/>
      <c r="P122" s="741"/>
      <c r="Q122" s="741"/>
      <c r="R122" s="741"/>
      <c r="S122" s="741"/>
      <c r="T122" s="741"/>
      <c r="U122" s="741"/>
      <c r="V122" s="741"/>
      <c r="W122" s="741"/>
      <c r="X122" s="741"/>
      <c r="Y122" s="741"/>
      <c r="Z122" s="741"/>
      <c r="AA122" s="741"/>
      <c r="AB122" s="741"/>
    </row>
    <row r="123" spans="2:28" ht="15" customHeight="1">
      <c r="B123" s="1373" t="s">
        <v>64</v>
      </c>
      <c r="C123" s="1374"/>
      <c r="D123" s="1374"/>
      <c r="E123" s="1374"/>
      <c r="F123" s="1374"/>
      <c r="G123" s="1374"/>
      <c r="H123" s="737" t="s">
        <v>2</v>
      </c>
      <c r="I123" s="738">
        <f>IFERROR(VLOOKUP($AD$4,_Leger1,54,FALSE),"-")</f>
        <v>0</v>
      </c>
      <c r="J123" s="739" t="s">
        <v>187</v>
      </c>
      <c r="K123" s="739"/>
      <c r="L123" s="739"/>
      <c r="M123" s="740"/>
      <c r="O123" s="741"/>
      <c r="P123" s="741"/>
      <c r="Q123" s="741"/>
      <c r="R123" s="741"/>
      <c r="S123" s="741"/>
      <c r="T123" s="741"/>
      <c r="U123" s="741"/>
      <c r="V123" s="741"/>
      <c r="W123" s="741"/>
      <c r="X123" s="741"/>
      <c r="Y123" s="741"/>
      <c r="Z123" s="741"/>
      <c r="AA123" s="741"/>
      <c r="AB123" s="741"/>
    </row>
    <row r="124" spans="2:28" ht="15" customHeight="1">
      <c r="B124" s="1373" t="s">
        <v>186</v>
      </c>
      <c r="C124" s="1374"/>
      <c r="D124" s="1374"/>
      <c r="E124" s="1374"/>
      <c r="F124" s="1374"/>
      <c r="G124" s="1374"/>
      <c r="H124" s="737" t="s">
        <v>2</v>
      </c>
      <c r="I124" s="738">
        <f>IFERROR(VLOOKUP($AD$4,_Leger1,55,FALSE),"-")</f>
        <v>1</v>
      </c>
      <c r="J124" s="1375" t="s">
        <v>187</v>
      </c>
      <c r="K124" s="1375"/>
      <c r="L124" s="1375"/>
      <c r="M124" s="740"/>
      <c r="O124" s="741"/>
      <c r="P124" s="741"/>
      <c r="Q124" s="741"/>
      <c r="R124" s="741"/>
      <c r="S124" s="741"/>
      <c r="T124" s="741"/>
      <c r="U124" s="741"/>
      <c r="V124" s="741"/>
      <c r="W124" s="741"/>
      <c r="X124" s="741"/>
      <c r="Y124" s="741"/>
      <c r="Z124" s="741"/>
      <c r="AA124" s="741"/>
      <c r="AB124" s="741"/>
    </row>
    <row r="125" spans="2:28" ht="18" customHeight="1">
      <c r="W125" s="718"/>
    </row>
    <row r="126" spans="2:28" ht="15" customHeight="1">
      <c r="B126" s="1351" t="s">
        <v>189</v>
      </c>
      <c r="C126" s="1351"/>
      <c r="D126" s="1351"/>
      <c r="E126" s="1351"/>
      <c r="F126" s="1351"/>
      <c r="G126" s="1351"/>
      <c r="H126" s="1351"/>
      <c r="I126" s="1351"/>
      <c r="J126" s="1351"/>
      <c r="T126" s="1352" t="str">
        <f>_tempat_penyerahan&amp;", "&amp;_tgl_rapor_ganjil</f>
        <v>Abung Surakarta, 21 Desember 2018</v>
      </c>
      <c r="U126" s="1352"/>
      <c r="V126" s="1352"/>
      <c r="W126" s="1352"/>
      <c r="X126" s="1352"/>
      <c r="Y126" s="1352"/>
      <c r="Z126" s="1352"/>
      <c r="AA126" s="1352"/>
      <c r="AB126" s="1352"/>
    </row>
    <row r="127" spans="2:28" ht="15" customHeight="1">
      <c r="B127" s="1351" t="s">
        <v>190</v>
      </c>
      <c r="C127" s="1352"/>
      <c r="D127" s="1352"/>
      <c r="E127" s="1352"/>
      <c r="F127" s="1352"/>
      <c r="G127" s="1352"/>
      <c r="H127" s="1352"/>
      <c r="I127" s="1352"/>
      <c r="J127" s="1352"/>
      <c r="T127" s="1351" t="s">
        <v>149</v>
      </c>
      <c r="U127" s="1352"/>
      <c r="V127" s="1352"/>
      <c r="W127" s="1352"/>
      <c r="X127" s="1352"/>
      <c r="Y127" s="1352"/>
      <c r="Z127" s="1352"/>
      <c r="AA127" s="1352"/>
      <c r="AB127" s="1352"/>
    </row>
    <row r="128" spans="2:28" ht="9" customHeight="1"/>
    <row r="129" spans="1:28" ht="15" customHeight="1"/>
    <row r="130" spans="1:28" ht="15" customHeight="1"/>
    <row r="131" spans="1:28" ht="15" customHeight="1"/>
    <row r="132" spans="1:28" ht="15" customHeight="1">
      <c r="A132" s="742" t="str">
        <f>IFERROR(IF(AND(VLOOKUP(AD4,_Biodata_Lengkap,20,FALSE)="Meninggal Dunia",VLOOKUP(AD4,_Biodata_Lengkap,25,FALSE)="Meninggal Dunia"),VLOOKUP(AD4,_Biodata_Lengkap,26,FALSE),IF(AND(VLOOKUP(AD4,_Biodata_Lengkap,20,FALSE)="Meninggal Dunia",VLOOKUP(AD4,_Biodata_Lengkap,25,FALSE)="Masih Hidup"),VLOOKUP(AD4,_Biodata_Lengkap,21,FALSE),VLOOKUP(AD4,_Biodata_Lengkap,16,FALSE))),"-")</f>
        <v>SRI HARTATI</v>
      </c>
      <c r="B132" s="1353" t="str">
        <f>IF(A132=0,"-",A132)</f>
        <v>SRI HARTATI</v>
      </c>
      <c r="C132" s="1353"/>
      <c r="D132" s="1353"/>
      <c r="E132" s="1353"/>
      <c r="F132" s="1353"/>
      <c r="G132" s="1353"/>
      <c r="H132" s="1353"/>
      <c r="I132" s="1353"/>
      <c r="J132" s="1353"/>
      <c r="T132" s="1353" t="str">
        <f>IF(DK!D6=0,"-",DK!D6)</f>
        <v>Siti Kotijah, S.Pd.</v>
      </c>
      <c r="U132" s="1353"/>
      <c r="V132" s="1353"/>
      <c r="W132" s="1353"/>
      <c r="X132" s="1353"/>
      <c r="Y132" s="1353"/>
      <c r="Z132" s="1353"/>
      <c r="AA132" s="1353"/>
      <c r="AB132" s="1353"/>
    </row>
    <row r="133" spans="1:28" ht="15" customHeight="1">
      <c r="B133" s="1352"/>
      <c r="C133" s="1352"/>
      <c r="D133" s="1352"/>
      <c r="E133" s="1352"/>
      <c r="F133" s="1352"/>
      <c r="G133" s="1352"/>
      <c r="H133" s="1352"/>
      <c r="I133" s="1352"/>
      <c r="J133" s="1352"/>
      <c r="T133" s="1352" t="str">
        <f>IF(DK!D7=0,"NIP. -","NIP. "&amp;DK!D7)</f>
        <v>NIP. 19700120199501 2 001</v>
      </c>
      <c r="U133" s="1352"/>
      <c r="V133" s="1352"/>
      <c r="W133" s="1352"/>
      <c r="X133" s="1352"/>
      <c r="Y133" s="1352"/>
      <c r="Z133" s="1352"/>
      <c r="AA133" s="1352"/>
      <c r="AB133" s="1352"/>
    </row>
    <row r="134" spans="1:28" ht="15" customHeight="1">
      <c r="B134" s="1351" t="s">
        <v>189</v>
      </c>
      <c r="C134" s="1352"/>
      <c r="D134" s="1352"/>
      <c r="E134" s="1352"/>
      <c r="F134" s="1352"/>
      <c r="G134" s="1352"/>
      <c r="H134" s="1352"/>
      <c r="I134" s="1352"/>
      <c r="J134" s="1352"/>
      <c r="K134" s="1352"/>
      <c r="L134" s="1352"/>
      <c r="M134" s="1352"/>
      <c r="N134" s="1352"/>
      <c r="O134" s="1352"/>
      <c r="P134" s="1352"/>
      <c r="Q134" s="1352"/>
      <c r="R134" s="1352"/>
      <c r="S134" s="1352"/>
      <c r="T134" s="1352"/>
      <c r="U134" s="1352"/>
      <c r="V134" s="1352"/>
      <c r="W134" s="1352"/>
      <c r="X134" s="1352"/>
      <c r="Y134" s="1352"/>
      <c r="Z134" s="1352"/>
      <c r="AA134" s="1352"/>
      <c r="AB134" s="1352"/>
    </row>
    <row r="135" spans="1:28" ht="15" customHeight="1">
      <c r="B135" s="1352" t="str">
        <f>"Kepala "&amp;_sekolah_label</f>
        <v>Kepala SMP Negeri 1 Abung Surakarta</v>
      </c>
      <c r="C135" s="1352"/>
      <c r="D135" s="1352"/>
      <c r="E135" s="1352"/>
      <c r="F135" s="1352"/>
      <c r="G135" s="1352"/>
      <c r="H135" s="1352"/>
      <c r="I135" s="1352"/>
      <c r="J135" s="1352"/>
      <c r="K135" s="1352"/>
      <c r="L135" s="1352"/>
      <c r="M135" s="1352"/>
      <c r="N135" s="1352"/>
      <c r="O135" s="1352"/>
      <c r="P135" s="1352"/>
      <c r="Q135" s="1352"/>
      <c r="R135" s="1352"/>
      <c r="S135" s="1352"/>
      <c r="T135" s="1352"/>
      <c r="U135" s="1352"/>
      <c r="V135" s="1352"/>
      <c r="W135" s="1352"/>
      <c r="X135" s="1352"/>
      <c r="Y135" s="1352"/>
      <c r="Z135" s="1352"/>
      <c r="AA135" s="1352"/>
      <c r="AB135" s="1352"/>
    </row>
    <row r="136" spans="1:28" ht="9" customHeight="1"/>
    <row r="137" spans="1:28" ht="15" customHeight="1"/>
    <row r="138" spans="1:28" ht="15" customHeight="1"/>
    <row r="139" spans="1:28" ht="15" customHeight="1"/>
    <row r="140" spans="1:28" ht="15" customHeight="1">
      <c r="B140" s="1353" t="str">
        <f>_kepsek</f>
        <v>Hj. YURNILAWATI, S.Pd.I</v>
      </c>
      <c r="C140" s="1353"/>
      <c r="D140" s="1353"/>
      <c r="E140" s="1353"/>
      <c r="F140" s="1353"/>
      <c r="G140" s="1353"/>
      <c r="H140" s="1353"/>
      <c r="I140" s="1353"/>
      <c r="J140" s="1353"/>
      <c r="K140" s="1353"/>
      <c r="L140" s="1353"/>
      <c r="M140" s="1353"/>
      <c r="N140" s="1353"/>
      <c r="O140" s="1353"/>
      <c r="P140" s="1353"/>
      <c r="Q140" s="1353"/>
      <c r="R140" s="1353"/>
      <c r="S140" s="1353"/>
      <c r="T140" s="1353"/>
      <c r="U140" s="1353"/>
      <c r="V140" s="1353"/>
      <c r="W140" s="1353"/>
      <c r="X140" s="1353"/>
      <c r="Y140" s="1353"/>
      <c r="Z140" s="1353"/>
      <c r="AA140" s="1353"/>
      <c r="AB140" s="1353"/>
    </row>
    <row r="141" spans="1:28" ht="15" customHeight="1">
      <c r="B141" s="1352" t="str">
        <f>"NIP. "&amp;_nip_kepsek</f>
        <v>NIP. 19590208 198102 2 001</v>
      </c>
      <c r="C141" s="1352"/>
      <c r="D141" s="1352"/>
      <c r="E141" s="1352"/>
      <c r="F141" s="1352"/>
      <c r="G141" s="1352"/>
      <c r="H141" s="1352"/>
      <c r="I141" s="1352"/>
      <c r="J141" s="1352"/>
      <c r="K141" s="1352"/>
      <c r="L141" s="1352"/>
      <c r="M141" s="1352"/>
      <c r="N141" s="1352"/>
      <c r="O141" s="1352"/>
      <c r="P141" s="1352"/>
      <c r="Q141" s="1352"/>
      <c r="R141" s="1352"/>
      <c r="S141" s="1352"/>
      <c r="T141" s="1352"/>
      <c r="U141" s="1352"/>
      <c r="V141" s="1352"/>
      <c r="W141" s="1352"/>
      <c r="X141" s="1352"/>
      <c r="Y141" s="1352"/>
      <c r="Z141" s="1352"/>
      <c r="AA141" s="1352"/>
      <c r="AB141" s="1352"/>
    </row>
    <row r="142" spans="1:28" ht="15" customHeight="1">
      <c r="B142" s="198"/>
      <c r="C142" s="198"/>
      <c r="D142" s="198"/>
      <c r="E142" s="198"/>
      <c r="F142" s="198"/>
      <c r="G142" s="198"/>
      <c r="H142" s="198"/>
      <c r="I142" s="198"/>
      <c r="J142" s="198"/>
      <c r="K142" s="198"/>
      <c r="L142" s="198"/>
      <c r="M142" s="198"/>
      <c r="N142" s="198"/>
      <c r="O142" s="198"/>
      <c r="P142" s="198"/>
      <c r="Q142" s="198"/>
      <c r="R142" s="198"/>
      <c r="S142" s="198"/>
      <c r="T142" s="198"/>
      <c r="U142" s="198"/>
      <c r="V142" s="198"/>
      <c r="W142" s="198"/>
      <c r="X142" s="198"/>
      <c r="Y142" s="198"/>
      <c r="Z142" s="198"/>
      <c r="AA142" s="198"/>
      <c r="AB142" s="198"/>
    </row>
    <row r="143" spans="1:28" ht="12.75" customHeight="1">
      <c r="B143" s="198"/>
      <c r="C143" s="198"/>
      <c r="D143" s="198"/>
      <c r="E143" s="198"/>
      <c r="F143" s="198"/>
      <c r="G143" s="198"/>
      <c r="H143" s="198"/>
      <c r="I143" s="198"/>
      <c r="J143" s="198"/>
      <c r="K143" s="198"/>
      <c r="L143" s="198"/>
      <c r="M143" s="198"/>
      <c r="N143" s="198"/>
      <c r="O143" s="198"/>
      <c r="P143" s="198"/>
      <c r="Q143" s="198"/>
      <c r="R143" s="198"/>
      <c r="S143" s="198"/>
      <c r="T143" s="198"/>
      <c r="U143" s="198"/>
      <c r="V143" s="198"/>
      <c r="W143" s="198"/>
      <c r="X143" s="198"/>
      <c r="Y143" s="198"/>
      <c r="Z143" s="198"/>
      <c r="AA143" s="198"/>
      <c r="AB143" s="198"/>
    </row>
    <row r="144" spans="1:28" ht="15" customHeight="1">
      <c r="B144" s="198"/>
      <c r="C144" s="198"/>
      <c r="D144" s="198"/>
      <c r="E144" s="198"/>
      <c r="F144" s="198"/>
      <c r="G144" s="198"/>
      <c r="H144" s="198"/>
      <c r="I144" s="198"/>
      <c r="J144" s="198"/>
      <c r="K144" s="198"/>
      <c r="L144" s="198"/>
      <c r="M144" s="198"/>
      <c r="N144" s="198"/>
      <c r="O144" s="198"/>
      <c r="P144" s="198"/>
      <c r="Q144" s="198"/>
      <c r="R144" s="198"/>
      <c r="S144" s="198"/>
      <c r="T144" s="198"/>
      <c r="U144" s="198"/>
      <c r="V144" s="198"/>
      <c r="W144" s="198"/>
      <c r="X144" s="198"/>
      <c r="Y144" s="198"/>
      <c r="Z144" s="198"/>
      <c r="AA144" s="198"/>
      <c r="AB144" s="198"/>
    </row>
    <row r="145" spans="2:28" ht="31.5" hidden="1" customHeight="1">
      <c r="B145" s="198"/>
      <c r="C145" s="198"/>
      <c r="D145" s="198"/>
      <c r="E145" s="198"/>
      <c r="F145" s="198"/>
      <c r="G145" s="198"/>
      <c r="H145" s="198"/>
      <c r="I145" s="198"/>
      <c r="J145" s="198"/>
      <c r="K145" s="198"/>
      <c r="L145" s="198"/>
      <c r="M145" s="198"/>
      <c r="N145" s="198"/>
      <c r="O145" s="198"/>
      <c r="P145" s="198"/>
      <c r="Q145" s="198"/>
      <c r="R145" s="198"/>
      <c r="S145" s="198"/>
      <c r="T145" s="198"/>
      <c r="U145" s="198"/>
      <c r="V145" s="198"/>
      <c r="W145" s="198"/>
      <c r="X145" s="198"/>
      <c r="Y145" s="198"/>
      <c r="Z145" s="198"/>
      <c r="AA145" s="198"/>
      <c r="AB145" s="198"/>
    </row>
    <row r="146" spans="2:28" ht="15" hidden="1" customHeight="1">
      <c r="B146" s="198"/>
      <c r="C146" s="198"/>
      <c r="D146" s="198"/>
      <c r="E146" s="198"/>
      <c r="F146" s="198"/>
      <c r="G146" s="198"/>
      <c r="H146" s="198"/>
      <c r="I146" s="198"/>
      <c r="J146" s="198"/>
      <c r="K146" s="198"/>
      <c r="L146" s="198"/>
      <c r="M146" s="198"/>
      <c r="N146" s="198"/>
      <c r="O146" s="198"/>
      <c r="P146" s="198"/>
      <c r="Q146" s="198"/>
      <c r="R146" s="198"/>
      <c r="S146" s="198"/>
      <c r="T146" s="198"/>
      <c r="U146" s="198"/>
      <c r="V146" s="198"/>
      <c r="W146" s="198"/>
      <c r="X146" s="198"/>
      <c r="Y146" s="198"/>
      <c r="Z146" s="198"/>
      <c r="AA146" s="198"/>
      <c r="AB146" s="198"/>
    </row>
    <row r="147" spans="2:28" ht="15" hidden="1" customHeight="1">
      <c r="B147" s="198"/>
      <c r="C147" s="198"/>
      <c r="D147" s="198"/>
      <c r="E147" s="198"/>
      <c r="F147" s="198"/>
      <c r="G147" s="198"/>
      <c r="H147" s="198"/>
      <c r="I147" s="198"/>
      <c r="J147" s="198"/>
      <c r="K147" s="198"/>
      <c r="L147" s="198"/>
      <c r="M147" s="198"/>
      <c r="N147" s="198"/>
      <c r="O147" s="198"/>
      <c r="P147" s="198"/>
      <c r="Q147" s="198"/>
      <c r="R147" s="198"/>
      <c r="S147" s="198"/>
      <c r="T147" s="198"/>
      <c r="U147" s="198"/>
      <c r="V147" s="198"/>
      <c r="W147" s="198"/>
      <c r="X147" s="198"/>
      <c r="Y147" s="198"/>
      <c r="Z147" s="198"/>
      <c r="AA147" s="198"/>
      <c r="AB147" s="198"/>
    </row>
    <row r="148" spans="2:28" ht="19.5" hidden="1" customHeight="1">
      <c r="B148" s="198"/>
      <c r="C148" s="198"/>
      <c r="D148" s="198"/>
      <c r="E148" s="198"/>
      <c r="F148" s="198"/>
      <c r="G148" s="198"/>
      <c r="H148" s="198"/>
      <c r="I148" s="198"/>
      <c r="J148" s="198"/>
      <c r="K148" s="198"/>
      <c r="L148" s="198"/>
      <c r="M148" s="198"/>
      <c r="N148" s="198"/>
      <c r="O148" s="198"/>
      <c r="P148" s="198"/>
      <c r="Q148" s="198"/>
      <c r="R148" s="198"/>
      <c r="S148" s="198"/>
      <c r="T148" s="198"/>
      <c r="U148" s="198"/>
      <c r="V148" s="198"/>
      <c r="W148" s="198"/>
      <c r="X148" s="198"/>
      <c r="Y148" s="198"/>
      <c r="Z148" s="198"/>
      <c r="AA148" s="198"/>
      <c r="AB148" s="198"/>
    </row>
    <row r="149" spans="2:28" ht="15" customHeight="1">
      <c r="B149" s="198"/>
      <c r="C149" s="198"/>
      <c r="D149" s="198"/>
      <c r="E149" s="198"/>
      <c r="F149" s="198"/>
      <c r="G149" s="198"/>
      <c r="H149" s="198"/>
      <c r="I149" s="198"/>
      <c r="J149" s="198"/>
      <c r="K149" s="198"/>
      <c r="L149" s="198"/>
      <c r="M149" s="198"/>
      <c r="N149" s="198"/>
      <c r="O149" s="198"/>
      <c r="P149" s="198"/>
      <c r="Q149" s="198"/>
      <c r="R149" s="198"/>
      <c r="S149" s="198"/>
      <c r="T149" s="198"/>
      <c r="U149" s="198"/>
      <c r="V149" s="198"/>
      <c r="W149" s="198"/>
      <c r="X149" s="198"/>
      <c r="Y149" s="198"/>
      <c r="Z149" s="198"/>
      <c r="AA149" s="198"/>
      <c r="AB149" s="198"/>
    </row>
    <row r="150" spans="2:28" ht="15" customHeight="1">
      <c r="B150" s="198"/>
      <c r="C150" s="198"/>
      <c r="D150" s="198"/>
      <c r="E150" s="198"/>
      <c r="F150" s="198"/>
      <c r="G150" s="198"/>
      <c r="H150" s="198"/>
      <c r="I150" s="198"/>
      <c r="J150" s="198"/>
      <c r="K150" s="198"/>
      <c r="L150" s="198"/>
      <c r="M150" s="198"/>
      <c r="N150" s="198"/>
      <c r="O150" s="198"/>
      <c r="P150" s="198"/>
      <c r="Q150" s="198"/>
      <c r="R150" s="198"/>
      <c r="S150" s="198"/>
      <c r="T150" s="198"/>
      <c r="U150" s="198"/>
      <c r="V150" s="198"/>
      <c r="W150" s="198"/>
      <c r="X150" s="198"/>
      <c r="Y150" s="198"/>
      <c r="Z150" s="198"/>
      <c r="AA150" s="198"/>
      <c r="AB150" s="198"/>
    </row>
    <row r="151" spans="2:28" ht="15" hidden="1" customHeight="1">
      <c r="B151" s="720" t="s">
        <v>194</v>
      </c>
    </row>
    <row r="152" spans="2:28" ht="15" hidden="1" customHeight="1">
      <c r="B152" s="1350" t="s">
        <v>80</v>
      </c>
      <c r="C152" s="1350"/>
      <c r="D152" s="1350"/>
      <c r="E152" s="1350"/>
      <c r="F152" s="1350"/>
      <c r="G152" s="1350"/>
      <c r="H152" s="1376" t="s">
        <v>113</v>
      </c>
      <c r="I152" s="1376"/>
      <c r="J152" s="1376"/>
      <c r="K152" s="1376"/>
      <c r="L152" s="1376"/>
      <c r="M152" s="1376"/>
      <c r="N152" s="1376"/>
      <c r="O152" s="1376"/>
      <c r="P152" s="1376"/>
      <c r="Q152" s="1376"/>
      <c r="R152" s="1376"/>
      <c r="S152" s="1376"/>
      <c r="T152" s="1376"/>
      <c r="U152" s="1376"/>
      <c r="V152" s="1376"/>
      <c r="W152" s="1376"/>
      <c r="X152" s="1376"/>
      <c r="Y152" s="1376"/>
      <c r="Z152" s="1376"/>
      <c r="AA152" s="1376"/>
      <c r="AB152" s="1376"/>
    </row>
    <row r="153" spans="2:28" ht="15" hidden="1" customHeight="1">
      <c r="B153" s="1350"/>
      <c r="C153" s="1350"/>
      <c r="D153" s="1350"/>
      <c r="E153" s="1350"/>
      <c r="F153" s="1350"/>
      <c r="G153" s="1350"/>
      <c r="H153" s="1376" t="s">
        <v>195</v>
      </c>
      <c r="I153" s="1376"/>
      <c r="J153" s="1376"/>
      <c r="K153" s="1376"/>
      <c r="L153" s="1376"/>
      <c r="M153" s="1376"/>
      <c r="N153" s="1376"/>
      <c r="O153" s="1376" t="s">
        <v>196</v>
      </c>
      <c r="P153" s="1376"/>
      <c r="Q153" s="1376"/>
      <c r="R153" s="1376"/>
      <c r="S153" s="1376"/>
      <c r="T153" s="1376"/>
      <c r="U153" s="1376" t="s">
        <v>197</v>
      </c>
      <c r="V153" s="1376"/>
      <c r="W153" s="1376"/>
      <c r="X153" s="1376"/>
      <c r="Y153" s="1376" t="s">
        <v>198</v>
      </c>
      <c r="Z153" s="1376"/>
      <c r="AA153" s="1376"/>
      <c r="AB153" s="1376"/>
    </row>
    <row r="154" spans="2:28" ht="15" hidden="1" customHeight="1">
      <c r="B154" s="1349">
        <v>60</v>
      </c>
      <c r="C154" s="1349"/>
      <c r="D154" s="1349"/>
      <c r="E154" s="1349"/>
      <c r="F154" s="1349"/>
      <c r="G154" s="1349"/>
      <c r="H154" s="1349" t="s">
        <v>199</v>
      </c>
      <c r="I154" s="1328"/>
      <c r="J154" s="1328"/>
      <c r="K154" s="1328"/>
      <c r="L154" s="1328"/>
      <c r="M154" s="1328"/>
      <c r="N154" s="1328"/>
      <c r="O154" s="1328" t="str">
        <f>B154&amp;"&lt;=N&lt;"&amp;74</f>
        <v>60&lt;=N&lt;74</v>
      </c>
      <c r="P154" s="1328"/>
      <c r="Q154" s="1328"/>
      <c r="R154" s="1328"/>
      <c r="S154" s="1328"/>
      <c r="T154" s="1328"/>
      <c r="U154" s="1328" t="str">
        <f>RIGHT(O154,2)&amp;"&lt;=N&lt;"&amp;88</f>
        <v>74&lt;=N&lt;88</v>
      </c>
      <c r="V154" s="1328"/>
      <c r="W154" s="1328"/>
      <c r="X154" s="1328"/>
      <c r="Y154" s="1328" t="str">
        <f>RIGHT(U154,2)&amp;"&lt;=N&lt;"&amp;100</f>
        <v>88&lt;=N&lt;100</v>
      </c>
      <c r="Z154" s="1328"/>
      <c r="AA154" s="1328"/>
      <c r="AB154" s="1328"/>
    </row>
    <row r="155" spans="2:28" ht="15" hidden="1" customHeight="1">
      <c r="B155" s="1349">
        <v>65</v>
      </c>
      <c r="C155" s="1349"/>
      <c r="D155" s="1349"/>
      <c r="E155" s="1349"/>
      <c r="F155" s="1349"/>
      <c r="G155" s="1349"/>
      <c r="H155" s="1349" t="s">
        <v>200</v>
      </c>
      <c r="I155" s="1328"/>
      <c r="J155" s="1328"/>
      <c r="K155" s="1328"/>
      <c r="L155" s="1328"/>
      <c r="M155" s="1328"/>
      <c r="N155" s="1328"/>
      <c r="O155" s="1328" t="str">
        <f>B155&amp;"&lt;=N&lt;"&amp;77</f>
        <v>65&lt;=N&lt;77</v>
      </c>
      <c r="P155" s="1328"/>
      <c r="Q155" s="1328"/>
      <c r="R155" s="1328"/>
      <c r="S155" s="1328"/>
      <c r="T155" s="1328"/>
      <c r="U155" s="1328" t="str">
        <f>RIGHT(O155,2)&amp;"&lt;=N&lt;"&amp;89</f>
        <v>77&lt;=N&lt;89</v>
      </c>
      <c r="V155" s="1328"/>
      <c r="W155" s="1328"/>
      <c r="X155" s="1328"/>
      <c r="Y155" s="1328" t="str">
        <f>RIGHT(U155,2)&amp;"&lt;=N&lt;"&amp;100</f>
        <v>89&lt;=N&lt;100</v>
      </c>
      <c r="Z155" s="1328"/>
      <c r="AA155" s="1328"/>
      <c r="AB155" s="1328"/>
    </row>
    <row r="156" spans="2:28" ht="15" hidden="1" customHeight="1">
      <c r="B156" s="1349">
        <v>70</v>
      </c>
      <c r="C156" s="1349"/>
      <c r="D156" s="1349"/>
      <c r="E156" s="1349"/>
      <c r="F156" s="1349"/>
      <c r="G156" s="1349"/>
      <c r="H156" s="1349" t="s">
        <v>201</v>
      </c>
      <c r="I156" s="1328"/>
      <c r="J156" s="1328"/>
      <c r="K156" s="1328"/>
      <c r="L156" s="1328"/>
      <c r="M156" s="1328"/>
      <c r="N156" s="1328"/>
      <c r="O156" s="1328" t="str">
        <f>B156&amp;"&lt;=N&lt;"&amp;80</f>
        <v>70&lt;=N&lt;80</v>
      </c>
      <c r="P156" s="1328"/>
      <c r="Q156" s="1328"/>
      <c r="R156" s="1328"/>
      <c r="S156" s="1328"/>
      <c r="T156" s="1328"/>
      <c r="U156" s="1328" t="str">
        <f>RIGHT(O156,2)&amp;"&lt;=N&lt;"&amp;90</f>
        <v>80&lt;=N&lt;90</v>
      </c>
      <c r="V156" s="1328"/>
      <c r="W156" s="1328"/>
      <c r="X156" s="1328"/>
      <c r="Y156" s="1328" t="str">
        <f>RIGHT(U156,2)&amp;"&lt;=N&lt;"&amp;100</f>
        <v>90&lt;=N&lt;100</v>
      </c>
      <c r="Z156" s="1328"/>
      <c r="AA156" s="1328"/>
      <c r="AB156" s="1328"/>
    </row>
    <row r="157" spans="2:28" ht="15" hidden="1" customHeight="1">
      <c r="B157" s="1349">
        <v>75</v>
      </c>
      <c r="C157" s="1349"/>
      <c r="D157" s="1349"/>
      <c r="E157" s="1349"/>
      <c r="F157" s="1349"/>
      <c r="G157" s="1349"/>
      <c r="H157" s="1349" t="s">
        <v>202</v>
      </c>
      <c r="I157" s="1328"/>
      <c r="J157" s="1328"/>
      <c r="K157" s="1328"/>
      <c r="L157" s="1328"/>
      <c r="M157" s="1328"/>
      <c r="N157" s="1328"/>
      <c r="O157" s="1328" t="str">
        <f>B157&amp;"&lt;=N&lt;"&amp;83</f>
        <v>75&lt;=N&lt;83</v>
      </c>
      <c r="P157" s="1328"/>
      <c r="Q157" s="1328"/>
      <c r="R157" s="1328"/>
      <c r="S157" s="1328"/>
      <c r="T157" s="1328"/>
      <c r="U157" s="1328" t="str">
        <f>RIGHT(O157,2)&amp;"&lt;=N&lt;"&amp;91</f>
        <v>83&lt;=N&lt;91</v>
      </c>
      <c r="V157" s="1328"/>
      <c r="W157" s="1328"/>
      <c r="X157" s="1328"/>
      <c r="Y157" s="1328" t="str">
        <f>RIGHT(U157,2)&amp;"&lt;=N&lt;"&amp;100</f>
        <v>91&lt;=N&lt;100</v>
      </c>
      <c r="Z157" s="1328"/>
      <c r="AA157" s="1328"/>
      <c r="AB157" s="1328"/>
    </row>
    <row r="158" spans="2:28" ht="15" hidden="1" customHeight="1">
      <c r="B158" s="1349">
        <v>80</v>
      </c>
      <c r="C158" s="1349"/>
      <c r="D158" s="1349"/>
      <c r="E158" s="1349"/>
      <c r="F158" s="1349"/>
      <c r="G158" s="1349"/>
      <c r="H158" s="1349" t="s">
        <v>203</v>
      </c>
      <c r="I158" s="1328"/>
      <c r="J158" s="1328"/>
      <c r="K158" s="1328"/>
      <c r="L158" s="1328"/>
      <c r="M158" s="1328"/>
      <c r="N158" s="1328"/>
      <c r="O158" s="1328" t="str">
        <f>B158&amp;"&lt;=N&lt;"&amp;86</f>
        <v>80&lt;=N&lt;86</v>
      </c>
      <c r="P158" s="1328"/>
      <c r="Q158" s="1328"/>
      <c r="R158" s="1328"/>
      <c r="S158" s="1328"/>
      <c r="T158" s="1328"/>
      <c r="U158" s="1328" t="str">
        <f>RIGHT(O158,2)&amp;"&lt;=N&lt;"&amp;92</f>
        <v>86&lt;=N&lt;92</v>
      </c>
      <c r="V158" s="1328"/>
      <c r="W158" s="1328"/>
      <c r="X158" s="1328"/>
      <c r="Y158" s="1328" t="str">
        <f>RIGHT(U158,2)&amp;"&lt;=N&lt;"&amp;100</f>
        <v>92&lt;=N&lt;100</v>
      </c>
      <c r="Z158" s="1328"/>
      <c r="AA158" s="1328"/>
      <c r="AB158" s="1328"/>
    </row>
    <row r="159" spans="2:28" ht="15" hidden="1" customHeight="1">
      <c r="B159" s="242"/>
      <c r="C159" s="242"/>
      <c r="D159" s="242"/>
      <c r="E159" s="242"/>
      <c r="F159" s="242"/>
      <c r="G159" s="242"/>
      <c r="H159" s="242"/>
      <c r="I159" s="743"/>
      <c r="J159" s="743"/>
      <c r="K159" s="743"/>
      <c r="L159" s="743"/>
      <c r="M159" s="743"/>
      <c r="N159" s="743"/>
      <c r="O159" s="743"/>
      <c r="P159" s="743"/>
      <c r="Q159" s="743"/>
      <c r="R159" s="743"/>
      <c r="S159" s="743"/>
      <c r="T159" s="743"/>
      <c r="U159" s="743"/>
      <c r="V159" s="743"/>
      <c r="W159" s="743"/>
      <c r="X159" s="743"/>
      <c r="Y159" s="743"/>
      <c r="Z159" s="743"/>
      <c r="AA159" s="743"/>
      <c r="AB159" s="743"/>
    </row>
    <row r="160" spans="2:28" ht="15" hidden="1" customHeight="1">
      <c r="B160" s="242"/>
      <c r="C160" s="242"/>
      <c r="D160" s="242"/>
      <c r="E160" s="242"/>
      <c r="F160" s="242"/>
      <c r="G160" s="242"/>
      <c r="H160" s="242"/>
      <c r="I160" s="743"/>
      <c r="J160" s="743"/>
      <c r="K160" s="743"/>
      <c r="L160" s="743"/>
      <c r="M160" s="743"/>
      <c r="N160" s="743"/>
      <c r="O160" s="743"/>
      <c r="P160" s="743"/>
      <c r="Q160" s="743"/>
      <c r="R160" s="743"/>
      <c r="S160" s="743"/>
      <c r="T160" s="743"/>
      <c r="U160" s="743"/>
      <c r="V160" s="743"/>
      <c r="W160" s="743"/>
      <c r="X160" s="743"/>
      <c r="Y160" s="743"/>
      <c r="Z160" s="743"/>
      <c r="AA160" s="743"/>
      <c r="AB160" s="743"/>
    </row>
    <row r="161" spans="2:28" ht="15" hidden="1" customHeight="1">
      <c r="B161" s="242"/>
      <c r="C161" s="242"/>
      <c r="D161" s="242"/>
      <c r="E161" s="242"/>
      <c r="F161" s="242"/>
      <c r="G161" s="242"/>
      <c r="H161" s="242"/>
      <c r="I161" s="743"/>
      <c r="J161" s="743"/>
      <c r="K161" s="743"/>
      <c r="L161" s="743"/>
      <c r="M161" s="743"/>
      <c r="N161" s="743"/>
      <c r="O161" s="743"/>
      <c r="P161" s="743"/>
      <c r="Q161" s="743"/>
      <c r="R161" s="743"/>
      <c r="S161" s="743"/>
      <c r="T161" s="743"/>
      <c r="U161" s="743"/>
      <c r="V161" s="743"/>
      <c r="W161" s="743"/>
      <c r="X161" s="743"/>
      <c r="Y161" s="743"/>
      <c r="Z161" s="743"/>
      <c r="AA161" s="743"/>
      <c r="AB161" s="743"/>
    </row>
    <row r="162" spans="2:28" ht="15" hidden="1" customHeight="1">
      <c r="B162" s="242"/>
      <c r="C162" s="242"/>
      <c r="D162" s="242"/>
      <c r="E162" s="242"/>
      <c r="F162" s="242"/>
      <c r="G162" s="242"/>
      <c r="H162" s="242"/>
      <c r="I162" s="743"/>
      <c r="J162" s="743"/>
      <c r="K162" s="743"/>
      <c r="L162" s="743"/>
      <c r="M162" s="743"/>
      <c r="N162" s="743"/>
      <c r="O162" s="743"/>
      <c r="P162" s="743"/>
      <c r="Q162" s="743"/>
      <c r="R162" s="743"/>
      <c r="S162" s="743"/>
      <c r="T162" s="743"/>
      <c r="U162" s="743"/>
      <c r="V162" s="743"/>
      <c r="W162" s="743"/>
      <c r="X162" s="743"/>
      <c r="Y162" s="743"/>
      <c r="Z162" s="743"/>
      <c r="AA162" s="743"/>
      <c r="AB162" s="743"/>
    </row>
    <row r="163" spans="2:28" ht="15" hidden="1" customHeight="1">
      <c r="B163" s="242"/>
      <c r="C163" s="242"/>
      <c r="D163" s="242"/>
      <c r="E163" s="242"/>
      <c r="F163" s="242"/>
      <c r="G163" s="242"/>
      <c r="H163" s="242"/>
      <c r="I163" s="743"/>
      <c r="J163" s="743"/>
      <c r="K163" s="743"/>
      <c r="L163" s="743"/>
      <c r="M163" s="743"/>
      <c r="N163" s="743"/>
      <c r="O163" s="743"/>
      <c r="P163" s="743"/>
      <c r="Q163" s="743"/>
      <c r="R163" s="743"/>
      <c r="S163" s="743"/>
      <c r="T163" s="743"/>
      <c r="U163" s="743"/>
      <c r="V163" s="743"/>
      <c r="W163" s="743"/>
      <c r="X163" s="743"/>
      <c r="Y163" s="743"/>
      <c r="Z163" s="743"/>
      <c r="AA163" s="743"/>
      <c r="AB163" s="743"/>
    </row>
    <row r="164" spans="2:28" ht="15" hidden="1" customHeight="1">
      <c r="B164" s="242"/>
      <c r="C164" s="242"/>
      <c r="D164" s="242"/>
      <c r="E164" s="242"/>
      <c r="F164" s="242"/>
      <c r="G164" s="242"/>
      <c r="H164" s="242"/>
      <c r="I164" s="743"/>
      <c r="J164" s="743"/>
      <c r="K164" s="743"/>
      <c r="L164" s="743"/>
      <c r="M164" s="743"/>
      <c r="N164" s="743"/>
      <c r="O164" s="743"/>
      <c r="P164" s="743"/>
      <c r="Q164" s="743"/>
      <c r="R164" s="743"/>
      <c r="S164" s="743"/>
      <c r="T164" s="743"/>
      <c r="U164" s="743"/>
      <c r="V164" s="743"/>
      <c r="W164" s="743"/>
      <c r="X164" s="743"/>
      <c r="Y164" s="743"/>
      <c r="Z164" s="743"/>
      <c r="AA164" s="743"/>
      <c r="AB164" s="743"/>
    </row>
    <row r="165" spans="2:28" ht="15" hidden="1" customHeight="1">
      <c r="B165" s="242"/>
      <c r="C165" s="242"/>
      <c r="D165" s="242"/>
      <c r="E165" s="242"/>
      <c r="F165" s="242"/>
      <c r="G165" s="242"/>
      <c r="H165" s="242"/>
      <c r="I165" s="743"/>
      <c r="J165" s="743"/>
      <c r="K165" s="743"/>
      <c r="L165" s="743"/>
      <c r="M165" s="743"/>
      <c r="N165" s="743"/>
      <c r="O165" s="743"/>
      <c r="P165" s="743"/>
      <c r="Q165" s="743"/>
      <c r="R165" s="743"/>
      <c r="S165" s="743"/>
      <c r="T165" s="743"/>
      <c r="U165" s="743"/>
      <c r="V165" s="743"/>
      <c r="W165" s="743"/>
      <c r="X165" s="743"/>
      <c r="Y165" s="743"/>
      <c r="Z165" s="743"/>
      <c r="AA165" s="743"/>
      <c r="AB165" s="743"/>
    </row>
    <row r="166" spans="2:28" ht="15" hidden="1" customHeight="1">
      <c r="B166" s="242"/>
      <c r="C166" s="242"/>
      <c r="D166" s="242"/>
      <c r="E166" s="242"/>
      <c r="F166" s="242"/>
      <c r="G166" s="242"/>
      <c r="H166" s="242"/>
      <c r="I166" s="743"/>
      <c r="J166" s="743"/>
      <c r="K166" s="743"/>
      <c r="L166" s="743"/>
      <c r="M166" s="743"/>
      <c r="N166" s="743"/>
      <c r="O166" s="743"/>
      <c r="P166" s="743"/>
      <c r="Q166" s="743"/>
      <c r="R166" s="743"/>
      <c r="S166" s="743"/>
      <c r="T166" s="743"/>
      <c r="U166" s="743"/>
      <c r="V166" s="743"/>
      <c r="W166" s="743"/>
      <c r="X166" s="743"/>
      <c r="Y166" s="743"/>
      <c r="Z166" s="743"/>
      <c r="AA166" s="743"/>
      <c r="AB166" s="743"/>
    </row>
    <row r="167" spans="2:28" ht="15" hidden="1" customHeight="1">
      <c r="B167" s="242"/>
      <c r="C167" s="242"/>
      <c r="D167" s="242"/>
      <c r="E167" s="242"/>
      <c r="F167" s="242"/>
      <c r="G167" s="242"/>
      <c r="H167" s="242"/>
      <c r="I167" s="743"/>
      <c r="J167" s="743"/>
      <c r="K167" s="743"/>
      <c r="L167" s="743"/>
      <c r="M167" s="743"/>
      <c r="N167" s="743"/>
      <c r="O167" s="743"/>
      <c r="P167" s="743"/>
      <c r="Q167" s="743"/>
      <c r="R167" s="743"/>
      <c r="S167" s="743"/>
      <c r="T167" s="743"/>
      <c r="U167" s="743"/>
      <c r="V167" s="743"/>
      <c r="W167" s="743"/>
      <c r="X167" s="743"/>
      <c r="Y167" s="743"/>
      <c r="Z167" s="743"/>
      <c r="AA167" s="743"/>
      <c r="AB167" s="743"/>
    </row>
    <row r="168" spans="2:28" ht="15" hidden="1" customHeight="1">
      <c r="B168" s="242"/>
      <c r="C168" s="242"/>
      <c r="D168" s="242"/>
      <c r="E168" s="242"/>
      <c r="F168" s="242"/>
      <c r="G168" s="242"/>
      <c r="H168" s="242"/>
      <c r="I168" s="743"/>
      <c r="J168" s="743"/>
      <c r="K168" s="743"/>
      <c r="L168" s="743"/>
      <c r="M168" s="743"/>
      <c r="N168" s="743"/>
      <c r="O168" s="743"/>
      <c r="P168" s="743"/>
      <c r="Q168" s="743"/>
      <c r="R168" s="743"/>
      <c r="S168" s="743"/>
      <c r="T168" s="743"/>
      <c r="U168" s="743"/>
      <c r="V168" s="743"/>
      <c r="W168" s="743"/>
      <c r="X168" s="743"/>
      <c r="Y168" s="743"/>
      <c r="Z168" s="743"/>
      <c r="AA168" s="743"/>
      <c r="AB168" s="743"/>
    </row>
    <row r="169" spans="2:28" ht="15" hidden="1" customHeight="1">
      <c r="B169" s="242"/>
      <c r="C169" s="242"/>
      <c r="D169" s="242"/>
      <c r="E169" s="242"/>
      <c r="F169" s="242"/>
      <c r="G169" s="242"/>
      <c r="H169" s="242"/>
      <c r="I169" s="743"/>
      <c r="J169" s="743"/>
      <c r="K169" s="743"/>
      <c r="L169" s="743"/>
      <c r="M169" s="743"/>
      <c r="N169" s="743"/>
      <c r="O169" s="743"/>
      <c r="P169" s="743"/>
      <c r="Q169" s="743"/>
      <c r="R169" s="743"/>
      <c r="S169" s="743"/>
      <c r="T169" s="743"/>
      <c r="U169" s="743"/>
      <c r="V169" s="743"/>
      <c r="W169" s="743"/>
      <c r="X169" s="743"/>
      <c r="Y169" s="743"/>
      <c r="Z169" s="743"/>
      <c r="AA169" s="743"/>
      <c r="AB169" s="743"/>
    </row>
    <row r="170" spans="2:28" ht="15" hidden="1" customHeight="1">
      <c r="B170" s="242"/>
      <c r="C170" s="242"/>
      <c r="D170" s="242"/>
      <c r="E170" s="242"/>
      <c r="F170" s="242"/>
      <c r="G170" s="242"/>
      <c r="H170" s="242"/>
      <c r="I170" s="743"/>
      <c r="J170" s="743"/>
      <c r="K170" s="743"/>
      <c r="L170" s="743"/>
      <c r="M170" s="743"/>
      <c r="N170" s="743"/>
      <c r="O170" s="743"/>
      <c r="P170" s="743"/>
      <c r="Q170" s="743"/>
      <c r="R170" s="743"/>
      <c r="S170" s="743"/>
      <c r="T170" s="743"/>
      <c r="U170" s="743"/>
      <c r="V170" s="743"/>
      <c r="W170" s="743"/>
      <c r="X170" s="743"/>
      <c r="Y170" s="743"/>
      <c r="Z170" s="743"/>
      <c r="AA170" s="743"/>
      <c r="AB170" s="743"/>
    </row>
    <row r="171" spans="2:28" ht="15" hidden="1" customHeight="1">
      <c r="B171" s="242"/>
      <c r="C171" s="242"/>
      <c r="D171" s="242"/>
      <c r="E171" s="242"/>
      <c r="F171" s="242"/>
      <c r="G171" s="242"/>
      <c r="H171" s="242"/>
      <c r="I171" s="743"/>
      <c r="J171" s="743"/>
      <c r="K171" s="743"/>
      <c r="L171" s="743"/>
      <c r="M171" s="743"/>
      <c r="N171" s="743"/>
      <c r="O171" s="743"/>
      <c r="P171" s="743"/>
      <c r="Q171" s="743"/>
      <c r="R171" s="743"/>
      <c r="S171" s="743"/>
      <c r="T171" s="743"/>
      <c r="U171" s="743"/>
      <c r="V171" s="743"/>
      <c r="W171" s="743"/>
      <c r="X171" s="743"/>
      <c r="Y171" s="743"/>
      <c r="Z171" s="743"/>
      <c r="AA171" s="743"/>
      <c r="AB171" s="743"/>
    </row>
    <row r="172" spans="2:28" ht="15" hidden="1" customHeight="1">
      <c r="B172" s="242"/>
      <c r="C172" s="242"/>
      <c r="D172" s="242"/>
      <c r="E172" s="242"/>
      <c r="F172" s="242"/>
      <c r="G172" s="242"/>
      <c r="H172" s="242"/>
      <c r="I172" s="743"/>
      <c r="J172" s="743"/>
      <c r="K172" s="743"/>
      <c r="L172" s="743"/>
      <c r="M172" s="743"/>
      <c r="N172" s="743"/>
      <c r="O172" s="743"/>
      <c r="P172" s="743"/>
      <c r="Q172" s="743"/>
      <c r="R172" s="743"/>
      <c r="S172" s="743"/>
      <c r="T172" s="743"/>
      <c r="U172" s="743"/>
      <c r="V172" s="743"/>
      <c r="W172" s="743"/>
      <c r="X172" s="743"/>
      <c r="Y172" s="743"/>
      <c r="Z172" s="743"/>
      <c r="AA172" s="743"/>
      <c r="AB172" s="743"/>
    </row>
    <row r="173" spans="2:28" ht="15" hidden="1" customHeight="1">
      <c r="B173" s="242"/>
      <c r="C173" s="242"/>
      <c r="D173" s="242"/>
      <c r="E173" s="242"/>
      <c r="F173" s="242"/>
      <c r="G173" s="242"/>
      <c r="H173" s="242"/>
      <c r="I173" s="743"/>
      <c r="J173" s="743"/>
      <c r="K173" s="743"/>
      <c r="L173" s="743"/>
      <c r="M173" s="743"/>
      <c r="N173" s="743"/>
      <c r="O173" s="743"/>
      <c r="P173" s="743"/>
      <c r="Q173" s="743"/>
      <c r="R173" s="743"/>
      <c r="S173" s="743"/>
      <c r="T173" s="743"/>
      <c r="U173" s="743"/>
      <c r="V173" s="743"/>
      <c r="W173" s="743"/>
      <c r="X173" s="743"/>
      <c r="Y173" s="743"/>
      <c r="Z173" s="743"/>
      <c r="AA173" s="743"/>
      <c r="AB173" s="743"/>
    </row>
    <row r="174" spans="2:28" ht="15" hidden="1" customHeight="1">
      <c r="B174" s="242"/>
      <c r="C174" s="242"/>
      <c r="D174" s="242"/>
      <c r="E174" s="242"/>
      <c r="F174" s="242"/>
      <c r="G174" s="242"/>
      <c r="H174" s="242"/>
      <c r="I174" s="743"/>
      <c r="J174" s="743"/>
      <c r="K174" s="743"/>
      <c r="L174" s="743"/>
      <c r="M174" s="743"/>
      <c r="N174" s="743"/>
      <c r="O174" s="743"/>
      <c r="P174" s="743"/>
      <c r="Q174" s="743"/>
      <c r="R174" s="743"/>
      <c r="S174" s="743"/>
      <c r="T174" s="743"/>
      <c r="U174" s="743"/>
      <c r="V174" s="743"/>
      <c r="W174" s="743"/>
      <c r="X174" s="743"/>
      <c r="Y174" s="743"/>
      <c r="Z174" s="743"/>
      <c r="AA174" s="743"/>
      <c r="AB174" s="743"/>
    </row>
    <row r="175" spans="2:28" ht="15" hidden="1" customHeight="1">
      <c r="B175" s="242"/>
      <c r="C175" s="242"/>
      <c r="D175" s="242"/>
      <c r="E175" s="242"/>
      <c r="F175" s="242"/>
      <c r="G175" s="242"/>
      <c r="H175" s="242"/>
      <c r="I175" s="743"/>
      <c r="J175" s="743"/>
      <c r="K175" s="743"/>
      <c r="L175" s="743"/>
      <c r="M175" s="743"/>
      <c r="N175" s="743"/>
      <c r="O175" s="743"/>
      <c r="P175" s="743"/>
      <c r="Q175" s="743"/>
      <c r="R175" s="743"/>
      <c r="S175" s="743"/>
      <c r="T175" s="743"/>
      <c r="U175" s="743"/>
      <c r="V175" s="743"/>
      <c r="W175" s="743"/>
      <c r="X175" s="743"/>
      <c r="Y175" s="743"/>
      <c r="Z175" s="743"/>
      <c r="AA175" s="743"/>
      <c r="AB175" s="743"/>
    </row>
    <row r="176" spans="2:28" ht="27" hidden="1" customHeight="1">
      <c r="B176" s="242"/>
      <c r="C176" s="242"/>
      <c r="D176" s="242"/>
      <c r="E176" s="242"/>
      <c r="F176" s="242"/>
      <c r="G176" s="242"/>
      <c r="H176" s="242"/>
      <c r="I176" s="743"/>
      <c r="J176" s="743"/>
      <c r="K176" s="743"/>
      <c r="L176" s="743"/>
      <c r="M176" s="743"/>
      <c r="N176" s="743"/>
      <c r="O176" s="743"/>
      <c r="P176" s="743"/>
      <c r="Q176" s="743"/>
      <c r="R176" s="743"/>
      <c r="S176" s="743"/>
      <c r="T176" s="743"/>
      <c r="U176" s="743"/>
      <c r="V176" s="743"/>
      <c r="W176" s="743"/>
      <c r="X176" s="743"/>
      <c r="Y176" s="743"/>
      <c r="Z176" s="743"/>
      <c r="AA176" s="743"/>
      <c r="AB176" s="743"/>
    </row>
    <row r="177" spans="2:28" ht="15" hidden="1" customHeight="1">
      <c r="B177" s="242"/>
      <c r="C177" s="242"/>
      <c r="D177" s="242"/>
      <c r="E177" s="242"/>
      <c r="F177" s="242"/>
      <c r="G177" s="242"/>
      <c r="H177" s="242"/>
      <c r="I177" s="743"/>
      <c r="J177" s="743"/>
      <c r="K177" s="743"/>
      <c r="L177" s="743"/>
      <c r="M177" s="743"/>
      <c r="N177" s="743"/>
      <c r="O177" s="743"/>
      <c r="P177" s="743"/>
      <c r="Q177" s="743"/>
      <c r="R177" s="743"/>
      <c r="S177" s="743"/>
      <c r="T177" s="743"/>
      <c r="U177" s="743"/>
      <c r="V177" s="743"/>
      <c r="W177" s="743"/>
      <c r="X177" s="743"/>
      <c r="Y177" s="743"/>
      <c r="Z177" s="743"/>
      <c r="AA177" s="743"/>
      <c r="AB177" s="743"/>
    </row>
    <row r="178" spans="2:28" ht="15" hidden="1" customHeight="1">
      <c r="Q178" s="1378"/>
      <c r="R178" s="1378"/>
      <c r="S178" s="1378"/>
      <c r="T178" s="1378"/>
      <c r="U178" s="1378"/>
      <c r="V178" s="1378"/>
      <c r="W178" s="1378"/>
      <c r="X178" s="1378"/>
      <c r="Y178" s="1378"/>
      <c r="Z178" s="1378"/>
      <c r="AA178" s="1378"/>
      <c r="AB178" s="1378"/>
    </row>
    <row r="179" spans="2:28" ht="15" hidden="1" customHeight="1"/>
    <row r="180" spans="2:28" ht="15" hidden="1" customHeight="1"/>
    <row r="181" spans="2:28" ht="15" hidden="1" customHeight="1"/>
    <row r="182" spans="2:28" ht="15" hidden="1" customHeight="1"/>
    <row r="183" spans="2:28" ht="15" hidden="1" customHeight="1"/>
    <row r="184" spans="2:28" ht="15" hidden="1" customHeight="1"/>
    <row r="185" spans="2:28" ht="15" hidden="1" customHeight="1"/>
    <row r="186" spans="2:28" ht="15" hidden="1" customHeight="1"/>
    <row r="187" spans="2:28" ht="15" hidden="1" customHeight="1"/>
    <row r="188" spans="2:28" ht="15" hidden="1" customHeight="1"/>
    <row r="189" spans="2:28" ht="15" hidden="1" customHeight="1"/>
    <row r="190" spans="2:28" ht="15" hidden="1" customHeight="1"/>
    <row r="191" spans="2:28" ht="15" hidden="1" customHeight="1"/>
    <row r="192" spans="2:28"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sheetData>
  <sheetProtection selectLockedCells="1"/>
  <mergeCells count="239">
    <mergeCell ref="V2:AB3"/>
    <mergeCell ref="Q47:AB47"/>
    <mergeCell ref="Q80:AB80"/>
    <mergeCell ref="Q178:AB178"/>
    <mergeCell ref="AD3:AE3"/>
    <mergeCell ref="B10:AB10"/>
    <mergeCell ref="AG8:AH8"/>
    <mergeCell ref="B157:G157"/>
    <mergeCell ref="H157:N157"/>
    <mergeCell ref="O157:T157"/>
    <mergeCell ref="U157:X157"/>
    <mergeCell ref="Y157:AB157"/>
    <mergeCell ref="B158:G158"/>
    <mergeCell ref="H158:N158"/>
    <mergeCell ref="O158:T158"/>
    <mergeCell ref="U158:X158"/>
    <mergeCell ref="Y158:AB158"/>
    <mergeCell ref="B155:G155"/>
    <mergeCell ref="B156:G156"/>
    <mergeCell ref="H154:N154"/>
    <mergeCell ref="O154:T154"/>
    <mergeCell ref="U154:X154"/>
    <mergeCell ref="Y154:AB154"/>
    <mergeCell ref="H155:N155"/>
    <mergeCell ref="O155:T155"/>
    <mergeCell ref="U155:X155"/>
    <mergeCell ref="Y155:AB155"/>
    <mergeCell ref="H156:N156"/>
    <mergeCell ref="O156:T156"/>
    <mergeCell ref="U156:X156"/>
    <mergeCell ref="Y156:AB156"/>
    <mergeCell ref="H152:AB152"/>
    <mergeCell ref="H153:N153"/>
    <mergeCell ref="O153:T153"/>
    <mergeCell ref="U153:X153"/>
    <mergeCell ref="Y153:AB153"/>
    <mergeCell ref="B154:G154"/>
    <mergeCell ref="B152:G153"/>
    <mergeCell ref="B126:J126"/>
    <mergeCell ref="T126:AB126"/>
    <mergeCell ref="T127:AB127"/>
    <mergeCell ref="T132:AB132"/>
    <mergeCell ref="T133:AB133"/>
    <mergeCell ref="B117:AB119"/>
    <mergeCell ref="C106:AB106"/>
    <mergeCell ref="C107:AB107"/>
    <mergeCell ref="C108:AB108"/>
    <mergeCell ref="C109:AB109"/>
    <mergeCell ref="B112:AB114"/>
    <mergeCell ref="B134:AB134"/>
    <mergeCell ref="B135:AB135"/>
    <mergeCell ref="B140:AB140"/>
    <mergeCell ref="B141:AB141"/>
    <mergeCell ref="B127:J127"/>
    <mergeCell ref="B132:J132"/>
    <mergeCell ref="B133:J133"/>
    <mergeCell ref="B122:G122"/>
    <mergeCell ref="B123:G123"/>
    <mergeCell ref="B124:G124"/>
    <mergeCell ref="J124:L124"/>
    <mergeCell ref="B40:N40"/>
    <mergeCell ref="O40:AB40"/>
    <mergeCell ref="B41:N41"/>
    <mergeCell ref="O41:AB41"/>
    <mergeCell ref="C38:L38"/>
    <mergeCell ref="M38:N38"/>
    <mergeCell ref="O38:R38"/>
    <mergeCell ref="S38:U38"/>
    <mergeCell ref="V38:Y38"/>
    <mergeCell ref="Z38:AB38"/>
    <mergeCell ref="C35:L35"/>
    <mergeCell ref="M35:N35"/>
    <mergeCell ref="O35:R35"/>
    <mergeCell ref="S35:U35"/>
    <mergeCell ref="V35:Y35"/>
    <mergeCell ref="V37:Y37"/>
    <mergeCell ref="Z37:AB37"/>
    <mergeCell ref="C36:L36"/>
    <mergeCell ref="M36:N36"/>
    <mergeCell ref="O36:R36"/>
    <mergeCell ref="S36:U36"/>
    <mergeCell ref="V36:Y36"/>
    <mergeCell ref="Z36:AB36"/>
    <mergeCell ref="C37:L37"/>
    <mergeCell ref="M37:N37"/>
    <mergeCell ref="O37:R37"/>
    <mergeCell ref="S37:U37"/>
    <mergeCell ref="Z35:AB35"/>
    <mergeCell ref="B34:AB34"/>
    <mergeCell ref="O31:R31"/>
    <mergeCell ref="O32:R32"/>
    <mergeCell ref="O33:R33"/>
    <mergeCell ref="S27:U27"/>
    <mergeCell ref="S28:U28"/>
    <mergeCell ref="S29:U29"/>
    <mergeCell ref="S30:U30"/>
    <mergeCell ref="S31:U31"/>
    <mergeCell ref="S32:U32"/>
    <mergeCell ref="S33:U33"/>
    <mergeCell ref="O27:R27"/>
    <mergeCell ref="O28:R28"/>
    <mergeCell ref="O29:R29"/>
    <mergeCell ref="O30:R30"/>
    <mergeCell ref="C31:L31"/>
    <mergeCell ref="C32:L32"/>
    <mergeCell ref="C33:L33"/>
    <mergeCell ref="M27:N27"/>
    <mergeCell ref="M28:N28"/>
    <mergeCell ref="M29:N29"/>
    <mergeCell ref="M30:N30"/>
    <mergeCell ref="M31:N31"/>
    <mergeCell ref="M32:N32"/>
    <mergeCell ref="M33:N33"/>
    <mergeCell ref="C27:L27"/>
    <mergeCell ref="C28:L28"/>
    <mergeCell ref="C29:L29"/>
    <mergeCell ref="C30:L30"/>
    <mergeCell ref="B24:B25"/>
    <mergeCell ref="C24:L25"/>
    <mergeCell ref="M24:N25"/>
    <mergeCell ref="O24:U24"/>
    <mergeCell ref="B26:AB26"/>
    <mergeCell ref="V33:Y33"/>
    <mergeCell ref="Z27:AB27"/>
    <mergeCell ref="Z28:AB28"/>
    <mergeCell ref="Z29:AB29"/>
    <mergeCell ref="Z30:AB30"/>
    <mergeCell ref="Z31:AB31"/>
    <mergeCell ref="Z32:AB32"/>
    <mergeCell ref="Z33:AB33"/>
    <mergeCell ref="V27:Y27"/>
    <mergeCell ref="V28:Y28"/>
    <mergeCell ref="V29:Y29"/>
    <mergeCell ref="V30:Y30"/>
    <mergeCell ref="V31:Y31"/>
    <mergeCell ref="V32:Y32"/>
    <mergeCell ref="V24:AB24"/>
    <mergeCell ref="O25:R25"/>
    <mergeCell ref="S25:U25"/>
    <mergeCell ref="V25:Y25"/>
    <mergeCell ref="Z25:AB25"/>
    <mergeCell ref="B23:AB23"/>
    <mergeCell ref="AD4:AE7"/>
    <mergeCell ref="B11:AB11"/>
    <mergeCell ref="B12:AB12"/>
    <mergeCell ref="B14:E17"/>
    <mergeCell ref="B13:E13"/>
    <mergeCell ref="F13:AB13"/>
    <mergeCell ref="B4:AB4"/>
    <mergeCell ref="B20:E20"/>
    <mergeCell ref="F20:AB20"/>
    <mergeCell ref="B21:E22"/>
    <mergeCell ref="F14:AB17"/>
    <mergeCell ref="F21:AB22"/>
    <mergeCell ref="B57:B58"/>
    <mergeCell ref="B55:B56"/>
    <mergeCell ref="B54:AB54"/>
    <mergeCell ref="C53:I53"/>
    <mergeCell ref="J53:N53"/>
    <mergeCell ref="O53:AB53"/>
    <mergeCell ref="C55:I56"/>
    <mergeCell ref="C57:I58"/>
    <mergeCell ref="J55:N55"/>
    <mergeCell ref="J56:N56"/>
    <mergeCell ref="J57:N57"/>
    <mergeCell ref="J58:N58"/>
    <mergeCell ref="O55:AB55"/>
    <mergeCell ref="O56:AB56"/>
    <mergeCell ref="O57:AB57"/>
    <mergeCell ref="O58:AB58"/>
    <mergeCell ref="B70:B71"/>
    <mergeCell ref="B63:B64"/>
    <mergeCell ref="C63:I64"/>
    <mergeCell ref="C70:I71"/>
    <mergeCell ref="J71:N71"/>
    <mergeCell ref="B61:B62"/>
    <mergeCell ref="B59:B60"/>
    <mergeCell ref="C59:I60"/>
    <mergeCell ref="C61:I62"/>
    <mergeCell ref="J59:N59"/>
    <mergeCell ref="J60:N60"/>
    <mergeCell ref="J61:N61"/>
    <mergeCell ref="J62:N62"/>
    <mergeCell ref="J63:N63"/>
    <mergeCell ref="J64:N64"/>
    <mergeCell ref="J70:N70"/>
    <mergeCell ref="B69:AB69"/>
    <mergeCell ref="O59:AB59"/>
    <mergeCell ref="O60:AB60"/>
    <mergeCell ref="O61:AB61"/>
    <mergeCell ref="O62:AB62"/>
    <mergeCell ref="O63:AB63"/>
    <mergeCell ref="O64:AB64"/>
    <mergeCell ref="O70:AB70"/>
    <mergeCell ref="C72:I73"/>
    <mergeCell ref="J72:N72"/>
    <mergeCell ref="J73:N73"/>
    <mergeCell ref="O73:AB73"/>
    <mergeCell ref="C75:I76"/>
    <mergeCell ref="J75:N75"/>
    <mergeCell ref="J76:N76"/>
    <mergeCell ref="O75:AB75"/>
    <mergeCell ref="O76:AB76"/>
    <mergeCell ref="B95:B96"/>
    <mergeCell ref="C95:I96"/>
    <mergeCell ref="B88:B89"/>
    <mergeCell ref="B86:B87"/>
    <mergeCell ref="C86:I87"/>
    <mergeCell ref="C88:I89"/>
    <mergeCell ref="B94:AB94"/>
    <mergeCell ref="O86:AB86"/>
    <mergeCell ref="O87:AB87"/>
    <mergeCell ref="O88:AB88"/>
    <mergeCell ref="O89:AB89"/>
    <mergeCell ref="O95:AB95"/>
    <mergeCell ref="C103:I103"/>
    <mergeCell ref="J100:N100"/>
    <mergeCell ref="J101:N101"/>
    <mergeCell ref="J102:N102"/>
    <mergeCell ref="J103:N103"/>
    <mergeCell ref="O103:AB103"/>
    <mergeCell ref="O71:AB71"/>
    <mergeCell ref="O72:AB72"/>
    <mergeCell ref="O96:AB96"/>
    <mergeCell ref="O100:AB100"/>
    <mergeCell ref="O101:AB101"/>
    <mergeCell ref="O102:AB102"/>
    <mergeCell ref="C100:I100"/>
    <mergeCell ref="C101:I101"/>
    <mergeCell ref="C102:I102"/>
    <mergeCell ref="J86:N86"/>
    <mergeCell ref="J87:N87"/>
    <mergeCell ref="J88:N88"/>
    <mergeCell ref="J89:N89"/>
    <mergeCell ref="J95:N95"/>
    <mergeCell ref="J96:N96"/>
    <mergeCell ref="B74:AB74"/>
    <mergeCell ref="B75:B76"/>
    <mergeCell ref="B72:B73"/>
  </mergeCells>
  <pageMargins left="0.84" right="0.83" top="0.39" bottom="0.39" header="0.3" footer="0.3"/>
  <pageSetup paperSize="9" scale="91" orientation="portrait" r:id="rId1"/>
  <rowBreaks count="4" manualBreakCount="4">
    <brk id="47" min="1" max="27" man="1"/>
    <brk id="64" min="1" max="27" man="1"/>
    <brk id="89" min="1" max="27" man="1"/>
    <brk id="143" min="1" max="27" man="1"/>
  </rowBreaks>
  <colBreaks count="1" manualBreakCount="1">
    <brk id="28" min="3" max="69" man="1"/>
  </colBreaks>
  <drawing r:id="rId2"/>
  <legacyDrawing r:id="rId3"/>
</worksheet>
</file>

<file path=xl/worksheets/sheet22.xml><?xml version="1.0" encoding="utf-8"?>
<worksheet xmlns="http://schemas.openxmlformats.org/spreadsheetml/2006/main" xmlns:r="http://schemas.openxmlformats.org/officeDocument/2006/relationships">
  <sheetPr codeName="Sheet20">
    <tabColor rgb="FF00B050"/>
  </sheetPr>
  <dimension ref="B1:XFC24"/>
  <sheetViews>
    <sheetView showRowColHeaders="0" workbookViewId="0">
      <selection activeCell="A24" sqref="A24"/>
    </sheetView>
  </sheetViews>
  <sheetFormatPr defaultColWidth="0" defaultRowHeight="15" customHeight="1" zeroHeight="1"/>
  <cols>
    <col min="1" max="1" width="20.140625" style="2" customWidth="1"/>
    <col min="2" max="2" width="2.85546875" style="2" customWidth="1"/>
    <col min="3" max="4" width="9.140625" style="2" customWidth="1"/>
    <col min="5" max="5" width="12.28515625" style="2" customWidth="1"/>
    <col min="6" max="7" width="9.140625" style="2" customWidth="1"/>
    <col min="8" max="8" width="4.42578125" style="2" customWidth="1"/>
    <col min="9" max="9" width="17.140625" style="2" customWidth="1"/>
    <col min="10" max="10" width="9.140625" style="2" customWidth="1"/>
    <col min="11" max="11" width="8.85546875" style="2" customWidth="1"/>
    <col min="12" max="12" width="5.28515625" style="2" customWidth="1"/>
    <col min="13" max="19" width="9.140625" style="2" customWidth="1"/>
    <col min="20" max="16383" width="9.140625" style="2" hidden="1"/>
    <col min="16384" max="16384" width="4.42578125" style="2" customWidth="1"/>
  </cols>
  <sheetData>
    <row r="1" spans="2:21" ht="3.75" customHeight="1"/>
    <row r="2" spans="2:21" ht="33" customHeight="1">
      <c r="C2" s="122"/>
      <c r="D2" s="122"/>
      <c r="E2" s="122"/>
      <c r="F2" s="122"/>
      <c r="G2" s="878" t="str">
        <f>"MENU SEMESTER "&amp;UPPER(_smt_genap)</f>
        <v>MENU SEMESTER 4 (EMPAT)</v>
      </c>
      <c r="H2" s="878"/>
      <c r="I2" s="878"/>
      <c r="J2" s="878"/>
      <c r="K2" s="878"/>
      <c r="L2" s="878"/>
      <c r="M2" s="878"/>
      <c r="N2" s="122"/>
      <c r="O2" s="122"/>
      <c r="P2" s="122"/>
      <c r="R2" s="122"/>
      <c r="S2" s="122"/>
      <c r="T2" s="123"/>
      <c r="U2" s="123"/>
    </row>
    <row r="3" spans="2:21" ht="18.75">
      <c r="C3" s="124"/>
      <c r="D3" s="124"/>
      <c r="E3" s="124"/>
      <c r="F3" s="124"/>
      <c r="G3" s="879" t="str">
        <f>"Tahun Pelajaran "&amp;DK!D8</f>
        <v>Tahun Pelajaran 2018 / 2019</v>
      </c>
      <c r="H3" s="879"/>
      <c r="I3" s="879"/>
      <c r="J3" s="879"/>
      <c r="K3" s="879"/>
      <c r="L3" s="879"/>
      <c r="M3" s="879"/>
      <c r="N3" s="124"/>
      <c r="O3" s="124"/>
      <c r="P3" s="124"/>
      <c r="Q3" s="124"/>
      <c r="R3" s="124"/>
      <c r="S3" s="124"/>
      <c r="T3" s="125"/>
      <c r="U3" s="125"/>
    </row>
    <row r="4" spans="2:21" ht="22.5">
      <c r="B4" s="71"/>
      <c r="C4" s="71"/>
      <c r="D4" s="71"/>
      <c r="E4" s="71"/>
      <c r="F4" s="71"/>
      <c r="G4" s="880" t="str">
        <f>"Kelas "&amp;DK!D5</f>
        <v>Kelas VIII A</v>
      </c>
      <c r="H4" s="880"/>
      <c r="I4" s="880"/>
      <c r="J4" s="880"/>
      <c r="K4" s="880"/>
      <c r="L4" s="880"/>
      <c r="M4" s="880"/>
    </row>
    <row r="5" spans="2:21" ht="15" customHeight="1"/>
    <row r="6" spans="2:21" ht="15" customHeight="1"/>
    <row r="7" spans="2:21" ht="15" customHeight="1"/>
    <row r="8" spans="2:21" ht="15" customHeight="1"/>
    <row r="9" spans="2:21" ht="15" customHeight="1"/>
    <row r="10" spans="2:21" ht="15" customHeight="1"/>
    <row r="11" spans="2:21" ht="15" customHeight="1"/>
    <row r="12" spans="2:21" ht="15" customHeight="1"/>
    <row r="13" spans="2:21" ht="15" customHeight="1"/>
    <row r="14" spans="2:21" ht="15" customHeight="1"/>
    <row r="15" spans="2:21" ht="15" customHeight="1"/>
    <row r="16" spans="2:21" ht="15" customHeight="1"/>
    <row r="17" ht="15" customHeight="1"/>
    <row r="18" ht="38.25" customHeight="1"/>
    <row r="19" ht="24" customHeight="1"/>
    <row r="20" ht="15" customHeight="1"/>
    <row r="21" ht="15" customHeight="1"/>
    <row r="22" ht="15" customHeight="1"/>
    <row r="23" ht="15" customHeight="1"/>
    <row r="24" ht="15" customHeight="1"/>
  </sheetData>
  <sheetProtection password="CE75" sheet="1" objects="1" scenarios="1" selectLockedCells="1"/>
  <mergeCells count="3">
    <mergeCell ref="G2:M2"/>
    <mergeCell ref="G3:M3"/>
    <mergeCell ref="G4:M4"/>
  </mergeCell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sheetPr codeName="Sheet19">
    <tabColor rgb="FF00B050"/>
  </sheetPr>
  <dimension ref="A1:BN72"/>
  <sheetViews>
    <sheetView showRowColHeaders="0" zoomScale="85" zoomScaleNormal="85" workbookViewId="0">
      <pane xSplit="8" ySplit="6" topLeftCell="O17" activePane="bottomRight" state="frozenSplit"/>
      <selection sqref="A1:XFD1048576"/>
      <selection pane="topRight" activeCell="J1" sqref="J1"/>
      <selection pane="bottomLeft" activeCell="A11" sqref="A11"/>
      <selection pane="bottomRight"/>
    </sheetView>
  </sheetViews>
  <sheetFormatPr defaultColWidth="0" defaultRowHeight="16.5" customHeight="1" zeroHeight="1"/>
  <cols>
    <col min="1" max="1" width="1.7109375" style="198" customWidth="1"/>
    <col min="2" max="2" width="14.42578125" style="197" customWidth="1"/>
    <col min="3" max="3" width="11.140625" style="198" customWidth="1"/>
    <col min="4" max="4" width="2.5703125" style="198" customWidth="1"/>
    <col min="5" max="5" width="4.140625" style="199" bestFit="1" customWidth="1"/>
    <col min="6" max="6" width="6.85546875" style="199" customWidth="1"/>
    <col min="7" max="7" width="13.42578125" style="199" customWidth="1"/>
    <col min="8" max="8" width="14.5703125" style="199" customWidth="1"/>
    <col min="9" max="10" width="5.7109375" style="198" customWidth="1"/>
    <col min="11" max="11" width="5.7109375" style="198" hidden="1" customWidth="1"/>
    <col min="12" max="13" width="5.7109375" style="198" customWidth="1"/>
    <col min="14" max="14" width="5.7109375" style="198" hidden="1" customWidth="1"/>
    <col min="15" max="16" width="5.7109375" style="198" customWidth="1"/>
    <col min="17" max="17" width="5.7109375" style="198" hidden="1" customWidth="1"/>
    <col min="18" max="19" width="5.7109375" style="198" customWidth="1"/>
    <col min="20" max="20" width="5.7109375" style="198" hidden="1" customWidth="1"/>
    <col min="21" max="22" width="5.7109375" style="198" customWidth="1"/>
    <col min="23" max="23" width="5.7109375" style="198" hidden="1" customWidth="1"/>
    <col min="24" max="25" width="5.7109375" style="198" customWidth="1"/>
    <col min="26" max="26" width="5.7109375" style="198" hidden="1" customWidth="1"/>
    <col min="27" max="28" width="5.7109375" style="198" customWidth="1"/>
    <col min="29" max="29" width="5.7109375" style="198" hidden="1" customWidth="1"/>
    <col min="30" max="31" width="5.7109375" style="198" customWidth="1"/>
    <col min="32" max="32" width="5.7109375" style="198" hidden="1" customWidth="1"/>
    <col min="33" max="33" width="6" style="198" customWidth="1"/>
    <col min="34" max="34" width="6.5703125" style="198" customWidth="1"/>
    <col min="35" max="35" width="5.7109375" style="198" hidden="1" customWidth="1"/>
    <col min="36" max="36" width="6.140625" style="198" customWidth="1"/>
    <col min="37" max="37" width="6.28515625" style="198" customWidth="1"/>
    <col min="38" max="38" width="5.7109375" style="198" hidden="1" customWidth="1"/>
    <col min="39" max="40" width="5.7109375" style="198" customWidth="1"/>
    <col min="41" max="41" width="5.7109375" style="198" hidden="1" customWidth="1"/>
    <col min="42" max="43" width="5.7109375" style="198" customWidth="1"/>
    <col min="44" max="44" width="5.7109375" style="198" hidden="1" customWidth="1"/>
    <col min="45" max="46" width="5.7109375" style="198" customWidth="1"/>
    <col min="47" max="47" width="5.7109375" style="198" hidden="1" customWidth="1"/>
    <col min="48" max="49" width="5.7109375" style="198" customWidth="1"/>
    <col min="50" max="50" width="5.7109375" style="198" hidden="1" customWidth="1"/>
    <col min="51" max="52" width="5.7109375" style="198" customWidth="1"/>
    <col min="53" max="53" width="5.7109375" style="198" hidden="1" customWidth="1"/>
    <col min="54" max="54" width="7.42578125" style="199" customWidth="1"/>
    <col min="55" max="55" width="8.140625" style="199" bestFit="1" customWidth="1"/>
    <col min="56" max="56" width="5" style="199" customWidth="1"/>
    <col min="57" max="59" width="4.7109375" style="199" customWidth="1"/>
    <col min="60" max="60" width="3.7109375" style="199" customWidth="1"/>
    <col min="61" max="61" width="18.5703125" style="199" customWidth="1"/>
    <col min="62" max="62" width="43.7109375" style="198" customWidth="1"/>
    <col min="63" max="63" width="0.7109375" style="198" customWidth="1"/>
    <col min="64" max="64" width="61.85546875" style="198" customWidth="1"/>
    <col min="65" max="65" width="9.140625" style="198" customWidth="1"/>
    <col min="66" max="66" width="28.7109375" style="198" hidden="1" customWidth="1"/>
    <col min="67" max="16384" width="9.140625" style="198" hidden="1"/>
  </cols>
  <sheetData>
    <row r="1" spans="2:64" ht="17.25" thickBot="1"/>
    <row r="2" spans="2:64" ht="18.75">
      <c r="C2" s="921" t="s">
        <v>80</v>
      </c>
      <c r="E2" s="1399" t="s">
        <v>57</v>
      </c>
      <c r="F2" s="1400"/>
      <c r="G2" s="1400"/>
      <c r="H2" s="1403" t="str">
        <f>UPPER(_smt_genap)</f>
        <v>4 (EMPAT)</v>
      </c>
      <c r="I2" s="1043" t="s">
        <v>53</v>
      </c>
      <c r="J2" s="1044"/>
      <c r="K2" s="1044"/>
      <c r="L2" s="1044"/>
      <c r="M2" s="1044"/>
      <c r="N2" s="1044"/>
      <c r="O2" s="1044"/>
      <c r="P2" s="1044"/>
      <c r="Q2" s="1044"/>
      <c r="R2" s="1044"/>
      <c r="S2" s="1044"/>
      <c r="T2" s="1044"/>
      <c r="U2" s="1044"/>
      <c r="V2" s="1044"/>
      <c r="W2" s="1044"/>
      <c r="X2" s="1044"/>
      <c r="Y2" s="1044"/>
      <c r="Z2" s="1044"/>
      <c r="AA2" s="1044"/>
      <c r="AB2" s="1044"/>
      <c r="AC2" s="1044"/>
      <c r="AD2" s="1044"/>
      <c r="AE2" s="1044"/>
      <c r="AF2" s="1044"/>
      <c r="AG2" s="1044"/>
      <c r="AH2" s="1044"/>
      <c r="AI2" s="1044"/>
      <c r="AJ2" s="1044"/>
      <c r="AK2" s="1044"/>
      <c r="AL2" s="1044"/>
      <c r="AM2" s="1044"/>
      <c r="AN2" s="1044"/>
      <c r="AO2" s="1405"/>
      <c r="AP2" s="1045" t="s">
        <v>58</v>
      </c>
      <c r="AQ2" s="1046"/>
      <c r="AR2" s="1046"/>
      <c r="AS2" s="1046"/>
      <c r="AT2" s="1046"/>
      <c r="AU2" s="1046"/>
      <c r="AV2" s="1046"/>
      <c r="AW2" s="1046"/>
      <c r="AX2" s="1046"/>
      <c r="AY2" s="1046"/>
      <c r="AZ2" s="1046"/>
      <c r="BA2" s="1047"/>
      <c r="BB2" s="1406" t="s">
        <v>60</v>
      </c>
      <c r="BC2" s="1407"/>
      <c r="BD2" s="1408"/>
      <c r="BE2" s="1391" t="s">
        <v>62</v>
      </c>
      <c r="BF2" s="1392"/>
      <c r="BG2" s="1392"/>
      <c r="BH2" s="1392"/>
      <c r="BI2" s="1396" t="str">
        <f>IF(_smt_genap="6 (Enam)","Lulus / Tidak Lulus","Naik / Tidak Naik")</f>
        <v>Naik / Tidak Naik</v>
      </c>
      <c r="BJ2" s="1393" t="s">
        <v>76</v>
      </c>
      <c r="BL2" s="901" t="s">
        <v>77</v>
      </c>
    </row>
    <row r="3" spans="2:64" s="201" customFormat="1" ht="17.25" customHeight="1" thickBot="1">
      <c r="B3" s="200"/>
      <c r="C3" s="922"/>
      <c r="E3" s="1401"/>
      <c r="F3" s="1402"/>
      <c r="G3" s="1402"/>
      <c r="H3" s="1404"/>
      <c r="I3" s="906">
        <v>1</v>
      </c>
      <c r="J3" s="907"/>
      <c r="K3" s="907"/>
      <c r="L3" s="906">
        <v>2</v>
      </c>
      <c r="M3" s="907"/>
      <c r="N3" s="907"/>
      <c r="O3" s="906">
        <v>3</v>
      </c>
      <c r="P3" s="907"/>
      <c r="Q3" s="907"/>
      <c r="R3" s="906">
        <v>4</v>
      </c>
      <c r="S3" s="907"/>
      <c r="T3" s="907"/>
      <c r="U3" s="906">
        <v>5</v>
      </c>
      <c r="V3" s="907"/>
      <c r="W3" s="907"/>
      <c r="X3" s="906">
        <v>6</v>
      </c>
      <c r="Y3" s="907"/>
      <c r="Z3" s="907"/>
      <c r="AA3" s="906">
        <v>7</v>
      </c>
      <c r="AB3" s="907"/>
      <c r="AC3" s="907"/>
      <c r="AD3" s="906">
        <v>8</v>
      </c>
      <c r="AE3" s="907"/>
      <c r="AF3" s="907"/>
      <c r="AG3" s="906">
        <v>9</v>
      </c>
      <c r="AH3" s="907"/>
      <c r="AI3" s="907"/>
      <c r="AJ3" s="906">
        <v>10</v>
      </c>
      <c r="AK3" s="907"/>
      <c r="AL3" s="907"/>
      <c r="AM3" s="906">
        <v>11</v>
      </c>
      <c r="AN3" s="907"/>
      <c r="AO3" s="907"/>
      <c r="AP3" s="906">
        <v>12</v>
      </c>
      <c r="AQ3" s="907"/>
      <c r="AR3" s="907"/>
      <c r="AS3" s="906">
        <v>13</v>
      </c>
      <c r="AT3" s="907"/>
      <c r="AU3" s="907"/>
      <c r="AV3" s="906">
        <v>14</v>
      </c>
      <c r="AW3" s="907"/>
      <c r="AX3" s="907"/>
      <c r="AY3" s="906">
        <v>15</v>
      </c>
      <c r="AZ3" s="907"/>
      <c r="BA3" s="907"/>
      <c r="BB3" s="1409"/>
      <c r="BC3" s="1410"/>
      <c r="BD3" s="1411"/>
      <c r="BE3" s="917"/>
      <c r="BF3" s="918"/>
      <c r="BG3" s="918"/>
      <c r="BH3" s="918"/>
      <c r="BI3" s="1397"/>
      <c r="BJ3" s="1394"/>
      <c r="BL3" s="902"/>
    </row>
    <row r="4" spans="2:64" ht="33" customHeight="1" thickBot="1">
      <c r="C4" s="202">
        <v>65</v>
      </c>
      <c r="E4" s="937" t="str">
        <f>"KELAS "&amp;_kelas&amp;" - TP. "&amp;DK!D8</f>
        <v>KELAS VIII A - TP. 2018 / 2019</v>
      </c>
      <c r="F4" s="938"/>
      <c r="G4" s="938"/>
      <c r="H4" s="939"/>
      <c r="I4" s="951" t="str">
        <f>_MP1</f>
        <v>Pendidikan Agama Islam</v>
      </c>
      <c r="J4" s="952"/>
      <c r="K4" s="953"/>
      <c r="L4" s="951" t="str">
        <f>_MP2</f>
        <v>Pendidikan Agama Kristen</v>
      </c>
      <c r="M4" s="957"/>
      <c r="N4" s="958"/>
      <c r="O4" s="951" t="str">
        <f>_MP3</f>
        <v>Pendidikan Agama Katolik</v>
      </c>
      <c r="P4" s="957"/>
      <c r="Q4" s="958"/>
      <c r="R4" s="951" t="str">
        <f>_MP4</f>
        <v>Pendidikan Agama Hindu</v>
      </c>
      <c r="S4" s="957"/>
      <c r="T4" s="958"/>
      <c r="U4" s="951" t="str">
        <f>_MP5</f>
        <v>Pendidikan Agama Budha</v>
      </c>
      <c r="V4" s="957"/>
      <c r="W4" s="958"/>
      <c r="X4" s="885" t="str">
        <f>_MP6</f>
        <v>PKn</v>
      </c>
      <c r="Y4" s="886"/>
      <c r="Z4" s="887"/>
      <c r="AA4" s="885" t="str">
        <f>_MP7</f>
        <v xml:space="preserve">Bahasa Indonesia </v>
      </c>
      <c r="AB4" s="886"/>
      <c r="AC4" s="887"/>
      <c r="AD4" s="885" t="str">
        <f>_MP8</f>
        <v xml:space="preserve">Matematika </v>
      </c>
      <c r="AE4" s="886"/>
      <c r="AF4" s="887"/>
      <c r="AG4" s="885" t="str">
        <f>_MP9</f>
        <v xml:space="preserve">Ilmu Pengetahuan Alam </v>
      </c>
      <c r="AH4" s="886"/>
      <c r="AI4" s="887"/>
      <c r="AJ4" s="885" t="str">
        <f>_MP10</f>
        <v xml:space="preserve">Ilmu Pengetahuan Sosial </v>
      </c>
      <c r="AK4" s="886"/>
      <c r="AL4" s="887"/>
      <c r="AM4" s="885" t="str">
        <f>_MP11</f>
        <v xml:space="preserve">Bahasa Inggris </v>
      </c>
      <c r="AN4" s="886"/>
      <c r="AO4" s="887"/>
      <c r="AP4" s="885" t="str">
        <f>_MP12</f>
        <v>Seni Budaya</v>
      </c>
      <c r="AQ4" s="886"/>
      <c r="AR4" s="887"/>
      <c r="AS4" s="885" t="str">
        <f>_MP13</f>
        <v>Penjaskes</v>
      </c>
      <c r="AT4" s="886"/>
      <c r="AU4" s="887"/>
      <c r="AV4" s="885" t="str">
        <f>_MP14</f>
        <v>Prakarya</v>
      </c>
      <c r="AW4" s="886"/>
      <c r="AX4" s="887"/>
      <c r="AY4" s="885" t="str">
        <f>_MP15</f>
        <v>Bahasa dan Aksara Lampung</v>
      </c>
      <c r="AZ4" s="886"/>
      <c r="BA4" s="887"/>
      <c r="BB4" s="1383" t="s">
        <v>59</v>
      </c>
      <c r="BC4" s="1389" t="s">
        <v>66</v>
      </c>
      <c r="BD4" s="1385" t="s">
        <v>61</v>
      </c>
      <c r="BE4" s="908" t="s">
        <v>63</v>
      </c>
      <c r="BF4" s="909" t="s">
        <v>64</v>
      </c>
      <c r="BG4" s="909" t="s">
        <v>65</v>
      </c>
      <c r="BH4" s="910" t="s">
        <v>60</v>
      </c>
      <c r="BI4" s="1397"/>
      <c r="BJ4" s="316" t="s">
        <v>75</v>
      </c>
      <c r="BL4" s="902"/>
    </row>
    <row r="5" spans="2:64" ht="17.25" thickBot="1">
      <c r="C5" s="944"/>
      <c r="E5" s="930" t="s">
        <v>50</v>
      </c>
      <c r="F5" s="929" t="s">
        <v>51</v>
      </c>
      <c r="G5" s="940" t="s">
        <v>52</v>
      </c>
      <c r="H5" s="941"/>
      <c r="I5" s="954"/>
      <c r="J5" s="955"/>
      <c r="K5" s="956"/>
      <c r="L5" s="959"/>
      <c r="M5" s="960"/>
      <c r="N5" s="961"/>
      <c r="O5" s="959"/>
      <c r="P5" s="960"/>
      <c r="Q5" s="961"/>
      <c r="R5" s="959"/>
      <c r="S5" s="960"/>
      <c r="T5" s="961"/>
      <c r="U5" s="959"/>
      <c r="V5" s="960"/>
      <c r="W5" s="961"/>
      <c r="X5" s="888"/>
      <c r="Y5" s="889"/>
      <c r="Z5" s="890"/>
      <c r="AA5" s="888"/>
      <c r="AB5" s="889"/>
      <c r="AC5" s="890"/>
      <c r="AD5" s="888"/>
      <c r="AE5" s="889"/>
      <c r="AF5" s="890"/>
      <c r="AG5" s="888"/>
      <c r="AH5" s="889"/>
      <c r="AI5" s="890"/>
      <c r="AJ5" s="888"/>
      <c r="AK5" s="889"/>
      <c r="AL5" s="890"/>
      <c r="AM5" s="888"/>
      <c r="AN5" s="889"/>
      <c r="AO5" s="890"/>
      <c r="AP5" s="888"/>
      <c r="AQ5" s="889"/>
      <c r="AR5" s="890"/>
      <c r="AS5" s="888"/>
      <c r="AT5" s="889"/>
      <c r="AU5" s="890"/>
      <c r="AV5" s="888"/>
      <c r="AW5" s="889"/>
      <c r="AX5" s="890"/>
      <c r="AY5" s="888"/>
      <c r="AZ5" s="889"/>
      <c r="BA5" s="890"/>
      <c r="BB5" s="946"/>
      <c r="BC5" s="920"/>
      <c r="BD5" s="881"/>
      <c r="BE5" s="908"/>
      <c r="BF5" s="909"/>
      <c r="BG5" s="909"/>
      <c r="BH5" s="910"/>
      <c r="BI5" s="1397"/>
      <c r="BJ5" s="316" t="s">
        <v>74</v>
      </c>
      <c r="BL5" s="902"/>
    </row>
    <row r="6" spans="2:64" ht="17.25" thickBot="1">
      <c r="C6" s="945"/>
      <c r="E6" s="1030"/>
      <c r="F6" s="1032"/>
      <c r="G6" s="1035"/>
      <c r="H6" s="1036"/>
      <c r="I6" s="204" t="s">
        <v>54</v>
      </c>
      <c r="J6" s="205" t="s">
        <v>55</v>
      </c>
      <c r="K6" s="206" t="s">
        <v>56</v>
      </c>
      <c r="L6" s="207" t="s">
        <v>54</v>
      </c>
      <c r="M6" s="208" t="s">
        <v>55</v>
      </c>
      <c r="N6" s="205" t="s">
        <v>56</v>
      </c>
      <c r="O6" s="204" t="s">
        <v>54</v>
      </c>
      <c r="P6" s="208" t="s">
        <v>55</v>
      </c>
      <c r="Q6" s="205" t="s">
        <v>56</v>
      </c>
      <c r="R6" s="204" t="s">
        <v>54</v>
      </c>
      <c r="S6" s="208" t="s">
        <v>55</v>
      </c>
      <c r="T6" s="205" t="s">
        <v>56</v>
      </c>
      <c r="U6" s="204" t="s">
        <v>54</v>
      </c>
      <c r="V6" s="208" t="s">
        <v>55</v>
      </c>
      <c r="W6" s="205" t="s">
        <v>56</v>
      </c>
      <c r="X6" s="204" t="s">
        <v>54</v>
      </c>
      <c r="Y6" s="208" t="s">
        <v>55</v>
      </c>
      <c r="Z6" s="205" t="s">
        <v>56</v>
      </c>
      <c r="AA6" s="204" t="s">
        <v>54</v>
      </c>
      <c r="AB6" s="208" t="s">
        <v>55</v>
      </c>
      <c r="AC6" s="205" t="s">
        <v>56</v>
      </c>
      <c r="AD6" s="204" t="s">
        <v>54</v>
      </c>
      <c r="AE6" s="208" t="s">
        <v>55</v>
      </c>
      <c r="AF6" s="205" t="s">
        <v>56</v>
      </c>
      <c r="AG6" s="204" t="s">
        <v>54</v>
      </c>
      <c r="AH6" s="208" t="s">
        <v>55</v>
      </c>
      <c r="AI6" s="205" t="s">
        <v>56</v>
      </c>
      <c r="AJ6" s="204" t="s">
        <v>54</v>
      </c>
      <c r="AK6" s="208" t="s">
        <v>55</v>
      </c>
      <c r="AL6" s="205" t="s">
        <v>56</v>
      </c>
      <c r="AM6" s="204" t="s">
        <v>54</v>
      </c>
      <c r="AN6" s="208" t="s">
        <v>55</v>
      </c>
      <c r="AO6" s="205" t="s">
        <v>56</v>
      </c>
      <c r="AP6" s="204" t="s">
        <v>54</v>
      </c>
      <c r="AQ6" s="208" t="s">
        <v>55</v>
      </c>
      <c r="AR6" s="205" t="s">
        <v>56</v>
      </c>
      <c r="AS6" s="204" t="s">
        <v>54</v>
      </c>
      <c r="AT6" s="208" t="s">
        <v>55</v>
      </c>
      <c r="AU6" s="205" t="s">
        <v>56</v>
      </c>
      <c r="AV6" s="204" t="s">
        <v>54</v>
      </c>
      <c r="AW6" s="205" t="s">
        <v>55</v>
      </c>
      <c r="AX6" s="322" t="s">
        <v>56</v>
      </c>
      <c r="AY6" s="204" t="s">
        <v>54</v>
      </c>
      <c r="AZ6" s="205" t="s">
        <v>55</v>
      </c>
      <c r="BA6" s="323" t="s">
        <v>56</v>
      </c>
      <c r="BB6" s="1384"/>
      <c r="BC6" s="1390"/>
      <c r="BD6" s="1386"/>
      <c r="BE6" s="1387"/>
      <c r="BF6" s="1388"/>
      <c r="BG6" s="1388"/>
      <c r="BH6" s="1395"/>
      <c r="BI6" s="1398"/>
      <c r="BJ6" s="317"/>
      <c r="BL6" s="903"/>
    </row>
    <row r="7" spans="2:64" ht="17.25" thickBot="1">
      <c r="B7" s="923" t="s">
        <v>73</v>
      </c>
      <c r="C7" s="924"/>
      <c r="E7" s="247">
        <f>Biodata!B6</f>
        <v>1</v>
      </c>
      <c r="F7" s="248">
        <f>IF(Biodata!C6="","",VLOOKUP(E7,Biodata_Siswa,2,FALSE))</f>
        <v>7057</v>
      </c>
      <c r="G7" s="1015" t="str">
        <f>IF(Biodata!E6="","",PROPER(VLOOKUP(E7,Biodata_Siswa,4,FALSE)))</f>
        <v>Ahmad Zaki Aufa</v>
      </c>
      <c r="H7" s="1016"/>
      <c r="I7" s="380"/>
      <c r="J7" s="381"/>
      <c r="K7" s="382"/>
      <c r="L7" s="380"/>
      <c r="M7" s="381"/>
      <c r="N7" s="382"/>
      <c r="O7" s="380"/>
      <c r="P7" s="381"/>
      <c r="Q7" s="382"/>
      <c r="R7" s="380"/>
      <c r="S7" s="381"/>
      <c r="T7" s="382"/>
      <c r="U7" s="380"/>
      <c r="V7" s="381"/>
      <c r="W7" s="382"/>
      <c r="X7" s="380"/>
      <c r="Y7" s="381"/>
      <c r="Z7" s="382"/>
      <c r="AA7" s="380"/>
      <c r="AB7" s="381"/>
      <c r="AC7" s="382"/>
      <c r="AD7" s="380"/>
      <c r="AE7" s="381"/>
      <c r="AF7" s="382"/>
      <c r="AG7" s="380"/>
      <c r="AH7" s="381"/>
      <c r="AI7" s="382"/>
      <c r="AJ7" s="380"/>
      <c r="AK7" s="381"/>
      <c r="AL7" s="382"/>
      <c r="AM7" s="380"/>
      <c r="AN7" s="381"/>
      <c r="AO7" s="382"/>
      <c r="AP7" s="380"/>
      <c r="AQ7" s="381"/>
      <c r="AR7" s="382"/>
      <c r="AS7" s="380"/>
      <c r="AT7" s="381"/>
      <c r="AU7" s="382"/>
      <c r="AV7" s="380"/>
      <c r="AW7" s="381"/>
      <c r="AX7" s="382"/>
      <c r="AY7" s="380"/>
      <c r="AZ7" s="381"/>
      <c r="BA7" s="213" t="str">
        <f>IF(AY7="","",IF(AY7&gt;=($C$4+2/3*(100-$C$4)),"A",IF(AY7&gt;=($C$4+1/3*(100-$C$4)),"B",IF(AY7&gt;=$C$4,"C","D"))))</f>
        <v/>
      </c>
      <c r="BB7" s="393" t="str">
        <f>IF(G7="","",IF(I7+L7+O7+R7+U7+X7+AA7+AD7+AG7+AJ7+AM7+AP7+AS7+AV7+AY7=0,"",I7+L7+O7+R7+U7+X7+AA7+AD7+AG7+AJ7+AM7+AP7+AS7+AV7+AY7))</f>
        <v/>
      </c>
      <c r="BC7" s="394" t="str">
        <f>IF(BB7="","",(AVERAGE(I7,L7,O7,R7,U7,X7,AA7,AD7,AG7,AJ7,AM7,AP7,AS7,AV7,AY7)))</f>
        <v/>
      </c>
      <c r="BD7" s="318" t="str">
        <f>IF(BB7="","",RANK(BB7,$BB$7:$BB$46,0))</f>
        <v/>
      </c>
      <c r="BE7" s="319" t="s">
        <v>78</v>
      </c>
      <c r="BF7" s="319" t="s">
        <v>78</v>
      </c>
      <c r="BG7" s="320" t="s">
        <v>78</v>
      </c>
      <c r="BH7" s="321">
        <f>SUM(BE7:BG7)</f>
        <v>0</v>
      </c>
      <c r="BI7" s="350" t="str">
        <f t="shared" ref="BI7:BI46" si="0">IF(E7="","",IF(_smt_genap="6 (Enam)","Lulus","Naik Kelas"))</f>
        <v>Naik Kelas</v>
      </c>
      <c r="BJ7" s="284"/>
      <c r="BL7" s="283" t="str">
        <f t="shared" ref="BL7:BL21" si="1">IF(BJ7="",(IF(AND(BD7=1,BH7&gt;5),"Pertahankan prestasi dan kurangi meninggalkan sekolah!",IF(AND(BD7&gt;1,BH7&gt;5),"Tingkatkan prestasimu dan kurangi meninggalkan sekolah!",IF(AND(BD7=1,BH7&lt;=5),"Pertahankan prestasimu!","Tingkatkan prestasi belajarmu!")))),BJ7)</f>
        <v>Tingkatkan prestasi belajarmu!</v>
      </c>
    </row>
    <row r="8" spans="2:64" ht="15.75">
      <c r="B8" s="1382" t="str">
        <f>I4</f>
        <v>Pendidikan Agama Islam</v>
      </c>
      <c r="C8" s="1382"/>
      <c r="E8" s="211">
        <f>Biodata!B7</f>
        <v>2</v>
      </c>
      <c r="F8" s="212">
        <f>IF(Biodata!C7="","",VLOOKUP(E8,Biodata_Siswa,2,FALSE))</f>
        <v>7058</v>
      </c>
      <c r="G8" s="891" t="str">
        <f>IF(Biodata!E7="","",PROPER(VLOOKUP(E8,Biodata_Siswa,4,FALSE)))</f>
        <v>Anandhita Nafra Wilova</v>
      </c>
      <c r="H8" s="892"/>
      <c r="I8" s="380"/>
      <c r="J8" s="387"/>
      <c r="K8" s="382"/>
      <c r="L8" s="380"/>
      <c r="M8" s="381"/>
      <c r="N8" s="382"/>
      <c r="O8" s="380"/>
      <c r="P8" s="381"/>
      <c r="Q8" s="382"/>
      <c r="R8" s="380"/>
      <c r="S8" s="381"/>
      <c r="T8" s="382"/>
      <c r="U8" s="380"/>
      <c r="V8" s="381"/>
      <c r="W8" s="382"/>
      <c r="X8" s="380"/>
      <c r="Y8" s="381"/>
      <c r="Z8" s="382"/>
      <c r="AA8" s="380"/>
      <c r="AB8" s="381"/>
      <c r="AC8" s="382"/>
      <c r="AD8" s="380"/>
      <c r="AE8" s="381"/>
      <c r="AF8" s="382"/>
      <c r="AG8" s="380"/>
      <c r="AH8" s="381"/>
      <c r="AI8" s="382"/>
      <c r="AJ8" s="380"/>
      <c r="AK8" s="381"/>
      <c r="AL8" s="382"/>
      <c r="AM8" s="380"/>
      <c r="AN8" s="381"/>
      <c r="AO8" s="382"/>
      <c r="AP8" s="380"/>
      <c r="AQ8" s="381"/>
      <c r="AR8" s="382"/>
      <c r="AS8" s="380"/>
      <c r="AT8" s="381"/>
      <c r="AU8" s="382"/>
      <c r="AV8" s="380"/>
      <c r="AW8" s="381"/>
      <c r="AX8" s="382"/>
      <c r="AY8" s="380"/>
      <c r="AZ8" s="381"/>
      <c r="BA8" s="213" t="str">
        <f t="shared" ref="BA8:BA46" si="2">IF(AY8="","",IF(AY8&gt;=($C$4+2/3*(100-$C$4)),"A",IF(AY8&gt;=($C$4+1/3*(100-$C$4)),"B",IF(AY8&gt;=$C$4,"C","D"))))</f>
        <v/>
      </c>
      <c r="BB8" s="389" t="str">
        <f t="shared" ref="BB8:BB46" si="3">IF(G8="","",IF(I8+L8+O8+R8+U8+X8+AA8+AD8+AG8+AJ8+AM8+AP8+AS8+AV8+AY8=0,"",I8+L8+O8+R8+U8+X8+AA8+AD8+AG8+AJ8+AM8+AP8+AS8+AV8+AY8))</f>
        <v/>
      </c>
      <c r="BC8" s="390" t="str">
        <f t="shared" ref="BC8:BC46" si="4">IF(BB8="","",(AVERAGE(I8,L8,O8,R8,U8,X8,AA8,AD8,AG8,AJ8,AM8,AP8,AS8,AV8,AY8)))</f>
        <v/>
      </c>
      <c r="BD8" s="214" t="str">
        <f t="shared" ref="BD8:BD46" si="5">IF(BB8="","",RANK(BB8,$BB$7:$BB$46,0))</f>
        <v/>
      </c>
      <c r="BE8" s="319" t="s">
        <v>78</v>
      </c>
      <c r="BF8" s="319" t="s">
        <v>78</v>
      </c>
      <c r="BG8" s="24" t="s">
        <v>78</v>
      </c>
      <c r="BH8" s="215">
        <f t="shared" ref="BH8:BH46" si="6">SUM(BE8:BG8)</f>
        <v>0</v>
      </c>
      <c r="BI8" s="350" t="str">
        <f t="shared" si="0"/>
        <v>Naik Kelas</v>
      </c>
      <c r="BJ8" s="25"/>
      <c r="BL8" s="281" t="str">
        <f t="shared" si="1"/>
        <v>Tingkatkan prestasi belajarmu!</v>
      </c>
    </row>
    <row r="9" spans="2:64" ht="15.75">
      <c r="B9" s="1382" t="str">
        <f>L4</f>
        <v>Pendidikan Agama Kristen</v>
      </c>
      <c r="C9" s="1382"/>
      <c r="E9" s="211">
        <f>Biodata!B8</f>
        <v>3</v>
      </c>
      <c r="F9" s="212">
        <f>IF(Biodata!C8="","",VLOOKUP(E9,Biodata_Siswa,2,FALSE))</f>
        <v>7059</v>
      </c>
      <c r="G9" s="891" t="str">
        <f>IF(Biodata!E8="","",PROPER(VLOOKUP(E9,Biodata_Siswa,4,FALSE)))</f>
        <v>Andini Dwi Aryanti</v>
      </c>
      <c r="H9" s="892"/>
      <c r="I9" s="380"/>
      <c r="J9" s="387"/>
      <c r="K9" s="382"/>
      <c r="L9" s="380"/>
      <c r="M9" s="381"/>
      <c r="N9" s="382"/>
      <c r="O9" s="380"/>
      <c r="P9" s="381"/>
      <c r="Q9" s="382"/>
      <c r="R9" s="380"/>
      <c r="S9" s="381"/>
      <c r="T9" s="382"/>
      <c r="U9" s="380"/>
      <c r="V9" s="381"/>
      <c r="W9" s="382"/>
      <c r="X9" s="380"/>
      <c r="Y9" s="381"/>
      <c r="Z9" s="382"/>
      <c r="AA9" s="380"/>
      <c r="AB9" s="381"/>
      <c r="AC9" s="382"/>
      <c r="AD9" s="380"/>
      <c r="AE9" s="381"/>
      <c r="AF9" s="382"/>
      <c r="AG9" s="380"/>
      <c r="AH9" s="381"/>
      <c r="AI9" s="382"/>
      <c r="AJ9" s="380"/>
      <c r="AK9" s="381"/>
      <c r="AL9" s="382"/>
      <c r="AM9" s="380"/>
      <c r="AN9" s="381"/>
      <c r="AO9" s="382"/>
      <c r="AP9" s="380"/>
      <c r="AQ9" s="381"/>
      <c r="AR9" s="382"/>
      <c r="AS9" s="380"/>
      <c r="AT9" s="381"/>
      <c r="AU9" s="382"/>
      <c r="AV9" s="380"/>
      <c r="AW9" s="381"/>
      <c r="AX9" s="382"/>
      <c r="AY9" s="380"/>
      <c r="AZ9" s="381"/>
      <c r="BA9" s="213" t="str">
        <f>IF(AY9="","",IF(AY9&gt;=($C$4+2/3*(100-$C$4)),"A",IF(AY9&gt;=($C$4+1/3*(100-$C$4)),"B",IF(AY9&gt;=$C$4,"C","D"))))</f>
        <v/>
      </c>
      <c r="BB9" s="389" t="str">
        <f t="shared" si="3"/>
        <v/>
      </c>
      <c r="BC9" s="390" t="str">
        <f t="shared" si="4"/>
        <v/>
      </c>
      <c r="BD9" s="214" t="str">
        <f>IF(BB9="","",RANK(BB9,$BB$7:$BB$46,0))</f>
        <v/>
      </c>
      <c r="BE9" s="319" t="s">
        <v>78</v>
      </c>
      <c r="BF9" s="319" t="s">
        <v>78</v>
      </c>
      <c r="BG9" s="24" t="s">
        <v>78</v>
      </c>
      <c r="BH9" s="215">
        <f t="shared" si="6"/>
        <v>0</v>
      </c>
      <c r="BI9" s="350" t="str">
        <f t="shared" si="0"/>
        <v>Naik Kelas</v>
      </c>
      <c r="BJ9" s="25"/>
      <c r="BL9" s="281" t="str">
        <f t="shared" si="1"/>
        <v>Tingkatkan prestasi belajarmu!</v>
      </c>
    </row>
    <row r="10" spans="2:64" ht="15.75">
      <c r="B10" s="1382" t="str">
        <f>O4</f>
        <v>Pendidikan Agama Katolik</v>
      </c>
      <c r="C10" s="1382"/>
      <c r="E10" s="211">
        <f>Biodata!B9</f>
        <v>4</v>
      </c>
      <c r="F10" s="212">
        <f>IF(Biodata!C9="","",VLOOKUP(E10,Biodata_Siswa,2,FALSE))</f>
        <v>7060</v>
      </c>
      <c r="G10" s="891" t="str">
        <f>IF(Biodata!E9="","",PROPER(VLOOKUP(E10,Biodata_Siswa,4,FALSE)))</f>
        <v>Anggun Suci Rahmadani</v>
      </c>
      <c r="H10" s="892"/>
      <c r="I10" s="380"/>
      <c r="J10" s="387"/>
      <c r="K10" s="382"/>
      <c r="L10" s="380"/>
      <c r="M10" s="381"/>
      <c r="N10" s="382"/>
      <c r="O10" s="380"/>
      <c r="P10" s="381"/>
      <c r="Q10" s="382"/>
      <c r="R10" s="380"/>
      <c r="S10" s="381"/>
      <c r="T10" s="382"/>
      <c r="U10" s="380"/>
      <c r="V10" s="381"/>
      <c r="W10" s="382"/>
      <c r="X10" s="380"/>
      <c r="Y10" s="381"/>
      <c r="Z10" s="382"/>
      <c r="AA10" s="380"/>
      <c r="AB10" s="381"/>
      <c r="AC10" s="382"/>
      <c r="AD10" s="380"/>
      <c r="AE10" s="381"/>
      <c r="AF10" s="382"/>
      <c r="AG10" s="380"/>
      <c r="AH10" s="381"/>
      <c r="AI10" s="382"/>
      <c r="AJ10" s="380"/>
      <c r="AK10" s="381"/>
      <c r="AL10" s="382"/>
      <c r="AM10" s="380"/>
      <c r="AN10" s="381"/>
      <c r="AO10" s="382"/>
      <c r="AP10" s="380"/>
      <c r="AQ10" s="381"/>
      <c r="AR10" s="382"/>
      <c r="AS10" s="380"/>
      <c r="AT10" s="381"/>
      <c r="AU10" s="382"/>
      <c r="AV10" s="380"/>
      <c r="AW10" s="381"/>
      <c r="AX10" s="382"/>
      <c r="AY10" s="380"/>
      <c r="AZ10" s="381"/>
      <c r="BA10" s="213" t="str">
        <f t="shared" si="2"/>
        <v/>
      </c>
      <c r="BB10" s="389" t="str">
        <f t="shared" si="3"/>
        <v/>
      </c>
      <c r="BC10" s="390" t="str">
        <f t="shared" si="4"/>
        <v/>
      </c>
      <c r="BD10" s="214" t="str">
        <f>IF(BB10="","",RANK(BB10,$BB$7:$BB$46,0))</f>
        <v/>
      </c>
      <c r="BE10" s="319" t="s">
        <v>78</v>
      </c>
      <c r="BF10" s="319" t="s">
        <v>78</v>
      </c>
      <c r="BG10" s="24" t="s">
        <v>78</v>
      </c>
      <c r="BH10" s="215">
        <f t="shared" si="6"/>
        <v>0</v>
      </c>
      <c r="BI10" s="350" t="str">
        <f t="shared" si="0"/>
        <v>Naik Kelas</v>
      </c>
      <c r="BJ10" s="25"/>
      <c r="BL10" s="281" t="str">
        <f t="shared" si="1"/>
        <v>Tingkatkan prestasi belajarmu!</v>
      </c>
    </row>
    <row r="11" spans="2:64" ht="15.75">
      <c r="B11" s="1382" t="str">
        <f>R4</f>
        <v>Pendidikan Agama Hindu</v>
      </c>
      <c r="C11" s="1382"/>
      <c r="E11" s="211">
        <f>Biodata!B10</f>
        <v>5</v>
      </c>
      <c r="F11" s="212">
        <f>IF(Biodata!C10="","",VLOOKUP(E11,Biodata_Siswa,2,FALSE))</f>
        <v>7061</v>
      </c>
      <c r="G11" s="891" t="str">
        <f>IF(Biodata!E10="","",PROPER(VLOOKUP(E11,Biodata_Siswa,4,FALSE)))</f>
        <v>Anisa Julia Tasya</v>
      </c>
      <c r="H11" s="892"/>
      <c r="I11" s="380"/>
      <c r="J11" s="387"/>
      <c r="K11" s="382"/>
      <c r="L11" s="380"/>
      <c r="M11" s="381"/>
      <c r="N11" s="382"/>
      <c r="O11" s="380"/>
      <c r="P11" s="381"/>
      <c r="Q11" s="382"/>
      <c r="R11" s="380"/>
      <c r="S11" s="381"/>
      <c r="T11" s="382"/>
      <c r="U11" s="380"/>
      <c r="V11" s="381"/>
      <c r="W11" s="382"/>
      <c r="X11" s="380"/>
      <c r="Y11" s="381"/>
      <c r="Z11" s="382"/>
      <c r="AA11" s="380"/>
      <c r="AB11" s="381"/>
      <c r="AC11" s="382"/>
      <c r="AD11" s="380"/>
      <c r="AE11" s="381"/>
      <c r="AF11" s="382"/>
      <c r="AG11" s="380"/>
      <c r="AH11" s="381"/>
      <c r="AI11" s="382"/>
      <c r="AJ11" s="380"/>
      <c r="AK11" s="381"/>
      <c r="AL11" s="382"/>
      <c r="AM11" s="380"/>
      <c r="AN11" s="381"/>
      <c r="AO11" s="382"/>
      <c r="AP11" s="380"/>
      <c r="AQ11" s="381"/>
      <c r="AR11" s="382"/>
      <c r="AS11" s="380"/>
      <c r="AT11" s="381"/>
      <c r="AU11" s="382"/>
      <c r="AV11" s="380"/>
      <c r="AW11" s="381"/>
      <c r="AX11" s="382"/>
      <c r="AY11" s="380"/>
      <c r="AZ11" s="381"/>
      <c r="BA11" s="213" t="str">
        <f>IF(AY11="","",IF(AY11&gt;=($C$4+2/3*(100-$C$4)),"A",IF(AY11&gt;=($C$4+1/3*(100-$C$4)),"B",IF(AY11&gt;=$C$4,"C","D"))))</f>
        <v/>
      </c>
      <c r="BB11" s="389" t="str">
        <f t="shared" si="3"/>
        <v/>
      </c>
      <c r="BC11" s="390" t="str">
        <f t="shared" si="4"/>
        <v/>
      </c>
      <c r="BD11" s="214" t="str">
        <f t="shared" si="5"/>
        <v/>
      </c>
      <c r="BE11" s="319" t="s">
        <v>78</v>
      </c>
      <c r="BF11" s="319" t="s">
        <v>78</v>
      </c>
      <c r="BG11" s="24" t="s">
        <v>78</v>
      </c>
      <c r="BH11" s="215">
        <f t="shared" si="6"/>
        <v>0</v>
      </c>
      <c r="BI11" s="350" t="str">
        <f t="shared" si="0"/>
        <v>Naik Kelas</v>
      </c>
      <c r="BJ11" s="25"/>
      <c r="BL11" s="281" t="str">
        <f t="shared" si="1"/>
        <v>Tingkatkan prestasi belajarmu!</v>
      </c>
    </row>
    <row r="12" spans="2:64" ht="15.75">
      <c r="B12" s="1382" t="str">
        <f>U4</f>
        <v>Pendidikan Agama Budha</v>
      </c>
      <c r="C12" s="1382"/>
      <c r="E12" s="211">
        <f>Biodata!B11</f>
        <v>6</v>
      </c>
      <c r="F12" s="212">
        <f>IF(Biodata!C11="","",VLOOKUP(E12,Biodata_Siswa,2,FALSE))</f>
        <v>7065</v>
      </c>
      <c r="G12" s="891" t="str">
        <f>IF(Biodata!E11="","",PROPER(VLOOKUP(E12,Biodata_Siswa,4,FALSE)))</f>
        <v>Aulia Rahmawati</v>
      </c>
      <c r="H12" s="892"/>
      <c r="I12" s="380"/>
      <c r="J12" s="387"/>
      <c r="K12" s="382"/>
      <c r="L12" s="380"/>
      <c r="M12" s="381"/>
      <c r="N12" s="382"/>
      <c r="O12" s="380"/>
      <c r="P12" s="381"/>
      <c r="Q12" s="382"/>
      <c r="R12" s="380"/>
      <c r="S12" s="381"/>
      <c r="T12" s="382"/>
      <c r="U12" s="380"/>
      <c r="V12" s="381"/>
      <c r="W12" s="382"/>
      <c r="X12" s="380"/>
      <c r="Y12" s="381"/>
      <c r="Z12" s="382"/>
      <c r="AA12" s="380"/>
      <c r="AB12" s="381"/>
      <c r="AC12" s="382"/>
      <c r="AD12" s="380"/>
      <c r="AE12" s="381"/>
      <c r="AF12" s="382"/>
      <c r="AG12" s="380"/>
      <c r="AH12" s="381"/>
      <c r="AI12" s="382"/>
      <c r="AJ12" s="380"/>
      <c r="AK12" s="381"/>
      <c r="AL12" s="382"/>
      <c r="AM12" s="380"/>
      <c r="AN12" s="381"/>
      <c r="AO12" s="382"/>
      <c r="AP12" s="380"/>
      <c r="AQ12" s="381"/>
      <c r="AR12" s="382"/>
      <c r="AS12" s="380"/>
      <c r="AT12" s="381"/>
      <c r="AU12" s="382"/>
      <c r="AV12" s="380"/>
      <c r="AW12" s="381"/>
      <c r="AX12" s="382"/>
      <c r="AY12" s="380"/>
      <c r="AZ12" s="381"/>
      <c r="BA12" s="213" t="str">
        <f t="shared" si="2"/>
        <v/>
      </c>
      <c r="BB12" s="389" t="str">
        <f t="shared" si="3"/>
        <v/>
      </c>
      <c r="BC12" s="390" t="str">
        <f t="shared" si="4"/>
        <v/>
      </c>
      <c r="BD12" s="214" t="str">
        <f t="shared" si="5"/>
        <v/>
      </c>
      <c r="BE12" s="319" t="s">
        <v>78</v>
      </c>
      <c r="BF12" s="319" t="s">
        <v>78</v>
      </c>
      <c r="BG12" s="24" t="s">
        <v>78</v>
      </c>
      <c r="BH12" s="215">
        <f t="shared" si="6"/>
        <v>0</v>
      </c>
      <c r="BI12" s="350" t="str">
        <f t="shared" si="0"/>
        <v>Naik Kelas</v>
      </c>
      <c r="BJ12" s="25"/>
      <c r="BL12" s="281" t="str">
        <f t="shared" si="1"/>
        <v>Tingkatkan prestasi belajarmu!</v>
      </c>
    </row>
    <row r="13" spans="2:64" ht="15.75">
      <c r="B13" s="1382" t="str">
        <f>X4</f>
        <v>PKn</v>
      </c>
      <c r="C13" s="1382"/>
      <c r="E13" s="211">
        <f>Biodata!B12</f>
        <v>7</v>
      </c>
      <c r="F13" s="212">
        <f>IF(Biodata!C12="","",VLOOKUP(E13,Biodata_Siswa,2,FALSE))</f>
        <v>7066</v>
      </c>
      <c r="G13" s="891" t="str">
        <f>IF(Biodata!E12="","",PROPER(VLOOKUP(E13,Biodata_Siswa,4,FALSE)))</f>
        <v>Ayu Chumaira</v>
      </c>
      <c r="H13" s="892"/>
      <c r="I13" s="380"/>
      <c r="J13" s="387"/>
      <c r="K13" s="382"/>
      <c r="L13" s="380"/>
      <c r="M13" s="381"/>
      <c r="N13" s="382"/>
      <c r="O13" s="380"/>
      <c r="P13" s="381"/>
      <c r="Q13" s="382"/>
      <c r="R13" s="380"/>
      <c r="S13" s="381"/>
      <c r="T13" s="382"/>
      <c r="U13" s="380"/>
      <c r="V13" s="381"/>
      <c r="W13" s="382"/>
      <c r="X13" s="380"/>
      <c r="Y13" s="381"/>
      <c r="Z13" s="382"/>
      <c r="AA13" s="380"/>
      <c r="AB13" s="381"/>
      <c r="AC13" s="382"/>
      <c r="AD13" s="380"/>
      <c r="AE13" s="381"/>
      <c r="AF13" s="382"/>
      <c r="AG13" s="380"/>
      <c r="AH13" s="381"/>
      <c r="AI13" s="382"/>
      <c r="AJ13" s="380"/>
      <c r="AK13" s="381"/>
      <c r="AL13" s="382"/>
      <c r="AM13" s="380"/>
      <c r="AN13" s="381"/>
      <c r="AO13" s="382"/>
      <c r="AP13" s="380"/>
      <c r="AQ13" s="381"/>
      <c r="AR13" s="382"/>
      <c r="AS13" s="380"/>
      <c r="AT13" s="381"/>
      <c r="AU13" s="382"/>
      <c r="AV13" s="380"/>
      <c r="AW13" s="381"/>
      <c r="AX13" s="382"/>
      <c r="AY13" s="380"/>
      <c r="AZ13" s="381"/>
      <c r="BA13" s="213" t="str">
        <f t="shared" si="2"/>
        <v/>
      </c>
      <c r="BB13" s="389" t="str">
        <f t="shared" si="3"/>
        <v/>
      </c>
      <c r="BC13" s="390" t="str">
        <f t="shared" si="4"/>
        <v/>
      </c>
      <c r="BD13" s="214" t="str">
        <f t="shared" si="5"/>
        <v/>
      </c>
      <c r="BE13" s="319" t="s">
        <v>78</v>
      </c>
      <c r="BF13" s="319" t="s">
        <v>78</v>
      </c>
      <c r="BG13" s="24" t="s">
        <v>78</v>
      </c>
      <c r="BH13" s="215">
        <f t="shared" si="6"/>
        <v>0</v>
      </c>
      <c r="BI13" s="350" t="str">
        <f t="shared" si="0"/>
        <v>Naik Kelas</v>
      </c>
      <c r="BJ13" s="25"/>
      <c r="BL13" s="281" t="str">
        <f t="shared" si="1"/>
        <v>Tingkatkan prestasi belajarmu!</v>
      </c>
    </row>
    <row r="14" spans="2:64" ht="15.75">
      <c r="B14" s="1382" t="str">
        <f>AA4</f>
        <v xml:space="preserve">Bahasa Indonesia </v>
      </c>
      <c r="C14" s="1382"/>
      <c r="E14" s="211">
        <f>Biodata!B13</f>
        <v>8</v>
      </c>
      <c r="F14" s="212">
        <f>IF(Biodata!C13="","",VLOOKUP(E14,Biodata_Siswa,2,FALSE))</f>
        <v>7067</v>
      </c>
      <c r="G14" s="891" t="str">
        <f>IF(Biodata!E13="","",PROPER(VLOOKUP(E14,Biodata_Siswa,4,FALSE)))</f>
        <v>Ayu Emelia Putri</v>
      </c>
      <c r="H14" s="892"/>
      <c r="I14" s="380"/>
      <c r="J14" s="387"/>
      <c r="K14" s="382"/>
      <c r="L14" s="380"/>
      <c r="M14" s="381"/>
      <c r="N14" s="382"/>
      <c r="O14" s="380"/>
      <c r="P14" s="381"/>
      <c r="Q14" s="382"/>
      <c r="R14" s="380"/>
      <c r="S14" s="381"/>
      <c r="T14" s="382"/>
      <c r="U14" s="380"/>
      <c r="V14" s="381"/>
      <c r="W14" s="382"/>
      <c r="X14" s="380"/>
      <c r="Y14" s="381"/>
      <c r="Z14" s="382"/>
      <c r="AA14" s="380"/>
      <c r="AB14" s="381"/>
      <c r="AC14" s="382"/>
      <c r="AD14" s="380"/>
      <c r="AE14" s="381"/>
      <c r="AF14" s="382"/>
      <c r="AG14" s="380"/>
      <c r="AH14" s="381"/>
      <c r="AI14" s="382"/>
      <c r="AJ14" s="380"/>
      <c r="AK14" s="381"/>
      <c r="AL14" s="382"/>
      <c r="AM14" s="380"/>
      <c r="AN14" s="381"/>
      <c r="AO14" s="382"/>
      <c r="AP14" s="380"/>
      <c r="AQ14" s="381"/>
      <c r="AR14" s="382"/>
      <c r="AS14" s="380"/>
      <c r="AT14" s="381"/>
      <c r="AU14" s="382"/>
      <c r="AV14" s="380"/>
      <c r="AW14" s="381"/>
      <c r="AX14" s="382"/>
      <c r="AY14" s="380"/>
      <c r="AZ14" s="381"/>
      <c r="BA14" s="213" t="str">
        <f t="shared" si="2"/>
        <v/>
      </c>
      <c r="BB14" s="389" t="str">
        <f t="shared" si="3"/>
        <v/>
      </c>
      <c r="BC14" s="390" t="str">
        <f t="shared" si="4"/>
        <v/>
      </c>
      <c r="BD14" s="214" t="str">
        <f t="shared" si="5"/>
        <v/>
      </c>
      <c r="BE14" s="319" t="s">
        <v>78</v>
      </c>
      <c r="BF14" s="319" t="s">
        <v>78</v>
      </c>
      <c r="BG14" s="24" t="s">
        <v>78</v>
      </c>
      <c r="BH14" s="215">
        <f t="shared" si="6"/>
        <v>0</v>
      </c>
      <c r="BI14" s="350" t="str">
        <f t="shared" si="0"/>
        <v>Naik Kelas</v>
      </c>
      <c r="BJ14" s="25"/>
      <c r="BL14" s="281" t="str">
        <f t="shared" si="1"/>
        <v>Tingkatkan prestasi belajarmu!</v>
      </c>
    </row>
    <row r="15" spans="2:64" ht="15.75">
      <c r="B15" s="1382" t="str">
        <f>AD4</f>
        <v xml:space="preserve">Matematika </v>
      </c>
      <c r="C15" s="1382"/>
      <c r="E15" s="211">
        <f>Biodata!B14</f>
        <v>9</v>
      </c>
      <c r="F15" s="212">
        <f>IF(Biodata!C14="","",VLOOKUP(E15,Biodata_Siswa,2,FALSE))</f>
        <v>7068</v>
      </c>
      <c r="G15" s="891" t="str">
        <f>IF(Biodata!E14="","",PROPER(VLOOKUP(E15,Biodata_Siswa,4,FALSE)))</f>
        <v>Bayu Anggoro</v>
      </c>
      <c r="H15" s="892"/>
      <c r="I15" s="380"/>
      <c r="J15" s="387"/>
      <c r="K15" s="382"/>
      <c r="L15" s="380"/>
      <c r="M15" s="381"/>
      <c r="N15" s="382"/>
      <c r="O15" s="380"/>
      <c r="P15" s="381"/>
      <c r="Q15" s="382"/>
      <c r="R15" s="380"/>
      <c r="S15" s="381"/>
      <c r="T15" s="382"/>
      <c r="U15" s="380"/>
      <c r="V15" s="381"/>
      <c r="W15" s="382"/>
      <c r="X15" s="380"/>
      <c r="Y15" s="381"/>
      <c r="Z15" s="382"/>
      <c r="AA15" s="380"/>
      <c r="AB15" s="381"/>
      <c r="AC15" s="382"/>
      <c r="AD15" s="380"/>
      <c r="AE15" s="381"/>
      <c r="AF15" s="382"/>
      <c r="AG15" s="380"/>
      <c r="AH15" s="381"/>
      <c r="AI15" s="382"/>
      <c r="AJ15" s="380"/>
      <c r="AK15" s="381"/>
      <c r="AL15" s="382"/>
      <c r="AM15" s="380"/>
      <c r="AN15" s="381"/>
      <c r="AO15" s="382"/>
      <c r="AP15" s="380"/>
      <c r="AQ15" s="381"/>
      <c r="AR15" s="382"/>
      <c r="AS15" s="380"/>
      <c r="AT15" s="381"/>
      <c r="AU15" s="382"/>
      <c r="AV15" s="380"/>
      <c r="AW15" s="381"/>
      <c r="AX15" s="382"/>
      <c r="AY15" s="380"/>
      <c r="AZ15" s="381"/>
      <c r="BA15" s="213" t="str">
        <f t="shared" si="2"/>
        <v/>
      </c>
      <c r="BB15" s="389" t="str">
        <f t="shared" si="3"/>
        <v/>
      </c>
      <c r="BC15" s="390" t="str">
        <f t="shared" si="4"/>
        <v/>
      </c>
      <c r="BD15" s="214" t="str">
        <f t="shared" si="5"/>
        <v/>
      </c>
      <c r="BE15" s="319" t="s">
        <v>78</v>
      </c>
      <c r="BF15" s="319" t="s">
        <v>78</v>
      </c>
      <c r="BG15" s="24" t="s">
        <v>78</v>
      </c>
      <c r="BH15" s="215">
        <f t="shared" si="6"/>
        <v>0</v>
      </c>
      <c r="BI15" s="350" t="str">
        <f t="shared" si="0"/>
        <v>Naik Kelas</v>
      </c>
      <c r="BJ15" s="25"/>
      <c r="BL15" s="281" t="str">
        <f t="shared" si="1"/>
        <v>Tingkatkan prestasi belajarmu!</v>
      </c>
    </row>
    <row r="16" spans="2:64" ht="15.75">
      <c r="B16" s="1382" t="str">
        <f>AG4</f>
        <v xml:space="preserve">Ilmu Pengetahuan Alam </v>
      </c>
      <c r="C16" s="1382"/>
      <c r="E16" s="211">
        <f>Biodata!B15</f>
        <v>10</v>
      </c>
      <c r="F16" s="212">
        <f>IF(Biodata!C15="","",VLOOKUP(E16,Biodata_Siswa,2,FALSE))</f>
        <v>7069</v>
      </c>
      <c r="G16" s="891" t="str">
        <f>IF(Biodata!E15="","",PROPER(VLOOKUP(E16,Biodata_Siswa,4,FALSE)))</f>
        <v>Calissta Sabrina Salwa Aurelia</v>
      </c>
      <c r="H16" s="892"/>
      <c r="I16" s="380"/>
      <c r="J16" s="387"/>
      <c r="K16" s="382"/>
      <c r="L16" s="380"/>
      <c r="M16" s="381"/>
      <c r="N16" s="382"/>
      <c r="O16" s="380"/>
      <c r="P16" s="381"/>
      <c r="Q16" s="382"/>
      <c r="R16" s="380"/>
      <c r="S16" s="381"/>
      <c r="T16" s="382"/>
      <c r="U16" s="380"/>
      <c r="V16" s="381"/>
      <c r="W16" s="382"/>
      <c r="X16" s="380"/>
      <c r="Y16" s="381"/>
      <c r="Z16" s="382"/>
      <c r="AA16" s="380"/>
      <c r="AB16" s="381"/>
      <c r="AC16" s="382"/>
      <c r="AD16" s="380"/>
      <c r="AE16" s="381"/>
      <c r="AF16" s="382"/>
      <c r="AG16" s="380"/>
      <c r="AH16" s="381"/>
      <c r="AI16" s="382"/>
      <c r="AJ16" s="380"/>
      <c r="AK16" s="381"/>
      <c r="AL16" s="382"/>
      <c r="AM16" s="380"/>
      <c r="AN16" s="381"/>
      <c r="AO16" s="382"/>
      <c r="AP16" s="380"/>
      <c r="AQ16" s="381"/>
      <c r="AR16" s="382"/>
      <c r="AS16" s="380"/>
      <c r="AT16" s="381"/>
      <c r="AU16" s="382"/>
      <c r="AV16" s="380"/>
      <c r="AW16" s="381"/>
      <c r="AX16" s="382"/>
      <c r="AY16" s="380"/>
      <c r="AZ16" s="381"/>
      <c r="BA16" s="213" t="str">
        <f t="shared" si="2"/>
        <v/>
      </c>
      <c r="BB16" s="389" t="str">
        <f t="shared" si="3"/>
        <v/>
      </c>
      <c r="BC16" s="390" t="str">
        <f t="shared" si="4"/>
        <v/>
      </c>
      <c r="BD16" s="214" t="str">
        <f t="shared" si="5"/>
        <v/>
      </c>
      <c r="BE16" s="319" t="s">
        <v>78</v>
      </c>
      <c r="BF16" s="319" t="s">
        <v>78</v>
      </c>
      <c r="BG16" s="24" t="s">
        <v>78</v>
      </c>
      <c r="BH16" s="215">
        <f t="shared" si="6"/>
        <v>0</v>
      </c>
      <c r="BI16" s="350" t="str">
        <f t="shared" si="0"/>
        <v>Naik Kelas</v>
      </c>
      <c r="BJ16" s="25"/>
      <c r="BL16" s="281" t="str">
        <f t="shared" si="1"/>
        <v>Tingkatkan prestasi belajarmu!</v>
      </c>
    </row>
    <row r="17" spans="2:64" ht="15.75">
      <c r="B17" s="1382" t="str">
        <f>AJ4</f>
        <v xml:space="preserve">Ilmu Pengetahuan Sosial </v>
      </c>
      <c r="C17" s="1382"/>
      <c r="E17" s="211">
        <f>Biodata!B16</f>
        <v>11</v>
      </c>
      <c r="F17" s="212">
        <f>IF(Biodata!C16="","",VLOOKUP(E17,Biodata_Siswa,2,FALSE))</f>
        <v>7074</v>
      </c>
      <c r="G17" s="891" t="str">
        <f>IF(Biodata!E16="","",PROPER(VLOOKUP(E17,Biodata_Siswa,4,FALSE)))</f>
        <v>Dea Safitri</v>
      </c>
      <c r="H17" s="892"/>
      <c r="I17" s="380"/>
      <c r="J17" s="387"/>
      <c r="K17" s="382"/>
      <c r="L17" s="380"/>
      <c r="M17" s="381"/>
      <c r="N17" s="382"/>
      <c r="O17" s="380"/>
      <c r="P17" s="381"/>
      <c r="Q17" s="382"/>
      <c r="R17" s="380"/>
      <c r="S17" s="381"/>
      <c r="T17" s="382"/>
      <c r="U17" s="380"/>
      <c r="V17" s="381"/>
      <c r="W17" s="382"/>
      <c r="X17" s="380"/>
      <c r="Y17" s="381"/>
      <c r="Z17" s="382"/>
      <c r="AA17" s="380"/>
      <c r="AB17" s="381"/>
      <c r="AC17" s="382"/>
      <c r="AD17" s="380"/>
      <c r="AE17" s="381"/>
      <c r="AF17" s="382"/>
      <c r="AG17" s="380"/>
      <c r="AH17" s="381"/>
      <c r="AI17" s="382"/>
      <c r="AJ17" s="380"/>
      <c r="AK17" s="381"/>
      <c r="AL17" s="382"/>
      <c r="AM17" s="380"/>
      <c r="AN17" s="381"/>
      <c r="AO17" s="382"/>
      <c r="AP17" s="380"/>
      <c r="AQ17" s="381"/>
      <c r="AR17" s="382"/>
      <c r="AS17" s="380"/>
      <c r="AT17" s="381"/>
      <c r="AU17" s="382"/>
      <c r="AV17" s="380"/>
      <c r="AW17" s="381"/>
      <c r="AX17" s="382"/>
      <c r="AY17" s="380"/>
      <c r="AZ17" s="381"/>
      <c r="BA17" s="213" t="str">
        <f t="shared" si="2"/>
        <v/>
      </c>
      <c r="BB17" s="389" t="str">
        <f t="shared" si="3"/>
        <v/>
      </c>
      <c r="BC17" s="390" t="str">
        <f t="shared" si="4"/>
        <v/>
      </c>
      <c r="BD17" s="214" t="str">
        <f t="shared" si="5"/>
        <v/>
      </c>
      <c r="BE17" s="319" t="s">
        <v>78</v>
      </c>
      <c r="BF17" s="319" t="s">
        <v>78</v>
      </c>
      <c r="BG17" s="24" t="s">
        <v>78</v>
      </c>
      <c r="BH17" s="215">
        <f t="shared" si="6"/>
        <v>0</v>
      </c>
      <c r="BI17" s="350" t="str">
        <f t="shared" si="0"/>
        <v>Naik Kelas</v>
      </c>
      <c r="BJ17" s="25"/>
      <c r="BL17" s="281" t="str">
        <f t="shared" si="1"/>
        <v>Tingkatkan prestasi belajarmu!</v>
      </c>
    </row>
    <row r="18" spans="2:64" ht="15.75">
      <c r="B18" s="1382" t="str">
        <f>AM4</f>
        <v xml:space="preserve">Bahasa Inggris </v>
      </c>
      <c r="C18" s="1382"/>
      <c r="E18" s="211">
        <f>Biodata!B17</f>
        <v>12</v>
      </c>
      <c r="F18" s="212">
        <f>IF(Biodata!C17="","",VLOOKUP(E18,Biodata_Siswa,2,FALSE))</f>
        <v>7080</v>
      </c>
      <c r="G18" s="891" t="str">
        <f>IF(Biodata!E17="","",PROPER(VLOOKUP(E18,Biodata_Siswa,4,FALSE)))</f>
        <v>Dewi Wulandari</v>
      </c>
      <c r="H18" s="892"/>
      <c r="I18" s="380"/>
      <c r="J18" s="387"/>
      <c r="K18" s="382"/>
      <c r="L18" s="380"/>
      <c r="M18" s="381"/>
      <c r="N18" s="382"/>
      <c r="O18" s="380"/>
      <c r="P18" s="381"/>
      <c r="Q18" s="382"/>
      <c r="R18" s="380"/>
      <c r="S18" s="381"/>
      <c r="T18" s="382"/>
      <c r="U18" s="380"/>
      <c r="V18" s="381"/>
      <c r="W18" s="382"/>
      <c r="X18" s="380"/>
      <c r="Y18" s="381"/>
      <c r="Z18" s="382"/>
      <c r="AA18" s="380"/>
      <c r="AB18" s="381"/>
      <c r="AC18" s="382"/>
      <c r="AD18" s="380"/>
      <c r="AE18" s="381"/>
      <c r="AF18" s="382"/>
      <c r="AG18" s="380"/>
      <c r="AH18" s="381"/>
      <c r="AI18" s="382"/>
      <c r="AJ18" s="380"/>
      <c r="AK18" s="381"/>
      <c r="AL18" s="382"/>
      <c r="AM18" s="380"/>
      <c r="AN18" s="381"/>
      <c r="AO18" s="382"/>
      <c r="AP18" s="380"/>
      <c r="AQ18" s="381"/>
      <c r="AR18" s="382"/>
      <c r="AS18" s="380"/>
      <c r="AT18" s="381"/>
      <c r="AU18" s="382"/>
      <c r="AV18" s="380"/>
      <c r="AW18" s="381"/>
      <c r="AX18" s="382"/>
      <c r="AY18" s="380"/>
      <c r="AZ18" s="381"/>
      <c r="BA18" s="213" t="str">
        <f t="shared" si="2"/>
        <v/>
      </c>
      <c r="BB18" s="389" t="str">
        <f t="shared" si="3"/>
        <v/>
      </c>
      <c r="BC18" s="390" t="str">
        <f t="shared" si="4"/>
        <v/>
      </c>
      <c r="BD18" s="214" t="str">
        <f t="shared" si="5"/>
        <v/>
      </c>
      <c r="BE18" s="319" t="s">
        <v>78</v>
      </c>
      <c r="BF18" s="319" t="s">
        <v>78</v>
      </c>
      <c r="BG18" s="24" t="s">
        <v>78</v>
      </c>
      <c r="BH18" s="215">
        <f t="shared" si="6"/>
        <v>0</v>
      </c>
      <c r="BI18" s="350" t="str">
        <f t="shared" si="0"/>
        <v>Naik Kelas</v>
      </c>
      <c r="BJ18" s="25"/>
      <c r="BL18" s="281" t="str">
        <f t="shared" si="1"/>
        <v>Tingkatkan prestasi belajarmu!</v>
      </c>
    </row>
    <row r="19" spans="2:64" ht="15.75">
      <c r="B19" s="1382" t="str">
        <f>AP4</f>
        <v>Seni Budaya</v>
      </c>
      <c r="C19" s="1382"/>
      <c r="E19" s="211">
        <f>Biodata!B18</f>
        <v>13</v>
      </c>
      <c r="F19" s="212">
        <f>IF(Biodata!C18="","",VLOOKUP(E19,Biodata_Siswa,2,FALSE))</f>
        <v>7084</v>
      </c>
      <c r="G19" s="891" t="str">
        <f>IF(Biodata!E18="","",PROPER(VLOOKUP(E19,Biodata_Siswa,4,FALSE)))</f>
        <v>Dony Pratama</v>
      </c>
      <c r="H19" s="892"/>
      <c r="I19" s="380"/>
      <c r="J19" s="387"/>
      <c r="K19" s="382"/>
      <c r="L19" s="380"/>
      <c r="M19" s="381"/>
      <c r="N19" s="382"/>
      <c r="O19" s="380"/>
      <c r="P19" s="381"/>
      <c r="Q19" s="382"/>
      <c r="R19" s="380"/>
      <c r="S19" s="381"/>
      <c r="T19" s="382"/>
      <c r="U19" s="380"/>
      <c r="V19" s="381"/>
      <c r="W19" s="382"/>
      <c r="X19" s="380"/>
      <c r="Y19" s="381"/>
      <c r="Z19" s="382"/>
      <c r="AA19" s="380"/>
      <c r="AB19" s="381"/>
      <c r="AC19" s="382"/>
      <c r="AD19" s="380"/>
      <c r="AE19" s="381"/>
      <c r="AF19" s="382"/>
      <c r="AG19" s="380"/>
      <c r="AH19" s="381"/>
      <c r="AI19" s="382"/>
      <c r="AJ19" s="380"/>
      <c r="AK19" s="381"/>
      <c r="AL19" s="382"/>
      <c r="AM19" s="380"/>
      <c r="AN19" s="381"/>
      <c r="AO19" s="382"/>
      <c r="AP19" s="380"/>
      <c r="AQ19" s="381"/>
      <c r="AR19" s="382"/>
      <c r="AS19" s="380"/>
      <c r="AT19" s="381"/>
      <c r="AU19" s="382"/>
      <c r="AV19" s="380"/>
      <c r="AW19" s="381"/>
      <c r="AX19" s="382"/>
      <c r="AY19" s="380"/>
      <c r="AZ19" s="381"/>
      <c r="BA19" s="213" t="str">
        <f t="shared" si="2"/>
        <v/>
      </c>
      <c r="BB19" s="389" t="str">
        <f t="shared" si="3"/>
        <v/>
      </c>
      <c r="BC19" s="390" t="str">
        <f t="shared" si="4"/>
        <v/>
      </c>
      <c r="BD19" s="214" t="str">
        <f t="shared" si="5"/>
        <v/>
      </c>
      <c r="BE19" s="319" t="s">
        <v>78</v>
      </c>
      <c r="BF19" s="319" t="s">
        <v>78</v>
      </c>
      <c r="BG19" s="24" t="s">
        <v>78</v>
      </c>
      <c r="BH19" s="215">
        <f t="shared" si="6"/>
        <v>0</v>
      </c>
      <c r="BI19" s="350" t="str">
        <f t="shared" si="0"/>
        <v>Naik Kelas</v>
      </c>
      <c r="BJ19" s="25"/>
      <c r="BL19" s="281" t="str">
        <f t="shared" si="1"/>
        <v>Tingkatkan prestasi belajarmu!</v>
      </c>
    </row>
    <row r="20" spans="2:64" ht="15.75">
      <c r="B20" s="1382" t="str">
        <f>AS4</f>
        <v>Penjaskes</v>
      </c>
      <c r="C20" s="1382"/>
      <c r="E20" s="211">
        <f>Biodata!B19</f>
        <v>14</v>
      </c>
      <c r="F20" s="212">
        <f>IF(Biodata!C19="","",VLOOKUP(E20,Biodata_Siswa,2,FALSE))</f>
        <v>7089</v>
      </c>
      <c r="G20" s="891" t="str">
        <f>IF(Biodata!E19="","",PROPER(VLOOKUP(E20,Biodata_Siswa,4,FALSE)))</f>
        <v>Faris Febram</v>
      </c>
      <c r="H20" s="892"/>
      <c r="I20" s="380"/>
      <c r="J20" s="387"/>
      <c r="K20" s="382"/>
      <c r="L20" s="380"/>
      <c r="M20" s="381"/>
      <c r="N20" s="382"/>
      <c r="O20" s="380"/>
      <c r="P20" s="381"/>
      <c r="Q20" s="382"/>
      <c r="R20" s="380"/>
      <c r="S20" s="381"/>
      <c r="T20" s="382"/>
      <c r="U20" s="380"/>
      <c r="V20" s="381"/>
      <c r="W20" s="382"/>
      <c r="X20" s="380"/>
      <c r="Y20" s="381"/>
      <c r="Z20" s="382"/>
      <c r="AA20" s="380"/>
      <c r="AB20" s="381"/>
      <c r="AC20" s="382"/>
      <c r="AD20" s="380"/>
      <c r="AE20" s="381"/>
      <c r="AF20" s="382"/>
      <c r="AG20" s="380"/>
      <c r="AH20" s="381"/>
      <c r="AI20" s="382"/>
      <c r="AJ20" s="380"/>
      <c r="AK20" s="381"/>
      <c r="AL20" s="382"/>
      <c r="AM20" s="380"/>
      <c r="AN20" s="381"/>
      <c r="AO20" s="382"/>
      <c r="AP20" s="380"/>
      <c r="AQ20" s="381"/>
      <c r="AR20" s="382"/>
      <c r="AS20" s="380"/>
      <c r="AT20" s="381"/>
      <c r="AU20" s="382"/>
      <c r="AV20" s="380"/>
      <c r="AW20" s="381"/>
      <c r="AX20" s="382"/>
      <c r="AY20" s="380"/>
      <c r="AZ20" s="381"/>
      <c r="BA20" s="213" t="str">
        <f t="shared" si="2"/>
        <v/>
      </c>
      <c r="BB20" s="389" t="str">
        <f t="shared" si="3"/>
        <v/>
      </c>
      <c r="BC20" s="390" t="str">
        <f t="shared" si="4"/>
        <v/>
      </c>
      <c r="BD20" s="214" t="str">
        <f t="shared" si="5"/>
        <v/>
      </c>
      <c r="BE20" s="319" t="s">
        <v>78</v>
      </c>
      <c r="BF20" s="319" t="s">
        <v>78</v>
      </c>
      <c r="BG20" s="24" t="s">
        <v>78</v>
      </c>
      <c r="BH20" s="215">
        <f t="shared" si="6"/>
        <v>0</v>
      </c>
      <c r="BI20" s="350" t="str">
        <f t="shared" si="0"/>
        <v>Naik Kelas</v>
      </c>
      <c r="BJ20" s="25"/>
      <c r="BL20" s="281" t="str">
        <f t="shared" si="1"/>
        <v>Tingkatkan prestasi belajarmu!</v>
      </c>
    </row>
    <row r="21" spans="2:64" ht="15.75">
      <c r="B21" s="1382" t="str">
        <f>AV4</f>
        <v>Prakarya</v>
      </c>
      <c r="C21" s="1382"/>
      <c r="E21" s="211">
        <f>Biodata!B20</f>
        <v>15</v>
      </c>
      <c r="F21" s="212">
        <f>IF(Biodata!C20="","",VLOOKUP(E21,Biodata_Siswa,2,FALSE))</f>
        <v>7095</v>
      </c>
      <c r="G21" s="891" t="str">
        <f>IF(Biodata!E20="","",PROPER(VLOOKUP(E21,Biodata_Siswa,4,FALSE)))</f>
        <v>Hikmatullah Umar Malik Abdul Aziz</v>
      </c>
      <c r="H21" s="892"/>
      <c r="I21" s="380"/>
      <c r="J21" s="387"/>
      <c r="K21" s="382"/>
      <c r="L21" s="380"/>
      <c r="M21" s="381"/>
      <c r="N21" s="382"/>
      <c r="O21" s="380"/>
      <c r="P21" s="381"/>
      <c r="Q21" s="382"/>
      <c r="R21" s="380"/>
      <c r="S21" s="381"/>
      <c r="T21" s="382"/>
      <c r="U21" s="380"/>
      <c r="V21" s="381"/>
      <c r="W21" s="382"/>
      <c r="X21" s="380"/>
      <c r="Y21" s="381"/>
      <c r="Z21" s="382"/>
      <c r="AA21" s="380"/>
      <c r="AB21" s="381"/>
      <c r="AC21" s="382"/>
      <c r="AD21" s="380"/>
      <c r="AE21" s="381"/>
      <c r="AF21" s="382"/>
      <c r="AG21" s="380"/>
      <c r="AH21" s="381"/>
      <c r="AI21" s="382"/>
      <c r="AJ21" s="380"/>
      <c r="AK21" s="381"/>
      <c r="AL21" s="382"/>
      <c r="AM21" s="380"/>
      <c r="AN21" s="381"/>
      <c r="AO21" s="382"/>
      <c r="AP21" s="380"/>
      <c r="AQ21" s="381"/>
      <c r="AR21" s="382"/>
      <c r="AS21" s="380"/>
      <c r="AT21" s="381"/>
      <c r="AU21" s="382"/>
      <c r="AV21" s="380"/>
      <c r="AW21" s="381"/>
      <c r="AX21" s="382"/>
      <c r="AY21" s="380"/>
      <c r="AZ21" s="381"/>
      <c r="BA21" s="213" t="str">
        <f t="shared" si="2"/>
        <v/>
      </c>
      <c r="BB21" s="389" t="str">
        <f t="shared" si="3"/>
        <v/>
      </c>
      <c r="BC21" s="390" t="str">
        <f t="shared" si="4"/>
        <v/>
      </c>
      <c r="BD21" s="214" t="str">
        <f t="shared" si="5"/>
        <v/>
      </c>
      <c r="BE21" s="319" t="s">
        <v>78</v>
      </c>
      <c r="BF21" s="319" t="s">
        <v>78</v>
      </c>
      <c r="BG21" s="24" t="s">
        <v>78</v>
      </c>
      <c r="BH21" s="215">
        <f t="shared" si="6"/>
        <v>0</v>
      </c>
      <c r="BI21" s="350" t="str">
        <f t="shared" si="0"/>
        <v>Naik Kelas</v>
      </c>
      <c r="BJ21" s="25"/>
      <c r="BL21" s="281" t="str">
        <f t="shared" si="1"/>
        <v>Tingkatkan prestasi belajarmu!</v>
      </c>
    </row>
    <row r="22" spans="2:64" ht="15.75">
      <c r="B22" s="1382" t="str">
        <f>AY4</f>
        <v>Bahasa dan Aksara Lampung</v>
      </c>
      <c r="C22" s="1382"/>
      <c r="E22" s="211">
        <f>Biodata!B21</f>
        <v>16</v>
      </c>
      <c r="F22" s="212">
        <f>IF(Biodata!C21="","",VLOOKUP(E22,Biodata_Siswa,2,FALSE))</f>
        <v>7096</v>
      </c>
      <c r="G22" s="891" t="str">
        <f>IF(Biodata!E21="","",PROPER(VLOOKUP(E22,Biodata_Siswa,4,FALSE)))</f>
        <v>Indah Purnama Ningsih</v>
      </c>
      <c r="H22" s="892"/>
      <c r="I22" s="380"/>
      <c r="J22" s="387"/>
      <c r="K22" s="382"/>
      <c r="L22" s="380"/>
      <c r="M22" s="381"/>
      <c r="N22" s="382"/>
      <c r="O22" s="380"/>
      <c r="P22" s="381"/>
      <c r="Q22" s="382"/>
      <c r="R22" s="380"/>
      <c r="S22" s="381"/>
      <c r="T22" s="382"/>
      <c r="U22" s="380"/>
      <c r="V22" s="381"/>
      <c r="W22" s="382"/>
      <c r="X22" s="380"/>
      <c r="Y22" s="381"/>
      <c r="Z22" s="382"/>
      <c r="AA22" s="380"/>
      <c r="AB22" s="381"/>
      <c r="AC22" s="382"/>
      <c r="AD22" s="380"/>
      <c r="AE22" s="381"/>
      <c r="AF22" s="382"/>
      <c r="AG22" s="380"/>
      <c r="AH22" s="381"/>
      <c r="AI22" s="382"/>
      <c r="AJ22" s="380"/>
      <c r="AK22" s="381"/>
      <c r="AL22" s="382"/>
      <c r="AM22" s="380"/>
      <c r="AN22" s="381"/>
      <c r="AO22" s="382"/>
      <c r="AP22" s="380"/>
      <c r="AQ22" s="381"/>
      <c r="AR22" s="382"/>
      <c r="AS22" s="380"/>
      <c r="AT22" s="381"/>
      <c r="AU22" s="382"/>
      <c r="AV22" s="380"/>
      <c r="AW22" s="381"/>
      <c r="AX22" s="382"/>
      <c r="AY22" s="380"/>
      <c r="AZ22" s="381"/>
      <c r="BA22" s="213" t="str">
        <f t="shared" si="2"/>
        <v/>
      </c>
      <c r="BB22" s="389" t="str">
        <f t="shared" si="3"/>
        <v/>
      </c>
      <c r="BC22" s="390" t="str">
        <f t="shared" si="4"/>
        <v/>
      </c>
      <c r="BD22" s="214" t="str">
        <f t="shared" si="5"/>
        <v/>
      </c>
      <c r="BE22" s="319" t="s">
        <v>78</v>
      </c>
      <c r="BF22" s="319" t="s">
        <v>78</v>
      </c>
      <c r="BG22" s="24" t="s">
        <v>78</v>
      </c>
      <c r="BH22" s="215">
        <f t="shared" si="6"/>
        <v>0</v>
      </c>
      <c r="BI22" s="350" t="str">
        <f t="shared" si="0"/>
        <v>Naik Kelas</v>
      </c>
      <c r="BJ22" s="25"/>
      <c r="BL22" s="281" t="str">
        <f>IF(BJ22="",(IF(AND(BD22=1,BH22&gt;5),"Pertahankan prestasimu dan kurangi meninggalkan sekolah!",IF(AND(BD22&gt;1,BH22&gt;5),"Tingkatkan prestasimu dan kurangi meninggalkan sekolah!",IF(AND(BD22=1,BH22&lt;=5),"Pertahankan prestasimu!","Tingkatkan prestasi belajarmu!")))),BJ22)</f>
        <v>Tingkatkan prestasi belajarmu!</v>
      </c>
    </row>
    <row r="23" spans="2:64" ht="15.75">
      <c r="B23" s="1382" t="str">
        <f>BE2</f>
        <v>Absensi</v>
      </c>
      <c r="C23" s="1382"/>
      <c r="E23" s="211">
        <f>Biodata!B22</f>
        <v>17</v>
      </c>
      <c r="F23" s="212">
        <f>IF(Biodata!C22="","",VLOOKUP(E23,Biodata_Siswa,2,FALSE))</f>
        <v>7098</v>
      </c>
      <c r="G23" s="891" t="str">
        <f>IF(Biodata!E22="","",PROPER(VLOOKUP(E23,Biodata_Siswa,4,FALSE)))</f>
        <v>Ladiva Nurrosa Laila</v>
      </c>
      <c r="H23" s="892"/>
      <c r="I23" s="380"/>
      <c r="J23" s="387"/>
      <c r="K23" s="382"/>
      <c r="L23" s="380"/>
      <c r="M23" s="381"/>
      <c r="N23" s="382"/>
      <c r="O23" s="380"/>
      <c r="P23" s="381"/>
      <c r="Q23" s="382"/>
      <c r="R23" s="380"/>
      <c r="S23" s="381"/>
      <c r="T23" s="382"/>
      <c r="U23" s="380"/>
      <c r="V23" s="381"/>
      <c r="W23" s="382"/>
      <c r="X23" s="380"/>
      <c r="Y23" s="381"/>
      <c r="Z23" s="382"/>
      <c r="AA23" s="380"/>
      <c r="AB23" s="381"/>
      <c r="AC23" s="382"/>
      <c r="AD23" s="380"/>
      <c r="AE23" s="381"/>
      <c r="AF23" s="382"/>
      <c r="AG23" s="380"/>
      <c r="AH23" s="381"/>
      <c r="AI23" s="382"/>
      <c r="AJ23" s="380"/>
      <c r="AK23" s="381"/>
      <c r="AL23" s="382"/>
      <c r="AM23" s="380"/>
      <c r="AN23" s="381"/>
      <c r="AO23" s="382"/>
      <c r="AP23" s="380"/>
      <c r="AQ23" s="381"/>
      <c r="AR23" s="382"/>
      <c r="AS23" s="380"/>
      <c r="AT23" s="381"/>
      <c r="AU23" s="382"/>
      <c r="AV23" s="380"/>
      <c r="AW23" s="381"/>
      <c r="AX23" s="382"/>
      <c r="AY23" s="380"/>
      <c r="AZ23" s="381"/>
      <c r="BA23" s="213" t="str">
        <f t="shared" si="2"/>
        <v/>
      </c>
      <c r="BB23" s="389" t="str">
        <f t="shared" si="3"/>
        <v/>
      </c>
      <c r="BC23" s="390" t="str">
        <f t="shared" si="4"/>
        <v/>
      </c>
      <c r="BD23" s="214" t="str">
        <f t="shared" si="5"/>
        <v/>
      </c>
      <c r="BE23" s="319" t="s">
        <v>78</v>
      </c>
      <c r="BF23" s="319" t="s">
        <v>78</v>
      </c>
      <c r="BG23" s="24" t="s">
        <v>78</v>
      </c>
      <c r="BH23" s="215">
        <f t="shared" si="6"/>
        <v>0</v>
      </c>
      <c r="BI23" s="350" t="str">
        <f t="shared" si="0"/>
        <v>Naik Kelas</v>
      </c>
      <c r="BJ23" s="25"/>
      <c r="BL23" s="281" t="str">
        <f t="shared" ref="BL23:BL46" si="7">IF(BJ23="",(IF(AND(BD23=1,BH23&gt;5),"Pertahankan prestasimu dan kurangi meninggalkan sekolah!",IF(AND(BD23&gt;1,BH23&gt;5),"Tingkatkan prestasimu dan kurangi meninggalkan sekolah!",IF(AND(BD23=1,BH23&lt;=5),"Pertahankan prestasimu!","Tingkatkan prestasi belajarmu!")))),BJ23)</f>
        <v>Tingkatkan prestasi belajarmu!</v>
      </c>
    </row>
    <row r="24" spans="2:64" ht="15.75">
      <c r="B24" s="1382" t="str">
        <f>BI2</f>
        <v>Naik / Tidak Naik</v>
      </c>
      <c r="C24" s="1382"/>
      <c r="E24" s="211">
        <f>Biodata!B23</f>
        <v>18</v>
      </c>
      <c r="F24" s="212">
        <f>IF(Biodata!C23="","",VLOOKUP(E24,Biodata_Siswa,2,FALSE))</f>
        <v>7101</v>
      </c>
      <c r="G24" s="891" t="str">
        <f>IF(Biodata!E23="","",PROPER(VLOOKUP(E24,Biodata_Siswa,4,FALSE)))</f>
        <v>Mefa Novita Putri</v>
      </c>
      <c r="H24" s="892"/>
      <c r="I24" s="380"/>
      <c r="J24" s="387"/>
      <c r="K24" s="382"/>
      <c r="L24" s="380"/>
      <c r="M24" s="381"/>
      <c r="N24" s="382"/>
      <c r="O24" s="380"/>
      <c r="P24" s="381"/>
      <c r="Q24" s="382"/>
      <c r="R24" s="380"/>
      <c r="S24" s="381"/>
      <c r="T24" s="382"/>
      <c r="U24" s="380"/>
      <c r="V24" s="381"/>
      <c r="W24" s="382"/>
      <c r="X24" s="380"/>
      <c r="Y24" s="381"/>
      <c r="Z24" s="382"/>
      <c r="AA24" s="380"/>
      <c r="AB24" s="381"/>
      <c r="AC24" s="382"/>
      <c r="AD24" s="380"/>
      <c r="AE24" s="381"/>
      <c r="AF24" s="382"/>
      <c r="AG24" s="380"/>
      <c r="AH24" s="381"/>
      <c r="AI24" s="382"/>
      <c r="AJ24" s="380"/>
      <c r="AK24" s="381"/>
      <c r="AL24" s="382"/>
      <c r="AM24" s="380"/>
      <c r="AN24" s="381"/>
      <c r="AO24" s="382"/>
      <c r="AP24" s="380"/>
      <c r="AQ24" s="381"/>
      <c r="AR24" s="382"/>
      <c r="AS24" s="380"/>
      <c r="AT24" s="381"/>
      <c r="AU24" s="382"/>
      <c r="AV24" s="380"/>
      <c r="AW24" s="381"/>
      <c r="AX24" s="382"/>
      <c r="AY24" s="380"/>
      <c r="AZ24" s="381"/>
      <c r="BA24" s="213" t="str">
        <f t="shared" si="2"/>
        <v/>
      </c>
      <c r="BB24" s="389" t="str">
        <f t="shared" si="3"/>
        <v/>
      </c>
      <c r="BC24" s="390" t="str">
        <f t="shared" si="4"/>
        <v/>
      </c>
      <c r="BD24" s="214" t="str">
        <f t="shared" si="5"/>
        <v/>
      </c>
      <c r="BE24" s="319" t="s">
        <v>78</v>
      </c>
      <c r="BF24" s="319" t="s">
        <v>78</v>
      </c>
      <c r="BG24" s="24" t="s">
        <v>78</v>
      </c>
      <c r="BH24" s="215">
        <f t="shared" si="6"/>
        <v>0</v>
      </c>
      <c r="BI24" s="350" t="str">
        <f t="shared" si="0"/>
        <v>Naik Kelas</v>
      </c>
      <c r="BJ24" s="25"/>
      <c r="BL24" s="281" t="str">
        <f t="shared" si="7"/>
        <v>Tingkatkan prestasi belajarmu!</v>
      </c>
    </row>
    <row r="25" spans="2:64" ht="15.75">
      <c r="B25" s="1382" t="s">
        <v>67</v>
      </c>
      <c r="C25" s="1382"/>
      <c r="E25" s="211">
        <f>Biodata!B24</f>
        <v>19</v>
      </c>
      <c r="F25" s="212">
        <f>IF(Biodata!C24="","",VLOOKUP(E25,Biodata_Siswa,2,FALSE))</f>
        <v>7104</v>
      </c>
      <c r="G25" s="891" t="str">
        <f>IF(Biodata!E24="","",PROPER(VLOOKUP(E25,Biodata_Siswa,4,FALSE)))</f>
        <v>Mellanie Bunga Aprilia</v>
      </c>
      <c r="H25" s="892"/>
      <c r="I25" s="380"/>
      <c r="J25" s="387"/>
      <c r="K25" s="382"/>
      <c r="L25" s="380"/>
      <c r="M25" s="381"/>
      <c r="N25" s="382"/>
      <c r="O25" s="380"/>
      <c r="P25" s="381"/>
      <c r="Q25" s="382"/>
      <c r="R25" s="380"/>
      <c r="S25" s="381"/>
      <c r="T25" s="382"/>
      <c r="U25" s="380"/>
      <c r="V25" s="381"/>
      <c r="W25" s="382"/>
      <c r="X25" s="380"/>
      <c r="Y25" s="381"/>
      <c r="Z25" s="382"/>
      <c r="AA25" s="380"/>
      <c r="AB25" s="381"/>
      <c r="AC25" s="382"/>
      <c r="AD25" s="380"/>
      <c r="AE25" s="381"/>
      <c r="AF25" s="382"/>
      <c r="AG25" s="380"/>
      <c r="AH25" s="381"/>
      <c r="AI25" s="382"/>
      <c r="AJ25" s="380"/>
      <c r="AK25" s="381"/>
      <c r="AL25" s="382"/>
      <c r="AM25" s="380"/>
      <c r="AN25" s="381"/>
      <c r="AO25" s="382"/>
      <c r="AP25" s="380"/>
      <c r="AQ25" s="381"/>
      <c r="AR25" s="382"/>
      <c r="AS25" s="380"/>
      <c r="AT25" s="381"/>
      <c r="AU25" s="382"/>
      <c r="AV25" s="380"/>
      <c r="AW25" s="381"/>
      <c r="AX25" s="382"/>
      <c r="AY25" s="380"/>
      <c r="AZ25" s="381"/>
      <c r="BA25" s="213" t="str">
        <f t="shared" si="2"/>
        <v/>
      </c>
      <c r="BB25" s="389" t="str">
        <f t="shared" si="3"/>
        <v/>
      </c>
      <c r="BC25" s="390" t="str">
        <f t="shared" si="4"/>
        <v/>
      </c>
      <c r="BD25" s="214" t="str">
        <f t="shared" si="5"/>
        <v/>
      </c>
      <c r="BE25" s="319" t="s">
        <v>78</v>
      </c>
      <c r="BF25" s="319" t="s">
        <v>78</v>
      </c>
      <c r="BG25" s="24" t="s">
        <v>78</v>
      </c>
      <c r="BH25" s="215">
        <f t="shared" si="6"/>
        <v>0</v>
      </c>
      <c r="BI25" s="350" t="str">
        <f t="shared" si="0"/>
        <v>Naik Kelas</v>
      </c>
      <c r="BJ25" s="25"/>
      <c r="BL25" s="281" t="str">
        <f t="shared" si="7"/>
        <v>Tingkatkan prestasi belajarmu!</v>
      </c>
    </row>
    <row r="26" spans="2:64">
      <c r="E26" s="211">
        <f>Biodata!B25</f>
        <v>20</v>
      </c>
      <c r="F26" s="212">
        <f>IF(Biodata!C25="","",VLOOKUP(E26,Biodata_Siswa,2,FALSE))</f>
        <v>7105</v>
      </c>
      <c r="G26" s="891" t="str">
        <f>IF(Biodata!E25="","",PROPER(VLOOKUP(E26,Biodata_Siswa,4,FALSE)))</f>
        <v>Mirra Tusolickak</v>
      </c>
      <c r="H26" s="892"/>
      <c r="I26" s="380"/>
      <c r="J26" s="387"/>
      <c r="K26" s="382"/>
      <c r="L26" s="380"/>
      <c r="M26" s="381"/>
      <c r="N26" s="382"/>
      <c r="O26" s="380"/>
      <c r="P26" s="381"/>
      <c r="Q26" s="382"/>
      <c r="R26" s="380"/>
      <c r="S26" s="381"/>
      <c r="T26" s="382"/>
      <c r="U26" s="380"/>
      <c r="V26" s="381"/>
      <c r="W26" s="382"/>
      <c r="X26" s="380"/>
      <c r="Y26" s="381"/>
      <c r="Z26" s="382"/>
      <c r="AA26" s="380"/>
      <c r="AB26" s="381"/>
      <c r="AC26" s="382"/>
      <c r="AD26" s="380"/>
      <c r="AE26" s="381"/>
      <c r="AF26" s="382"/>
      <c r="AG26" s="380"/>
      <c r="AH26" s="381"/>
      <c r="AI26" s="382"/>
      <c r="AJ26" s="380"/>
      <c r="AK26" s="381"/>
      <c r="AL26" s="382"/>
      <c r="AM26" s="380"/>
      <c r="AN26" s="381"/>
      <c r="AO26" s="382"/>
      <c r="AP26" s="380"/>
      <c r="AQ26" s="381"/>
      <c r="AR26" s="382"/>
      <c r="AS26" s="380"/>
      <c r="AT26" s="381"/>
      <c r="AU26" s="382"/>
      <c r="AV26" s="380"/>
      <c r="AW26" s="381"/>
      <c r="AX26" s="382"/>
      <c r="AY26" s="380"/>
      <c r="AZ26" s="381"/>
      <c r="BA26" s="213" t="str">
        <f t="shared" si="2"/>
        <v/>
      </c>
      <c r="BB26" s="389" t="str">
        <f t="shared" si="3"/>
        <v/>
      </c>
      <c r="BC26" s="390" t="str">
        <f t="shared" si="4"/>
        <v/>
      </c>
      <c r="BD26" s="214" t="str">
        <f t="shared" si="5"/>
        <v/>
      </c>
      <c r="BE26" s="319" t="s">
        <v>78</v>
      </c>
      <c r="BF26" s="319" t="s">
        <v>78</v>
      </c>
      <c r="BG26" s="24" t="s">
        <v>78</v>
      </c>
      <c r="BH26" s="215">
        <f t="shared" si="6"/>
        <v>0</v>
      </c>
      <c r="BI26" s="350" t="str">
        <f t="shared" si="0"/>
        <v>Naik Kelas</v>
      </c>
      <c r="BJ26" s="25"/>
      <c r="BL26" s="281" t="str">
        <f t="shared" si="7"/>
        <v>Tingkatkan prestasi belajarmu!</v>
      </c>
    </row>
    <row r="27" spans="2:64">
      <c r="B27" s="947" t="s">
        <v>85</v>
      </c>
      <c r="C27" s="947"/>
      <c r="E27" s="211">
        <f>Biodata!B26</f>
        <v>21</v>
      </c>
      <c r="F27" s="212">
        <f>IF(Biodata!C26="","",VLOOKUP(E27,Biodata_Siswa,2,FALSE))</f>
        <v>7107</v>
      </c>
      <c r="G27" s="891" t="str">
        <f>IF(Biodata!E26="","",PROPER(VLOOKUP(E27,Biodata_Siswa,4,FALSE)))</f>
        <v>Muhammad Daffa Rifa'I</v>
      </c>
      <c r="H27" s="892"/>
      <c r="I27" s="380"/>
      <c r="J27" s="387"/>
      <c r="K27" s="382"/>
      <c r="L27" s="380"/>
      <c r="M27" s="381"/>
      <c r="N27" s="382"/>
      <c r="O27" s="380"/>
      <c r="P27" s="381"/>
      <c r="Q27" s="382"/>
      <c r="R27" s="380"/>
      <c r="S27" s="381"/>
      <c r="T27" s="382"/>
      <c r="U27" s="380"/>
      <c r="V27" s="381"/>
      <c r="W27" s="382"/>
      <c r="X27" s="380"/>
      <c r="Y27" s="381"/>
      <c r="Z27" s="382"/>
      <c r="AA27" s="380"/>
      <c r="AB27" s="381"/>
      <c r="AC27" s="382"/>
      <c r="AD27" s="380"/>
      <c r="AE27" s="381"/>
      <c r="AF27" s="382"/>
      <c r="AG27" s="380"/>
      <c r="AH27" s="381"/>
      <c r="AI27" s="382"/>
      <c r="AJ27" s="380"/>
      <c r="AK27" s="381"/>
      <c r="AL27" s="382"/>
      <c r="AM27" s="380"/>
      <c r="AN27" s="381"/>
      <c r="AO27" s="382"/>
      <c r="AP27" s="380"/>
      <c r="AQ27" s="381"/>
      <c r="AR27" s="382"/>
      <c r="AS27" s="380"/>
      <c r="AT27" s="381"/>
      <c r="AU27" s="382"/>
      <c r="AV27" s="380"/>
      <c r="AW27" s="381"/>
      <c r="AX27" s="382"/>
      <c r="AY27" s="380"/>
      <c r="AZ27" s="381"/>
      <c r="BA27" s="213" t="str">
        <f t="shared" si="2"/>
        <v/>
      </c>
      <c r="BB27" s="389" t="str">
        <f t="shared" si="3"/>
        <v/>
      </c>
      <c r="BC27" s="390" t="str">
        <f t="shared" si="4"/>
        <v/>
      </c>
      <c r="BD27" s="214" t="str">
        <f t="shared" si="5"/>
        <v/>
      </c>
      <c r="BE27" s="319" t="s">
        <v>78</v>
      </c>
      <c r="BF27" s="319" t="s">
        <v>78</v>
      </c>
      <c r="BG27" s="24" t="s">
        <v>78</v>
      </c>
      <c r="BH27" s="215">
        <f t="shared" si="6"/>
        <v>0</v>
      </c>
      <c r="BI27" s="350" t="str">
        <f t="shared" si="0"/>
        <v>Naik Kelas</v>
      </c>
      <c r="BJ27" s="25"/>
      <c r="BL27" s="281" t="str">
        <f t="shared" si="7"/>
        <v>Tingkatkan prestasi belajarmu!</v>
      </c>
    </row>
    <row r="28" spans="2:64" ht="15.75">
      <c r="B28" s="216" t="s">
        <v>59</v>
      </c>
      <c r="C28" s="216" t="s">
        <v>113</v>
      </c>
      <c r="E28" s="211">
        <f>Biodata!B27</f>
        <v>22</v>
      </c>
      <c r="F28" s="212">
        <f>IF(Biodata!C27="","",VLOOKUP(E28,Biodata_Siswa,2,FALSE))</f>
        <v>7108</v>
      </c>
      <c r="G28" s="891" t="str">
        <f>IF(Biodata!E27="","",PROPER(VLOOKUP(E28,Biodata_Siswa,4,FALSE)))</f>
        <v>Muhammad Jaupanto</v>
      </c>
      <c r="H28" s="892"/>
      <c r="I28" s="380"/>
      <c r="J28" s="387"/>
      <c r="K28" s="382"/>
      <c r="L28" s="380"/>
      <c r="M28" s="381"/>
      <c r="N28" s="382"/>
      <c r="O28" s="380"/>
      <c r="P28" s="381"/>
      <c r="Q28" s="382"/>
      <c r="R28" s="380"/>
      <c r="S28" s="381"/>
      <c r="T28" s="382"/>
      <c r="U28" s="380"/>
      <c r="V28" s="381"/>
      <c r="W28" s="382"/>
      <c r="X28" s="380"/>
      <c r="Y28" s="381"/>
      <c r="Z28" s="382"/>
      <c r="AA28" s="380"/>
      <c r="AB28" s="381"/>
      <c r="AC28" s="382"/>
      <c r="AD28" s="380"/>
      <c r="AE28" s="381"/>
      <c r="AF28" s="382"/>
      <c r="AG28" s="380"/>
      <c r="AH28" s="381"/>
      <c r="AI28" s="382"/>
      <c r="AJ28" s="380"/>
      <c r="AK28" s="381"/>
      <c r="AL28" s="382"/>
      <c r="AM28" s="380"/>
      <c r="AN28" s="381"/>
      <c r="AO28" s="382"/>
      <c r="AP28" s="380"/>
      <c r="AQ28" s="381"/>
      <c r="AR28" s="382"/>
      <c r="AS28" s="380"/>
      <c r="AT28" s="381"/>
      <c r="AU28" s="382"/>
      <c r="AV28" s="380"/>
      <c r="AW28" s="381"/>
      <c r="AX28" s="382"/>
      <c r="AY28" s="380"/>
      <c r="AZ28" s="381"/>
      <c r="BA28" s="213" t="str">
        <f t="shared" si="2"/>
        <v/>
      </c>
      <c r="BB28" s="389" t="str">
        <f t="shared" si="3"/>
        <v/>
      </c>
      <c r="BC28" s="390" t="str">
        <f t="shared" si="4"/>
        <v/>
      </c>
      <c r="BD28" s="214" t="str">
        <f t="shared" si="5"/>
        <v/>
      </c>
      <c r="BE28" s="319" t="s">
        <v>78</v>
      </c>
      <c r="BF28" s="319" t="s">
        <v>78</v>
      </c>
      <c r="BG28" s="24" t="s">
        <v>78</v>
      </c>
      <c r="BH28" s="215">
        <f t="shared" si="6"/>
        <v>0</v>
      </c>
      <c r="BI28" s="350" t="str">
        <f t="shared" si="0"/>
        <v>Naik Kelas</v>
      </c>
      <c r="BJ28" s="25"/>
      <c r="BL28" s="281" t="str">
        <f t="shared" si="7"/>
        <v>Tingkatkan prestasi belajarmu!</v>
      </c>
    </row>
    <row r="29" spans="2:64" ht="15.75">
      <c r="B29" s="217" t="s">
        <v>126</v>
      </c>
      <c r="C29" s="217" t="s">
        <v>79</v>
      </c>
      <c r="E29" s="211">
        <f>Biodata!B28</f>
        <v>23</v>
      </c>
      <c r="F29" s="212">
        <f>IF(Biodata!C28="","",VLOOKUP(E29,Biodata_Siswa,2,FALSE))</f>
        <v>7111</v>
      </c>
      <c r="G29" s="891" t="str">
        <f>IF(Biodata!E28="","",PROPER(VLOOKUP(E29,Biodata_Siswa,4,FALSE)))</f>
        <v>Nova Laila Khusna</v>
      </c>
      <c r="H29" s="892"/>
      <c r="I29" s="380"/>
      <c r="J29" s="387"/>
      <c r="K29" s="382"/>
      <c r="L29" s="380"/>
      <c r="M29" s="381"/>
      <c r="N29" s="382"/>
      <c r="O29" s="380"/>
      <c r="P29" s="381"/>
      <c r="Q29" s="382"/>
      <c r="R29" s="380"/>
      <c r="S29" s="381"/>
      <c r="T29" s="382"/>
      <c r="U29" s="380"/>
      <c r="V29" s="381"/>
      <c r="W29" s="382"/>
      <c r="X29" s="380"/>
      <c r="Y29" s="381"/>
      <c r="Z29" s="382"/>
      <c r="AA29" s="380"/>
      <c r="AB29" s="381"/>
      <c r="AC29" s="382"/>
      <c r="AD29" s="380"/>
      <c r="AE29" s="381"/>
      <c r="AF29" s="382"/>
      <c r="AG29" s="380"/>
      <c r="AH29" s="381"/>
      <c r="AI29" s="382"/>
      <c r="AJ29" s="380"/>
      <c r="AK29" s="381"/>
      <c r="AL29" s="382"/>
      <c r="AM29" s="380"/>
      <c r="AN29" s="381"/>
      <c r="AO29" s="382"/>
      <c r="AP29" s="380"/>
      <c r="AQ29" s="381"/>
      <c r="AR29" s="382"/>
      <c r="AS29" s="380"/>
      <c r="AT29" s="381"/>
      <c r="AU29" s="382"/>
      <c r="AV29" s="380"/>
      <c r="AW29" s="381"/>
      <c r="AX29" s="382"/>
      <c r="AY29" s="380"/>
      <c r="AZ29" s="381"/>
      <c r="BA29" s="213" t="str">
        <f t="shared" si="2"/>
        <v/>
      </c>
      <c r="BB29" s="389" t="str">
        <f t="shared" si="3"/>
        <v/>
      </c>
      <c r="BC29" s="390" t="str">
        <f t="shared" si="4"/>
        <v/>
      </c>
      <c r="BD29" s="214" t="str">
        <f t="shared" si="5"/>
        <v/>
      </c>
      <c r="BE29" s="319" t="s">
        <v>78</v>
      </c>
      <c r="BF29" s="319" t="s">
        <v>78</v>
      </c>
      <c r="BG29" s="24" t="s">
        <v>78</v>
      </c>
      <c r="BH29" s="215">
        <f t="shared" si="6"/>
        <v>0</v>
      </c>
      <c r="BI29" s="350" t="str">
        <f t="shared" si="0"/>
        <v>Naik Kelas</v>
      </c>
      <c r="BJ29" s="25"/>
      <c r="BL29" s="281" t="str">
        <f t="shared" si="7"/>
        <v>Tingkatkan prestasi belajarmu!</v>
      </c>
    </row>
    <row r="30" spans="2:64" ht="15.75">
      <c r="B30" s="217" t="s">
        <v>125</v>
      </c>
      <c r="C30" s="217" t="s">
        <v>83</v>
      </c>
      <c r="E30" s="211">
        <f>Biodata!B29</f>
        <v>24</v>
      </c>
      <c r="F30" s="212">
        <f>IF(Biodata!C29="","",VLOOKUP(E30,Biodata_Siswa,2,FALSE))</f>
        <v>7126</v>
      </c>
      <c r="G30" s="891" t="str">
        <f>IF(Biodata!E29="","",PROPER(VLOOKUP(E30,Biodata_Siswa,4,FALSE)))</f>
        <v>Sawal Ramadian</v>
      </c>
      <c r="H30" s="892"/>
      <c r="I30" s="380"/>
      <c r="J30" s="387"/>
      <c r="K30" s="382"/>
      <c r="L30" s="380"/>
      <c r="M30" s="381"/>
      <c r="N30" s="382"/>
      <c r="O30" s="380"/>
      <c r="P30" s="381"/>
      <c r="Q30" s="382"/>
      <c r="R30" s="380"/>
      <c r="S30" s="381"/>
      <c r="T30" s="382"/>
      <c r="U30" s="380"/>
      <c r="V30" s="381"/>
      <c r="W30" s="382"/>
      <c r="X30" s="380"/>
      <c r="Y30" s="381"/>
      <c r="Z30" s="382"/>
      <c r="AA30" s="380"/>
      <c r="AB30" s="381"/>
      <c r="AC30" s="382"/>
      <c r="AD30" s="380"/>
      <c r="AE30" s="381"/>
      <c r="AF30" s="382"/>
      <c r="AG30" s="380"/>
      <c r="AH30" s="381"/>
      <c r="AI30" s="382"/>
      <c r="AJ30" s="380"/>
      <c r="AK30" s="381"/>
      <c r="AL30" s="382"/>
      <c r="AM30" s="380"/>
      <c r="AN30" s="381"/>
      <c r="AO30" s="382"/>
      <c r="AP30" s="380"/>
      <c r="AQ30" s="381"/>
      <c r="AR30" s="382"/>
      <c r="AS30" s="380"/>
      <c r="AT30" s="381"/>
      <c r="AU30" s="382"/>
      <c r="AV30" s="380"/>
      <c r="AW30" s="381"/>
      <c r="AX30" s="382"/>
      <c r="AY30" s="380"/>
      <c r="AZ30" s="381"/>
      <c r="BA30" s="213" t="str">
        <f t="shared" si="2"/>
        <v/>
      </c>
      <c r="BB30" s="389" t="str">
        <f t="shared" si="3"/>
        <v/>
      </c>
      <c r="BC30" s="390" t="str">
        <f t="shared" si="4"/>
        <v/>
      </c>
      <c r="BD30" s="214" t="str">
        <f t="shared" si="5"/>
        <v/>
      </c>
      <c r="BE30" s="319" t="s">
        <v>78</v>
      </c>
      <c r="BF30" s="319" t="s">
        <v>78</v>
      </c>
      <c r="BG30" s="24" t="s">
        <v>78</v>
      </c>
      <c r="BH30" s="215">
        <f t="shared" si="6"/>
        <v>0</v>
      </c>
      <c r="BI30" s="350" t="str">
        <f t="shared" si="0"/>
        <v>Naik Kelas</v>
      </c>
      <c r="BJ30" s="25"/>
      <c r="BL30" s="281" t="str">
        <f t="shared" si="7"/>
        <v>Tingkatkan prestasi belajarmu!</v>
      </c>
    </row>
    <row r="31" spans="2:64" ht="15.75">
      <c r="B31" s="217" t="s">
        <v>124</v>
      </c>
      <c r="C31" s="217" t="s">
        <v>82</v>
      </c>
      <c r="E31" s="211">
        <f>Biodata!B30</f>
        <v>25</v>
      </c>
      <c r="F31" s="212">
        <f>IF(Biodata!C30="","",VLOOKUP(E31,Biodata_Siswa,2,FALSE))</f>
        <v>7130</v>
      </c>
      <c r="G31" s="891" t="str">
        <f>IF(Biodata!E30="","",PROPER(VLOOKUP(E31,Biodata_Siswa,4,FALSE)))</f>
        <v>Sofyan Romansyah</v>
      </c>
      <c r="H31" s="892"/>
      <c r="I31" s="380"/>
      <c r="J31" s="387"/>
      <c r="K31" s="382"/>
      <c r="L31" s="380"/>
      <c r="M31" s="381"/>
      <c r="N31" s="382"/>
      <c r="O31" s="380"/>
      <c r="P31" s="381"/>
      <c r="Q31" s="382"/>
      <c r="R31" s="380"/>
      <c r="S31" s="381"/>
      <c r="T31" s="382"/>
      <c r="U31" s="380"/>
      <c r="V31" s="381"/>
      <c r="W31" s="382"/>
      <c r="X31" s="380"/>
      <c r="Y31" s="381"/>
      <c r="Z31" s="382"/>
      <c r="AA31" s="380"/>
      <c r="AB31" s="381"/>
      <c r="AC31" s="382"/>
      <c r="AD31" s="380"/>
      <c r="AE31" s="381"/>
      <c r="AF31" s="382"/>
      <c r="AG31" s="380"/>
      <c r="AH31" s="381"/>
      <c r="AI31" s="382"/>
      <c r="AJ31" s="380"/>
      <c r="AK31" s="381"/>
      <c r="AL31" s="382"/>
      <c r="AM31" s="380"/>
      <c r="AN31" s="381"/>
      <c r="AO31" s="382"/>
      <c r="AP31" s="380"/>
      <c r="AQ31" s="381"/>
      <c r="AR31" s="382"/>
      <c r="AS31" s="380"/>
      <c r="AT31" s="381"/>
      <c r="AU31" s="382"/>
      <c r="AV31" s="380"/>
      <c r="AW31" s="381"/>
      <c r="AX31" s="382"/>
      <c r="AY31" s="380"/>
      <c r="AZ31" s="381"/>
      <c r="BA31" s="213" t="str">
        <f t="shared" si="2"/>
        <v/>
      </c>
      <c r="BB31" s="389" t="str">
        <f t="shared" si="3"/>
        <v/>
      </c>
      <c r="BC31" s="390" t="str">
        <f t="shared" si="4"/>
        <v/>
      </c>
      <c r="BD31" s="214" t="str">
        <f t="shared" si="5"/>
        <v/>
      </c>
      <c r="BE31" s="319" t="s">
        <v>78</v>
      </c>
      <c r="BF31" s="319" t="s">
        <v>78</v>
      </c>
      <c r="BG31" s="24" t="s">
        <v>78</v>
      </c>
      <c r="BH31" s="215">
        <f t="shared" si="6"/>
        <v>0</v>
      </c>
      <c r="BI31" s="350" t="str">
        <f t="shared" si="0"/>
        <v>Naik Kelas</v>
      </c>
      <c r="BJ31" s="25"/>
      <c r="BL31" s="281" t="str">
        <f t="shared" si="7"/>
        <v>Tingkatkan prestasi belajarmu!</v>
      </c>
    </row>
    <row r="32" spans="2:64" ht="15.75">
      <c r="B32" s="217" t="s">
        <v>123</v>
      </c>
      <c r="C32" s="217" t="s">
        <v>81</v>
      </c>
      <c r="E32" s="211">
        <f>Biodata!B31</f>
        <v>26</v>
      </c>
      <c r="F32" s="212">
        <f>IF(Biodata!C31="","",VLOOKUP(E32,Biodata_Siswa,2,FALSE))</f>
        <v>7132</v>
      </c>
      <c r="G32" s="891" t="str">
        <f>IF(Biodata!E31="","",PROPER(VLOOKUP(E32,Biodata_Siswa,4,FALSE)))</f>
        <v>Tio Ardinata</v>
      </c>
      <c r="H32" s="892"/>
      <c r="I32" s="380"/>
      <c r="J32" s="387"/>
      <c r="K32" s="382"/>
      <c r="L32" s="380"/>
      <c r="M32" s="381"/>
      <c r="N32" s="382"/>
      <c r="O32" s="380"/>
      <c r="P32" s="381"/>
      <c r="Q32" s="382"/>
      <c r="R32" s="380"/>
      <c r="S32" s="381"/>
      <c r="T32" s="382"/>
      <c r="U32" s="380"/>
      <c r="V32" s="381"/>
      <c r="W32" s="382"/>
      <c r="X32" s="380"/>
      <c r="Y32" s="381"/>
      <c r="Z32" s="382"/>
      <c r="AA32" s="380"/>
      <c r="AB32" s="381"/>
      <c r="AC32" s="382"/>
      <c r="AD32" s="380"/>
      <c r="AE32" s="381"/>
      <c r="AF32" s="382"/>
      <c r="AG32" s="380"/>
      <c r="AH32" s="381"/>
      <c r="AI32" s="382"/>
      <c r="AJ32" s="380"/>
      <c r="AK32" s="381"/>
      <c r="AL32" s="382"/>
      <c r="AM32" s="380"/>
      <c r="AN32" s="381"/>
      <c r="AO32" s="382"/>
      <c r="AP32" s="380"/>
      <c r="AQ32" s="381"/>
      <c r="AR32" s="382"/>
      <c r="AS32" s="380"/>
      <c r="AT32" s="381"/>
      <c r="AU32" s="382"/>
      <c r="AV32" s="380"/>
      <c r="AW32" s="381"/>
      <c r="AX32" s="382"/>
      <c r="AY32" s="380"/>
      <c r="AZ32" s="381"/>
      <c r="BA32" s="213" t="str">
        <f t="shared" si="2"/>
        <v/>
      </c>
      <c r="BB32" s="389" t="str">
        <f t="shared" si="3"/>
        <v/>
      </c>
      <c r="BC32" s="390" t="str">
        <f t="shared" si="4"/>
        <v/>
      </c>
      <c r="BD32" s="214" t="str">
        <f t="shared" si="5"/>
        <v/>
      </c>
      <c r="BE32" s="319" t="s">
        <v>78</v>
      </c>
      <c r="BF32" s="319" t="s">
        <v>78</v>
      </c>
      <c r="BG32" s="24" t="s">
        <v>78</v>
      </c>
      <c r="BH32" s="215">
        <f t="shared" si="6"/>
        <v>0</v>
      </c>
      <c r="BI32" s="350" t="str">
        <f t="shared" si="0"/>
        <v>Naik Kelas</v>
      </c>
      <c r="BJ32" s="25"/>
      <c r="BL32" s="281" t="str">
        <f t="shared" si="7"/>
        <v>Tingkatkan prestasi belajarmu!</v>
      </c>
    </row>
    <row r="33" spans="2:64">
      <c r="E33" s="211">
        <f>Biodata!B32</f>
        <v>27</v>
      </c>
      <c r="F33" s="212">
        <f>IF(Biodata!C32="","",VLOOKUP(E33,Biodata_Siswa,2,FALSE))</f>
        <v>7133</v>
      </c>
      <c r="G33" s="891" t="str">
        <f>IF(Biodata!E32="","",PROPER(VLOOKUP(E33,Biodata_Siswa,4,FALSE)))</f>
        <v>Tutik Dillayanti</v>
      </c>
      <c r="H33" s="892"/>
      <c r="I33" s="380"/>
      <c r="J33" s="387"/>
      <c r="K33" s="382"/>
      <c r="L33" s="380"/>
      <c r="M33" s="381"/>
      <c r="N33" s="382"/>
      <c r="O33" s="380"/>
      <c r="P33" s="381"/>
      <c r="Q33" s="382"/>
      <c r="R33" s="380"/>
      <c r="S33" s="381"/>
      <c r="T33" s="382"/>
      <c r="U33" s="380"/>
      <c r="V33" s="381"/>
      <c r="W33" s="382"/>
      <c r="X33" s="380"/>
      <c r="Y33" s="381"/>
      <c r="Z33" s="382"/>
      <c r="AA33" s="380"/>
      <c r="AB33" s="381"/>
      <c r="AC33" s="382"/>
      <c r="AD33" s="380"/>
      <c r="AE33" s="381"/>
      <c r="AF33" s="382"/>
      <c r="AG33" s="380"/>
      <c r="AH33" s="381"/>
      <c r="AI33" s="382"/>
      <c r="AJ33" s="380"/>
      <c r="AK33" s="381"/>
      <c r="AL33" s="382"/>
      <c r="AM33" s="380"/>
      <c r="AN33" s="381"/>
      <c r="AO33" s="382"/>
      <c r="AP33" s="380"/>
      <c r="AQ33" s="381"/>
      <c r="AR33" s="382"/>
      <c r="AS33" s="380"/>
      <c r="AT33" s="381"/>
      <c r="AU33" s="382"/>
      <c r="AV33" s="380"/>
      <c r="AW33" s="381"/>
      <c r="AX33" s="382"/>
      <c r="AY33" s="380"/>
      <c r="AZ33" s="381"/>
      <c r="BA33" s="213" t="str">
        <f t="shared" si="2"/>
        <v/>
      </c>
      <c r="BB33" s="389" t="str">
        <f t="shared" si="3"/>
        <v/>
      </c>
      <c r="BC33" s="390" t="str">
        <f t="shared" si="4"/>
        <v/>
      </c>
      <c r="BD33" s="214" t="str">
        <f t="shared" si="5"/>
        <v/>
      </c>
      <c r="BE33" s="319" t="s">
        <v>78</v>
      </c>
      <c r="BF33" s="319" t="s">
        <v>78</v>
      </c>
      <c r="BG33" s="24" t="s">
        <v>78</v>
      </c>
      <c r="BH33" s="215">
        <f t="shared" si="6"/>
        <v>0</v>
      </c>
      <c r="BI33" s="350" t="str">
        <f t="shared" si="0"/>
        <v>Naik Kelas</v>
      </c>
      <c r="BJ33" s="25"/>
      <c r="BL33" s="281" t="str">
        <f t="shared" si="7"/>
        <v>Tingkatkan prestasi belajarmu!</v>
      </c>
    </row>
    <row r="34" spans="2:64">
      <c r="E34" s="211">
        <f>Biodata!B33</f>
        <v>28</v>
      </c>
      <c r="F34" s="212">
        <f>IF(Biodata!C33="","",VLOOKUP(E34,Biodata_Siswa,2,FALSE))</f>
        <v>7142</v>
      </c>
      <c r="G34" s="891" t="str">
        <f>IF(Biodata!E33="","",PROPER(VLOOKUP(E34,Biodata_Siswa,4,FALSE)))</f>
        <v>I Gede Nyoman Bagiyasa</v>
      </c>
      <c r="H34" s="892"/>
      <c r="I34" s="380"/>
      <c r="J34" s="387"/>
      <c r="K34" s="382"/>
      <c r="L34" s="380"/>
      <c r="M34" s="381"/>
      <c r="N34" s="382"/>
      <c r="O34" s="380"/>
      <c r="P34" s="381"/>
      <c r="Q34" s="382"/>
      <c r="R34" s="380"/>
      <c r="S34" s="381"/>
      <c r="T34" s="382"/>
      <c r="U34" s="380"/>
      <c r="V34" s="381"/>
      <c r="W34" s="382"/>
      <c r="X34" s="380"/>
      <c r="Y34" s="381"/>
      <c r="Z34" s="382"/>
      <c r="AA34" s="380"/>
      <c r="AB34" s="381"/>
      <c r="AC34" s="382"/>
      <c r="AD34" s="380"/>
      <c r="AE34" s="381"/>
      <c r="AF34" s="382"/>
      <c r="AG34" s="380"/>
      <c r="AH34" s="381"/>
      <c r="AI34" s="382"/>
      <c r="AJ34" s="380"/>
      <c r="AK34" s="381"/>
      <c r="AL34" s="382"/>
      <c r="AM34" s="380"/>
      <c r="AN34" s="381"/>
      <c r="AO34" s="382"/>
      <c r="AP34" s="380"/>
      <c r="AQ34" s="381"/>
      <c r="AR34" s="382"/>
      <c r="AS34" s="380"/>
      <c r="AT34" s="381"/>
      <c r="AU34" s="382"/>
      <c r="AV34" s="380"/>
      <c r="AW34" s="381"/>
      <c r="AX34" s="382"/>
      <c r="AY34" s="380"/>
      <c r="AZ34" s="381"/>
      <c r="BA34" s="213" t="str">
        <f t="shared" si="2"/>
        <v/>
      </c>
      <c r="BB34" s="389" t="str">
        <f t="shared" si="3"/>
        <v/>
      </c>
      <c r="BC34" s="390" t="str">
        <f t="shared" si="4"/>
        <v/>
      </c>
      <c r="BD34" s="214" t="str">
        <f t="shared" si="5"/>
        <v/>
      </c>
      <c r="BE34" s="319" t="s">
        <v>78</v>
      </c>
      <c r="BF34" s="319" t="s">
        <v>78</v>
      </c>
      <c r="BG34" s="24" t="s">
        <v>78</v>
      </c>
      <c r="BH34" s="215">
        <f t="shared" si="6"/>
        <v>0</v>
      </c>
      <c r="BI34" s="350" t="str">
        <f t="shared" si="0"/>
        <v>Naik Kelas</v>
      </c>
      <c r="BJ34" s="25"/>
      <c r="BL34" s="281" t="str">
        <f t="shared" si="7"/>
        <v>Tingkatkan prestasi belajarmu!</v>
      </c>
    </row>
    <row r="35" spans="2:64">
      <c r="E35" s="211">
        <f>Biodata!B34</f>
        <v>29</v>
      </c>
      <c r="F35" s="212" t="str">
        <f>IF(Biodata!C34="","",VLOOKUP(E35,Biodata_Siswa,2,FALSE))</f>
        <v/>
      </c>
      <c r="G35" s="891" t="str">
        <f>IF(Biodata!E34="","",PROPER(VLOOKUP(E35,Biodata_Siswa,4,FALSE)))</f>
        <v>Melati Sabilla Rochmah</v>
      </c>
      <c r="H35" s="892"/>
      <c r="I35" s="380"/>
      <c r="J35" s="387"/>
      <c r="K35" s="382"/>
      <c r="L35" s="380"/>
      <c r="M35" s="381"/>
      <c r="N35" s="382"/>
      <c r="O35" s="380"/>
      <c r="P35" s="381"/>
      <c r="Q35" s="382"/>
      <c r="R35" s="380"/>
      <c r="S35" s="381"/>
      <c r="T35" s="382"/>
      <c r="U35" s="380"/>
      <c r="V35" s="381"/>
      <c r="W35" s="382"/>
      <c r="X35" s="380"/>
      <c r="Y35" s="381"/>
      <c r="Z35" s="382"/>
      <c r="AA35" s="380"/>
      <c r="AB35" s="381"/>
      <c r="AC35" s="382"/>
      <c r="AD35" s="380"/>
      <c r="AE35" s="381"/>
      <c r="AF35" s="382"/>
      <c r="AG35" s="380"/>
      <c r="AH35" s="381"/>
      <c r="AI35" s="382"/>
      <c r="AJ35" s="380"/>
      <c r="AK35" s="381"/>
      <c r="AL35" s="382"/>
      <c r="AM35" s="380"/>
      <c r="AN35" s="381"/>
      <c r="AO35" s="382"/>
      <c r="AP35" s="380"/>
      <c r="AQ35" s="381"/>
      <c r="AR35" s="382"/>
      <c r="AS35" s="380"/>
      <c r="AT35" s="381"/>
      <c r="AU35" s="382"/>
      <c r="AV35" s="380"/>
      <c r="AW35" s="381"/>
      <c r="AX35" s="382"/>
      <c r="AY35" s="380"/>
      <c r="AZ35" s="381"/>
      <c r="BA35" s="213" t="str">
        <f t="shared" si="2"/>
        <v/>
      </c>
      <c r="BB35" s="389" t="str">
        <f t="shared" si="3"/>
        <v/>
      </c>
      <c r="BC35" s="390" t="str">
        <f t="shared" si="4"/>
        <v/>
      </c>
      <c r="BD35" s="214" t="str">
        <f t="shared" si="5"/>
        <v/>
      </c>
      <c r="BE35" s="319" t="s">
        <v>78</v>
      </c>
      <c r="BF35" s="319" t="s">
        <v>78</v>
      </c>
      <c r="BG35" s="24" t="s">
        <v>78</v>
      </c>
      <c r="BH35" s="215">
        <f t="shared" si="6"/>
        <v>0</v>
      </c>
      <c r="BI35" s="350" t="str">
        <f t="shared" si="0"/>
        <v>Naik Kelas</v>
      </c>
      <c r="BJ35" s="25"/>
      <c r="BL35" s="281" t="str">
        <f t="shared" si="7"/>
        <v>Tingkatkan prestasi belajarmu!</v>
      </c>
    </row>
    <row r="36" spans="2:64">
      <c r="E36" s="211" t="str">
        <f>Biodata!B35</f>
        <v/>
      </c>
      <c r="F36" s="212" t="str">
        <f>IF(Biodata!C35="","",VLOOKUP(E36,Biodata_Siswa,2,FALSE))</f>
        <v/>
      </c>
      <c r="G36" s="891" t="str">
        <f>IF(Biodata!E35="","",PROPER(VLOOKUP(E36,Biodata_Siswa,4,FALSE)))</f>
        <v/>
      </c>
      <c r="H36" s="892"/>
      <c r="I36" s="380"/>
      <c r="J36" s="387"/>
      <c r="K36" s="382"/>
      <c r="L36" s="380"/>
      <c r="M36" s="381"/>
      <c r="N36" s="382"/>
      <c r="O36" s="380"/>
      <c r="P36" s="381"/>
      <c r="Q36" s="382"/>
      <c r="R36" s="380"/>
      <c r="S36" s="381"/>
      <c r="T36" s="382"/>
      <c r="U36" s="380"/>
      <c r="V36" s="381"/>
      <c r="W36" s="382"/>
      <c r="X36" s="380"/>
      <c r="Y36" s="381"/>
      <c r="Z36" s="382"/>
      <c r="AA36" s="380"/>
      <c r="AB36" s="381"/>
      <c r="AC36" s="382"/>
      <c r="AD36" s="380"/>
      <c r="AE36" s="381"/>
      <c r="AF36" s="382"/>
      <c r="AG36" s="380"/>
      <c r="AH36" s="381"/>
      <c r="AI36" s="382"/>
      <c r="AJ36" s="380"/>
      <c r="AK36" s="381"/>
      <c r="AL36" s="382"/>
      <c r="AM36" s="380"/>
      <c r="AN36" s="381"/>
      <c r="AO36" s="382"/>
      <c r="AP36" s="380"/>
      <c r="AQ36" s="381"/>
      <c r="AR36" s="382"/>
      <c r="AS36" s="380"/>
      <c r="AT36" s="381"/>
      <c r="AU36" s="382"/>
      <c r="AV36" s="380"/>
      <c r="AW36" s="381"/>
      <c r="AX36" s="382"/>
      <c r="AY36" s="380"/>
      <c r="AZ36" s="381"/>
      <c r="BA36" s="213" t="str">
        <f t="shared" si="2"/>
        <v/>
      </c>
      <c r="BB36" s="389" t="str">
        <f t="shared" si="3"/>
        <v/>
      </c>
      <c r="BC36" s="390" t="str">
        <f t="shared" si="4"/>
        <v/>
      </c>
      <c r="BD36" s="214" t="str">
        <f t="shared" si="5"/>
        <v/>
      </c>
      <c r="BE36" s="319" t="s">
        <v>78</v>
      </c>
      <c r="BF36" s="319" t="s">
        <v>78</v>
      </c>
      <c r="BG36" s="24" t="s">
        <v>78</v>
      </c>
      <c r="BH36" s="215">
        <f t="shared" si="6"/>
        <v>0</v>
      </c>
      <c r="BI36" s="350" t="str">
        <f t="shared" si="0"/>
        <v/>
      </c>
      <c r="BJ36" s="25"/>
      <c r="BL36" s="281" t="str">
        <f t="shared" si="7"/>
        <v>Tingkatkan prestasi belajarmu!</v>
      </c>
    </row>
    <row r="37" spans="2:64">
      <c r="E37" s="211" t="str">
        <f>Biodata!B36</f>
        <v/>
      </c>
      <c r="F37" s="212" t="str">
        <f>IF(Biodata!C36="","",VLOOKUP(E37,Biodata_Siswa,2,FALSE))</f>
        <v/>
      </c>
      <c r="G37" s="891" t="str">
        <f>IF(Biodata!E36="","",PROPER(VLOOKUP(E37,Biodata_Siswa,4,FALSE)))</f>
        <v/>
      </c>
      <c r="H37" s="892"/>
      <c r="I37" s="380"/>
      <c r="J37" s="387"/>
      <c r="K37" s="382"/>
      <c r="L37" s="380"/>
      <c r="M37" s="381"/>
      <c r="N37" s="382"/>
      <c r="O37" s="380"/>
      <c r="P37" s="381"/>
      <c r="Q37" s="382"/>
      <c r="R37" s="380"/>
      <c r="S37" s="381"/>
      <c r="T37" s="382"/>
      <c r="U37" s="380"/>
      <c r="V37" s="381"/>
      <c r="W37" s="382"/>
      <c r="X37" s="380"/>
      <c r="Y37" s="381"/>
      <c r="Z37" s="382"/>
      <c r="AA37" s="380"/>
      <c r="AB37" s="381"/>
      <c r="AC37" s="382"/>
      <c r="AD37" s="380"/>
      <c r="AE37" s="381"/>
      <c r="AF37" s="382"/>
      <c r="AG37" s="380"/>
      <c r="AH37" s="381"/>
      <c r="AI37" s="382"/>
      <c r="AJ37" s="380"/>
      <c r="AK37" s="381"/>
      <c r="AL37" s="382"/>
      <c r="AM37" s="380"/>
      <c r="AN37" s="381"/>
      <c r="AO37" s="382"/>
      <c r="AP37" s="380"/>
      <c r="AQ37" s="381"/>
      <c r="AR37" s="382"/>
      <c r="AS37" s="380"/>
      <c r="AT37" s="381"/>
      <c r="AU37" s="382"/>
      <c r="AV37" s="380"/>
      <c r="AW37" s="381"/>
      <c r="AX37" s="382"/>
      <c r="AY37" s="380"/>
      <c r="AZ37" s="381"/>
      <c r="BA37" s="213" t="str">
        <f t="shared" si="2"/>
        <v/>
      </c>
      <c r="BB37" s="389" t="str">
        <f>IF(G37="","",IF(I37+L37+O37+R37+U37+X37+AA37+AD37+AG37+AJ37+AM37+AP37+AS37+AV37+AY37=0,"",I37+L37+O37+R37+U37+X37+AA37+AD37+AG37+AJ37+AM37+AP37+AS37+AV37+AY37))</f>
        <v/>
      </c>
      <c r="BC37" s="390" t="str">
        <f t="shared" si="4"/>
        <v/>
      </c>
      <c r="BD37" s="214" t="str">
        <f t="shared" si="5"/>
        <v/>
      </c>
      <c r="BE37" s="319" t="s">
        <v>78</v>
      </c>
      <c r="BF37" s="319" t="s">
        <v>78</v>
      </c>
      <c r="BG37" s="24" t="s">
        <v>78</v>
      </c>
      <c r="BH37" s="215">
        <f t="shared" si="6"/>
        <v>0</v>
      </c>
      <c r="BI37" s="350" t="str">
        <f t="shared" si="0"/>
        <v/>
      </c>
      <c r="BJ37" s="25"/>
      <c r="BL37" s="281" t="str">
        <f t="shared" si="7"/>
        <v>Tingkatkan prestasi belajarmu!</v>
      </c>
    </row>
    <row r="38" spans="2:64">
      <c r="E38" s="211" t="str">
        <f>Biodata!B37</f>
        <v/>
      </c>
      <c r="F38" s="212" t="str">
        <f>IF(Biodata!C37="","",VLOOKUP(E38,Biodata_Siswa,2,FALSE))</f>
        <v/>
      </c>
      <c r="G38" s="891" t="str">
        <f>IF(Biodata!E37="","",PROPER(VLOOKUP(E38,Biodata_Siswa,4,FALSE)))</f>
        <v/>
      </c>
      <c r="H38" s="892"/>
      <c r="I38" s="380"/>
      <c r="J38" s="387"/>
      <c r="K38" s="382"/>
      <c r="L38" s="380"/>
      <c r="M38" s="381"/>
      <c r="N38" s="382"/>
      <c r="O38" s="380"/>
      <c r="P38" s="381"/>
      <c r="Q38" s="382"/>
      <c r="R38" s="380"/>
      <c r="S38" s="381"/>
      <c r="T38" s="382"/>
      <c r="U38" s="380"/>
      <c r="V38" s="381"/>
      <c r="W38" s="382"/>
      <c r="X38" s="380"/>
      <c r="Y38" s="381"/>
      <c r="Z38" s="382"/>
      <c r="AA38" s="380"/>
      <c r="AB38" s="381"/>
      <c r="AC38" s="382"/>
      <c r="AD38" s="380"/>
      <c r="AE38" s="381"/>
      <c r="AF38" s="382"/>
      <c r="AG38" s="380"/>
      <c r="AH38" s="381"/>
      <c r="AI38" s="382"/>
      <c r="AJ38" s="380"/>
      <c r="AK38" s="381"/>
      <c r="AL38" s="382"/>
      <c r="AM38" s="380"/>
      <c r="AN38" s="381"/>
      <c r="AO38" s="382"/>
      <c r="AP38" s="380"/>
      <c r="AQ38" s="381"/>
      <c r="AR38" s="382"/>
      <c r="AS38" s="380"/>
      <c r="AT38" s="381"/>
      <c r="AU38" s="382"/>
      <c r="AV38" s="380"/>
      <c r="AW38" s="381"/>
      <c r="AX38" s="382"/>
      <c r="AY38" s="380"/>
      <c r="AZ38" s="381"/>
      <c r="BA38" s="213" t="str">
        <f t="shared" si="2"/>
        <v/>
      </c>
      <c r="BB38" s="389" t="str">
        <f t="shared" si="3"/>
        <v/>
      </c>
      <c r="BC38" s="390" t="str">
        <f t="shared" si="4"/>
        <v/>
      </c>
      <c r="BD38" s="214" t="str">
        <f t="shared" si="5"/>
        <v/>
      </c>
      <c r="BE38" s="319" t="s">
        <v>78</v>
      </c>
      <c r="BF38" s="319" t="s">
        <v>78</v>
      </c>
      <c r="BG38" s="24" t="s">
        <v>78</v>
      </c>
      <c r="BH38" s="215">
        <f t="shared" si="6"/>
        <v>0</v>
      </c>
      <c r="BI38" s="350" t="str">
        <f t="shared" si="0"/>
        <v/>
      </c>
      <c r="BJ38" s="25"/>
      <c r="BL38" s="281" t="str">
        <f t="shared" si="7"/>
        <v>Tingkatkan prestasi belajarmu!</v>
      </c>
    </row>
    <row r="39" spans="2:64">
      <c r="E39" s="211" t="str">
        <f>Biodata!B38</f>
        <v/>
      </c>
      <c r="F39" s="212" t="str">
        <f>IF(Biodata!C38="","",VLOOKUP(E39,Biodata_Siswa,2,FALSE))</f>
        <v/>
      </c>
      <c r="G39" s="891" t="str">
        <f>IF(Biodata!E38="","",PROPER(VLOOKUP(E39,Biodata_Siswa,4,FALSE)))</f>
        <v/>
      </c>
      <c r="H39" s="892"/>
      <c r="I39" s="380"/>
      <c r="J39" s="387"/>
      <c r="K39" s="382"/>
      <c r="L39" s="380"/>
      <c r="M39" s="381"/>
      <c r="N39" s="382"/>
      <c r="O39" s="380"/>
      <c r="P39" s="381"/>
      <c r="Q39" s="382"/>
      <c r="R39" s="380"/>
      <c r="S39" s="381"/>
      <c r="T39" s="382"/>
      <c r="U39" s="380"/>
      <c r="V39" s="381"/>
      <c r="W39" s="382"/>
      <c r="X39" s="380"/>
      <c r="Y39" s="381"/>
      <c r="Z39" s="382"/>
      <c r="AA39" s="380"/>
      <c r="AB39" s="381"/>
      <c r="AC39" s="382"/>
      <c r="AD39" s="380"/>
      <c r="AE39" s="381"/>
      <c r="AF39" s="382"/>
      <c r="AG39" s="380"/>
      <c r="AH39" s="381"/>
      <c r="AI39" s="382"/>
      <c r="AJ39" s="380"/>
      <c r="AK39" s="381"/>
      <c r="AL39" s="382"/>
      <c r="AM39" s="380"/>
      <c r="AN39" s="381"/>
      <c r="AO39" s="382"/>
      <c r="AP39" s="380"/>
      <c r="AQ39" s="381"/>
      <c r="AR39" s="382"/>
      <c r="AS39" s="380"/>
      <c r="AT39" s="381"/>
      <c r="AU39" s="382"/>
      <c r="AV39" s="380"/>
      <c r="AW39" s="381"/>
      <c r="AX39" s="382"/>
      <c r="AY39" s="380"/>
      <c r="AZ39" s="381"/>
      <c r="BA39" s="213" t="str">
        <f t="shared" si="2"/>
        <v/>
      </c>
      <c r="BB39" s="389" t="str">
        <f t="shared" si="3"/>
        <v/>
      </c>
      <c r="BC39" s="390" t="str">
        <f t="shared" si="4"/>
        <v/>
      </c>
      <c r="BD39" s="214" t="str">
        <f t="shared" si="5"/>
        <v/>
      </c>
      <c r="BE39" s="319" t="s">
        <v>78</v>
      </c>
      <c r="BF39" s="319" t="s">
        <v>78</v>
      </c>
      <c r="BG39" s="24" t="s">
        <v>78</v>
      </c>
      <c r="BH39" s="215">
        <f t="shared" si="6"/>
        <v>0</v>
      </c>
      <c r="BI39" s="350" t="str">
        <f t="shared" si="0"/>
        <v/>
      </c>
      <c r="BJ39" s="25"/>
      <c r="BL39" s="281" t="str">
        <f t="shared" si="7"/>
        <v>Tingkatkan prestasi belajarmu!</v>
      </c>
    </row>
    <row r="40" spans="2:64">
      <c r="E40" s="211" t="str">
        <f>Biodata!B39</f>
        <v/>
      </c>
      <c r="F40" s="212" t="str">
        <f>IF(Biodata!C39="","",VLOOKUP(E40,Biodata_Siswa,2,FALSE))</f>
        <v/>
      </c>
      <c r="G40" s="891" t="str">
        <f>IF(Biodata!E39="","",PROPER(VLOOKUP(E40,Biodata_Siswa,4,FALSE)))</f>
        <v/>
      </c>
      <c r="H40" s="892"/>
      <c r="I40" s="380"/>
      <c r="J40" s="387"/>
      <c r="K40" s="382"/>
      <c r="L40" s="380"/>
      <c r="M40" s="381"/>
      <c r="N40" s="382"/>
      <c r="O40" s="380"/>
      <c r="P40" s="381"/>
      <c r="Q40" s="382"/>
      <c r="R40" s="380"/>
      <c r="S40" s="381"/>
      <c r="T40" s="382"/>
      <c r="U40" s="380"/>
      <c r="V40" s="381"/>
      <c r="W40" s="382"/>
      <c r="X40" s="380"/>
      <c r="Y40" s="381"/>
      <c r="Z40" s="382"/>
      <c r="AA40" s="380"/>
      <c r="AB40" s="381"/>
      <c r="AC40" s="382"/>
      <c r="AD40" s="380"/>
      <c r="AE40" s="381"/>
      <c r="AF40" s="382"/>
      <c r="AG40" s="380"/>
      <c r="AH40" s="381"/>
      <c r="AI40" s="382"/>
      <c r="AJ40" s="380"/>
      <c r="AK40" s="381"/>
      <c r="AL40" s="382"/>
      <c r="AM40" s="380"/>
      <c r="AN40" s="381"/>
      <c r="AO40" s="382"/>
      <c r="AP40" s="380"/>
      <c r="AQ40" s="381"/>
      <c r="AR40" s="382"/>
      <c r="AS40" s="380"/>
      <c r="AT40" s="381"/>
      <c r="AU40" s="382"/>
      <c r="AV40" s="380"/>
      <c r="AW40" s="381"/>
      <c r="AX40" s="382"/>
      <c r="AY40" s="380"/>
      <c r="AZ40" s="381"/>
      <c r="BA40" s="213" t="str">
        <f t="shared" si="2"/>
        <v/>
      </c>
      <c r="BB40" s="389" t="str">
        <f t="shared" si="3"/>
        <v/>
      </c>
      <c r="BC40" s="390" t="str">
        <f t="shared" si="4"/>
        <v/>
      </c>
      <c r="BD40" s="214" t="str">
        <f t="shared" si="5"/>
        <v/>
      </c>
      <c r="BE40" s="319" t="s">
        <v>78</v>
      </c>
      <c r="BF40" s="319" t="s">
        <v>78</v>
      </c>
      <c r="BG40" s="24" t="s">
        <v>78</v>
      </c>
      <c r="BH40" s="215">
        <f t="shared" si="6"/>
        <v>0</v>
      </c>
      <c r="BI40" s="350" t="str">
        <f t="shared" si="0"/>
        <v/>
      </c>
      <c r="BJ40" s="25"/>
      <c r="BL40" s="281" t="str">
        <f t="shared" si="7"/>
        <v>Tingkatkan prestasi belajarmu!</v>
      </c>
    </row>
    <row r="41" spans="2:64">
      <c r="B41" s="948"/>
      <c r="C41" s="948"/>
      <c r="E41" s="211" t="str">
        <f>Biodata!B40</f>
        <v/>
      </c>
      <c r="F41" s="212" t="str">
        <f>IF(Biodata!C40="","",VLOOKUP(E41,Biodata_Siswa,2,FALSE))</f>
        <v/>
      </c>
      <c r="G41" s="891" t="str">
        <f>IF(Biodata!E40="","",PROPER(VLOOKUP(E41,Biodata_Siswa,4,FALSE)))</f>
        <v/>
      </c>
      <c r="H41" s="892"/>
      <c r="I41" s="380"/>
      <c r="J41" s="387"/>
      <c r="K41" s="382"/>
      <c r="L41" s="380"/>
      <c r="M41" s="381"/>
      <c r="N41" s="382"/>
      <c r="O41" s="380"/>
      <c r="P41" s="381"/>
      <c r="Q41" s="382"/>
      <c r="R41" s="380"/>
      <c r="S41" s="381"/>
      <c r="T41" s="382"/>
      <c r="U41" s="380"/>
      <c r="V41" s="381"/>
      <c r="W41" s="382"/>
      <c r="X41" s="380"/>
      <c r="Y41" s="381"/>
      <c r="Z41" s="382"/>
      <c r="AA41" s="380"/>
      <c r="AB41" s="381"/>
      <c r="AC41" s="382"/>
      <c r="AD41" s="380"/>
      <c r="AE41" s="381"/>
      <c r="AF41" s="382"/>
      <c r="AG41" s="380"/>
      <c r="AH41" s="381"/>
      <c r="AI41" s="382"/>
      <c r="AJ41" s="380"/>
      <c r="AK41" s="381"/>
      <c r="AL41" s="382"/>
      <c r="AM41" s="380"/>
      <c r="AN41" s="381"/>
      <c r="AO41" s="382"/>
      <c r="AP41" s="380"/>
      <c r="AQ41" s="381"/>
      <c r="AR41" s="382"/>
      <c r="AS41" s="380"/>
      <c r="AT41" s="381"/>
      <c r="AU41" s="382"/>
      <c r="AV41" s="380"/>
      <c r="AW41" s="381"/>
      <c r="AX41" s="382"/>
      <c r="AY41" s="380"/>
      <c r="AZ41" s="381"/>
      <c r="BA41" s="213" t="str">
        <f t="shared" si="2"/>
        <v/>
      </c>
      <c r="BB41" s="389" t="str">
        <f t="shared" si="3"/>
        <v/>
      </c>
      <c r="BC41" s="390" t="str">
        <f t="shared" si="4"/>
        <v/>
      </c>
      <c r="BD41" s="214" t="str">
        <f t="shared" si="5"/>
        <v/>
      </c>
      <c r="BE41" s="319" t="s">
        <v>78</v>
      </c>
      <c r="BF41" s="319" t="s">
        <v>78</v>
      </c>
      <c r="BG41" s="24" t="s">
        <v>78</v>
      </c>
      <c r="BH41" s="215">
        <f t="shared" si="6"/>
        <v>0</v>
      </c>
      <c r="BI41" s="350" t="str">
        <f t="shared" si="0"/>
        <v/>
      </c>
      <c r="BJ41" s="25"/>
      <c r="BL41" s="281" t="str">
        <f t="shared" si="7"/>
        <v>Tingkatkan prestasi belajarmu!</v>
      </c>
    </row>
    <row r="42" spans="2:64">
      <c r="E42" s="211" t="str">
        <f>Biodata!B41</f>
        <v/>
      </c>
      <c r="F42" s="212" t="str">
        <f>IF(Biodata!C41="","",VLOOKUP(E42,Biodata_Siswa,2,FALSE))</f>
        <v/>
      </c>
      <c r="G42" s="891" t="str">
        <f>IF(Biodata!E41="","",PROPER(VLOOKUP(E42,Biodata_Siswa,4,FALSE)))</f>
        <v/>
      </c>
      <c r="H42" s="892"/>
      <c r="I42" s="380"/>
      <c r="J42" s="387"/>
      <c r="K42" s="382"/>
      <c r="L42" s="380"/>
      <c r="M42" s="381"/>
      <c r="N42" s="382"/>
      <c r="O42" s="380"/>
      <c r="P42" s="381"/>
      <c r="Q42" s="382"/>
      <c r="R42" s="380"/>
      <c r="S42" s="381"/>
      <c r="T42" s="382"/>
      <c r="U42" s="380"/>
      <c r="V42" s="381"/>
      <c r="W42" s="382"/>
      <c r="X42" s="380"/>
      <c r="Y42" s="381"/>
      <c r="Z42" s="382"/>
      <c r="AA42" s="380"/>
      <c r="AB42" s="381"/>
      <c r="AC42" s="382"/>
      <c r="AD42" s="380"/>
      <c r="AE42" s="381"/>
      <c r="AF42" s="382"/>
      <c r="AG42" s="380"/>
      <c r="AH42" s="381"/>
      <c r="AI42" s="382"/>
      <c r="AJ42" s="380"/>
      <c r="AK42" s="381"/>
      <c r="AL42" s="382"/>
      <c r="AM42" s="380"/>
      <c r="AN42" s="381"/>
      <c r="AO42" s="382"/>
      <c r="AP42" s="380"/>
      <c r="AQ42" s="381"/>
      <c r="AR42" s="382"/>
      <c r="AS42" s="380"/>
      <c r="AT42" s="381"/>
      <c r="AU42" s="382"/>
      <c r="AV42" s="380"/>
      <c r="AW42" s="381"/>
      <c r="AX42" s="382"/>
      <c r="AY42" s="380"/>
      <c r="AZ42" s="381"/>
      <c r="BA42" s="213" t="str">
        <f t="shared" si="2"/>
        <v/>
      </c>
      <c r="BB42" s="389" t="str">
        <f t="shared" si="3"/>
        <v/>
      </c>
      <c r="BC42" s="390" t="str">
        <f t="shared" si="4"/>
        <v/>
      </c>
      <c r="BD42" s="214" t="str">
        <f t="shared" si="5"/>
        <v/>
      </c>
      <c r="BE42" s="319" t="s">
        <v>78</v>
      </c>
      <c r="BF42" s="319" t="s">
        <v>78</v>
      </c>
      <c r="BG42" s="24" t="s">
        <v>78</v>
      </c>
      <c r="BH42" s="215">
        <f t="shared" si="6"/>
        <v>0</v>
      </c>
      <c r="BI42" s="350" t="str">
        <f t="shared" si="0"/>
        <v/>
      </c>
      <c r="BJ42" s="25"/>
      <c r="BL42" s="281" t="str">
        <f t="shared" si="7"/>
        <v>Tingkatkan prestasi belajarmu!</v>
      </c>
    </row>
    <row r="43" spans="2:64">
      <c r="E43" s="211" t="str">
        <f>Biodata!B42</f>
        <v/>
      </c>
      <c r="F43" s="212" t="str">
        <f>IF(Biodata!C42="","",VLOOKUP(E43,Biodata_Siswa,2,FALSE))</f>
        <v/>
      </c>
      <c r="G43" s="891" t="str">
        <f>IF(Biodata!E42="","",PROPER(VLOOKUP(E43,Biodata_Siswa,4,FALSE)))</f>
        <v/>
      </c>
      <c r="H43" s="892"/>
      <c r="I43" s="380"/>
      <c r="J43" s="387"/>
      <c r="K43" s="382"/>
      <c r="L43" s="380"/>
      <c r="M43" s="381"/>
      <c r="N43" s="382"/>
      <c r="O43" s="380"/>
      <c r="P43" s="381"/>
      <c r="Q43" s="382"/>
      <c r="R43" s="380"/>
      <c r="S43" s="381"/>
      <c r="T43" s="382"/>
      <c r="U43" s="380"/>
      <c r="V43" s="381"/>
      <c r="W43" s="382"/>
      <c r="X43" s="380"/>
      <c r="Y43" s="381"/>
      <c r="Z43" s="382"/>
      <c r="AA43" s="380"/>
      <c r="AB43" s="381"/>
      <c r="AC43" s="382"/>
      <c r="AD43" s="380"/>
      <c r="AE43" s="381"/>
      <c r="AF43" s="382"/>
      <c r="AG43" s="380"/>
      <c r="AH43" s="381"/>
      <c r="AI43" s="382"/>
      <c r="AJ43" s="380"/>
      <c r="AK43" s="381"/>
      <c r="AL43" s="382"/>
      <c r="AM43" s="380"/>
      <c r="AN43" s="381"/>
      <c r="AO43" s="382"/>
      <c r="AP43" s="380"/>
      <c r="AQ43" s="381"/>
      <c r="AR43" s="382"/>
      <c r="AS43" s="380"/>
      <c r="AT43" s="381"/>
      <c r="AU43" s="382"/>
      <c r="AV43" s="380"/>
      <c r="AW43" s="381"/>
      <c r="AX43" s="382"/>
      <c r="AY43" s="380"/>
      <c r="AZ43" s="381"/>
      <c r="BA43" s="213" t="str">
        <f t="shared" si="2"/>
        <v/>
      </c>
      <c r="BB43" s="389" t="str">
        <f t="shared" si="3"/>
        <v/>
      </c>
      <c r="BC43" s="390" t="str">
        <f t="shared" si="4"/>
        <v/>
      </c>
      <c r="BD43" s="214" t="str">
        <f t="shared" si="5"/>
        <v/>
      </c>
      <c r="BE43" s="319" t="s">
        <v>78</v>
      </c>
      <c r="BF43" s="319" t="s">
        <v>78</v>
      </c>
      <c r="BG43" s="24" t="s">
        <v>78</v>
      </c>
      <c r="BH43" s="215">
        <f t="shared" si="6"/>
        <v>0</v>
      </c>
      <c r="BI43" s="350" t="str">
        <f t="shared" si="0"/>
        <v/>
      </c>
      <c r="BJ43" s="25"/>
      <c r="BL43" s="281" t="str">
        <f t="shared" si="7"/>
        <v>Tingkatkan prestasi belajarmu!</v>
      </c>
    </row>
    <row r="44" spans="2:64">
      <c r="E44" s="211" t="str">
        <f>Biodata!B43</f>
        <v/>
      </c>
      <c r="F44" s="212" t="str">
        <f>IF(Biodata!C43="","",VLOOKUP(E44,Biodata_Siswa,2,FALSE))</f>
        <v/>
      </c>
      <c r="G44" s="891" t="str">
        <f>IF(Biodata!E43="","",PROPER(VLOOKUP(E44,Biodata_Siswa,4,FALSE)))</f>
        <v/>
      </c>
      <c r="H44" s="892"/>
      <c r="I44" s="386"/>
      <c r="J44" s="387"/>
      <c r="K44" s="382"/>
      <c r="L44" s="380"/>
      <c r="M44" s="381"/>
      <c r="N44" s="382"/>
      <c r="O44" s="380"/>
      <c r="P44" s="381"/>
      <c r="Q44" s="382"/>
      <c r="R44" s="380"/>
      <c r="S44" s="381"/>
      <c r="T44" s="382"/>
      <c r="U44" s="380"/>
      <c r="V44" s="381"/>
      <c r="W44" s="382"/>
      <c r="X44" s="380"/>
      <c r="Y44" s="381"/>
      <c r="Z44" s="382"/>
      <c r="AA44" s="380"/>
      <c r="AB44" s="381"/>
      <c r="AC44" s="382"/>
      <c r="AD44" s="380"/>
      <c r="AE44" s="381"/>
      <c r="AF44" s="382"/>
      <c r="AG44" s="380"/>
      <c r="AH44" s="381"/>
      <c r="AI44" s="382"/>
      <c r="AJ44" s="380"/>
      <c r="AK44" s="381"/>
      <c r="AL44" s="382"/>
      <c r="AM44" s="380"/>
      <c r="AN44" s="381"/>
      <c r="AO44" s="382"/>
      <c r="AP44" s="380"/>
      <c r="AQ44" s="381"/>
      <c r="AR44" s="382"/>
      <c r="AS44" s="380"/>
      <c r="AT44" s="381"/>
      <c r="AU44" s="382"/>
      <c r="AV44" s="380"/>
      <c r="AW44" s="381"/>
      <c r="AX44" s="382"/>
      <c r="AY44" s="380"/>
      <c r="AZ44" s="381"/>
      <c r="BA44" s="213" t="str">
        <f t="shared" si="2"/>
        <v/>
      </c>
      <c r="BB44" s="389" t="str">
        <f t="shared" si="3"/>
        <v/>
      </c>
      <c r="BC44" s="390" t="str">
        <f t="shared" si="4"/>
        <v/>
      </c>
      <c r="BD44" s="214" t="str">
        <f t="shared" si="5"/>
        <v/>
      </c>
      <c r="BE44" s="319" t="s">
        <v>78</v>
      </c>
      <c r="BF44" s="319" t="s">
        <v>78</v>
      </c>
      <c r="BG44" s="24" t="s">
        <v>78</v>
      </c>
      <c r="BH44" s="215">
        <f t="shared" si="6"/>
        <v>0</v>
      </c>
      <c r="BI44" s="350" t="str">
        <f t="shared" si="0"/>
        <v/>
      </c>
      <c r="BJ44" s="25"/>
      <c r="BL44" s="281" t="str">
        <f t="shared" si="7"/>
        <v>Tingkatkan prestasi belajarmu!</v>
      </c>
    </row>
    <row r="45" spans="2:64">
      <c r="E45" s="211" t="str">
        <f>Biodata!B44</f>
        <v/>
      </c>
      <c r="F45" s="212" t="str">
        <f>IF(Biodata!C44="","",VLOOKUP(E45,Biodata_Siswa,2,FALSE))</f>
        <v/>
      </c>
      <c r="G45" s="891" t="str">
        <f>IF(Biodata!E44="","",PROPER(VLOOKUP(E45,Biodata_Siswa,4,FALSE)))</f>
        <v/>
      </c>
      <c r="H45" s="892"/>
      <c r="I45" s="380"/>
      <c r="J45" s="387"/>
      <c r="K45" s="382"/>
      <c r="L45" s="380"/>
      <c r="M45" s="381"/>
      <c r="N45" s="382"/>
      <c r="O45" s="380"/>
      <c r="P45" s="381"/>
      <c r="Q45" s="382"/>
      <c r="R45" s="380"/>
      <c r="S45" s="381"/>
      <c r="T45" s="382"/>
      <c r="U45" s="380"/>
      <c r="V45" s="381"/>
      <c r="W45" s="382"/>
      <c r="X45" s="380"/>
      <c r="Y45" s="381"/>
      <c r="Z45" s="382"/>
      <c r="AA45" s="380"/>
      <c r="AB45" s="381"/>
      <c r="AC45" s="382"/>
      <c r="AD45" s="380"/>
      <c r="AE45" s="381"/>
      <c r="AF45" s="382"/>
      <c r="AG45" s="380"/>
      <c r="AH45" s="381"/>
      <c r="AI45" s="382"/>
      <c r="AJ45" s="380"/>
      <c r="AK45" s="381"/>
      <c r="AL45" s="382"/>
      <c r="AM45" s="380"/>
      <c r="AN45" s="381"/>
      <c r="AO45" s="382"/>
      <c r="AP45" s="380"/>
      <c r="AQ45" s="381"/>
      <c r="AR45" s="382"/>
      <c r="AS45" s="380"/>
      <c r="AT45" s="381"/>
      <c r="AU45" s="382"/>
      <c r="AV45" s="380"/>
      <c r="AW45" s="381"/>
      <c r="AX45" s="382"/>
      <c r="AY45" s="380"/>
      <c r="AZ45" s="381"/>
      <c r="BA45" s="213" t="str">
        <f t="shared" si="2"/>
        <v/>
      </c>
      <c r="BB45" s="389" t="str">
        <f t="shared" si="3"/>
        <v/>
      </c>
      <c r="BC45" s="390" t="str">
        <f t="shared" si="4"/>
        <v/>
      </c>
      <c r="BD45" s="214" t="str">
        <f t="shared" si="5"/>
        <v/>
      </c>
      <c r="BE45" s="319" t="s">
        <v>78</v>
      </c>
      <c r="BF45" s="319" t="s">
        <v>78</v>
      </c>
      <c r="BG45" s="24" t="s">
        <v>78</v>
      </c>
      <c r="BH45" s="215">
        <f t="shared" si="6"/>
        <v>0</v>
      </c>
      <c r="BI45" s="350" t="str">
        <f t="shared" si="0"/>
        <v/>
      </c>
      <c r="BJ45" s="25"/>
      <c r="BL45" s="281" t="str">
        <f t="shared" si="7"/>
        <v>Tingkatkan prestasi belajarmu!</v>
      </c>
    </row>
    <row r="46" spans="2:64" ht="17.25" thickBot="1">
      <c r="E46" s="218" t="str">
        <f>Biodata!B45</f>
        <v/>
      </c>
      <c r="F46" s="219" t="str">
        <f>IF(Biodata!C45="","",VLOOKUP(E46,Biodata_Siswa,2,FALSE))</f>
        <v/>
      </c>
      <c r="G46" s="899" t="str">
        <f>IF(Biodata!E45="","",PROPER(VLOOKUP(E46,Biodata_Siswa,4,FALSE)))</f>
        <v/>
      </c>
      <c r="H46" s="900"/>
      <c r="I46" s="383"/>
      <c r="J46" s="384"/>
      <c r="K46" s="388"/>
      <c r="L46" s="383"/>
      <c r="M46" s="384"/>
      <c r="N46" s="385"/>
      <c r="O46" s="383"/>
      <c r="P46" s="384"/>
      <c r="Q46" s="385"/>
      <c r="R46" s="383"/>
      <c r="S46" s="384"/>
      <c r="T46" s="385"/>
      <c r="U46" s="383"/>
      <c r="V46" s="384"/>
      <c r="W46" s="385"/>
      <c r="X46" s="383"/>
      <c r="Y46" s="384"/>
      <c r="Z46" s="385"/>
      <c r="AA46" s="383"/>
      <c r="AB46" s="384"/>
      <c r="AC46" s="385"/>
      <c r="AD46" s="383"/>
      <c r="AE46" s="384"/>
      <c r="AF46" s="385"/>
      <c r="AG46" s="383"/>
      <c r="AH46" s="384"/>
      <c r="AI46" s="385"/>
      <c r="AJ46" s="383"/>
      <c r="AK46" s="384"/>
      <c r="AL46" s="385"/>
      <c r="AM46" s="383"/>
      <c r="AN46" s="384"/>
      <c r="AO46" s="385"/>
      <c r="AP46" s="383"/>
      <c r="AQ46" s="384"/>
      <c r="AR46" s="385"/>
      <c r="AS46" s="383"/>
      <c r="AT46" s="384"/>
      <c r="AU46" s="385"/>
      <c r="AV46" s="383"/>
      <c r="AW46" s="384"/>
      <c r="AX46" s="385"/>
      <c r="AY46" s="383"/>
      <c r="AZ46" s="384"/>
      <c r="BA46" s="220" t="str">
        <f t="shared" si="2"/>
        <v/>
      </c>
      <c r="BB46" s="391" t="str">
        <f t="shared" si="3"/>
        <v/>
      </c>
      <c r="BC46" s="392" t="str">
        <f t="shared" si="4"/>
        <v/>
      </c>
      <c r="BD46" s="221" t="str">
        <f t="shared" si="5"/>
        <v/>
      </c>
      <c r="BE46" s="40" t="s">
        <v>78</v>
      </c>
      <c r="BF46" s="40" t="s">
        <v>78</v>
      </c>
      <c r="BG46" s="40" t="s">
        <v>78</v>
      </c>
      <c r="BH46" s="222">
        <f t="shared" si="6"/>
        <v>0</v>
      </c>
      <c r="BI46" s="351" t="str">
        <f t="shared" si="0"/>
        <v/>
      </c>
      <c r="BJ46" s="41"/>
      <c r="BL46" s="282" t="str">
        <f t="shared" si="7"/>
        <v>Tingkatkan prestasi belajarmu!</v>
      </c>
    </row>
    <row r="47" spans="2:64">
      <c r="E47" s="223">
        <f>COUNTA(G7:H46)</f>
        <v>40</v>
      </c>
    </row>
    <row r="48" spans="2:64" hidden="1"/>
    <row r="49" hidden="1"/>
    <row r="50" hidden="1"/>
    <row r="51" hidden="1"/>
    <row r="52" hidden="1"/>
    <row r="53" hidden="1"/>
    <row r="54" hidden="1"/>
    <row r="55" hidden="1"/>
    <row r="56" hidden="1"/>
    <row r="57" hidden="1"/>
    <row r="58" hidden="1"/>
    <row r="59" hidden="1"/>
    <row r="60" hidden="1"/>
    <row r="61" hidden="1"/>
    <row r="62" hidden="1"/>
    <row r="63" hidden="1"/>
    <row r="64" hidden="1"/>
    <row r="65" spans="2:53" s="199" customFormat="1" hidden="1">
      <c r="B65" s="197"/>
      <c r="C65" s="198"/>
      <c r="D65" s="198"/>
      <c r="I65" s="198"/>
      <c r="J65" s="198"/>
      <c r="K65" s="198"/>
      <c r="L65" s="198"/>
      <c r="M65" s="198"/>
      <c r="N65" s="198"/>
      <c r="O65" s="198"/>
      <c r="P65" s="198"/>
      <c r="Q65" s="198"/>
      <c r="R65" s="198"/>
      <c r="S65" s="198"/>
      <c r="T65" s="198"/>
      <c r="U65" s="198"/>
      <c r="V65" s="198"/>
      <c r="W65" s="198"/>
      <c r="X65" s="198"/>
      <c r="Y65" s="198"/>
      <c r="Z65" s="198"/>
      <c r="AA65" s="198"/>
      <c r="AB65" s="198"/>
      <c r="AC65" s="198"/>
      <c r="AD65" s="198"/>
      <c r="AE65" s="198"/>
      <c r="AF65" s="198"/>
      <c r="AG65" s="198"/>
      <c r="AH65" s="198"/>
      <c r="AI65" s="198"/>
      <c r="AJ65" s="198"/>
      <c r="AK65" s="198"/>
      <c r="AL65" s="198"/>
      <c r="AM65" s="198"/>
      <c r="AN65" s="198"/>
      <c r="AO65" s="198"/>
      <c r="AP65" s="198"/>
      <c r="AQ65" s="198"/>
      <c r="AR65" s="198"/>
      <c r="AS65" s="198"/>
      <c r="AT65" s="198"/>
      <c r="AU65" s="198"/>
      <c r="AV65" s="198"/>
      <c r="AW65" s="198"/>
      <c r="AX65" s="198"/>
      <c r="AY65" s="198"/>
      <c r="AZ65" s="198"/>
      <c r="BA65" s="198"/>
    </row>
    <row r="66" spans="2:53" s="199" customFormat="1" hidden="1">
      <c r="B66" s="197"/>
      <c r="C66" s="198"/>
      <c r="D66" s="198"/>
      <c r="I66" s="198"/>
      <c r="J66" s="198"/>
      <c r="K66" s="198"/>
      <c r="L66" s="198"/>
      <c r="M66" s="198"/>
      <c r="N66" s="198"/>
      <c r="O66" s="198"/>
      <c r="P66" s="198"/>
      <c r="Q66" s="198"/>
      <c r="R66" s="198"/>
      <c r="S66" s="198"/>
      <c r="T66" s="198"/>
      <c r="U66" s="198"/>
      <c r="V66" s="198"/>
      <c r="W66" s="198"/>
      <c r="X66" s="198"/>
      <c r="Y66" s="198"/>
      <c r="Z66" s="198"/>
      <c r="AA66" s="198"/>
      <c r="AB66" s="198"/>
      <c r="AC66" s="198"/>
      <c r="AD66" s="198"/>
      <c r="AE66" s="198"/>
      <c r="AF66" s="198"/>
      <c r="AG66" s="198"/>
      <c r="AH66" s="198"/>
      <c r="AI66" s="198"/>
      <c r="AJ66" s="198"/>
      <c r="AK66" s="198"/>
      <c r="AL66" s="198"/>
      <c r="AM66" s="198"/>
      <c r="AN66" s="198"/>
      <c r="AO66" s="198"/>
      <c r="AP66" s="198"/>
      <c r="AQ66" s="198"/>
      <c r="AR66" s="198"/>
      <c r="AS66" s="198"/>
      <c r="AT66" s="198"/>
      <c r="AU66" s="198"/>
      <c r="AV66" s="198"/>
      <c r="AW66" s="198"/>
      <c r="AX66" s="198"/>
      <c r="AY66" s="198"/>
      <c r="AZ66" s="198"/>
      <c r="BA66" s="198"/>
    </row>
    <row r="67" spans="2:53" s="199" customFormat="1" hidden="1">
      <c r="B67" s="197"/>
      <c r="C67" s="198"/>
      <c r="D67" s="198"/>
      <c r="I67" s="198"/>
      <c r="J67" s="198"/>
      <c r="K67" s="198"/>
      <c r="L67" s="198"/>
      <c r="M67" s="198"/>
      <c r="N67" s="198"/>
      <c r="O67" s="198"/>
      <c r="P67" s="198"/>
      <c r="Q67" s="198"/>
      <c r="R67" s="198"/>
      <c r="S67" s="198"/>
      <c r="T67" s="198"/>
      <c r="U67" s="198"/>
      <c r="V67" s="198"/>
      <c r="W67" s="198"/>
      <c r="X67" s="198"/>
      <c r="Y67" s="198"/>
      <c r="Z67" s="198"/>
      <c r="AA67" s="198"/>
      <c r="AB67" s="198"/>
      <c r="AC67" s="198"/>
      <c r="AD67" s="198"/>
      <c r="AE67" s="198"/>
      <c r="AF67" s="198"/>
      <c r="AG67" s="198"/>
      <c r="AH67" s="198"/>
      <c r="AI67" s="198"/>
      <c r="AJ67" s="198"/>
      <c r="AK67" s="198"/>
      <c r="AL67" s="198"/>
      <c r="AM67" s="198"/>
      <c r="AN67" s="198"/>
      <c r="AO67" s="198"/>
      <c r="AP67" s="198"/>
      <c r="AQ67" s="198"/>
      <c r="AR67" s="198"/>
      <c r="AS67" s="198"/>
      <c r="AT67" s="198"/>
      <c r="AU67" s="198"/>
      <c r="AV67" s="198"/>
      <c r="AW67" s="198"/>
      <c r="AX67" s="198"/>
      <c r="AY67" s="198"/>
      <c r="AZ67" s="198"/>
      <c r="BA67" s="198"/>
    </row>
    <row r="68" spans="2:53" s="199" customFormat="1" hidden="1">
      <c r="B68" s="197"/>
      <c r="C68" s="198"/>
      <c r="D68" s="198"/>
      <c r="I68" s="198"/>
      <c r="J68" s="198"/>
      <c r="K68" s="198"/>
      <c r="L68" s="198"/>
      <c r="M68" s="198"/>
      <c r="N68" s="198"/>
      <c r="O68" s="198"/>
      <c r="P68" s="198"/>
      <c r="Q68" s="198"/>
      <c r="R68" s="198"/>
      <c r="S68" s="198"/>
      <c r="T68" s="198"/>
      <c r="U68" s="198"/>
      <c r="V68" s="198"/>
      <c r="W68" s="198"/>
      <c r="X68" s="198"/>
      <c r="Y68" s="198"/>
      <c r="Z68" s="198"/>
      <c r="AA68" s="198"/>
      <c r="AB68" s="198"/>
      <c r="AC68" s="198"/>
      <c r="AD68" s="198"/>
      <c r="AE68" s="198"/>
      <c r="AF68" s="198"/>
      <c r="AG68" s="198"/>
      <c r="AH68" s="198"/>
      <c r="AI68" s="198"/>
      <c r="AJ68" s="198"/>
      <c r="AK68" s="198"/>
      <c r="AL68" s="198"/>
      <c r="AM68" s="198"/>
      <c r="AN68" s="198"/>
      <c r="AO68" s="198"/>
      <c r="AP68" s="198"/>
      <c r="AQ68" s="198"/>
      <c r="AR68" s="198"/>
      <c r="AS68" s="198"/>
      <c r="AT68" s="198"/>
      <c r="AU68" s="198"/>
      <c r="AV68" s="198"/>
      <c r="AW68" s="198"/>
      <c r="AX68" s="198"/>
      <c r="AY68" s="198"/>
      <c r="AZ68" s="198"/>
      <c r="BA68" s="198"/>
    </row>
    <row r="69" spans="2:53" s="199" customFormat="1" hidden="1">
      <c r="B69" s="197"/>
      <c r="C69" s="198"/>
      <c r="D69" s="198"/>
      <c r="I69" s="198"/>
      <c r="J69" s="198"/>
      <c r="K69" s="198"/>
      <c r="L69" s="198"/>
      <c r="M69" s="198"/>
      <c r="N69" s="198"/>
      <c r="O69" s="198"/>
      <c r="P69" s="198"/>
      <c r="Q69" s="198"/>
      <c r="R69" s="198"/>
      <c r="S69" s="198"/>
      <c r="T69" s="198"/>
      <c r="U69" s="198"/>
      <c r="V69" s="198"/>
      <c r="W69" s="198"/>
      <c r="X69" s="198"/>
      <c r="Y69" s="198"/>
      <c r="Z69" s="198"/>
      <c r="AA69" s="198"/>
      <c r="AB69" s="198"/>
      <c r="AC69" s="198"/>
      <c r="AD69" s="198"/>
      <c r="AE69" s="198"/>
      <c r="AF69" s="198"/>
      <c r="AG69" s="198"/>
      <c r="AH69" s="198"/>
      <c r="AI69" s="198"/>
      <c r="AJ69" s="198"/>
      <c r="AK69" s="198"/>
      <c r="AL69" s="198"/>
      <c r="AM69" s="198"/>
      <c r="AN69" s="198"/>
      <c r="AO69" s="198"/>
      <c r="AP69" s="198"/>
      <c r="AQ69" s="198"/>
      <c r="AR69" s="198"/>
      <c r="AS69" s="198"/>
      <c r="AT69" s="198"/>
      <c r="AU69" s="198"/>
      <c r="AV69" s="198"/>
      <c r="AW69" s="198"/>
      <c r="AX69" s="198"/>
      <c r="AY69" s="198"/>
      <c r="AZ69" s="198"/>
      <c r="BA69" s="198"/>
    </row>
    <row r="70" spans="2:53" s="199" customFormat="1" hidden="1">
      <c r="B70" s="197"/>
      <c r="C70" s="198"/>
      <c r="D70" s="198"/>
      <c r="I70" s="198"/>
      <c r="J70" s="198"/>
      <c r="K70" s="198"/>
      <c r="L70" s="198"/>
      <c r="M70" s="198"/>
      <c r="N70" s="198"/>
      <c r="O70" s="198"/>
      <c r="P70" s="198"/>
      <c r="Q70" s="198"/>
      <c r="R70" s="198"/>
      <c r="S70" s="198"/>
      <c r="T70" s="198"/>
      <c r="U70" s="198"/>
      <c r="V70" s="198"/>
      <c r="W70" s="198"/>
      <c r="X70" s="198"/>
      <c r="Y70" s="198"/>
      <c r="Z70" s="198"/>
      <c r="AA70" s="198"/>
      <c r="AB70" s="198"/>
      <c r="AC70" s="198"/>
      <c r="AD70" s="198"/>
      <c r="AE70" s="198"/>
      <c r="AF70" s="198"/>
      <c r="AG70" s="198"/>
      <c r="AH70" s="198"/>
      <c r="AI70" s="198"/>
      <c r="AJ70" s="198"/>
      <c r="AK70" s="198"/>
      <c r="AL70" s="198"/>
      <c r="AM70" s="198"/>
      <c r="AN70" s="198"/>
      <c r="AO70" s="198"/>
      <c r="AP70" s="198"/>
      <c r="AQ70" s="198"/>
      <c r="AR70" s="198"/>
      <c r="AS70" s="198"/>
      <c r="AT70" s="198"/>
      <c r="AU70" s="198"/>
      <c r="AV70" s="198"/>
      <c r="AW70" s="198"/>
      <c r="AX70" s="198"/>
      <c r="AY70" s="198"/>
      <c r="AZ70" s="198"/>
      <c r="BA70" s="198"/>
    </row>
    <row r="71" spans="2:53" s="199" customFormat="1" hidden="1">
      <c r="B71" s="197"/>
      <c r="C71" s="198"/>
      <c r="D71" s="198"/>
      <c r="I71" s="198"/>
      <c r="J71" s="198"/>
      <c r="K71" s="198"/>
      <c r="L71" s="198"/>
      <c r="M71" s="198"/>
      <c r="N71" s="198"/>
      <c r="O71" s="198"/>
      <c r="P71" s="198"/>
      <c r="Q71" s="198"/>
      <c r="R71" s="198"/>
      <c r="S71" s="198"/>
      <c r="T71" s="198"/>
      <c r="U71" s="198"/>
      <c r="V71" s="198"/>
      <c r="W71" s="198"/>
      <c r="X71" s="198"/>
      <c r="Y71" s="198"/>
      <c r="Z71" s="198"/>
      <c r="AA71" s="198"/>
      <c r="AB71" s="198"/>
      <c r="AC71" s="198"/>
      <c r="AD71" s="198"/>
      <c r="AE71" s="198"/>
      <c r="AF71" s="198"/>
      <c r="AG71" s="198"/>
      <c r="AH71" s="198"/>
      <c r="AI71" s="198"/>
      <c r="AJ71" s="198"/>
      <c r="AK71" s="198"/>
      <c r="AL71" s="198"/>
      <c r="AM71" s="198"/>
      <c r="AN71" s="198"/>
      <c r="AO71" s="198"/>
      <c r="AP71" s="198"/>
      <c r="AQ71" s="198"/>
      <c r="AR71" s="198"/>
      <c r="AS71" s="198"/>
      <c r="AT71" s="198"/>
      <c r="AU71" s="198"/>
      <c r="AV71" s="198"/>
      <c r="AW71" s="198"/>
      <c r="AX71" s="198"/>
      <c r="AY71" s="198"/>
      <c r="AZ71" s="198"/>
      <c r="BA71" s="198"/>
    </row>
    <row r="72" spans="2:53" s="199" customFormat="1" hidden="1">
      <c r="B72" s="224"/>
      <c r="E72" s="199">
        <f>DL!M32</f>
        <v>0</v>
      </c>
      <c r="I72" s="198"/>
      <c r="J72" s="198"/>
      <c r="K72" s="198"/>
      <c r="L72" s="198"/>
      <c r="M72" s="198"/>
      <c r="N72" s="198"/>
      <c r="O72" s="198"/>
      <c r="P72" s="198"/>
      <c r="Q72" s="198"/>
      <c r="R72" s="198"/>
      <c r="S72" s="198"/>
      <c r="T72" s="198"/>
      <c r="U72" s="198"/>
      <c r="V72" s="198"/>
      <c r="W72" s="198"/>
      <c r="X72" s="198"/>
      <c r="Y72" s="198"/>
      <c r="Z72" s="198"/>
      <c r="AA72" s="198"/>
      <c r="AB72" s="198"/>
      <c r="AC72" s="198"/>
      <c r="AD72" s="198"/>
      <c r="AE72" s="198"/>
      <c r="AF72" s="198"/>
      <c r="AG72" s="198"/>
      <c r="AH72" s="198"/>
      <c r="AI72" s="198"/>
      <c r="AJ72" s="198"/>
      <c r="AK72" s="198"/>
      <c r="AL72" s="198"/>
      <c r="AM72" s="198"/>
      <c r="AN72" s="198"/>
      <c r="AO72" s="198"/>
      <c r="AP72" s="198"/>
      <c r="AQ72" s="198"/>
      <c r="AR72" s="198"/>
      <c r="AS72" s="198"/>
      <c r="AT72" s="198"/>
      <c r="AU72" s="198"/>
      <c r="AV72" s="198"/>
      <c r="AW72" s="198"/>
      <c r="AX72" s="198"/>
      <c r="AY72" s="198"/>
      <c r="AZ72" s="198"/>
      <c r="BA72" s="198"/>
    </row>
  </sheetData>
  <sheetProtection password="CE75" sheet="1" objects="1" scenarios="1"/>
  <dataConsolidate/>
  <mergeCells count="113">
    <mergeCell ref="C2:C3"/>
    <mergeCell ref="E2:G3"/>
    <mergeCell ref="H2:H3"/>
    <mergeCell ref="I2:AO2"/>
    <mergeCell ref="AP2:BA2"/>
    <mergeCell ref="BB2:BD3"/>
    <mergeCell ref="AD3:AF3"/>
    <mergeCell ref="AG3:AI3"/>
    <mergeCell ref="AJ3:AL3"/>
    <mergeCell ref="AM3:AO3"/>
    <mergeCell ref="BD4:BD6"/>
    <mergeCell ref="BE4:BE6"/>
    <mergeCell ref="BF4:BF6"/>
    <mergeCell ref="BC4:BC6"/>
    <mergeCell ref="BE2:BH3"/>
    <mergeCell ref="BJ2:BJ3"/>
    <mergeCell ref="BL2:BL6"/>
    <mergeCell ref="I3:K3"/>
    <mergeCell ref="L3:N3"/>
    <mergeCell ref="O3:Q3"/>
    <mergeCell ref="R3:T3"/>
    <mergeCell ref="U3:W3"/>
    <mergeCell ref="X3:Z3"/>
    <mergeCell ref="AA3:AC3"/>
    <mergeCell ref="AP3:AR3"/>
    <mergeCell ref="AS3:AU3"/>
    <mergeCell ref="AV3:AX3"/>
    <mergeCell ref="AY3:BA3"/>
    <mergeCell ref="BG4:BG6"/>
    <mergeCell ref="BH4:BH6"/>
    <mergeCell ref="BI2:BI6"/>
    <mergeCell ref="C5:C6"/>
    <mergeCell ref="E5:E6"/>
    <mergeCell ref="F5:F6"/>
    <mergeCell ref="G5:H6"/>
    <mergeCell ref="AP4:AR5"/>
    <mergeCell ref="AS4:AU5"/>
    <mergeCell ref="AV4:AX5"/>
    <mergeCell ref="AY4:BA5"/>
    <mergeCell ref="BB4:BB6"/>
    <mergeCell ref="X4:Z5"/>
    <mergeCell ref="AA4:AC5"/>
    <mergeCell ref="AD4:AF5"/>
    <mergeCell ref="AG4:AI5"/>
    <mergeCell ref="AJ4:AL5"/>
    <mergeCell ref="AM4:AO5"/>
    <mergeCell ref="E4:H4"/>
    <mergeCell ref="I4:K5"/>
    <mergeCell ref="L4:N5"/>
    <mergeCell ref="O4:Q5"/>
    <mergeCell ref="R4:T5"/>
    <mergeCell ref="U4:W5"/>
    <mergeCell ref="B10:C10"/>
    <mergeCell ref="G10:H10"/>
    <mergeCell ref="B11:C11"/>
    <mergeCell ref="G11:H11"/>
    <mergeCell ref="B12:C12"/>
    <mergeCell ref="G12:H12"/>
    <mergeCell ref="B7:C7"/>
    <mergeCell ref="G7:H7"/>
    <mergeCell ref="B8:C8"/>
    <mergeCell ref="G8:H8"/>
    <mergeCell ref="B9:C9"/>
    <mergeCell ref="G9:H9"/>
    <mergeCell ref="B16:C16"/>
    <mergeCell ref="G16:H16"/>
    <mergeCell ref="B17:C17"/>
    <mergeCell ref="G17:H17"/>
    <mergeCell ref="B18:C18"/>
    <mergeCell ref="G18:H18"/>
    <mergeCell ref="B13:C13"/>
    <mergeCell ref="G13:H13"/>
    <mergeCell ref="B14:C14"/>
    <mergeCell ref="G14:H14"/>
    <mergeCell ref="B15:C15"/>
    <mergeCell ref="G15:H15"/>
    <mergeCell ref="B22:C22"/>
    <mergeCell ref="G22:H22"/>
    <mergeCell ref="B23:C23"/>
    <mergeCell ref="G23:H23"/>
    <mergeCell ref="B24:C24"/>
    <mergeCell ref="G24:H24"/>
    <mergeCell ref="B19:C19"/>
    <mergeCell ref="G19:H19"/>
    <mergeCell ref="B20:C20"/>
    <mergeCell ref="G20:H20"/>
    <mergeCell ref="B21:C21"/>
    <mergeCell ref="G21:H21"/>
    <mergeCell ref="B41:C41"/>
    <mergeCell ref="G41:H41"/>
    <mergeCell ref="G30:H30"/>
    <mergeCell ref="G31:H31"/>
    <mergeCell ref="G32:H32"/>
    <mergeCell ref="G33:H33"/>
    <mergeCell ref="G34:H34"/>
    <mergeCell ref="G35:H35"/>
    <mergeCell ref="G25:H25"/>
    <mergeCell ref="G26:H26"/>
    <mergeCell ref="B27:C27"/>
    <mergeCell ref="G27:H27"/>
    <mergeCell ref="G28:H28"/>
    <mergeCell ref="G29:H29"/>
    <mergeCell ref="B25:C25"/>
    <mergeCell ref="G42:H42"/>
    <mergeCell ref="G43:H43"/>
    <mergeCell ref="G44:H44"/>
    <mergeCell ref="G45:H45"/>
    <mergeCell ref="G46:H46"/>
    <mergeCell ref="G36:H36"/>
    <mergeCell ref="G37:H37"/>
    <mergeCell ref="G38:H38"/>
    <mergeCell ref="G39:H39"/>
    <mergeCell ref="G40:H40"/>
  </mergeCells>
  <conditionalFormatting sqref="I7:J46">
    <cfRule type="containsBlanks" dxfId="122" priority="118">
      <formula>LEN(TRIM(I7))=0</formula>
    </cfRule>
    <cfRule type="cellIs" dxfId="121" priority="119" operator="lessThan">
      <formula>$C$4</formula>
    </cfRule>
    <cfRule type="cellIs" dxfId="120" priority="120" operator="greaterThan">
      <formula>100</formula>
    </cfRule>
  </conditionalFormatting>
  <conditionalFormatting sqref="L7:M46">
    <cfRule type="cellIs" dxfId="119" priority="115" operator="greaterThan">
      <formula>100</formula>
    </cfRule>
    <cfRule type="containsBlanks" dxfId="118" priority="116">
      <formula>LEN(TRIM(L7))=0</formula>
    </cfRule>
    <cfRule type="cellIs" dxfId="117" priority="117" operator="lessThan">
      <formula>$C$4</formula>
    </cfRule>
  </conditionalFormatting>
  <conditionalFormatting sqref="O7:P46">
    <cfRule type="cellIs" dxfId="116" priority="112" operator="greaterThan">
      <formula>100</formula>
    </cfRule>
    <cfRule type="containsBlanks" dxfId="115" priority="113">
      <formula>LEN(TRIM(O7))=0</formula>
    </cfRule>
    <cfRule type="cellIs" dxfId="114" priority="114" operator="lessThan">
      <formula>$C$4</formula>
    </cfRule>
  </conditionalFormatting>
  <conditionalFormatting sqref="R7:S46">
    <cfRule type="cellIs" dxfId="113" priority="109" operator="greaterThan">
      <formula>100</formula>
    </cfRule>
    <cfRule type="containsBlanks" dxfId="112" priority="110">
      <formula>LEN(TRIM(R7))=0</formula>
    </cfRule>
    <cfRule type="cellIs" dxfId="111" priority="111" operator="lessThan">
      <formula>$C$4</formula>
    </cfRule>
  </conditionalFormatting>
  <conditionalFormatting sqref="U7:V46">
    <cfRule type="cellIs" dxfId="110" priority="106" operator="greaterThan">
      <formula>100</formula>
    </cfRule>
    <cfRule type="containsBlanks" dxfId="109" priority="107">
      <formula>LEN(TRIM(U7))=0</formula>
    </cfRule>
    <cfRule type="cellIs" dxfId="108" priority="108" operator="lessThan">
      <formula>$C$4</formula>
    </cfRule>
  </conditionalFormatting>
  <conditionalFormatting sqref="X7:Y46">
    <cfRule type="cellIs" dxfId="107" priority="103" operator="greaterThan">
      <formula>100</formula>
    </cfRule>
    <cfRule type="containsBlanks" dxfId="106" priority="104">
      <formula>LEN(TRIM(X7))=0</formula>
    </cfRule>
    <cfRule type="cellIs" dxfId="105" priority="105" operator="lessThan">
      <formula>$C$4</formula>
    </cfRule>
  </conditionalFormatting>
  <conditionalFormatting sqref="AA7:AB46">
    <cfRule type="cellIs" dxfId="104" priority="100" operator="greaterThan">
      <formula>100</formula>
    </cfRule>
    <cfRule type="containsBlanks" dxfId="103" priority="101">
      <formula>LEN(TRIM(AA7))=0</formula>
    </cfRule>
    <cfRule type="cellIs" dxfId="102" priority="102" operator="lessThan">
      <formula>$C$4</formula>
    </cfRule>
  </conditionalFormatting>
  <conditionalFormatting sqref="AD7:AE46">
    <cfRule type="cellIs" dxfId="101" priority="97" operator="greaterThan">
      <formula>100</formula>
    </cfRule>
    <cfRule type="containsBlanks" dxfId="100" priority="98">
      <formula>LEN(TRIM(AD7))=0</formula>
    </cfRule>
    <cfRule type="cellIs" dxfId="99" priority="99" operator="lessThan">
      <formula>$C$4</formula>
    </cfRule>
  </conditionalFormatting>
  <conditionalFormatting sqref="AG7:AH46">
    <cfRule type="cellIs" dxfId="98" priority="94" operator="greaterThan">
      <formula>100</formula>
    </cfRule>
    <cfRule type="containsBlanks" dxfId="97" priority="95">
      <formula>LEN(TRIM(AG7))=0</formula>
    </cfRule>
    <cfRule type="cellIs" dxfId="96" priority="96" operator="lessThan">
      <formula>$C$4</formula>
    </cfRule>
  </conditionalFormatting>
  <conditionalFormatting sqref="AJ7:AK46">
    <cfRule type="cellIs" dxfId="95" priority="91" operator="greaterThan">
      <formula>100</formula>
    </cfRule>
    <cfRule type="containsBlanks" dxfId="94" priority="92">
      <formula>LEN(TRIM(AJ7))=0</formula>
    </cfRule>
    <cfRule type="cellIs" dxfId="93" priority="93" operator="lessThan">
      <formula>$C$4</formula>
    </cfRule>
  </conditionalFormatting>
  <conditionalFormatting sqref="AM7:AN46">
    <cfRule type="cellIs" dxfId="92" priority="88" operator="greaterThan">
      <formula>100</formula>
    </cfRule>
    <cfRule type="containsBlanks" dxfId="91" priority="89">
      <formula>LEN(TRIM(AM7))=0</formula>
    </cfRule>
    <cfRule type="cellIs" dxfId="90" priority="90" operator="lessThan">
      <formula>$C$4</formula>
    </cfRule>
  </conditionalFormatting>
  <conditionalFormatting sqref="AP7:AQ46">
    <cfRule type="cellIs" dxfId="89" priority="85" operator="greaterThan">
      <formula>100</formula>
    </cfRule>
    <cfRule type="containsBlanks" dxfId="88" priority="86">
      <formula>LEN(TRIM(AP7))=0</formula>
    </cfRule>
    <cfRule type="cellIs" dxfId="87" priority="87" operator="lessThan">
      <formula>$C$4</formula>
    </cfRule>
  </conditionalFormatting>
  <conditionalFormatting sqref="AS7:AT46">
    <cfRule type="cellIs" dxfId="86" priority="82" operator="greaterThan">
      <formula>100</formula>
    </cfRule>
    <cfRule type="containsBlanks" dxfId="85" priority="83">
      <formula>LEN(TRIM(AS7))=0</formula>
    </cfRule>
    <cfRule type="cellIs" dxfId="84" priority="84" operator="lessThan">
      <formula>$C$4</formula>
    </cfRule>
  </conditionalFormatting>
  <conditionalFormatting sqref="AV7:AW46">
    <cfRule type="cellIs" dxfId="83" priority="79" operator="greaterThan">
      <formula>100</formula>
    </cfRule>
    <cfRule type="containsBlanks" dxfId="82" priority="80">
      <formula>LEN(TRIM(AV7))=0</formula>
    </cfRule>
    <cfRule type="cellIs" dxfId="81" priority="81" operator="lessThan">
      <formula>$C$4</formula>
    </cfRule>
  </conditionalFormatting>
  <conditionalFormatting sqref="AY7:AZ46">
    <cfRule type="cellIs" dxfId="80" priority="76" operator="greaterThan">
      <formula>100</formula>
    </cfRule>
    <cfRule type="containsBlanks" dxfId="79" priority="77">
      <formula>LEN(TRIM(AY7))=0</formula>
    </cfRule>
    <cfRule type="cellIs" dxfId="78" priority="78" operator="lessThan">
      <formula>$C$4</formula>
    </cfRule>
  </conditionalFormatting>
  <conditionalFormatting sqref="L7:M45">
    <cfRule type="containsBlanks" dxfId="77" priority="73">
      <formula>LEN(TRIM(L7))=0</formula>
    </cfRule>
    <cfRule type="cellIs" dxfId="76" priority="74" operator="lessThan">
      <formula>$C$4</formula>
    </cfRule>
    <cfRule type="cellIs" dxfId="75" priority="75" operator="greaterThan">
      <formula>100</formula>
    </cfRule>
  </conditionalFormatting>
  <conditionalFormatting sqref="O7:P46">
    <cfRule type="containsBlanks" dxfId="74" priority="70">
      <formula>LEN(TRIM(O7))=0</formula>
    </cfRule>
    <cfRule type="cellIs" dxfId="73" priority="71" operator="lessThan">
      <formula>$C$4</formula>
    </cfRule>
    <cfRule type="cellIs" dxfId="72" priority="72" operator="greaterThan">
      <formula>100</formula>
    </cfRule>
  </conditionalFormatting>
  <conditionalFormatting sqref="R7:S46">
    <cfRule type="containsBlanks" dxfId="71" priority="67">
      <formula>LEN(TRIM(R7))=0</formula>
    </cfRule>
    <cfRule type="cellIs" dxfId="70" priority="68" operator="lessThan">
      <formula>$C$4</formula>
    </cfRule>
    <cfRule type="cellIs" dxfId="69" priority="69" operator="greaterThan">
      <formula>100</formula>
    </cfRule>
  </conditionalFormatting>
  <conditionalFormatting sqref="U7:V46">
    <cfRule type="containsBlanks" dxfId="68" priority="64">
      <formula>LEN(TRIM(U7))=0</formula>
    </cfRule>
    <cfRule type="cellIs" dxfId="67" priority="65" operator="lessThan">
      <formula>$C$4</formula>
    </cfRule>
    <cfRule type="cellIs" dxfId="66" priority="66" operator="greaterThan">
      <formula>100</formula>
    </cfRule>
  </conditionalFormatting>
  <conditionalFormatting sqref="X7:Y46">
    <cfRule type="containsBlanks" dxfId="65" priority="61">
      <formula>LEN(TRIM(X7))=0</formula>
    </cfRule>
    <cfRule type="cellIs" dxfId="64" priority="62" operator="lessThan">
      <formula>$C$4</formula>
    </cfRule>
    <cfRule type="cellIs" dxfId="63" priority="63" operator="greaterThan">
      <formula>100</formula>
    </cfRule>
  </conditionalFormatting>
  <conditionalFormatting sqref="AA7:AB46">
    <cfRule type="containsBlanks" dxfId="62" priority="58">
      <formula>LEN(TRIM(AA7))=0</formula>
    </cfRule>
    <cfRule type="cellIs" dxfId="61" priority="59" operator="lessThan">
      <formula>$C$4</formula>
    </cfRule>
    <cfRule type="cellIs" dxfId="60" priority="60" operator="greaterThan">
      <formula>100</formula>
    </cfRule>
  </conditionalFormatting>
  <conditionalFormatting sqref="AD7:AE46">
    <cfRule type="containsBlanks" dxfId="59" priority="55">
      <formula>LEN(TRIM(AD7))=0</formula>
    </cfRule>
    <cfRule type="cellIs" dxfId="58" priority="56" operator="lessThan">
      <formula>$C$4</formula>
    </cfRule>
    <cfRule type="cellIs" dxfId="57" priority="57" operator="greaterThan">
      <formula>100</formula>
    </cfRule>
  </conditionalFormatting>
  <conditionalFormatting sqref="AG7:AH46">
    <cfRule type="containsBlanks" dxfId="56" priority="52">
      <formula>LEN(TRIM(AG7))=0</formula>
    </cfRule>
    <cfRule type="cellIs" dxfId="55" priority="53" operator="lessThan">
      <formula>$C$4</formula>
    </cfRule>
    <cfRule type="cellIs" dxfId="54" priority="54" operator="greaterThan">
      <formula>100</formula>
    </cfRule>
  </conditionalFormatting>
  <conditionalFormatting sqref="AJ7:AK46">
    <cfRule type="containsBlanks" dxfId="53" priority="49">
      <formula>LEN(TRIM(AJ7))=0</formula>
    </cfRule>
    <cfRule type="cellIs" dxfId="52" priority="50" operator="lessThan">
      <formula>$C$4</formula>
    </cfRule>
    <cfRule type="cellIs" dxfId="51" priority="51" operator="greaterThan">
      <formula>100</formula>
    </cfRule>
  </conditionalFormatting>
  <conditionalFormatting sqref="AM7:AN46">
    <cfRule type="containsBlanks" dxfId="50" priority="46">
      <formula>LEN(TRIM(AM7))=0</formula>
    </cfRule>
    <cfRule type="cellIs" dxfId="49" priority="47" operator="lessThan">
      <formula>$C$4</formula>
    </cfRule>
    <cfRule type="cellIs" dxfId="48" priority="48" operator="greaterThan">
      <formula>100</formula>
    </cfRule>
  </conditionalFormatting>
  <conditionalFormatting sqref="AP7:AQ46">
    <cfRule type="containsBlanks" dxfId="47" priority="43">
      <formula>LEN(TRIM(AP7))=0</formula>
    </cfRule>
    <cfRule type="cellIs" dxfId="46" priority="44" operator="lessThan">
      <formula>$C$4</formula>
    </cfRule>
    <cfRule type="cellIs" dxfId="45" priority="45" operator="greaterThan">
      <formula>100</formula>
    </cfRule>
  </conditionalFormatting>
  <conditionalFormatting sqref="AS7:AT46">
    <cfRule type="containsBlanks" dxfId="44" priority="40">
      <formula>LEN(TRIM(AS7))=0</formula>
    </cfRule>
    <cfRule type="cellIs" dxfId="43" priority="41" operator="lessThan">
      <formula>$C$4</formula>
    </cfRule>
    <cfRule type="cellIs" dxfId="42" priority="42" operator="greaterThan">
      <formula>100</formula>
    </cfRule>
  </conditionalFormatting>
  <conditionalFormatting sqref="AV7:AW46">
    <cfRule type="containsBlanks" dxfId="41" priority="37">
      <formula>LEN(TRIM(AV7))=0</formula>
    </cfRule>
    <cfRule type="cellIs" dxfId="40" priority="38" operator="lessThan">
      <formula>$C$4</formula>
    </cfRule>
    <cfRule type="cellIs" dxfId="39" priority="39" operator="greaterThan">
      <formula>100</formula>
    </cfRule>
  </conditionalFormatting>
  <conditionalFormatting sqref="AY7:AZ46">
    <cfRule type="containsBlanks" dxfId="38" priority="34">
      <formula>LEN(TRIM(AY7))=0</formula>
    </cfRule>
    <cfRule type="cellIs" dxfId="37" priority="35" operator="lessThan">
      <formula>$C$4</formula>
    </cfRule>
    <cfRule type="cellIs" dxfId="36" priority="36" operator="greaterThan">
      <formula>100</formula>
    </cfRule>
  </conditionalFormatting>
  <conditionalFormatting sqref="J17:J25">
    <cfRule type="cellIs" dxfId="35" priority="31" operator="greaterThan">
      <formula>100</formula>
    </cfRule>
    <cfRule type="containsBlanks" dxfId="34" priority="32">
      <formula>LEN(TRIM(J17))=0</formula>
    </cfRule>
    <cfRule type="cellIs" dxfId="33" priority="33" operator="lessThan">
      <formula>$C$4</formula>
    </cfRule>
  </conditionalFormatting>
  <conditionalFormatting sqref="J17:J25">
    <cfRule type="containsBlanks" dxfId="32" priority="28">
      <formula>LEN(TRIM(J17))=0</formula>
    </cfRule>
    <cfRule type="cellIs" dxfId="31" priority="29" operator="lessThan">
      <formula>$C$4</formula>
    </cfRule>
    <cfRule type="cellIs" dxfId="30" priority="30" operator="greaterThan">
      <formula>100</formula>
    </cfRule>
  </conditionalFormatting>
  <conditionalFormatting sqref="J26:J34">
    <cfRule type="cellIs" dxfId="29" priority="25" operator="greaterThan">
      <formula>100</formula>
    </cfRule>
    <cfRule type="containsBlanks" dxfId="28" priority="26">
      <formula>LEN(TRIM(J26))=0</formula>
    </cfRule>
    <cfRule type="cellIs" dxfId="27" priority="27" operator="lessThan">
      <formula>$C$4</formula>
    </cfRule>
  </conditionalFormatting>
  <conditionalFormatting sqref="J26:J34">
    <cfRule type="containsBlanks" dxfId="26" priority="22">
      <formula>LEN(TRIM(J26))=0</formula>
    </cfRule>
    <cfRule type="cellIs" dxfId="25" priority="23" operator="lessThan">
      <formula>$C$4</formula>
    </cfRule>
    <cfRule type="cellIs" dxfId="24" priority="24" operator="greaterThan">
      <formula>100</formula>
    </cfRule>
  </conditionalFormatting>
  <conditionalFormatting sqref="J35:J46">
    <cfRule type="cellIs" dxfId="23" priority="19" operator="greaterThan">
      <formula>100</formula>
    </cfRule>
    <cfRule type="containsBlanks" dxfId="22" priority="20">
      <formula>LEN(TRIM(J35))=0</formula>
    </cfRule>
    <cfRule type="cellIs" dxfId="21" priority="21" operator="lessThan">
      <formula>$C$4</formula>
    </cfRule>
  </conditionalFormatting>
  <conditionalFormatting sqref="J35:J46">
    <cfRule type="containsBlanks" dxfId="20" priority="16">
      <formula>LEN(TRIM(J35))=0</formula>
    </cfRule>
    <cfRule type="cellIs" dxfId="19" priority="17" operator="lessThan">
      <formula>$C$4</formula>
    </cfRule>
    <cfRule type="cellIs" dxfId="18" priority="18" operator="greaterThan">
      <formula>100</formula>
    </cfRule>
  </conditionalFormatting>
  <conditionalFormatting sqref="L17:M23">
    <cfRule type="containsBlanks" dxfId="17" priority="13">
      <formula>LEN(TRIM(L17))=0</formula>
    </cfRule>
    <cfRule type="cellIs" dxfId="16" priority="14" operator="lessThan">
      <formula>$C$4</formula>
    </cfRule>
    <cfRule type="cellIs" dxfId="15" priority="15" operator="greaterThan">
      <formula>100</formula>
    </cfRule>
  </conditionalFormatting>
  <conditionalFormatting sqref="L24:M30">
    <cfRule type="containsBlanks" dxfId="14" priority="10">
      <formula>LEN(TRIM(L24))=0</formula>
    </cfRule>
    <cfRule type="cellIs" dxfId="13" priority="11" operator="lessThan">
      <formula>$C$4</formula>
    </cfRule>
    <cfRule type="cellIs" dxfId="12" priority="12" operator="greaterThan">
      <formula>100</formula>
    </cfRule>
  </conditionalFormatting>
  <conditionalFormatting sqref="L31:M37">
    <cfRule type="containsBlanks" dxfId="11" priority="7">
      <formula>LEN(TRIM(L31))=0</formula>
    </cfRule>
    <cfRule type="cellIs" dxfId="10" priority="8" operator="lessThan">
      <formula>$C$4</formula>
    </cfRule>
    <cfRule type="cellIs" dxfId="9" priority="9" operator="greaterThan">
      <formula>100</formula>
    </cfRule>
  </conditionalFormatting>
  <conditionalFormatting sqref="L38:M44">
    <cfRule type="containsBlanks" dxfId="8" priority="4">
      <formula>LEN(TRIM(L38))=0</formula>
    </cfRule>
    <cfRule type="cellIs" dxfId="7" priority="5" operator="lessThan">
      <formula>$C$4</formula>
    </cfRule>
    <cfRule type="cellIs" dxfId="6" priority="6" operator="greaterThan">
      <formula>100</formula>
    </cfRule>
  </conditionalFormatting>
  <conditionalFormatting sqref="L45:M46">
    <cfRule type="containsBlanks" dxfId="5" priority="1">
      <formula>LEN(TRIM(L45))=0</formula>
    </cfRule>
    <cfRule type="cellIs" dxfId="4" priority="2" operator="lessThan">
      <formula>$C$4</formula>
    </cfRule>
    <cfRule type="cellIs" dxfId="3" priority="3" operator="greaterThan">
      <formula>100</formula>
    </cfRule>
  </conditionalFormatting>
  <dataValidations count="2">
    <dataValidation type="list" allowBlank="1" showInputMessage="1" showErrorMessage="1" sqref="BI7:BI46">
      <formula1>_naik_lulus</formula1>
    </dataValidation>
    <dataValidation type="list" allowBlank="1" showInputMessage="1" showErrorMessage="1" sqref="C4">
      <formula1>_nilai</formula1>
    </dataValidation>
  </dataValidations>
  <hyperlinks>
    <hyperlink ref="B8:C8" location="Leger2!I4" display="Leger2!I4"/>
    <hyperlink ref="B9:C9" location="Leger2!L4" display="Leger2!L4"/>
    <hyperlink ref="B10:C10" location="Leger2!O4" display="Leger2!O4"/>
    <hyperlink ref="B11:C11" location="Leger2!R4" display="Leger2!R4"/>
    <hyperlink ref="B12:C12" location="Leger2!U4" display="Leger2!U4"/>
    <hyperlink ref="B13:C13" location="Leger2!X4" display="Leger2!X4"/>
    <hyperlink ref="B14:C14" location="Leger2!AA4" display="Leger2!AA4"/>
    <hyperlink ref="B15:C15" location="Leger2!AD4" display="Leger2!AD4"/>
    <hyperlink ref="B16:C16" location="Leger2!AG4" display="Leger2!AG4"/>
    <hyperlink ref="B17:C17" location="Leger2!AJ4" display="Leger2!AJ4"/>
    <hyperlink ref="B18:C18" location="Leger2!AM4" display="Leger2!AM4"/>
    <hyperlink ref="B19:C19" location="Leger2!AP4" display="Leger2!AP4"/>
    <hyperlink ref="B20:C20" location="Leger2!AS4" display="Leger2!AS4"/>
    <hyperlink ref="B21:C21" location="Leger2!AV4" display="Leger2!AV4"/>
    <hyperlink ref="B22:C22" location="Leger2!AY4" display="Leger2!AY4"/>
    <hyperlink ref="B23:C23" location="Leger2!BE2" display="Leger2!BE2"/>
    <hyperlink ref="B24:C24" location="Leger2!BI2" display="Leger2!BI2"/>
    <hyperlink ref="B25:C25" location="Leger2!BL2" display="Catatan u/ Orang Tua"/>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sheetPr codeName="Sheet21">
    <tabColor rgb="FF00B050"/>
  </sheetPr>
  <dimension ref="A1:F33"/>
  <sheetViews>
    <sheetView showRowColHeaders="0" workbookViewId="0">
      <selection activeCell="D10" sqref="D10"/>
    </sheetView>
  </sheetViews>
  <sheetFormatPr defaultColWidth="0" defaultRowHeight="15" customHeight="1" zeroHeight="1"/>
  <cols>
    <col min="1" max="1" width="14.7109375" style="16" customWidth="1"/>
    <col min="2" max="2" width="6.28515625" style="16" customWidth="1"/>
    <col min="3" max="3" width="26.140625" style="16" customWidth="1"/>
    <col min="4" max="4" width="71" style="16" customWidth="1"/>
    <col min="5" max="5" width="70.5703125" style="16" customWidth="1"/>
    <col min="6" max="6" width="8.42578125" style="16" customWidth="1"/>
    <col min="7" max="16384" width="9.140625" style="16" hidden="1"/>
  </cols>
  <sheetData>
    <row r="1" spans="2:5"/>
    <row r="2" spans="2:5" ht="23.25" customHeight="1">
      <c r="B2" s="255" t="s">
        <v>118</v>
      </c>
      <c r="C2" s="198"/>
      <c r="D2" s="198"/>
      <c r="E2" s="198"/>
    </row>
    <row r="3" spans="2:5" ht="30" customHeight="1" thickBot="1">
      <c r="B3" s="256" t="str">
        <f>"SEMESTER "&amp;UPPER(_smt_genap)&amp;" - KELAS "&amp;_kelas</f>
        <v>SEMESTER 4 (EMPAT) - KELAS VIII A</v>
      </c>
      <c r="C3" s="198"/>
      <c r="D3" s="198"/>
      <c r="E3" s="198"/>
    </row>
    <row r="4" spans="2:5" s="28" customFormat="1" ht="19.5" customHeight="1">
      <c r="B4" s="965" t="s">
        <v>50</v>
      </c>
      <c r="C4" s="968" t="s">
        <v>119</v>
      </c>
      <c r="D4" s="962" t="s">
        <v>120</v>
      </c>
      <c r="E4" s="953"/>
    </row>
    <row r="5" spans="2:5" s="28" customFormat="1" ht="19.5" customHeight="1">
      <c r="B5" s="966"/>
      <c r="C5" s="969"/>
      <c r="D5" s="963"/>
      <c r="E5" s="964"/>
    </row>
    <row r="6" spans="2:5" s="28" customFormat="1" ht="15.75" customHeight="1" thickBot="1">
      <c r="B6" s="966"/>
      <c r="C6" s="969"/>
      <c r="D6" s="954"/>
      <c r="E6" s="956"/>
    </row>
    <row r="7" spans="2:5" s="28" customFormat="1" ht="19.5" thickBot="1">
      <c r="B7" s="967"/>
      <c r="C7" s="970"/>
      <c r="D7" s="257" t="s">
        <v>121</v>
      </c>
      <c r="E7" s="257" t="s">
        <v>122</v>
      </c>
    </row>
    <row r="8" spans="2:5">
      <c r="B8" s="258">
        <v>1</v>
      </c>
      <c r="C8" s="259" t="str">
        <f>_MP1</f>
        <v>Pendidikan Agama Islam</v>
      </c>
      <c r="D8" s="129"/>
      <c r="E8" s="129"/>
    </row>
    <row r="9" spans="2:5">
      <c r="B9" s="260">
        <v>2</v>
      </c>
      <c r="C9" s="261" t="str">
        <f>_MP2</f>
        <v>Pendidikan Agama Kristen</v>
      </c>
      <c r="D9" s="128"/>
      <c r="E9" s="128"/>
    </row>
    <row r="10" spans="2:5">
      <c r="B10" s="260">
        <v>3</v>
      </c>
      <c r="C10" s="261" t="str">
        <f>_MP3</f>
        <v>Pendidikan Agama Katolik</v>
      </c>
      <c r="D10" s="128"/>
      <c r="E10" s="128"/>
    </row>
    <row r="11" spans="2:5">
      <c r="B11" s="260">
        <v>4</v>
      </c>
      <c r="C11" s="261" t="str">
        <f>_MP4</f>
        <v>Pendidikan Agama Hindu</v>
      </c>
      <c r="D11" s="128"/>
      <c r="E11" s="128"/>
    </row>
    <row r="12" spans="2:5">
      <c r="B12" s="260">
        <v>5</v>
      </c>
      <c r="C12" s="261" t="str">
        <f>_MP5</f>
        <v>Pendidikan Agama Budha</v>
      </c>
      <c r="D12" s="128"/>
      <c r="E12" s="128"/>
    </row>
    <row r="13" spans="2:5">
      <c r="B13" s="262">
        <v>6</v>
      </c>
      <c r="C13" s="263" t="str">
        <f>_MP6</f>
        <v>PKn</v>
      </c>
      <c r="D13" s="128"/>
      <c r="E13" s="128"/>
    </row>
    <row r="14" spans="2:5">
      <c r="B14" s="264">
        <v>7</v>
      </c>
      <c r="C14" s="265" t="str">
        <f>_MP7</f>
        <v xml:space="preserve">Bahasa Indonesia </v>
      </c>
      <c r="D14" s="128"/>
      <c r="E14" s="128"/>
    </row>
    <row r="15" spans="2:5">
      <c r="B15" s="264">
        <v>8</v>
      </c>
      <c r="C15" s="265" t="str">
        <f>_MP8</f>
        <v xml:space="preserve">Matematika </v>
      </c>
      <c r="D15" s="128"/>
      <c r="E15" s="128"/>
    </row>
    <row r="16" spans="2:5">
      <c r="B16" s="264">
        <v>9</v>
      </c>
      <c r="C16" s="265" t="str">
        <f>_MP9</f>
        <v xml:space="preserve">Ilmu Pengetahuan Alam </v>
      </c>
      <c r="D16" s="128"/>
      <c r="E16" s="128"/>
    </row>
    <row r="17" spans="2:5">
      <c r="B17" s="264">
        <v>10</v>
      </c>
      <c r="C17" s="265" t="str">
        <f>_MP10</f>
        <v xml:space="preserve">Ilmu Pengetahuan Sosial </v>
      </c>
      <c r="D17" s="128"/>
      <c r="E17" s="128"/>
    </row>
    <row r="18" spans="2:5">
      <c r="B18" s="264">
        <v>11</v>
      </c>
      <c r="C18" s="265" t="str">
        <f>_MP11</f>
        <v xml:space="preserve">Bahasa Inggris </v>
      </c>
      <c r="D18" s="128"/>
      <c r="E18" s="128"/>
    </row>
    <row r="19" spans="2:5">
      <c r="B19" s="264">
        <v>12</v>
      </c>
      <c r="C19" s="265" t="str">
        <f>_MP12</f>
        <v>Seni Budaya</v>
      </c>
      <c r="D19" s="128"/>
      <c r="E19" s="128"/>
    </row>
    <row r="20" spans="2:5">
      <c r="B20" s="264">
        <v>13</v>
      </c>
      <c r="C20" s="265" t="str">
        <f>_MP13</f>
        <v>Penjaskes</v>
      </c>
      <c r="D20" s="128"/>
      <c r="E20" s="128"/>
    </row>
    <row r="21" spans="2:5">
      <c r="B21" s="264">
        <v>14</v>
      </c>
      <c r="C21" s="265" t="str">
        <f>_MP14</f>
        <v>Prakarya</v>
      </c>
      <c r="D21" s="128"/>
      <c r="E21" s="128"/>
    </row>
    <row r="22" spans="2:5" ht="15.75" thickBot="1">
      <c r="B22" s="266">
        <v>15</v>
      </c>
      <c r="C22" s="267" t="str">
        <f>_MP15</f>
        <v>Bahasa dan Aksara Lampung</v>
      </c>
      <c r="D22" s="268"/>
      <c r="E22" s="268"/>
    </row>
    <row r="23" spans="2:5" ht="46.5" customHeight="1"/>
    <row r="24" spans="2:5" hidden="1"/>
    <row r="25" spans="2:5" hidden="1"/>
    <row r="26" spans="2:5" hidden="1"/>
    <row r="27" spans="2:5" hidden="1"/>
    <row r="28" spans="2:5" hidden="1"/>
    <row r="29" spans="2:5" hidden="1"/>
    <row r="30" spans="2:5" hidden="1"/>
    <row r="31" spans="2:5" hidden="1"/>
    <row r="32" spans="2:5" hidden="1"/>
    <row r="33" s="17" customFormat="1" hidden="1"/>
  </sheetData>
  <sheetProtection password="CF75" sheet="1" objects="1" scenarios="1" selectLockedCells="1"/>
  <mergeCells count="3">
    <mergeCell ref="B4:B7"/>
    <mergeCell ref="C4:C7"/>
    <mergeCell ref="D4:E6"/>
  </mergeCells>
  <pageMargins left="0.7" right="0.7" top="0.75" bottom="0.75" header="0.3" footer="0.3"/>
  <pageSetup paperSize="9" scale="75" orientation="landscape" r:id="rId1"/>
  <drawing r:id="rId2"/>
</worksheet>
</file>

<file path=xl/worksheets/sheet25.xml><?xml version="1.0" encoding="utf-8"?>
<worksheet xmlns="http://schemas.openxmlformats.org/spreadsheetml/2006/main" xmlns:r="http://schemas.openxmlformats.org/officeDocument/2006/relationships">
  <sheetPr codeName="Sheet22">
    <tabColor rgb="FF00B050"/>
  </sheetPr>
  <dimension ref="A1:K69"/>
  <sheetViews>
    <sheetView showRowColHeaders="0" workbookViewId="0">
      <selection activeCell="I6" sqref="I6:I7"/>
    </sheetView>
  </sheetViews>
  <sheetFormatPr defaultColWidth="0" defaultRowHeight="15" customHeight="1" zeroHeight="1"/>
  <cols>
    <col min="1" max="1" width="14.7109375" style="16" customWidth="1"/>
    <col min="2" max="2" width="5.7109375" style="17" customWidth="1"/>
    <col min="3" max="3" width="7.85546875" style="17" customWidth="1"/>
    <col min="4" max="4" width="32.85546875" style="16" customWidth="1"/>
    <col min="5" max="5" width="12.140625" style="16" customWidth="1"/>
    <col min="6" max="6" width="11.42578125" style="17" customWidth="1"/>
    <col min="7" max="7" width="2.85546875" style="16" customWidth="1"/>
    <col min="8" max="8" width="15" style="16" customWidth="1"/>
    <col min="9" max="9" width="62.5703125" style="16" customWidth="1"/>
    <col min="10" max="10" width="61.85546875" style="16" customWidth="1"/>
    <col min="11" max="11" width="9.140625" style="16" customWidth="1"/>
    <col min="12" max="16384" width="9.140625" style="16" hidden="1"/>
  </cols>
  <sheetData>
    <row r="1" spans="2:10"/>
    <row r="2" spans="2:10" ht="23.25" customHeight="1">
      <c r="B2" s="45" t="s">
        <v>297</v>
      </c>
    </row>
    <row r="3" spans="2:10" ht="30" customHeight="1" thickBot="1">
      <c r="B3" s="60" t="str">
        <f>"SEMESTER "&amp;UPPER(_smt_genap)&amp;" - KELAS "&amp;_kelas</f>
        <v>SEMESTER 4 (EMPAT) - KELAS VIII A</v>
      </c>
    </row>
    <row r="4" spans="2:10" ht="18.75" customHeight="1">
      <c r="B4" s="825" t="s">
        <v>86</v>
      </c>
      <c r="C4" s="826"/>
      <c r="D4" s="827"/>
      <c r="E4" s="971" t="s">
        <v>12</v>
      </c>
      <c r="F4" s="972"/>
      <c r="H4" s="978" t="s">
        <v>117</v>
      </c>
      <c r="I4" s="989" t="s">
        <v>295</v>
      </c>
      <c r="J4" s="980" t="s">
        <v>116</v>
      </c>
    </row>
    <row r="5" spans="2:10" s="22" customFormat="1" ht="33.75" customHeight="1" thickBot="1">
      <c r="B5" s="828"/>
      <c r="C5" s="829"/>
      <c r="D5" s="830"/>
      <c r="E5" s="973"/>
      <c r="F5" s="974"/>
      <c r="H5" s="979"/>
      <c r="I5" s="989"/>
      <c r="J5" s="980"/>
    </row>
    <row r="6" spans="2:10" s="28" customFormat="1" ht="47.25" customHeight="1">
      <c r="B6" s="30" t="s">
        <v>50</v>
      </c>
      <c r="C6" s="31" t="s">
        <v>51</v>
      </c>
      <c r="D6" s="65" t="s">
        <v>52</v>
      </c>
      <c r="E6" s="59" t="s">
        <v>296</v>
      </c>
      <c r="F6" s="62" t="s">
        <v>115</v>
      </c>
      <c r="H6" s="975" t="s">
        <v>79</v>
      </c>
      <c r="I6" s="981" t="s">
        <v>396</v>
      </c>
      <c r="J6" s="985" t="s">
        <v>399</v>
      </c>
    </row>
    <row r="7" spans="2:10" ht="15.75" customHeight="1">
      <c r="B7" s="15">
        <f>IF(AND(C7="",C7="",D7=""),"",ROW()-6)</f>
        <v>1</v>
      </c>
      <c r="C7" s="46">
        <f>Leger1!F7</f>
        <v>7057</v>
      </c>
      <c r="D7" s="63" t="str">
        <f>Leger1!G7</f>
        <v>Ahmad Zaki Aufa</v>
      </c>
      <c r="E7" s="50" t="s">
        <v>83</v>
      </c>
      <c r="F7" s="52" t="s">
        <v>83</v>
      </c>
      <c r="H7" s="975"/>
      <c r="I7" s="981"/>
      <c r="J7" s="985"/>
    </row>
    <row r="8" spans="2:10" ht="15" customHeight="1">
      <c r="B8" s="15">
        <f t="shared" ref="B8:B46" si="0">IF(AND(C8="",C8="",D8=""),"",ROW()-6)</f>
        <v>2</v>
      </c>
      <c r="C8" s="46">
        <f>Leger1!F8</f>
        <v>7058</v>
      </c>
      <c r="D8" s="63" t="str">
        <f>Leger1!G8</f>
        <v>Anandhita Nafra Wilova</v>
      </c>
      <c r="E8" s="50" t="s">
        <v>83</v>
      </c>
      <c r="F8" s="52" t="s">
        <v>83</v>
      </c>
      <c r="H8" s="976" t="s">
        <v>83</v>
      </c>
      <c r="I8" s="982" t="s">
        <v>397</v>
      </c>
      <c r="J8" s="986" t="s">
        <v>400</v>
      </c>
    </row>
    <row r="9" spans="2:10" ht="15.75">
      <c r="B9" s="15">
        <f t="shared" si="0"/>
        <v>3</v>
      </c>
      <c r="C9" s="46">
        <f>Leger1!F9</f>
        <v>7059</v>
      </c>
      <c r="D9" s="63" t="str">
        <f>Leger1!G9</f>
        <v>Andini Dwi Aryanti</v>
      </c>
      <c r="E9" s="50" t="s">
        <v>83</v>
      </c>
      <c r="F9" s="52" t="s">
        <v>83</v>
      </c>
      <c r="H9" s="976"/>
      <c r="I9" s="983"/>
      <c r="J9" s="987"/>
    </row>
    <row r="10" spans="2:10" ht="15.75">
      <c r="B10" s="15">
        <f t="shared" si="0"/>
        <v>4</v>
      </c>
      <c r="C10" s="46">
        <f>Leger1!F10</f>
        <v>7060</v>
      </c>
      <c r="D10" s="63" t="str">
        <f>Leger1!G10</f>
        <v>Anggun Suci Rahmadani</v>
      </c>
      <c r="E10" s="50" t="s">
        <v>83</v>
      </c>
      <c r="F10" s="52" t="s">
        <v>83</v>
      </c>
      <c r="H10" s="976"/>
      <c r="I10" s="983"/>
      <c r="J10" s="987"/>
    </row>
    <row r="11" spans="2:10" ht="15.75">
      <c r="B11" s="15">
        <f t="shared" si="0"/>
        <v>5</v>
      </c>
      <c r="C11" s="46">
        <f>Leger1!F11</f>
        <v>7061</v>
      </c>
      <c r="D11" s="63" t="str">
        <f>Leger1!G11</f>
        <v>Anisa Julia Tasya</v>
      </c>
      <c r="E11" s="50" t="s">
        <v>83</v>
      </c>
      <c r="F11" s="52" t="s">
        <v>83</v>
      </c>
      <c r="H11" s="976"/>
      <c r="I11" s="984"/>
      <c r="J11" s="988"/>
    </row>
    <row r="12" spans="2:10" ht="15.75">
      <c r="B12" s="15">
        <f t="shared" si="0"/>
        <v>6</v>
      </c>
      <c r="C12" s="46">
        <f>Leger1!F12</f>
        <v>7065</v>
      </c>
      <c r="D12" s="63" t="str">
        <f>Leger1!G12</f>
        <v>Aulia Rahmawati</v>
      </c>
      <c r="E12" s="50" t="s">
        <v>83</v>
      </c>
      <c r="F12" s="52" t="s">
        <v>83</v>
      </c>
      <c r="H12" s="976" t="s">
        <v>82</v>
      </c>
      <c r="I12" s="982" t="s">
        <v>423</v>
      </c>
      <c r="J12" s="986" t="s">
        <v>401</v>
      </c>
    </row>
    <row r="13" spans="2:10" ht="15.75">
      <c r="B13" s="15">
        <f t="shared" si="0"/>
        <v>7</v>
      </c>
      <c r="C13" s="46">
        <f>Leger1!F13</f>
        <v>7066</v>
      </c>
      <c r="D13" s="63" t="str">
        <f>Leger1!G13</f>
        <v>Ayu Chumaira</v>
      </c>
      <c r="E13" s="50" t="s">
        <v>83</v>
      </c>
      <c r="F13" s="52" t="s">
        <v>83</v>
      </c>
      <c r="H13" s="976"/>
      <c r="I13" s="983"/>
      <c r="J13" s="987"/>
    </row>
    <row r="14" spans="2:10" ht="15.75">
      <c r="B14" s="15">
        <f t="shared" si="0"/>
        <v>8</v>
      </c>
      <c r="C14" s="46">
        <f>Leger1!F14</f>
        <v>7067</v>
      </c>
      <c r="D14" s="63" t="str">
        <f>Leger1!G14</f>
        <v>Ayu Emelia Putri</v>
      </c>
      <c r="E14" s="50" t="s">
        <v>83</v>
      </c>
      <c r="F14" s="52" t="s">
        <v>83</v>
      </c>
      <c r="H14" s="976"/>
      <c r="I14" s="983"/>
      <c r="J14" s="987"/>
    </row>
    <row r="15" spans="2:10" ht="15.75">
      <c r="B15" s="15">
        <f t="shared" si="0"/>
        <v>9</v>
      </c>
      <c r="C15" s="46">
        <f>Leger1!F15</f>
        <v>7068</v>
      </c>
      <c r="D15" s="63" t="str">
        <f>Leger1!G15</f>
        <v>Bayu Anggoro</v>
      </c>
      <c r="E15" s="50" t="s">
        <v>83</v>
      </c>
      <c r="F15" s="52" t="s">
        <v>83</v>
      </c>
      <c r="H15" s="976"/>
      <c r="I15" s="984"/>
      <c r="J15" s="988"/>
    </row>
    <row r="16" spans="2:10" ht="15.75">
      <c r="B16" s="15">
        <f t="shared" si="0"/>
        <v>10</v>
      </c>
      <c r="C16" s="46">
        <f>Leger1!F16</f>
        <v>7069</v>
      </c>
      <c r="D16" s="63" t="str">
        <f>Leger1!G16</f>
        <v>Calissta Sabrina Salwa Aurelia</v>
      </c>
      <c r="E16" s="50" t="s">
        <v>83</v>
      </c>
      <c r="F16" s="52" t="s">
        <v>83</v>
      </c>
      <c r="H16" s="976" t="s">
        <v>81</v>
      </c>
      <c r="I16" s="982" t="s">
        <v>398</v>
      </c>
      <c r="J16" s="986" t="s">
        <v>402</v>
      </c>
    </row>
    <row r="17" spans="2:10" ht="15.75">
      <c r="B17" s="15">
        <f t="shared" si="0"/>
        <v>11</v>
      </c>
      <c r="C17" s="46">
        <f>Leger1!F17</f>
        <v>7074</v>
      </c>
      <c r="D17" s="63" t="str">
        <f>Leger1!G17</f>
        <v>Dea Safitri</v>
      </c>
      <c r="E17" s="50" t="s">
        <v>83</v>
      </c>
      <c r="F17" s="52" t="s">
        <v>83</v>
      </c>
      <c r="H17" s="976"/>
      <c r="I17" s="983"/>
      <c r="J17" s="987"/>
    </row>
    <row r="18" spans="2:10" ht="15.75">
      <c r="B18" s="15">
        <f t="shared" si="0"/>
        <v>12</v>
      </c>
      <c r="C18" s="46">
        <f>Leger1!F18</f>
        <v>7080</v>
      </c>
      <c r="D18" s="63" t="str">
        <f>Leger1!G18</f>
        <v>Dewi Wulandari</v>
      </c>
      <c r="E18" s="50" t="s">
        <v>83</v>
      </c>
      <c r="F18" s="52" t="s">
        <v>83</v>
      </c>
      <c r="H18" s="976"/>
      <c r="I18" s="983"/>
      <c r="J18" s="987"/>
    </row>
    <row r="19" spans="2:10" ht="16.5" thickBot="1">
      <c r="B19" s="15">
        <f t="shared" si="0"/>
        <v>13</v>
      </c>
      <c r="C19" s="46">
        <f>Leger1!F19</f>
        <v>7084</v>
      </c>
      <c r="D19" s="63" t="str">
        <f>Leger1!G19</f>
        <v>Dony Pratama</v>
      </c>
      <c r="E19" s="50" t="s">
        <v>83</v>
      </c>
      <c r="F19" s="52" t="s">
        <v>83</v>
      </c>
      <c r="H19" s="977"/>
      <c r="I19" s="984"/>
      <c r="J19" s="988"/>
    </row>
    <row r="20" spans="2:10" ht="15.75">
      <c r="B20" s="15">
        <f t="shared" si="0"/>
        <v>14</v>
      </c>
      <c r="C20" s="46">
        <f>Leger1!F20</f>
        <v>7089</v>
      </c>
      <c r="D20" s="63" t="str">
        <f>Leger1!G20</f>
        <v>Faris Febram</v>
      </c>
      <c r="E20" s="50" t="s">
        <v>83</v>
      </c>
      <c r="F20" s="52" t="s">
        <v>83</v>
      </c>
    </row>
    <row r="21" spans="2:10" ht="15.75">
      <c r="B21" s="15">
        <f t="shared" si="0"/>
        <v>15</v>
      </c>
      <c r="C21" s="46">
        <f>Leger1!F21</f>
        <v>7095</v>
      </c>
      <c r="D21" s="63" t="str">
        <f>Leger1!G21</f>
        <v>Hikmatullah Umar Malik Abdul Aziz</v>
      </c>
      <c r="E21" s="50" t="s">
        <v>83</v>
      </c>
      <c r="F21" s="52" t="s">
        <v>83</v>
      </c>
    </row>
    <row r="22" spans="2:10" ht="15.75">
      <c r="B22" s="15">
        <f t="shared" si="0"/>
        <v>16</v>
      </c>
      <c r="C22" s="46">
        <f>Leger1!F22</f>
        <v>7096</v>
      </c>
      <c r="D22" s="63" t="str">
        <f>Leger1!G22</f>
        <v>Indah Purnama Ningsih</v>
      </c>
      <c r="E22" s="50" t="s">
        <v>83</v>
      </c>
      <c r="F22" s="52" t="s">
        <v>83</v>
      </c>
    </row>
    <row r="23" spans="2:10" ht="15.75">
      <c r="B23" s="15">
        <f t="shared" si="0"/>
        <v>17</v>
      </c>
      <c r="C23" s="46">
        <f>Leger1!F23</f>
        <v>7098</v>
      </c>
      <c r="D23" s="63" t="str">
        <f>Leger1!G23</f>
        <v>Ladiva Nurrosa Laila</v>
      </c>
      <c r="E23" s="50" t="s">
        <v>83</v>
      </c>
      <c r="F23" s="52" t="s">
        <v>83</v>
      </c>
    </row>
    <row r="24" spans="2:10" ht="15.75">
      <c r="B24" s="15">
        <f t="shared" si="0"/>
        <v>18</v>
      </c>
      <c r="C24" s="46">
        <f>Leger1!F24</f>
        <v>7101</v>
      </c>
      <c r="D24" s="63" t="str">
        <f>Leger1!G24</f>
        <v>Mefa Novita Putri</v>
      </c>
      <c r="E24" s="50" t="s">
        <v>83</v>
      </c>
      <c r="F24" s="52" t="s">
        <v>83</v>
      </c>
    </row>
    <row r="25" spans="2:10" ht="15.75">
      <c r="B25" s="15">
        <f t="shared" si="0"/>
        <v>19</v>
      </c>
      <c r="C25" s="46">
        <f>Leger1!F25</f>
        <v>7104</v>
      </c>
      <c r="D25" s="63" t="str">
        <f>Leger1!G25</f>
        <v>Mellanie Bunga Aprilia</v>
      </c>
      <c r="E25" s="50" t="s">
        <v>83</v>
      </c>
      <c r="F25" s="52" t="s">
        <v>83</v>
      </c>
    </row>
    <row r="26" spans="2:10" ht="15.75">
      <c r="B26" s="15">
        <f t="shared" si="0"/>
        <v>20</v>
      </c>
      <c r="C26" s="46">
        <f>Leger1!F26</f>
        <v>7105</v>
      </c>
      <c r="D26" s="63" t="str">
        <f>Leger1!G26</f>
        <v>Mirra Tusolickak</v>
      </c>
      <c r="E26" s="50" t="s">
        <v>83</v>
      </c>
      <c r="F26" s="52" t="s">
        <v>83</v>
      </c>
    </row>
    <row r="27" spans="2:10" ht="15.75">
      <c r="B27" s="15">
        <f t="shared" si="0"/>
        <v>21</v>
      </c>
      <c r="C27" s="46">
        <f>Leger1!F27</f>
        <v>7107</v>
      </c>
      <c r="D27" s="63" t="str">
        <f>Leger1!G27</f>
        <v>Muhammad Daffa Rifa'I</v>
      </c>
      <c r="E27" s="50" t="s">
        <v>83</v>
      </c>
      <c r="F27" s="52" t="s">
        <v>83</v>
      </c>
    </row>
    <row r="28" spans="2:10" ht="15.75">
      <c r="B28" s="15">
        <f t="shared" si="0"/>
        <v>22</v>
      </c>
      <c r="C28" s="46">
        <f>Leger1!F28</f>
        <v>7108</v>
      </c>
      <c r="D28" s="63" t="str">
        <f>Leger1!G28</f>
        <v>Muhammad Jaupanto</v>
      </c>
      <c r="E28" s="50" t="s">
        <v>83</v>
      </c>
      <c r="F28" s="52" t="s">
        <v>83</v>
      </c>
    </row>
    <row r="29" spans="2:10" ht="15.75">
      <c r="B29" s="15">
        <f t="shared" si="0"/>
        <v>23</v>
      </c>
      <c r="C29" s="46">
        <f>Leger1!F29</f>
        <v>7111</v>
      </c>
      <c r="D29" s="63" t="str">
        <f>Leger1!G29</f>
        <v>Nova Laila Khusna</v>
      </c>
      <c r="E29" s="50" t="s">
        <v>83</v>
      </c>
      <c r="F29" s="52" t="s">
        <v>83</v>
      </c>
    </row>
    <row r="30" spans="2:10" ht="15.75">
      <c r="B30" s="15">
        <f t="shared" si="0"/>
        <v>24</v>
      </c>
      <c r="C30" s="46">
        <f>Leger1!F30</f>
        <v>7126</v>
      </c>
      <c r="D30" s="63" t="str">
        <f>Leger1!G30</f>
        <v>Sawal Ramadian</v>
      </c>
      <c r="E30" s="50" t="s">
        <v>83</v>
      </c>
      <c r="F30" s="52" t="s">
        <v>83</v>
      </c>
    </row>
    <row r="31" spans="2:10" ht="15.75">
      <c r="B31" s="15">
        <f t="shared" si="0"/>
        <v>25</v>
      </c>
      <c r="C31" s="46">
        <f>Leger1!F31</f>
        <v>7130</v>
      </c>
      <c r="D31" s="63" t="str">
        <f>Leger1!G31</f>
        <v>Sofyan Romansyah</v>
      </c>
      <c r="E31" s="50" t="s">
        <v>83</v>
      </c>
      <c r="F31" s="52" t="s">
        <v>83</v>
      </c>
    </row>
    <row r="32" spans="2:10" ht="15.75">
      <c r="B32" s="15">
        <f t="shared" si="0"/>
        <v>26</v>
      </c>
      <c r="C32" s="46">
        <f>Leger1!F32</f>
        <v>7132</v>
      </c>
      <c r="D32" s="63" t="str">
        <f>Leger1!G32</f>
        <v>Tio Ardinata</v>
      </c>
      <c r="E32" s="50" t="s">
        <v>83</v>
      </c>
      <c r="F32" s="52" t="s">
        <v>83</v>
      </c>
    </row>
    <row r="33" spans="2:6" ht="15.75">
      <c r="B33" s="15">
        <f t="shared" si="0"/>
        <v>27</v>
      </c>
      <c r="C33" s="46">
        <f>Leger1!F33</f>
        <v>7133</v>
      </c>
      <c r="D33" s="63" t="str">
        <f>Leger1!G33</f>
        <v>Tutik Dillayanti</v>
      </c>
      <c r="E33" s="50" t="s">
        <v>83</v>
      </c>
      <c r="F33" s="52" t="s">
        <v>83</v>
      </c>
    </row>
    <row r="34" spans="2:6" ht="15.75">
      <c r="B34" s="15">
        <f t="shared" si="0"/>
        <v>28</v>
      </c>
      <c r="C34" s="46">
        <f>Leger1!F34</f>
        <v>7142</v>
      </c>
      <c r="D34" s="63" t="str">
        <f>Leger1!G34</f>
        <v>I Gede Nyoman Bagiyasa</v>
      </c>
      <c r="E34" s="50" t="s">
        <v>83</v>
      </c>
      <c r="F34" s="52" t="s">
        <v>83</v>
      </c>
    </row>
    <row r="35" spans="2:6" ht="15.75">
      <c r="B35" s="15">
        <f t="shared" si="0"/>
        <v>29</v>
      </c>
      <c r="C35" s="46" t="str">
        <f>Leger1!F35</f>
        <v/>
      </c>
      <c r="D35" s="63" t="str">
        <f>Leger1!G35</f>
        <v>Melati Sabilla Rochmah</v>
      </c>
      <c r="E35" s="50" t="s">
        <v>83</v>
      </c>
      <c r="F35" s="52" t="s">
        <v>83</v>
      </c>
    </row>
    <row r="36" spans="2:6" ht="15.75">
      <c r="B36" s="15" t="str">
        <f t="shared" si="0"/>
        <v/>
      </c>
      <c r="C36" s="46" t="str">
        <f>Leger1!F36</f>
        <v/>
      </c>
      <c r="D36" s="63" t="str">
        <f>Leger1!G36</f>
        <v/>
      </c>
      <c r="E36" s="50" t="s">
        <v>83</v>
      </c>
      <c r="F36" s="52" t="s">
        <v>83</v>
      </c>
    </row>
    <row r="37" spans="2:6" ht="15.75">
      <c r="B37" s="15" t="str">
        <f t="shared" si="0"/>
        <v/>
      </c>
      <c r="C37" s="46" t="str">
        <f>Leger1!F37</f>
        <v/>
      </c>
      <c r="D37" s="63" t="str">
        <f>Leger1!G37</f>
        <v/>
      </c>
      <c r="E37" s="50" t="s">
        <v>83</v>
      </c>
      <c r="F37" s="52" t="s">
        <v>83</v>
      </c>
    </row>
    <row r="38" spans="2:6" ht="15.75">
      <c r="B38" s="15" t="str">
        <f t="shared" si="0"/>
        <v/>
      </c>
      <c r="C38" s="46" t="str">
        <f>Leger1!F38</f>
        <v/>
      </c>
      <c r="D38" s="63" t="str">
        <f>Leger1!G38</f>
        <v/>
      </c>
      <c r="E38" s="50" t="s">
        <v>83</v>
      </c>
      <c r="F38" s="52" t="s">
        <v>83</v>
      </c>
    </row>
    <row r="39" spans="2:6" ht="15.75">
      <c r="B39" s="15" t="str">
        <f t="shared" si="0"/>
        <v/>
      </c>
      <c r="C39" s="46" t="str">
        <f>Leger1!F39</f>
        <v/>
      </c>
      <c r="D39" s="63" t="str">
        <f>Leger1!G39</f>
        <v/>
      </c>
      <c r="E39" s="50" t="s">
        <v>83</v>
      </c>
      <c r="F39" s="52" t="s">
        <v>83</v>
      </c>
    </row>
    <row r="40" spans="2:6" ht="15.75">
      <c r="B40" s="15" t="str">
        <f t="shared" si="0"/>
        <v/>
      </c>
      <c r="C40" s="46" t="str">
        <f>Leger1!F40</f>
        <v/>
      </c>
      <c r="D40" s="63" t="str">
        <f>Leger1!G40</f>
        <v/>
      </c>
      <c r="E40" s="50" t="s">
        <v>83</v>
      </c>
      <c r="F40" s="52" t="s">
        <v>83</v>
      </c>
    </row>
    <row r="41" spans="2:6" ht="15.75">
      <c r="B41" s="15" t="str">
        <f t="shared" si="0"/>
        <v/>
      </c>
      <c r="C41" s="46" t="str">
        <f>Leger1!F41</f>
        <v/>
      </c>
      <c r="D41" s="63" t="str">
        <f>Leger1!G41</f>
        <v/>
      </c>
      <c r="E41" s="50" t="s">
        <v>83</v>
      </c>
      <c r="F41" s="52" t="s">
        <v>83</v>
      </c>
    </row>
    <row r="42" spans="2:6" ht="15.75">
      <c r="B42" s="15" t="str">
        <f t="shared" si="0"/>
        <v/>
      </c>
      <c r="C42" s="46" t="str">
        <f>Leger1!F42</f>
        <v/>
      </c>
      <c r="D42" s="63" t="str">
        <f>Leger1!G42</f>
        <v/>
      </c>
      <c r="E42" s="50" t="s">
        <v>83</v>
      </c>
      <c r="F42" s="52" t="s">
        <v>83</v>
      </c>
    </row>
    <row r="43" spans="2:6" ht="15.75">
      <c r="B43" s="15" t="str">
        <f t="shared" si="0"/>
        <v/>
      </c>
      <c r="C43" s="46" t="str">
        <f>Leger1!F43</f>
        <v/>
      </c>
      <c r="D43" s="63" t="str">
        <f>Leger1!G43</f>
        <v/>
      </c>
      <c r="E43" s="50" t="s">
        <v>83</v>
      </c>
      <c r="F43" s="52" t="s">
        <v>83</v>
      </c>
    </row>
    <row r="44" spans="2:6" ht="15.75">
      <c r="B44" s="15" t="str">
        <f t="shared" si="0"/>
        <v/>
      </c>
      <c r="C44" s="46" t="str">
        <f>Leger1!F44</f>
        <v/>
      </c>
      <c r="D44" s="63" t="str">
        <f>Leger1!G44</f>
        <v/>
      </c>
      <c r="E44" s="50" t="s">
        <v>83</v>
      </c>
      <c r="F44" s="52" t="s">
        <v>83</v>
      </c>
    </row>
    <row r="45" spans="2:6" ht="15.75">
      <c r="B45" s="15" t="str">
        <f t="shared" si="0"/>
        <v/>
      </c>
      <c r="C45" s="46" t="str">
        <f>Leger1!F45</f>
        <v/>
      </c>
      <c r="D45" s="63" t="str">
        <f>Leger1!G45</f>
        <v/>
      </c>
      <c r="E45" s="50" t="s">
        <v>83</v>
      </c>
      <c r="F45" s="52" t="s">
        <v>83</v>
      </c>
    </row>
    <row r="46" spans="2:6" ht="16.5" thickBot="1">
      <c r="B46" s="29" t="str">
        <f t="shared" si="0"/>
        <v/>
      </c>
      <c r="C46" s="61" t="str">
        <f>Leger1!F46</f>
        <v/>
      </c>
      <c r="D46" s="64" t="str">
        <f>Leger1!G46</f>
        <v/>
      </c>
      <c r="E46" s="56" t="s">
        <v>83</v>
      </c>
      <c r="F46" s="58" t="s">
        <v>83</v>
      </c>
    </row>
    <row r="47" spans="2:6"/>
    <row r="48" spans="2:6" hidden="1"/>
    <row r="49" hidden="1"/>
    <row r="50" hidden="1"/>
    <row r="51" hidden="1"/>
    <row r="52" hidden="1"/>
    <row r="53" hidden="1"/>
    <row r="54" hidden="1"/>
    <row r="55" hidden="1"/>
    <row r="56" hidden="1"/>
    <row r="57" hidden="1"/>
    <row r="58" hidden="1"/>
    <row r="59" hidden="1"/>
    <row r="60" hidden="1"/>
    <row r="61" hidden="1"/>
    <row r="62" hidden="1"/>
    <row r="63" hidden="1"/>
    <row r="64" hidden="1"/>
    <row r="65" spans="2:2" hidden="1"/>
    <row r="66" spans="2:2" hidden="1"/>
    <row r="67" spans="2:2" hidden="1"/>
    <row r="68" spans="2:2" hidden="1"/>
    <row r="69" spans="2:2" s="17" customFormat="1" hidden="1">
      <c r="B69" s="17">
        <f>DL!M32</f>
        <v>0</v>
      </c>
    </row>
  </sheetData>
  <sheetProtection password="CE75" sheet="1" objects="1" scenarios="1" selectLockedCells="1"/>
  <mergeCells count="17">
    <mergeCell ref="H6:H7"/>
    <mergeCell ref="I6:I7"/>
    <mergeCell ref="J6:J7"/>
    <mergeCell ref="B4:D5"/>
    <mergeCell ref="E4:F5"/>
    <mergeCell ref="H4:H5"/>
    <mergeCell ref="I4:I5"/>
    <mergeCell ref="J4:J5"/>
    <mergeCell ref="H16:H19"/>
    <mergeCell ref="I16:I19"/>
    <mergeCell ref="J16:J19"/>
    <mergeCell ref="H8:H11"/>
    <mergeCell ref="I8:I11"/>
    <mergeCell ref="J8:J11"/>
    <mergeCell ref="H12:H15"/>
    <mergeCell ref="I12:I15"/>
    <mergeCell ref="J12:J15"/>
  </mergeCells>
  <dataValidations count="1">
    <dataValidation type="list" allowBlank="1" showInputMessage="1" showErrorMessage="1" sqref="E7:F46">
      <formula1>"A,B,C,D"</formula1>
    </dataValidation>
  </dataValidations>
  <pageMargins left="0.7" right="0.7" top="0.43" bottom="0.43"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sheetPr codeName="Sheet26">
    <tabColor rgb="FF00B050"/>
  </sheetPr>
  <dimension ref="A1:K69"/>
  <sheetViews>
    <sheetView showRowColHeaders="0" workbookViewId="0"/>
  </sheetViews>
  <sheetFormatPr defaultColWidth="0" defaultRowHeight="15" customHeight="1" zeroHeight="1"/>
  <cols>
    <col min="1" max="1" width="14.7109375" style="16" customWidth="1"/>
    <col min="2" max="2" width="5.7109375" style="17" customWidth="1"/>
    <col min="3" max="3" width="8" style="17" customWidth="1"/>
    <col min="4" max="4" width="35.42578125" style="16" customWidth="1"/>
    <col min="5" max="5" width="28.7109375" style="16" customWidth="1"/>
    <col min="6" max="6" width="6" style="17" customWidth="1"/>
    <col min="7" max="7" width="28.7109375" style="16" customWidth="1"/>
    <col min="8" max="8" width="6" style="17" customWidth="1"/>
    <col min="9" max="9" width="28.7109375" style="16" customWidth="1"/>
    <col min="10" max="10" width="6" style="17" customWidth="1"/>
    <col min="11" max="11" width="9.140625" style="16" customWidth="1"/>
    <col min="12" max="16384" width="9.140625" style="16" hidden="1"/>
  </cols>
  <sheetData>
    <row r="1" spans="2:10"/>
    <row r="2" spans="2:10" ht="23.25" customHeight="1">
      <c r="B2" s="45" t="s">
        <v>108</v>
      </c>
    </row>
    <row r="3" spans="2:10" ht="30.75" customHeight="1" thickBot="1">
      <c r="B3" s="60" t="str">
        <f>"SEMESTER "&amp;UPPER(_smt_genap)&amp;" - KELAS "&amp;_kelas</f>
        <v>SEMESTER 4 (EMPAT) - KELAS VIII A</v>
      </c>
    </row>
    <row r="4" spans="2:10" ht="18.75" customHeight="1">
      <c r="B4" s="825" t="s">
        <v>86</v>
      </c>
      <c r="C4" s="826"/>
      <c r="D4" s="827"/>
      <c r="E4" s="814" t="s">
        <v>106</v>
      </c>
      <c r="F4" s="816"/>
      <c r="G4" s="814" t="s">
        <v>107</v>
      </c>
      <c r="H4" s="816"/>
      <c r="I4" s="814" t="s">
        <v>422</v>
      </c>
      <c r="J4" s="816"/>
    </row>
    <row r="5" spans="2:10" s="22" customFormat="1" ht="17.25" customHeight="1" thickBot="1">
      <c r="B5" s="828"/>
      <c r="C5" s="829"/>
      <c r="D5" s="830"/>
      <c r="E5" s="990"/>
      <c r="F5" s="819"/>
      <c r="G5" s="990"/>
      <c r="H5" s="819"/>
      <c r="I5" s="990"/>
      <c r="J5" s="819"/>
    </row>
    <row r="6" spans="2:10" s="28" customFormat="1" ht="30" customHeight="1">
      <c r="B6" s="30" t="s">
        <v>50</v>
      </c>
      <c r="C6" s="31" t="s">
        <v>51</v>
      </c>
      <c r="D6" s="32" t="s">
        <v>52</v>
      </c>
      <c r="E6" s="33" t="s">
        <v>100</v>
      </c>
      <c r="F6" s="34" t="s">
        <v>59</v>
      </c>
      <c r="G6" s="33" t="s">
        <v>100</v>
      </c>
      <c r="H6" s="34" t="s">
        <v>59</v>
      </c>
      <c r="I6" s="33" t="s">
        <v>100</v>
      </c>
      <c r="J6" s="34" t="s">
        <v>59</v>
      </c>
    </row>
    <row r="7" spans="2:10" ht="15.75" customHeight="1">
      <c r="B7" s="15">
        <f>IF(AND(C7="",C7="",D7=""),"",ROW()-6)</f>
        <v>1</v>
      </c>
      <c r="C7" s="46">
        <f>Leger1!F7</f>
        <v>7057</v>
      </c>
      <c r="D7" s="47" t="str">
        <f>Leger1!G7</f>
        <v>Ahmad Zaki Aufa</v>
      </c>
      <c r="E7" s="37" t="s">
        <v>596</v>
      </c>
      <c r="F7" s="35" t="s">
        <v>83</v>
      </c>
      <c r="G7" s="37"/>
      <c r="H7" s="35"/>
      <c r="I7" s="37"/>
      <c r="J7" s="35"/>
    </row>
    <row r="8" spans="2:10" ht="15" customHeight="1">
      <c r="B8" s="15">
        <f t="shared" ref="B8:B46" si="0">IF(AND(C8="",C8="",D8=""),"",ROW()-6)</f>
        <v>2</v>
      </c>
      <c r="C8" s="46">
        <f>Leger1!F8</f>
        <v>7058</v>
      </c>
      <c r="D8" s="47" t="str">
        <f>Leger1!G8</f>
        <v>Anandhita Nafra Wilova</v>
      </c>
      <c r="E8" s="37" t="s">
        <v>596</v>
      </c>
      <c r="F8" s="35" t="s">
        <v>83</v>
      </c>
      <c r="G8" s="37"/>
      <c r="H8" s="35"/>
      <c r="I8" s="37"/>
      <c r="J8" s="35"/>
    </row>
    <row r="9" spans="2:10" ht="15.75">
      <c r="B9" s="15">
        <f t="shared" si="0"/>
        <v>3</v>
      </c>
      <c r="C9" s="46">
        <f>Leger1!F9</f>
        <v>7059</v>
      </c>
      <c r="D9" s="47" t="str">
        <f>Leger1!G9</f>
        <v>Andini Dwi Aryanti</v>
      </c>
      <c r="E9" s="37" t="s">
        <v>596</v>
      </c>
      <c r="F9" s="35" t="s">
        <v>83</v>
      </c>
      <c r="G9" s="37"/>
      <c r="H9" s="35"/>
      <c r="I9" s="37"/>
      <c r="J9" s="35"/>
    </row>
    <row r="10" spans="2:10" ht="15.75">
      <c r="B10" s="15">
        <f t="shared" si="0"/>
        <v>4</v>
      </c>
      <c r="C10" s="46">
        <f>Leger1!F10</f>
        <v>7060</v>
      </c>
      <c r="D10" s="47" t="str">
        <f>Leger1!G10</f>
        <v>Anggun Suci Rahmadani</v>
      </c>
      <c r="E10" s="37" t="s">
        <v>596</v>
      </c>
      <c r="F10" s="35" t="s">
        <v>83</v>
      </c>
      <c r="G10" s="37"/>
      <c r="H10" s="35"/>
      <c r="I10" s="37"/>
      <c r="J10" s="35"/>
    </row>
    <row r="11" spans="2:10" ht="15.75">
      <c r="B11" s="15">
        <f t="shared" si="0"/>
        <v>5</v>
      </c>
      <c r="C11" s="46">
        <f>Leger1!F11</f>
        <v>7061</v>
      </c>
      <c r="D11" s="47" t="str">
        <f>Leger1!G11</f>
        <v>Anisa Julia Tasya</v>
      </c>
      <c r="E11" s="37" t="s">
        <v>596</v>
      </c>
      <c r="F11" s="35" t="s">
        <v>83</v>
      </c>
      <c r="G11" s="37"/>
      <c r="H11" s="35"/>
      <c r="I11" s="37"/>
      <c r="J11" s="35"/>
    </row>
    <row r="12" spans="2:10" ht="15.75">
      <c r="B12" s="15">
        <f t="shared" si="0"/>
        <v>6</v>
      </c>
      <c r="C12" s="46">
        <f>Leger1!F12</f>
        <v>7065</v>
      </c>
      <c r="D12" s="47" t="str">
        <f>Leger1!G12</f>
        <v>Aulia Rahmawati</v>
      </c>
      <c r="E12" s="37" t="s">
        <v>596</v>
      </c>
      <c r="F12" s="35" t="s">
        <v>83</v>
      </c>
      <c r="G12" s="37"/>
      <c r="H12" s="35"/>
      <c r="I12" s="37"/>
      <c r="J12" s="35"/>
    </row>
    <row r="13" spans="2:10" ht="15.75">
      <c r="B13" s="15">
        <f t="shared" si="0"/>
        <v>7</v>
      </c>
      <c r="C13" s="46">
        <f>Leger1!F13</f>
        <v>7066</v>
      </c>
      <c r="D13" s="47" t="str">
        <f>Leger1!G13</f>
        <v>Ayu Chumaira</v>
      </c>
      <c r="E13" s="37" t="s">
        <v>596</v>
      </c>
      <c r="F13" s="35" t="s">
        <v>83</v>
      </c>
      <c r="G13" s="37"/>
      <c r="H13" s="35"/>
      <c r="I13" s="37"/>
      <c r="J13" s="35"/>
    </row>
    <row r="14" spans="2:10" ht="15.75">
      <c r="B14" s="15">
        <f t="shared" si="0"/>
        <v>8</v>
      </c>
      <c r="C14" s="46">
        <f>Leger1!F14</f>
        <v>7067</v>
      </c>
      <c r="D14" s="47" t="str">
        <f>Leger1!G14</f>
        <v>Ayu Emelia Putri</v>
      </c>
      <c r="E14" s="37" t="s">
        <v>596</v>
      </c>
      <c r="F14" s="35" t="s">
        <v>83</v>
      </c>
      <c r="G14" s="37"/>
      <c r="H14" s="35"/>
      <c r="I14" s="37"/>
      <c r="J14" s="35"/>
    </row>
    <row r="15" spans="2:10" ht="15.75">
      <c r="B15" s="15">
        <f t="shared" si="0"/>
        <v>9</v>
      </c>
      <c r="C15" s="46">
        <f>Leger1!F15</f>
        <v>7068</v>
      </c>
      <c r="D15" s="47" t="str">
        <f>Leger1!G15</f>
        <v>Bayu Anggoro</v>
      </c>
      <c r="E15" s="37" t="s">
        <v>596</v>
      </c>
      <c r="F15" s="35" t="s">
        <v>83</v>
      </c>
      <c r="G15" s="37"/>
      <c r="H15" s="35"/>
      <c r="I15" s="37"/>
      <c r="J15" s="35"/>
    </row>
    <row r="16" spans="2:10" ht="15.75">
      <c r="B16" s="15">
        <f t="shared" si="0"/>
        <v>10</v>
      </c>
      <c r="C16" s="46">
        <f>Leger1!F16</f>
        <v>7069</v>
      </c>
      <c r="D16" s="47" t="str">
        <f>Leger1!G16</f>
        <v>Calissta Sabrina Salwa Aurelia</v>
      </c>
      <c r="E16" s="37" t="s">
        <v>596</v>
      </c>
      <c r="F16" s="35" t="s">
        <v>83</v>
      </c>
      <c r="G16" s="37"/>
      <c r="H16" s="35"/>
      <c r="I16" s="37"/>
      <c r="J16" s="35"/>
    </row>
    <row r="17" spans="2:10" ht="15.75">
      <c r="B17" s="15">
        <f t="shared" si="0"/>
        <v>11</v>
      </c>
      <c r="C17" s="46">
        <f>Leger1!F17</f>
        <v>7074</v>
      </c>
      <c r="D17" s="47" t="str">
        <f>Leger1!G17</f>
        <v>Dea Safitri</v>
      </c>
      <c r="E17" s="37" t="s">
        <v>596</v>
      </c>
      <c r="F17" s="35" t="s">
        <v>83</v>
      </c>
      <c r="G17" s="37"/>
      <c r="H17" s="35"/>
      <c r="I17" s="37"/>
      <c r="J17" s="35"/>
    </row>
    <row r="18" spans="2:10" ht="15.75">
      <c r="B18" s="15">
        <f t="shared" si="0"/>
        <v>12</v>
      </c>
      <c r="C18" s="46">
        <f>Leger1!F18</f>
        <v>7080</v>
      </c>
      <c r="D18" s="47" t="str">
        <f>Leger1!G18</f>
        <v>Dewi Wulandari</v>
      </c>
      <c r="E18" s="37" t="s">
        <v>596</v>
      </c>
      <c r="F18" s="35" t="s">
        <v>83</v>
      </c>
      <c r="G18" s="37"/>
      <c r="H18" s="35"/>
      <c r="I18" s="37"/>
      <c r="J18" s="35"/>
    </row>
    <row r="19" spans="2:10" ht="15.75">
      <c r="B19" s="15">
        <f t="shared" si="0"/>
        <v>13</v>
      </c>
      <c r="C19" s="46">
        <f>Leger1!F19</f>
        <v>7084</v>
      </c>
      <c r="D19" s="47" t="str">
        <f>Leger1!G19</f>
        <v>Dony Pratama</v>
      </c>
      <c r="E19" s="37" t="s">
        <v>596</v>
      </c>
      <c r="F19" s="35" t="s">
        <v>83</v>
      </c>
      <c r="G19" s="37"/>
      <c r="H19" s="35"/>
      <c r="I19" s="37"/>
      <c r="J19" s="35"/>
    </row>
    <row r="20" spans="2:10" ht="15.75">
      <c r="B20" s="15">
        <f t="shared" si="0"/>
        <v>14</v>
      </c>
      <c r="C20" s="46">
        <f>Leger1!F20</f>
        <v>7089</v>
      </c>
      <c r="D20" s="47" t="str">
        <f>Leger1!G20</f>
        <v>Faris Febram</v>
      </c>
      <c r="E20" s="37" t="s">
        <v>596</v>
      </c>
      <c r="F20" s="35" t="s">
        <v>83</v>
      </c>
      <c r="G20" s="37"/>
      <c r="H20" s="35"/>
      <c r="I20" s="37"/>
      <c r="J20" s="35"/>
    </row>
    <row r="21" spans="2:10" ht="15.75">
      <c r="B21" s="15">
        <f t="shared" si="0"/>
        <v>15</v>
      </c>
      <c r="C21" s="46">
        <f>Leger1!F21</f>
        <v>7095</v>
      </c>
      <c r="D21" s="47" t="str">
        <f>Leger1!G21</f>
        <v>Hikmatullah Umar Malik Abdul Aziz</v>
      </c>
      <c r="E21" s="37" t="s">
        <v>596</v>
      </c>
      <c r="F21" s="35" t="s">
        <v>83</v>
      </c>
      <c r="G21" s="37"/>
      <c r="H21" s="35"/>
      <c r="I21" s="37"/>
      <c r="J21" s="35"/>
    </row>
    <row r="22" spans="2:10" ht="15.75">
      <c r="B22" s="15">
        <f t="shared" si="0"/>
        <v>16</v>
      </c>
      <c r="C22" s="46">
        <f>Leger1!F22</f>
        <v>7096</v>
      </c>
      <c r="D22" s="47" t="str">
        <f>Leger1!G22</f>
        <v>Indah Purnama Ningsih</v>
      </c>
      <c r="E22" s="37" t="s">
        <v>596</v>
      </c>
      <c r="F22" s="35" t="s">
        <v>83</v>
      </c>
      <c r="G22" s="37"/>
      <c r="H22" s="35"/>
      <c r="I22" s="37"/>
      <c r="J22" s="35"/>
    </row>
    <row r="23" spans="2:10" ht="15.75">
      <c r="B23" s="15">
        <f t="shared" si="0"/>
        <v>17</v>
      </c>
      <c r="C23" s="46">
        <f>Leger1!F23</f>
        <v>7098</v>
      </c>
      <c r="D23" s="47" t="str">
        <f>Leger1!G23</f>
        <v>Ladiva Nurrosa Laila</v>
      </c>
      <c r="E23" s="37" t="s">
        <v>596</v>
      </c>
      <c r="F23" s="35" t="s">
        <v>83</v>
      </c>
      <c r="G23" s="37"/>
      <c r="H23" s="35"/>
      <c r="I23" s="37"/>
      <c r="J23" s="35"/>
    </row>
    <row r="24" spans="2:10" ht="15.75">
      <c r="B24" s="15">
        <f t="shared" si="0"/>
        <v>18</v>
      </c>
      <c r="C24" s="46">
        <f>Leger1!F24</f>
        <v>7101</v>
      </c>
      <c r="D24" s="47" t="str">
        <f>Leger1!G24</f>
        <v>Mefa Novita Putri</v>
      </c>
      <c r="E24" s="37" t="s">
        <v>596</v>
      </c>
      <c r="F24" s="35" t="s">
        <v>83</v>
      </c>
      <c r="G24" s="37"/>
      <c r="H24" s="35"/>
      <c r="I24" s="37"/>
      <c r="J24" s="35"/>
    </row>
    <row r="25" spans="2:10" ht="15.75">
      <c r="B25" s="15">
        <f t="shared" si="0"/>
        <v>19</v>
      </c>
      <c r="C25" s="46">
        <f>Leger1!F25</f>
        <v>7104</v>
      </c>
      <c r="D25" s="47" t="str">
        <f>Leger1!G25</f>
        <v>Mellanie Bunga Aprilia</v>
      </c>
      <c r="E25" s="37" t="s">
        <v>596</v>
      </c>
      <c r="F25" s="35" t="s">
        <v>83</v>
      </c>
      <c r="G25" s="37"/>
      <c r="H25" s="35"/>
      <c r="I25" s="37"/>
      <c r="J25" s="35"/>
    </row>
    <row r="26" spans="2:10" ht="15.75">
      <c r="B26" s="15">
        <f t="shared" si="0"/>
        <v>20</v>
      </c>
      <c r="C26" s="46">
        <f>Leger1!F26</f>
        <v>7105</v>
      </c>
      <c r="D26" s="47" t="str">
        <f>Leger1!G26</f>
        <v>Mirra Tusolickak</v>
      </c>
      <c r="E26" s="37" t="s">
        <v>596</v>
      </c>
      <c r="F26" s="35" t="s">
        <v>83</v>
      </c>
      <c r="G26" s="37"/>
      <c r="H26" s="35"/>
      <c r="I26" s="37"/>
      <c r="J26" s="35"/>
    </row>
    <row r="27" spans="2:10" ht="15.75">
      <c r="B27" s="15">
        <f t="shared" si="0"/>
        <v>21</v>
      </c>
      <c r="C27" s="46">
        <f>Leger1!F27</f>
        <v>7107</v>
      </c>
      <c r="D27" s="47" t="str">
        <f>Leger1!G27</f>
        <v>Muhammad Daffa Rifa'I</v>
      </c>
      <c r="E27" s="37" t="s">
        <v>596</v>
      </c>
      <c r="F27" s="35" t="s">
        <v>83</v>
      </c>
      <c r="G27" s="37"/>
      <c r="H27" s="35"/>
      <c r="I27" s="37"/>
      <c r="J27" s="35"/>
    </row>
    <row r="28" spans="2:10" ht="15.75">
      <c r="B28" s="15">
        <f t="shared" si="0"/>
        <v>22</v>
      </c>
      <c r="C28" s="46">
        <f>Leger1!F28</f>
        <v>7108</v>
      </c>
      <c r="D28" s="47" t="str">
        <f>Leger1!G28</f>
        <v>Muhammad Jaupanto</v>
      </c>
      <c r="E28" s="37" t="s">
        <v>596</v>
      </c>
      <c r="F28" s="35" t="s">
        <v>83</v>
      </c>
      <c r="G28" s="37"/>
      <c r="H28" s="35"/>
      <c r="I28" s="37"/>
      <c r="J28" s="35"/>
    </row>
    <row r="29" spans="2:10" ht="15.75">
      <c r="B29" s="15">
        <f t="shared" si="0"/>
        <v>23</v>
      </c>
      <c r="C29" s="46">
        <f>Leger1!F29</f>
        <v>7111</v>
      </c>
      <c r="D29" s="47" t="str">
        <f>Leger1!G29</f>
        <v>Nova Laila Khusna</v>
      </c>
      <c r="E29" s="37" t="s">
        <v>596</v>
      </c>
      <c r="F29" s="35" t="s">
        <v>83</v>
      </c>
      <c r="G29" s="37"/>
      <c r="H29" s="35"/>
      <c r="I29" s="37"/>
      <c r="J29" s="35"/>
    </row>
    <row r="30" spans="2:10" ht="15.75">
      <c r="B30" s="15">
        <f t="shared" si="0"/>
        <v>24</v>
      </c>
      <c r="C30" s="46">
        <f>Leger1!F30</f>
        <v>7126</v>
      </c>
      <c r="D30" s="47" t="str">
        <f>Leger1!G30</f>
        <v>Sawal Ramadian</v>
      </c>
      <c r="E30" s="37" t="s">
        <v>596</v>
      </c>
      <c r="F30" s="35" t="s">
        <v>83</v>
      </c>
      <c r="G30" s="37"/>
      <c r="H30" s="35"/>
      <c r="I30" s="37"/>
      <c r="J30" s="35"/>
    </row>
    <row r="31" spans="2:10" ht="15.75">
      <c r="B31" s="15">
        <f t="shared" si="0"/>
        <v>25</v>
      </c>
      <c r="C31" s="46">
        <f>Leger1!F31</f>
        <v>7130</v>
      </c>
      <c r="D31" s="47" t="str">
        <f>Leger1!G31</f>
        <v>Sofyan Romansyah</v>
      </c>
      <c r="E31" s="37" t="s">
        <v>596</v>
      </c>
      <c r="F31" s="35" t="s">
        <v>83</v>
      </c>
      <c r="G31" s="37"/>
      <c r="H31" s="35"/>
      <c r="I31" s="37"/>
      <c r="J31" s="35"/>
    </row>
    <row r="32" spans="2:10" ht="15.75">
      <c r="B32" s="15">
        <f t="shared" si="0"/>
        <v>26</v>
      </c>
      <c r="C32" s="46">
        <f>Leger1!F32</f>
        <v>7132</v>
      </c>
      <c r="D32" s="47" t="str">
        <f>Leger1!G32</f>
        <v>Tio Ardinata</v>
      </c>
      <c r="E32" s="37" t="s">
        <v>596</v>
      </c>
      <c r="F32" s="35" t="s">
        <v>83</v>
      </c>
      <c r="G32" s="37"/>
      <c r="H32" s="35"/>
      <c r="I32" s="37"/>
      <c r="J32" s="35"/>
    </row>
    <row r="33" spans="2:10" ht="15.75">
      <c r="B33" s="15">
        <f t="shared" si="0"/>
        <v>27</v>
      </c>
      <c r="C33" s="46">
        <f>Leger1!F33</f>
        <v>7133</v>
      </c>
      <c r="D33" s="47" t="str">
        <f>Leger1!G33</f>
        <v>Tutik Dillayanti</v>
      </c>
      <c r="E33" s="37" t="s">
        <v>596</v>
      </c>
      <c r="F33" s="35" t="s">
        <v>83</v>
      </c>
      <c r="G33" s="37"/>
      <c r="H33" s="35"/>
      <c r="I33" s="37"/>
      <c r="J33" s="35"/>
    </row>
    <row r="34" spans="2:10" ht="15.75">
      <c r="B34" s="15">
        <f t="shared" si="0"/>
        <v>28</v>
      </c>
      <c r="C34" s="46">
        <f>Leger1!F34</f>
        <v>7142</v>
      </c>
      <c r="D34" s="47" t="str">
        <f>Leger1!G34</f>
        <v>I Gede Nyoman Bagiyasa</v>
      </c>
      <c r="E34" s="37" t="s">
        <v>596</v>
      </c>
      <c r="F34" s="35" t="s">
        <v>83</v>
      </c>
      <c r="G34" s="37"/>
      <c r="H34" s="35"/>
      <c r="I34" s="37"/>
      <c r="J34" s="35"/>
    </row>
    <row r="35" spans="2:10" ht="15.75">
      <c r="B35" s="15">
        <f t="shared" si="0"/>
        <v>29</v>
      </c>
      <c r="C35" s="46" t="str">
        <f>Leger1!F35</f>
        <v/>
      </c>
      <c r="D35" s="47" t="str">
        <f>Leger1!G35</f>
        <v>Melati Sabilla Rochmah</v>
      </c>
      <c r="E35" s="37" t="s">
        <v>596</v>
      </c>
      <c r="F35" s="35" t="s">
        <v>83</v>
      </c>
      <c r="G35" s="37"/>
      <c r="H35" s="35"/>
      <c r="I35" s="37"/>
      <c r="J35" s="35"/>
    </row>
    <row r="36" spans="2:10" ht="15.75">
      <c r="B36" s="15" t="str">
        <f t="shared" si="0"/>
        <v/>
      </c>
      <c r="C36" s="46" t="str">
        <f>Leger1!F36</f>
        <v/>
      </c>
      <c r="D36" s="47" t="str">
        <f>Leger1!G36</f>
        <v/>
      </c>
      <c r="E36" s="37" t="s">
        <v>596</v>
      </c>
      <c r="F36" s="35" t="s">
        <v>83</v>
      </c>
      <c r="G36" s="37"/>
      <c r="H36" s="35"/>
      <c r="I36" s="37"/>
      <c r="J36" s="35"/>
    </row>
    <row r="37" spans="2:10" ht="15.75">
      <c r="B37" s="15" t="str">
        <f t="shared" si="0"/>
        <v/>
      </c>
      <c r="C37" s="46" t="str">
        <f>Leger1!F37</f>
        <v/>
      </c>
      <c r="D37" s="47" t="str">
        <f>Leger1!G37</f>
        <v/>
      </c>
      <c r="E37" s="37" t="s">
        <v>596</v>
      </c>
      <c r="F37" s="35" t="s">
        <v>83</v>
      </c>
      <c r="G37" s="37"/>
      <c r="H37" s="35"/>
      <c r="I37" s="37"/>
      <c r="J37" s="35"/>
    </row>
    <row r="38" spans="2:10" ht="15.75">
      <c r="B38" s="15" t="str">
        <f t="shared" si="0"/>
        <v/>
      </c>
      <c r="C38" s="46" t="str">
        <f>Leger1!F38</f>
        <v/>
      </c>
      <c r="D38" s="47" t="str">
        <f>Leger1!G38</f>
        <v/>
      </c>
      <c r="E38" s="37" t="s">
        <v>596</v>
      </c>
      <c r="F38" s="35" t="s">
        <v>83</v>
      </c>
      <c r="G38" s="37"/>
      <c r="H38" s="35"/>
      <c r="I38" s="37"/>
      <c r="J38" s="35"/>
    </row>
    <row r="39" spans="2:10" ht="15.75">
      <c r="B39" s="15" t="str">
        <f t="shared" si="0"/>
        <v/>
      </c>
      <c r="C39" s="46" t="str">
        <f>Leger1!F39</f>
        <v/>
      </c>
      <c r="D39" s="47" t="str">
        <f>Leger1!G39</f>
        <v/>
      </c>
      <c r="E39" s="37" t="s">
        <v>596</v>
      </c>
      <c r="F39" s="35" t="s">
        <v>83</v>
      </c>
      <c r="G39" s="37"/>
      <c r="H39" s="35"/>
      <c r="I39" s="37"/>
      <c r="J39" s="35"/>
    </row>
    <row r="40" spans="2:10" ht="15.75">
      <c r="B40" s="15" t="str">
        <f t="shared" si="0"/>
        <v/>
      </c>
      <c r="C40" s="46" t="str">
        <f>Leger1!F40</f>
        <v/>
      </c>
      <c r="D40" s="47" t="str">
        <f>Leger1!G40</f>
        <v/>
      </c>
      <c r="E40" s="37" t="s">
        <v>596</v>
      </c>
      <c r="F40" s="35" t="s">
        <v>83</v>
      </c>
      <c r="G40" s="37"/>
      <c r="H40" s="35"/>
      <c r="I40" s="37"/>
      <c r="J40" s="35"/>
    </row>
    <row r="41" spans="2:10" ht="15.75">
      <c r="B41" s="15" t="str">
        <f t="shared" si="0"/>
        <v/>
      </c>
      <c r="C41" s="46" t="str">
        <f>Leger1!F41</f>
        <v/>
      </c>
      <c r="D41" s="47" t="str">
        <f>Leger1!G41</f>
        <v/>
      </c>
      <c r="E41" s="37" t="s">
        <v>596</v>
      </c>
      <c r="F41" s="35" t="s">
        <v>83</v>
      </c>
      <c r="G41" s="37"/>
      <c r="H41" s="35"/>
      <c r="I41" s="37"/>
      <c r="J41" s="35"/>
    </row>
    <row r="42" spans="2:10" ht="15.75">
      <c r="B42" s="15" t="str">
        <f t="shared" si="0"/>
        <v/>
      </c>
      <c r="C42" s="46" t="str">
        <f>Leger1!F42</f>
        <v/>
      </c>
      <c r="D42" s="47" t="str">
        <f>Leger1!G42</f>
        <v/>
      </c>
      <c r="E42" s="37" t="s">
        <v>596</v>
      </c>
      <c r="F42" s="35" t="s">
        <v>83</v>
      </c>
      <c r="G42" s="37"/>
      <c r="H42" s="35"/>
      <c r="I42" s="37"/>
      <c r="J42" s="35"/>
    </row>
    <row r="43" spans="2:10" ht="15.75">
      <c r="B43" s="15" t="str">
        <f t="shared" si="0"/>
        <v/>
      </c>
      <c r="C43" s="46" t="str">
        <f>Leger1!F43</f>
        <v/>
      </c>
      <c r="D43" s="47" t="str">
        <f>Leger1!G43</f>
        <v/>
      </c>
      <c r="E43" s="37" t="s">
        <v>596</v>
      </c>
      <c r="F43" s="35" t="s">
        <v>83</v>
      </c>
      <c r="G43" s="37"/>
      <c r="H43" s="35"/>
      <c r="I43" s="37"/>
      <c r="J43" s="35"/>
    </row>
    <row r="44" spans="2:10" ht="15.75">
      <c r="B44" s="15" t="str">
        <f t="shared" si="0"/>
        <v/>
      </c>
      <c r="C44" s="46" t="str">
        <f>Leger1!F44</f>
        <v/>
      </c>
      <c r="D44" s="47" t="str">
        <f>Leger1!G44</f>
        <v/>
      </c>
      <c r="E44" s="37" t="s">
        <v>596</v>
      </c>
      <c r="F44" s="35" t="s">
        <v>83</v>
      </c>
      <c r="G44" s="37"/>
      <c r="H44" s="35"/>
      <c r="I44" s="37"/>
      <c r="J44" s="35"/>
    </row>
    <row r="45" spans="2:10" ht="15.75">
      <c r="B45" s="15" t="str">
        <f t="shared" si="0"/>
        <v/>
      </c>
      <c r="C45" s="46" t="str">
        <f>Leger1!F45</f>
        <v/>
      </c>
      <c r="D45" s="47" t="str">
        <f>Leger1!G45</f>
        <v/>
      </c>
      <c r="E45" s="37" t="s">
        <v>596</v>
      </c>
      <c r="F45" s="35" t="s">
        <v>83</v>
      </c>
      <c r="G45" s="37"/>
      <c r="H45" s="35"/>
      <c r="I45" s="37"/>
      <c r="J45" s="35"/>
    </row>
    <row r="46" spans="2:10" ht="16.5" thickBot="1">
      <c r="B46" s="29" t="str">
        <f t="shared" si="0"/>
        <v/>
      </c>
      <c r="C46" s="61" t="str">
        <f>Leger1!F46</f>
        <v/>
      </c>
      <c r="D46" s="48" t="str">
        <f>Leger1!G46</f>
        <v/>
      </c>
      <c r="E46" s="38" t="s">
        <v>596</v>
      </c>
      <c r="F46" s="36" t="s">
        <v>83</v>
      </c>
      <c r="G46" s="93"/>
      <c r="H46" s="36"/>
      <c r="I46" s="93"/>
      <c r="J46" s="36"/>
    </row>
    <row r="47" spans="2:10"/>
    <row r="48" spans="2:10"/>
    <row r="49" hidden="1"/>
    <row r="50" hidden="1"/>
    <row r="51" hidden="1"/>
    <row r="52" hidden="1"/>
    <row r="53" hidden="1"/>
    <row r="54" hidden="1"/>
    <row r="55" hidden="1"/>
    <row r="56" hidden="1"/>
    <row r="57" hidden="1"/>
    <row r="58" hidden="1"/>
    <row r="59" hidden="1"/>
    <row r="60" hidden="1"/>
    <row r="61" hidden="1"/>
    <row r="62" hidden="1"/>
    <row r="63" hidden="1"/>
    <row r="64" hidden="1"/>
    <row r="65" spans="2:2" hidden="1"/>
    <row r="66" spans="2:2" hidden="1"/>
    <row r="67" spans="2:2" hidden="1"/>
    <row r="68" spans="2:2" hidden="1"/>
    <row r="69" spans="2:2" s="17" customFormat="1" hidden="1">
      <c r="B69" s="17">
        <f>DL!M32</f>
        <v>0</v>
      </c>
    </row>
  </sheetData>
  <sheetProtection selectLockedCells="1"/>
  <mergeCells count="4">
    <mergeCell ref="B4:D5"/>
    <mergeCell ref="E4:F5"/>
    <mergeCell ref="G4:H5"/>
    <mergeCell ref="I4:J5"/>
  </mergeCells>
  <dataValidations count="3">
    <dataValidation type="list" allowBlank="1" showInputMessage="1" showErrorMessage="1" sqref="F7:F46 H7:H46 J7:J46">
      <formula1>"A,B,C,D"</formula1>
    </dataValidation>
    <dataValidation type="list" errorStyle="information" allowBlank="1" showInputMessage="1" sqref="E7:E46">
      <formula1>_ektra</formula1>
    </dataValidation>
    <dataValidation type="list" allowBlank="1" showInputMessage="1" sqref="G7:G46 I7:I46">
      <formula1>_ektra</formula1>
    </dataValidation>
  </dataValidations>
  <pageMargins left="0.4" right="0.35" top="0.44" bottom="0.75" header="0.3" footer="0.3"/>
  <pageSetup paperSize="9" scale="62" orientation="portrait" r:id="rId1"/>
  <drawing r:id="rId2"/>
</worksheet>
</file>

<file path=xl/worksheets/sheet27.xml><?xml version="1.0" encoding="utf-8"?>
<worksheet xmlns="http://schemas.openxmlformats.org/spreadsheetml/2006/main" xmlns:r="http://schemas.openxmlformats.org/officeDocument/2006/relationships">
  <sheetPr codeName="Sheet27">
    <tabColor rgb="FF00B050"/>
  </sheetPr>
  <dimension ref="A1:H69"/>
  <sheetViews>
    <sheetView showRowColHeaders="0" workbookViewId="0">
      <selection activeCell="E7" sqref="E7"/>
    </sheetView>
  </sheetViews>
  <sheetFormatPr defaultColWidth="0" defaultRowHeight="15" customHeight="1" zeroHeight="1"/>
  <cols>
    <col min="1" max="1" width="14.7109375" style="16" customWidth="1"/>
    <col min="2" max="2" width="5.7109375" style="17" customWidth="1"/>
    <col min="3" max="3" width="7.85546875" style="17" customWidth="1"/>
    <col min="4" max="4" width="35.42578125" style="16" customWidth="1"/>
    <col min="5" max="5" width="32.7109375" style="16" customWidth="1"/>
    <col min="6" max="6" width="32.7109375" style="17" customWidth="1"/>
    <col min="7" max="7" width="32.7109375" style="16" customWidth="1"/>
    <col min="8" max="8" width="9.140625" style="16" customWidth="1"/>
    <col min="9" max="16384" width="9.140625" style="16" hidden="1"/>
  </cols>
  <sheetData>
    <row r="1" spans="2:7"/>
    <row r="2" spans="2:7" ht="23.25" customHeight="1">
      <c r="B2" s="45" t="s">
        <v>109</v>
      </c>
    </row>
    <row r="3" spans="2:7" ht="30" customHeight="1" thickBot="1">
      <c r="B3" s="60" t="str">
        <f>"SEMESTER "&amp;UPPER(_smt_genap)&amp;" - KELAS "&amp;_kelas</f>
        <v>SEMESTER 4 (EMPAT) - KELAS VIII A</v>
      </c>
    </row>
    <row r="4" spans="2:7" ht="18.75" customHeight="1">
      <c r="B4" s="825" t="s">
        <v>86</v>
      </c>
      <c r="C4" s="826"/>
      <c r="D4" s="827"/>
      <c r="E4" s="991" t="s">
        <v>114</v>
      </c>
      <c r="F4" s="992"/>
      <c r="G4" s="993"/>
    </row>
    <row r="5" spans="2:7" s="22" customFormat="1" ht="17.25" customHeight="1" thickBot="1">
      <c r="B5" s="828"/>
      <c r="C5" s="829"/>
      <c r="D5" s="830"/>
      <c r="E5" s="994"/>
      <c r="F5" s="995"/>
      <c r="G5" s="996"/>
    </row>
    <row r="6" spans="2:7" s="28" customFormat="1" ht="30" customHeight="1">
      <c r="B6" s="30" t="s">
        <v>50</v>
      </c>
      <c r="C6" s="31" t="s">
        <v>51</v>
      </c>
      <c r="D6" s="32" t="s">
        <v>52</v>
      </c>
      <c r="E6" s="33" t="s">
        <v>110</v>
      </c>
      <c r="F6" s="59" t="s">
        <v>111</v>
      </c>
      <c r="G6" s="34" t="s">
        <v>112</v>
      </c>
    </row>
    <row r="7" spans="2:7" ht="15.75" customHeight="1">
      <c r="B7" s="15">
        <f>IF(AND(C7="",C7="",D7=""),"",ROW()-6)</f>
        <v>1</v>
      </c>
      <c r="C7" s="46">
        <f>Leger1!F7</f>
        <v>7057</v>
      </c>
      <c r="D7" s="47" t="str">
        <f>Leger1!G7</f>
        <v>Ahmad Zaki Aufa</v>
      </c>
      <c r="E7" s="49"/>
      <c r="F7" s="51"/>
      <c r="G7" s="279"/>
    </row>
    <row r="8" spans="2:7" ht="15" customHeight="1">
      <c r="B8" s="15">
        <f t="shared" ref="B8:B46" si="0">IF(AND(C8="",C8="",D8=""),"",ROW()-6)</f>
        <v>2</v>
      </c>
      <c r="C8" s="46">
        <f>Leger1!F8</f>
        <v>7058</v>
      </c>
      <c r="D8" s="47" t="str">
        <f>Leger1!G8</f>
        <v>Anandhita Nafra Wilova</v>
      </c>
      <c r="E8" s="49"/>
      <c r="F8" s="51"/>
      <c r="G8" s="279"/>
    </row>
    <row r="9" spans="2:7" ht="15.75">
      <c r="B9" s="15">
        <f t="shared" si="0"/>
        <v>3</v>
      </c>
      <c r="C9" s="46">
        <f>Leger1!F9</f>
        <v>7059</v>
      </c>
      <c r="D9" s="47" t="str">
        <f>Leger1!G9</f>
        <v>Andini Dwi Aryanti</v>
      </c>
      <c r="E9" s="49"/>
      <c r="F9" s="51"/>
      <c r="G9" s="279"/>
    </row>
    <row r="10" spans="2:7" ht="15.75">
      <c r="B10" s="15">
        <f t="shared" si="0"/>
        <v>4</v>
      </c>
      <c r="C10" s="46">
        <f>Leger1!F10</f>
        <v>7060</v>
      </c>
      <c r="D10" s="47" t="str">
        <f>Leger1!G10</f>
        <v>Anggun Suci Rahmadani</v>
      </c>
      <c r="E10" s="49"/>
      <c r="F10" s="51"/>
      <c r="G10" s="279"/>
    </row>
    <row r="11" spans="2:7" ht="15.75">
      <c r="B11" s="15">
        <f t="shared" si="0"/>
        <v>5</v>
      </c>
      <c r="C11" s="46">
        <f>Leger1!F11</f>
        <v>7061</v>
      </c>
      <c r="D11" s="47" t="str">
        <f>Leger1!G11</f>
        <v>Anisa Julia Tasya</v>
      </c>
      <c r="E11" s="49"/>
      <c r="F11" s="51"/>
      <c r="G11" s="279"/>
    </row>
    <row r="12" spans="2:7" ht="15.75">
      <c r="B12" s="15">
        <f t="shared" si="0"/>
        <v>6</v>
      </c>
      <c r="C12" s="46">
        <f>Leger1!F12</f>
        <v>7065</v>
      </c>
      <c r="D12" s="47" t="str">
        <f>Leger1!G12</f>
        <v>Aulia Rahmawati</v>
      </c>
      <c r="E12" s="49"/>
      <c r="F12" s="51"/>
      <c r="G12" s="279"/>
    </row>
    <row r="13" spans="2:7" ht="15.75">
      <c r="B13" s="15">
        <f t="shared" si="0"/>
        <v>7</v>
      </c>
      <c r="C13" s="46">
        <f>Leger1!F13</f>
        <v>7066</v>
      </c>
      <c r="D13" s="47" t="str">
        <f>Leger1!G13</f>
        <v>Ayu Chumaira</v>
      </c>
      <c r="E13" s="49"/>
      <c r="F13" s="51"/>
      <c r="G13" s="279"/>
    </row>
    <row r="14" spans="2:7" ht="15.75">
      <c r="B14" s="15">
        <f t="shared" si="0"/>
        <v>8</v>
      </c>
      <c r="C14" s="46">
        <f>Leger1!F14</f>
        <v>7067</v>
      </c>
      <c r="D14" s="47" t="str">
        <f>Leger1!G14</f>
        <v>Ayu Emelia Putri</v>
      </c>
      <c r="E14" s="49"/>
      <c r="F14" s="51"/>
      <c r="G14" s="279"/>
    </row>
    <row r="15" spans="2:7" ht="15.75">
      <c r="B15" s="15">
        <f t="shared" si="0"/>
        <v>9</v>
      </c>
      <c r="C15" s="46">
        <f>Leger1!F15</f>
        <v>7068</v>
      </c>
      <c r="D15" s="47" t="str">
        <f>Leger1!G15</f>
        <v>Bayu Anggoro</v>
      </c>
      <c r="E15" s="49"/>
      <c r="F15" s="51"/>
      <c r="G15" s="279"/>
    </row>
    <row r="16" spans="2:7" ht="15.75">
      <c r="B16" s="15">
        <f t="shared" si="0"/>
        <v>10</v>
      </c>
      <c r="C16" s="46">
        <f>Leger1!F16</f>
        <v>7069</v>
      </c>
      <c r="D16" s="47" t="str">
        <f>Leger1!G16</f>
        <v>Calissta Sabrina Salwa Aurelia</v>
      </c>
      <c r="E16" s="49"/>
      <c r="F16" s="51"/>
      <c r="G16" s="279"/>
    </row>
    <row r="17" spans="2:7" ht="15.75">
      <c r="B17" s="15">
        <f t="shared" si="0"/>
        <v>11</v>
      </c>
      <c r="C17" s="46">
        <f>Leger1!F17</f>
        <v>7074</v>
      </c>
      <c r="D17" s="47" t="str">
        <f>Leger1!G17</f>
        <v>Dea Safitri</v>
      </c>
      <c r="E17" s="49"/>
      <c r="F17" s="51"/>
      <c r="G17" s="279"/>
    </row>
    <row r="18" spans="2:7" ht="15.75">
      <c r="B18" s="15">
        <f t="shared" si="0"/>
        <v>12</v>
      </c>
      <c r="C18" s="46">
        <f>Leger1!F18</f>
        <v>7080</v>
      </c>
      <c r="D18" s="47" t="str">
        <f>Leger1!G18</f>
        <v>Dewi Wulandari</v>
      </c>
      <c r="E18" s="49"/>
      <c r="F18" s="51"/>
      <c r="G18" s="279"/>
    </row>
    <row r="19" spans="2:7" ht="15.75">
      <c r="B19" s="15">
        <f t="shared" si="0"/>
        <v>13</v>
      </c>
      <c r="C19" s="46">
        <f>Leger1!F19</f>
        <v>7084</v>
      </c>
      <c r="D19" s="47" t="str">
        <f>Leger1!G19</f>
        <v>Dony Pratama</v>
      </c>
      <c r="E19" s="49"/>
      <c r="F19" s="51"/>
      <c r="G19" s="279"/>
    </row>
    <row r="20" spans="2:7" ht="15.75">
      <c r="B20" s="15">
        <f t="shared" si="0"/>
        <v>14</v>
      </c>
      <c r="C20" s="46">
        <f>Leger1!F20</f>
        <v>7089</v>
      </c>
      <c r="D20" s="47" t="str">
        <f>Leger1!G20</f>
        <v>Faris Febram</v>
      </c>
      <c r="E20" s="49"/>
      <c r="F20" s="51"/>
      <c r="G20" s="279"/>
    </row>
    <row r="21" spans="2:7" ht="15.75">
      <c r="B21" s="15">
        <f t="shared" si="0"/>
        <v>15</v>
      </c>
      <c r="C21" s="46">
        <f>Leger1!F21</f>
        <v>7095</v>
      </c>
      <c r="D21" s="47" t="str">
        <f>Leger1!G21</f>
        <v>Hikmatullah Umar Malik Abdul Aziz</v>
      </c>
      <c r="E21" s="49"/>
      <c r="F21" s="51"/>
      <c r="G21" s="279"/>
    </row>
    <row r="22" spans="2:7" ht="15.75">
      <c r="B22" s="15">
        <f t="shared" si="0"/>
        <v>16</v>
      </c>
      <c r="C22" s="46">
        <f>Leger1!F22</f>
        <v>7096</v>
      </c>
      <c r="D22" s="47" t="str">
        <f>Leger1!G22</f>
        <v>Indah Purnama Ningsih</v>
      </c>
      <c r="E22" s="49"/>
      <c r="F22" s="51"/>
      <c r="G22" s="279"/>
    </row>
    <row r="23" spans="2:7" ht="15.75">
      <c r="B23" s="15">
        <f t="shared" si="0"/>
        <v>17</v>
      </c>
      <c r="C23" s="46">
        <f>Leger1!F23</f>
        <v>7098</v>
      </c>
      <c r="D23" s="47" t="str">
        <f>Leger1!G23</f>
        <v>Ladiva Nurrosa Laila</v>
      </c>
      <c r="E23" s="49"/>
      <c r="F23" s="51"/>
      <c r="G23" s="279"/>
    </row>
    <row r="24" spans="2:7" ht="15.75">
      <c r="B24" s="15">
        <f t="shared" si="0"/>
        <v>18</v>
      </c>
      <c r="C24" s="46">
        <f>Leger1!F24</f>
        <v>7101</v>
      </c>
      <c r="D24" s="47" t="str">
        <f>Leger1!G24</f>
        <v>Mefa Novita Putri</v>
      </c>
      <c r="E24" s="49"/>
      <c r="F24" s="51"/>
      <c r="G24" s="279"/>
    </row>
    <row r="25" spans="2:7" ht="15.75">
      <c r="B25" s="15">
        <f t="shared" si="0"/>
        <v>19</v>
      </c>
      <c r="C25" s="46">
        <f>Leger1!F25</f>
        <v>7104</v>
      </c>
      <c r="D25" s="47" t="str">
        <f>Leger1!G25</f>
        <v>Mellanie Bunga Aprilia</v>
      </c>
      <c r="E25" s="49"/>
      <c r="F25" s="51"/>
      <c r="G25" s="279"/>
    </row>
    <row r="26" spans="2:7" ht="15.75">
      <c r="B26" s="15">
        <f t="shared" si="0"/>
        <v>20</v>
      </c>
      <c r="C26" s="46">
        <f>Leger1!F26</f>
        <v>7105</v>
      </c>
      <c r="D26" s="47" t="str">
        <f>Leger1!G26</f>
        <v>Mirra Tusolickak</v>
      </c>
      <c r="E26" s="49"/>
      <c r="F26" s="51"/>
      <c r="G26" s="279"/>
    </row>
    <row r="27" spans="2:7" ht="15.75">
      <c r="B27" s="15">
        <f t="shared" si="0"/>
        <v>21</v>
      </c>
      <c r="C27" s="46">
        <f>Leger1!F27</f>
        <v>7107</v>
      </c>
      <c r="D27" s="47" t="str">
        <f>Leger1!G27</f>
        <v>Muhammad Daffa Rifa'I</v>
      </c>
      <c r="E27" s="49"/>
      <c r="F27" s="51"/>
      <c r="G27" s="279"/>
    </row>
    <row r="28" spans="2:7" ht="15.75">
      <c r="B28" s="15">
        <f t="shared" si="0"/>
        <v>22</v>
      </c>
      <c r="C28" s="46">
        <f>Leger1!F28</f>
        <v>7108</v>
      </c>
      <c r="D28" s="47" t="str">
        <f>Leger1!G28</f>
        <v>Muhammad Jaupanto</v>
      </c>
      <c r="E28" s="49"/>
      <c r="F28" s="51"/>
      <c r="G28" s="279"/>
    </row>
    <row r="29" spans="2:7" ht="15.75">
      <c r="B29" s="15">
        <f t="shared" si="0"/>
        <v>23</v>
      </c>
      <c r="C29" s="46">
        <f>Leger1!F29</f>
        <v>7111</v>
      </c>
      <c r="D29" s="47" t="str">
        <f>Leger1!G29</f>
        <v>Nova Laila Khusna</v>
      </c>
      <c r="E29" s="49"/>
      <c r="F29" s="51"/>
      <c r="G29" s="279"/>
    </row>
    <row r="30" spans="2:7" ht="15.75">
      <c r="B30" s="15">
        <f t="shared" si="0"/>
        <v>24</v>
      </c>
      <c r="C30" s="46">
        <f>Leger1!F30</f>
        <v>7126</v>
      </c>
      <c r="D30" s="47" t="str">
        <f>Leger1!G30</f>
        <v>Sawal Ramadian</v>
      </c>
      <c r="E30" s="49"/>
      <c r="F30" s="51"/>
      <c r="G30" s="279"/>
    </row>
    <row r="31" spans="2:7" ht="15.75">
      <c r="B31" s="15">
        <f t="shared" si="0"/>
        <v>25</v>
      </c>
      <c r="C31" s="46">
        <f>Leger1!F31</f>
        <v>7130</v>
      </c>
      <c r="D31" s="47" t="str">
        <f>Leger1!G31</f>
        <v>Sofyan Romansyah</v>
      </c>
      <c r="E31" s="49"/>
      <c r="F31" s="51"/>
      <c r="G31" s="279"/>
    </row>
    <row r="32" spans="2:7" ht="15.75">
      <c r="B32" s="15">
        <f t="shared" si="0"/>
        <v>26</v>
      </c>
      <c r="C32" s="46">
        <f>Leger1!F32</f>
        <v>7132</v>
      </c>
      <c r="D32" s="47" t="str">
        <f>Leger1!G32</f>
        <v>Tio Ardinata</v>
      </c>
      <c r="E32" s="49"/>
      <c r="F32" s="51"/>
      <c r="G32" s="279"/>
    </row>
    <row r="33" spans="2:7" ht="15.75">
      <c r="B33" s="15">
        <f t="shared" si="0"/>
        <v>27</v>
      </c>
      <c r="C33" s="46">
        <f>Leger1!F33</f>
        <v>7133</v>
      </c>
      <c r="D33" s="47" t="str">
        <f>Leger1!G33</f>
        <v>Tutik Dillayanti</v>
      </c>
      <c r="E33" s="49"/>
      <c r="F33" s="51"/>
      <c r="G33" s="279"/>
    </row>
    <row r="34" spans="2:7" ht="15.75">
      <c r="B34" s="15">
        <f t="shared" si="0"/>
        <v>28</v>
      </c>
      <c r="C34" s="46">
        <f>Leger1!F34</f>
        <v>7142</v>
      </c>
      <c r="D34" s="47" t="str">
        <f>Leger1!G34</f>
        <v>I Gede Nyoman Bagiyasa</v>
      </c>
      <c r="E34" s="49"/>
      <c r="F34" s="51"/>
      <c r="G34" s="279"/>
    </row>
    <row r="35" spans="2:7" ht="15.75">
      <c r="B35" s="15">
        <f t="shared" si="0"/>
        <v>29</v>
      </c>
      <c r="C35" s="46" t="str">
        <f>Leger1!F35</f>
        <v/>
      </c>
      <c r="D35" s="47" t="str">
        <f>Leger1!G35</f>
        <v>Melati Sabilla Rochmah</v>
      </c>
      <c r="E35" s="49"/>
      <c r="F35" s="51"/>
      <c r="G35" s="279"/>
    </row>
    <row r="36" spans="2:7" ht="15.75">
      <c r="B36" s="15" t="str">
        <f t="shared" si="0"/>
        <v/>
      </c>
      <c r="C36" s="46" t="str">
        <f>Leger1!F36</f>
        <v/>
      </c>
      <c r="D36" s="47" t="str">
        <f>Leger1!G36</f>
        <v/>
      </c>
      <c r="E36" s="49"/>
      <c r="F36" s="51"/>
      <c r="G36" s="279"/>
    </row>
    <row r="37" spans="2:7" ht="15.75">
      <c r="B37" s="15" t="str">
        <f t="shared" si="0"/>
        <v/>
      </c>
      <c r="C37" s="46" t="str">
        <f>Leger1!F37</f>
        <v/>
      </c>
      <c r="D37" s="47" t="str">
        <f>Leger1!G37</f>
        <v/>
      </c>
      <c r="E37" s="49"/>
      <c r="F37" s="51"/>
      <c r="G37" s="279"/>
    </row>
    <row r="38" spans="2:7" ht="15.75">
      <c r="B38" s="15" t="str">
        <f t="shared" si="0"/>
        <v/>
      </c>
      <c r="C38" s="46" t="str">
        <f>Leger1!F38</f>
        <v/>
      </c>
      <c r="D38" s="47" t="str">
        <f>Leger1!G38</f>
        <v/>
      </c>
      <c r="E38" s="49"/>
      <c r="F38" s="51"/>
      <c r="G38" s="279"/>
    </row>
    <row r="39" spans="2:7" ht="15.75">
      <c r="B39" s="15" t="str">
        <f t="shared" si="0"/>
        <v/>
      </c>
      <c r="C39" s="46" t="str">
        <f>Leger1!F39</f>
        <v/>
      </c>
      <c r="D39" s="47" t="str">
        <f>Leger1!G39</f>
        <v/>
      </c>
      <c r="E39" s="49"/>
      <c r="F39" s="51"/>
      <c r="G39" s="279"/>
    </row>
    <row r="40" spans="2:7" ht="15.75">
      <c r="B40" s="15" t="str">
        <f t="shared" si="0"/>
        <v/>
      </c>
      <c r="C40" s="46" t="str">
        <f>Leger1!F40</f>
        <v/>
      </c>
      <c r="D40" s="47" t="str">
        <f>Leger1!G40</f>
        <v/>
      </c>
      <c r="E40" s="49"/>
      <c r="F40" s="51"/>
      <c r="G40" s="279"/>
    </row>
    <row r="41" spans="2:7" ht="15.75">
      <c r="B41" s="15" t="str">
        <f t="shared" si="0"/>
        <v/>
      </c>
      <c r="C41" s="46" t="str">
        <f>Leger1!F41</f>
        <v/>
      </c>
      <c r="D41" s="47" t="str">
        <f>Leger1!G41</f>
        <v/>
      </c>
      <c r="E41" s="49"/>
      <c r="F41" s="51"/>
      <c r="G41" s="279"/>
    </row>
    <row r="42" spans="2:7" ht="15.75">
      <c r="B42" s="15" t="str">
        <f t="shared" si="0"/>
        <v/>
      </c>
      <c r="C42" s="46" t="str">
        <f>Leger1!F42</f>
        <v/>
      </c>
      <c r="D42" s="47" t="str">
        <f>Leger1!G42</f>
        <v/>
      </c>
      <c r="E42" s="49"/>
      <c r="F42" s="51"/>
      <c r="G42" s="279"/>
    </row>
    <row r="43" spans="2:7" ht="15.75">
      <c r="B43" s="15" t="str">
        <f t="shared" si="0"/>
        <v/>
      </c>
      <c r="C43" s="46" t="str">
        <f>Leger1!F43</f>
        <v/>
      </c>
      <c r="D43" s="47" t="str">
        <f>Leger1!G43</f>
        <v/>
      </c>
      <c r="E43" s="49"/>
      <c r="F43" s="51"/>
      <c r="G43" s="279"/>
    </row>
    <row r="44" spans="2:7" ht="15.75">
      <c r="B44" s="15" t="str">
        <f t="shared" si="0"/>
        <v/>
      </c>
      <c r="C44" s="46" t="str">
        <f>Leger1!F44</f>
        <v/>
      </c>
      <c r="D44" s="47" t="str">
        <f>Leger1!G44</f>
        <v/>
      </c>
      <c r="E44" s="49"/>
      <c r="F44" s="51"/>
      <c r="G44" s="279"/>
    </row>
    <row r="45" spans="2:7" ht="15.75">
      <c r="B45" s="15" t="str">
        <f t="shared" si="0"/>
        <v/>
      </c>
      <c r="C45" s="46" t="str">
        <f>Leger1!F45</f>
        <v/>
      </c>
      <c r="D45" s="47" t="str">
        <f>Leger1!G45</f>
        <v/>
      </c>
      <c r="E45" s="49"/>
      <c r="F45" s="51"/>
      <c r="G45" s="279"/>
    </row>
    <row r="46" spans="2:7" ht="16.5" thickBot="1">
      <c r="B46" s="29" t="str">
        <f t="shared" si="0"/>
        <v/>
      </c>
      <c r="C46" s="61" t="str">
        <f>Leger1!F46</f>
        <v/>
      </c>
      <c r="D46" s="48" t="str">
        <f>Leger1!G46</f>
        <v/>
      </c>
      <c r="E46" s="55"/>
      <c r="F46" s="57"/>
      <c r="G46" s="280"/>
    </row>
    <row r="47" spans="2:7"/>
    <row r="48" spans="2:7" ht="29.25" customHeight="1"/>
    <row r="49" ht="15.75" hidden="1" customHeight="1"/>
    <row r="50" hidden="1"/>
    <row r="51" hidden="1"/>
    <row r="52" hidden="1"/>
    <row r="53" hidden="1"/>
    <row r="54" hidden="1"/>
    <row r="55" hidden="1"/>
    <row r="56" hidden="1"/>
    <row r="57" hidden="1"/>
    <row r="58" hidden="1"/>
    <row r="59" hidden="1"/>
    <row r="60" hidden="1"/>
    <row r="61" hidden="1"/>
    <row r="62" hidden="1"/>
    <row r="63" hidden="1"/>
    <row r="64" hidden="1"/>
    <row r="65" spans="2:2" hidden="1"/>
    <row r="66" spans="2:2" hidden="1"/>
    <row r="67" spans="2:2" hidden="1"/>
    <row r="68" spans="2:2" hidden="1"/>
    <row r="69" spans="2:2" s="17" customFormat="1" hidden="1">
      <c r="B69" s="17">
        <f>DL!M32</f>
        <v>0</v>
      </c>
    </row>
  </sheetData>
  <sheetProtection password="CF75" sheet="1" objects="1" scenarios="1" selectLockedCells="1"/>
  <mergeCells count="2">
    <mergeCell ref="B4:D5"/>
    <mergeCell ref="E4:G5"/>
  </mergeCells>
  <pageMargins left="0.46" right="0.37" top="0.5" bottom="0.75" header="0.3" footer="0.3"/>
  <pageSetup paperSize="9" scale="60" orientation="portrait" r:id="rId1"/>
  <rowBreaks count="1" manualBreakCount="1">
    <brk id="46" min="1" max="6" man="1"/>
  </rowBreaks>
  <colBreaks count="1" manualBreakCount="1">
    <brk id="1" max="1048575" man="1"/>
  </colBreaks>
  <drawing r:id="rId2"/>
</worksheet>
</file>

<file path=xl/worksheets/sheet28.xml><?xml version="1.0" encoding="utf-8"?>
<worksheet xmlns="http://schemas.openxmlformats.org/spreadsheetml/2006/main" xmlns:r="http://schemas.openxmlformats.org/officeDocument/2006/relationships">
  <sheetPr codeName="Sheet78">
    <tabColor theme="9"/>
  </sheetPr>
  <dimension ref="A1:BM72"/>
  <sheetViews>
    <sheetView showRowColHeaders="0" showZeros="0" zoomScale="85" zoomScaleNormal="85" zoomScaleSheetLayoutView="85" workbookViewId="0">
      <pane xSplit="8" topLeftCell="I1" activePane="topRight" state="frozenSplit"/>
      <selection pane="topRight" activeCell="AK11" sqref="AK11"/>
    </sheetView>
  </sheetViews>
  <sheetFormatPr defaultColWidth="0" defaultRowHeight="0" customHeight="1" zeroHeight="1"/>
  <cols>
    <col min="1" max="1" width="1.7109375" style="198" customWidth="1"/>
    <col min="2" max="2" width="11.85546875" style="197" customWidth="1"/>
    <col min="3" max="3" width="1.42578125" style="198" customWidth="1"/>
    <col min="4" max="4" width="1.42578125" style="198" hidden="1" customWidth="1"/>
    <col min="5" max="5" width="5.7109375" style="199" customWidth="1"/>
    <col min="6" max="6" width="7.5703125" style="199" customWidth="1"/>
    <col min="7" max="7" width="13.42578125" style="199" customWidth="1"/>
    <col min="8" max="8" width="14.5703125" style="199" customWidth="1"/>
    <col min="9" max="10" width="4.28515625" style="645" customWidth="1"/>
    <col min="11" max="11" width="4.28515625" style="645" hidden="1" customWidth="1"/>
    <col min="12" max="13" width="4.28515625" style="645" customWidth="1"/>
    <col min="14" max="14" width="4.28515625" style="645" hidden="1" customWidth="1"/>
    <col min="15" max="16" width="4.28515625" style="645" customWidth="1"/>
    <col min="17" max="17" width="4.28515625" style="645" hidden="1" customWidth="1"/>
    <col min="18" max="19" width="4.28515625" style="645" customWidth="1"/>
    <col min="20" max="20" width="4.28515625" style="645" hidden="1" customWidth="1"/>
    <col min="21" max="22" width="4.28515625" style="645" customWidth="1"/>
    <col min="23" max="23" width="4.28515625" style="645" hidden="1" customWidth="1"/>
    <col min="24" max="25" width="4.28515625" style="645" customWidth="1"/>
    <col min="26" max="26" width="4.28515625" style="645" hidden="1" customWidth="1"/>
    <col min="27" max="28" width="4.28515625" style="645" customWidth="1"/>
    <col min="29" max="29" width="4.28515625" style="645" hidden="1" customWidth="1"/>
    <col min="30" max="31" width="4.28515625" style="645" customWidth="1"/>
    <col min="32" max="32" width="4.28515625" style="645" hidden="1" customWidth="1"/>
    <col min="33" max="34" width="4.28515625" style="645" customWidth="1"/>
    <col min="35" max="35" width="4.28515625" style="645" hidden="1" customWidth="1"/>
    <col min="36" max="37" width="4.28515625" style="645" customWidth="1"/>
    <col min="38" max="38" width="4.28515625" style="645" hidden="1" customWidth="1"/>
    <col min="39" max="40" width="4.28515625" style="645" customWidth="1"/>
    <col min="41" max="41" width="4.28515625" style="645" hidden="1" customWidth="1"/>
    <col min="42" max="43" width="4.28515625" style="645" customWidth="1"/>
    <col min="44" max="44" width="4.28515625" style="645" hidden="1" customWidth="1"/>
    <col min="45" max="46" width="4.28515625" style="645" customWidth="1"/>
    <col min="47" max="47" width="4.28515625" style="645" hidden="1" customWidth="1"/>
    <col min="48" max="49" width="4.28515625" style="645" customWidth="1"/>
    <col min="50" max="50" width="4.28515625" style="645" hidden="1" customWidth="1"/>
    <col min="51" max="52" width="4.28515625" style="645" customWidth="1"/>
    <col min="53" max="53" width="5.7109375" style="198" hidden="1" customWidth="1"/>
    <col min="54" max="54" width="6.28515625" style="199" customWidth="1"/>
    <col min="55" max="55" width="6.5703125" style="199" customWidth="1"/>
    <col min="56" max="56" width="5.140625" style="199" customWidth="1"/>
    <col min="57" max="57" width="23" style="198" customWidth="1"/>
    <col min="58" max="64" width="9.140625" style="198" hidden="1" customWidth="1"/>
    <col min="65" max="65" width="28.7109375" style="198" hidden="1" customWidth="1"/>
    <col min="66" max="16384" width="9.140625" style="198" hidden="1"/>
  </cols>
  <sheetData>
    <row r="1" spans="2:56" ht="17.25" thickBot="1"/>
    <row r="2" spans="2:56" ht="18.75" customHeight="1" thickBot="1">
      <c r="C2" s="1081" t="s">
        <v>80</v>
      </c>
      <c r="E2" s="1082" t="s">
        <v>57</v>
      </c>
      <c r="F2" s="1083"/>
      <c r="G2" s="1083"/>
      <c r="H2" s="1084" t="str">
        <f>UPPER(_smt_genap)</f>
        <v>4 (EMPAT)</v>
      </c>
      <c r="I2" s="1085" t="s">
        <v>53</v>
      </c>
      <c r="J2" s="1086"/>
      <c r="K2" s="1086"/>
      <c r="L2" s="1086"/>
      <c r="M2" s="1086"/>
      <c r="N2" s="1086"/>
      <c r="O2" s="1086"/>
      <c r="P2" s="1086"/>
      <c r="Q2" s="1086"/>
      <c r="R2" s="1086"/>
      <c r="S2" s="1086"/>
      <c r="T2" s="1086"/>
      <c r="U2" s="1086"/>
      <c r="V2" s="1086"/>
      <c r="W2" s="1086"/>
      <c r="X2" s="1086"/>
      <c r="Y2" s="1086"/>
      <c r="Z2" s="1086"/>
      <c r="AA2" s="1086"/>
      <c r="AB2" s="1086"/>
      <c r="AC2" s="1086"/>
      <c r="AD2" s="1086"/>
      <c r="AE2" s="1086"/>
      <c r="AF2" s="1086"/>
      <c r="AG2" s="1086"/>
      <c r="AH2" s="1086"/>
      <c r="AI2" s="1086"/>
      <c r="AJ2" s="1086"/>
      <c r="AK2" s="1086"/>
      <c r="AL2" s="1086"/>
      <c r="AM2" s="1086"/>
      <c r="AN2" s="1086"/>
      <c r="AO2" s="1087"/>
      <c r="AP2" s="1088" t="s">
        <v>58</v>
      </c>
      <c r="AQ2" s="1089"/>
      <c r="AR2" s="1089"/>
      <c r="AS2" s="1089"/>
      <c r="AT2" s="1089"/>
      <c r="AU2" s="1089"/>
      <c r="AV2" s="1089"/>
      <c r="AW2" s="1089"/>
      <c r="AX2" s="1089"/>
      <c r="AY2" s="1089"/>
      <c r="AZ2" s="1089"/>
      <c r="BA2" s="1090"/>
      <c r="BB2" s="1091" t="s">
        <v>60</v>
      </c>
      <c r="BC2" s="1092"/>
      <c r="BD2" s="1093"/>
    </row>
    <row r="3" spans="2:56" s="201" customFormat="1" ht="17.25" customHeight="1" thickBot="1">
      <c r="B3" s="200"/>
      <c r="C3" s="1081"/>
      <c r="E3" s="933"/>
      <c r="F3" s="934"/>
      <c r="G3" s="934"/>
      <c r="H3" s="936"/>
      <c r="I3" s="1064">
        <v>1</v>
      </c>
      <c r="J3" s="1065"/>
      <c r="K3" s="1065"/>
      <c r="L3" s="1064">
        <v>2</v>
      </c>
      <c r="M3" s="1065"/>
      <c r="N3" s="1065"/>
      <c r="O3" s="1064">
        <v>3</v>
      </c>
      <c r="P3" s="1065"/>
      <c r="Q3" s="1065"/>
      <c r="R3" s="1064">
        <v>4</v>
      </c>
      <c r="S3" s="1065"/>
      <c r="T3" s="1066"/>
      <c r="U3" s="1064">
        <v>5</v>
      </c>
      <c r="V3" s="1065"/>
      <c r="W3" s="1066"/>
      <c r="X3" s="1064">
        <v>6</v>
      </c>
      <c r="Y3" s="1065"/>
      <c r="Z3" s="1066"/>
      <c r="AA3" s="1064">
        <v>7</v>
      </c>
      <c r="AB3" s="1065"/>
      <c r="AC3" s="1066"/>
      <c r="AD3" s="1064">
        <v>8</v>
      </c>
      <c r="AE3" s="1065"/>
      <c r="AF3" s="1066"/>
      <c r="AG3" s="1064">
        <v>9</v>
      </c>
      <c r="AH3" s="1065"/>
      <c r="AI3" s="1066"/>
      <c r="AJ3" s="1064">
        <v>10</v>
      </c>
      <c r="AK3" s="1065"/>
      <c r="AL3" s="1066"/>
      <c r="AM3" s="1064">
        <v>11</v>
      </c>
      <c r="AN3" s="1065"/>
      <c r="AO3" s="1066"/>
      <c r="AP3" s="1064">
        <v>12</v>
      </c>
      <c r="AQ3" s="1065"/>
      <c r="AR3" s="1066"/>
      <c r="AS3" s="1064">
        <v>13</v>
      </c>
      <c r="AT3" s="1065"/>
      <c r="AU3" s="1066"/>
      <c r="AV3" s="1064">
        <v>14</v>
      </c>
      <c r="AW3" s="1065"/>
      <c r="AX3" s="1066"/>
      <c r="AY3" s="1067">
        <v>15</v>
      </c>
      <c r="AZ3" s="1068"/>
      <c r="BA3" s="1069"/>
      <c r="BB3" s="896"/>
      <c r="BC3" s="897"/>
      <c r="BD3" s="898"/>
    </row>
    <row r="4" spans="2:56" ht="33" customHeight="1">
      <c r="C4" s="653">
        <v>65</v>
      </c>
      <c r="E4" s="937" t="str">
        <f>"Kelas "&amp;_kelas&amp;" - TP. "&amp;DK!D8</f>
        <v>Kelas VIII A - TP. 2018 / 2019</v>
      </c>
      <c r="F4" s="938"/>
      <c r="G4" s="938"/>
      <c r="H4" s="939"/>
      <c r="I4" s="1070" t="str">
        <f>_MP1</f>
        <v>Pendidikan Agama Islam</v>
      </c>
      <c r="J4" s="1071"/>
      <c r="K4" s="1072"/>
      <c r="L4" s="1070" t="str">
        <f>_MP2</f>
        <v>Pendidikan Agama Kristen</v>
      </c>
      <c r="M4" s="1076"/>
      <c r="N4" s="1077"/>
      <c r="O4" s="1070" t="str">
        <f>_MP3</f>
        <v>Pendidikan Agama Katolik</v>
      </c>
      <c r="P4" s="1076"/>
      <c r="Q4" s="1076"/>
      <c r="R4" s="1070" t="str">
        <f>_MP4</f>
        <v>Pendidikan Agama Hindu</v>
      </c>
      <c r="S4" s="1076"/>
      <c r="T4" s="1077"/>
      <c r="U4" s="1070" t="str">
        <f>_MP5</f>
        <v>Pendidikan Agama Budha</v>
      </c>
      <c r="V4" s="1076"/>
      <c r="W4" s="1077"/>
      <c r="X4" s="1054" t="str">
        <f>_MP6</f>
        <v>PKn</v>
      </c>
      <c r="Y4" s="1055"/>
      <c r="Z4" s="1056"/>
      <c r="AA4" s="1054" t="str">
        <f>_MP7</f>
        <v xml:space="preserve">Bahasa Indonesia </v>
      </c>
      <c r="AB4" s="1055"/>
      <c r="AC4" s="1056"/>
      <c r="AD4" s="1054" t="str">
        <f>_MP8</f>
        <v xml:space="preserve">Matematika </v>
      </c>
      <c r="AE4" s="1055"/>
      <c r="AF4" s="1056"/>
      <c r="AG4" s="1054" t="str">
        <f>_MP9</f>
        <v xml:space="preserve">Ilmu Pengetahuan Alam </v>
      </c>
      <c r="AH4" s="1055"/>
      <c r="AI4" s="1056"/>
      <c r="AJ4" s="1054" t="str">
        <f>_MP10</f>
        <v xml:space="preserve">Ilmu Pengetahuan Sosial </v>
      </c>
      <c r="AK4" s="1055"/>
      <c r="AL4" s="1056"/>
      <c r="AM4" s="1054" t="str">
        <f>_MP11</f>
        <v xml:space="preserve">Bahasa Inggris </v>
      </c>
      <c r="AN4" s="1055"/>
      <c r="AO4" s="1056"/>
      <c r="AP4" s="1054" t="str">
        <f>_MP12</f>
        <v>Seni Budaya</v>
      </c>
      <c r="AQ4" s="1055"/>
      <c r="AR4" s="1056"/>
      <c r="AS4" s="1054" t="str">
        <f>_MP13</f>
        <v>Penjaskes</v>
      </c>
      <c r="AT4" s="1055"/>
      <c r="AU4" s="1056"/>
      <c r="AV4" s="1054" t="str">
        <f>_MP14</f>
        <v>Prakarya</v>
      </c>
      <c r="AW4" s="1055"/>
      <c r="AX4" s="1056"/>
      <c r="AY4" s="1054" t="str">
        <f>_MP15</f>
        <v>Bahasa dan Aksara Lampung</v>
      </c>
      <c r="AZ4" s="1055"/>
      <c r="BA4" s="1056"/>
      <c r="BB4" s="1060" t="s">
        <v>59</v>
      </c>
      <c r="BC4" s="1062" t="s">
        <v>66</v>
      </c>
      <c r="BD4" s="1051" t="s">
        <v>61</v>
      </c>
    </row>
    <row r="5" spans="2:56" ht="17.25" thickBot="1">
      <c r="C5" s="1053"/>
      <c r="E5" s="930" t="s">
        <v>50</v>
      </c>
      <c r="F5" s="929" t="s">
        <v>51</v>
      </c>
      <c r="G5" s="940" t="s">
        <v>52</v>
      </c>
      <c r="H5" s="941"/>
      <c r="I5" s="1073"/>
      <c r="J5" s="1074"/>
      <c r="K5" s="1075"/>
      <c r="L5" s="1078"/>
      <c r="M5" s="1079"/>
      <c r="N5" s="1080"/>
      <c r="O5" s="1078"/>
      <c r="P5" s="1079"/>
      <c r="Q5" s="1079"/>
      <c r="R5" s="1078"/>
      <c r="S5" s="1079"/>
      <c r="T5" s="1080"/>
      <c r="U5" s="1078"/>
      <c r="V5" s="1079"/>
      <c r="W5" s="1080"/>
      <c r="X5" s="1057"/>
      <c r="Y5" s="1058"/>
      <c r="Z5" s="1059"/>
      <c r="AA5" s="1057"/>
      <c r="AB5" s="1058"/>
      <c r="AC5" s="1059"/>
      <c r="AD5" s="1057"/>
      <c r="AE5" s="1058"/>
      <c r="AF5" s="1059"/>
      <c r="AG5" s="1057"/>
      <c r="AH5" s="1058"/>
      <c r="AI5" s="1059"/>
      <c r="AJ5" s="1057"/>
      <c r="AK5" s="1058"/>
      <c r="AL5" s="1059"/>
      <c r="AM5" s="1057"/>
      <c r="AN5" s="1058"/>
      <c r="AO5" s="1059"/>
      <c r="AP5" s="1057"/>
      <c r="AQ5" s="1058"/>
      <c r="AR5" s="1059"/>
      <c r="AS5" s="1057"/>
      <c r="AT5" s="1058"/>
      <c r="AU5" s="1059"/>
      <c r="AV5" s="1057"/>
      <c r="AW5" s="1058"/>
      <c r="AX5" s="1059"/>
      <c r="AY5" s="1057"/>
      <c r="AZ5" s="1058"/>
      <c r="BA5" s="1059"/>
      <c r="BB5" s="1060"/>
      <c r="BC5" s="1062"/>
      <c r="BD5" s="1051"/>
    </row>
    <row r="6" spans="2:56" ht="17.25" thickBot="1">
      <c r="C6" s="1053"/>
      <c r="E6" s="1030"/>
      <c r="F6" s="1032"/>
      <c r="G6" s="1035"/>
      <c r="H6" s="1036"/>
      <c r="I6" s="638" t="s">
        <v>54</v>
      </c>
      <c r="J6" s="639" t="s">
        <v>55</v>
      </c>
      <c r="K6" s="640" t="s">
        <v>56</v>
      </c>
      <c r="L6" s="641" t="s">
        <v>54</v>
      </c>
      <c r="M6" s="642" t="s">
        <v>55</v>
      </c>
      <c r="N6" s="639" t="s">
        <v>56</v>
      </c>
      <c r="O6" s="638" t="s">
        <v>54</v>
      </c>
      <c r="P6" s="642" t="s">
        <v>55</v>
      </c>
      <c r="Q6" s="642" t="s">
        <v>56</v>
      </c>
      <c r="R6" s="638" t="s">
        <v>54</v>
      </c>
      <c r="S6" s="642" t="s">
        <v>55</v>
      </c>
      <c r="T6" s="639" t="s">
        <v>56</v>
      </c>
      <c r="U6" s="638" t="s">
        <v>54</v>
      </c>
      <c r="V6" s="642" t="s">
        <v>55</v>
      </c>
      <c r="W6" s="639" t="s">
        <v>56</v>
      </c>
      <c r="X6" s="638" t="s">
        <v>54</v>
      </c>
      <c r="Y6" s="642" t="s">
        <v>55</v>
      </c>
      <c r="Z6" s="639" t="s">
        <v>56</v>
      </c>
      <c r="AA6" s="638" t="s">
        <v>54</v>
      </c>
      <c r="AB6" s="642" t="s">
        <v>55</v>
      </c>
      <c r="AC6" s="639" t="s">
        <v>56</v>
      </c>
      <c r="AD6" s="638" t="s">
        <v>54</v>
      </c>
      <c r="AE6" s="642" t="s">
        <v>55</v>
      </c>
      <c r="AF6" s="639" t="s">
        <v>56</v>
      </c>
      <c r="AG6" s="638" t="s">
        <v>54</v>
      </c>
      <c r="AH6" s="642" t="s">
        <v>55</v>
      </c>
      <c r="AI6" s="639" t="s">
        <v>56</v>
      </c>
      <c r="AJ6" s="638" t="s">
        <v>54</v>
      </c>
      <c r="AK6" s="642" t="s">
        <v>55</v>
      </c>
      <c r="AL6" s="639" t="s">
        <v>56</v>
      </c>
      <c r="AM6" s="638" t="s">
        <v>54</v>
      </c>
      <c r="AN6" s="642" t="s">
        <v>55</v>
      </c>
      <c r="AO6" s="639" t="s">
        <v>56</v>
      </c>
      <c r="AP6" s="638" t="s">
        <v>54</v>
      </c>
      <c r="AQ6" s="642" t="s">
        <v>55</v>
      </c>
      <c r="AR6" s="639" t="s">
        <v>56</v>
      </c>
      <c r="AS6" s="638" t="s">
        <v>54</v>
      </c>
      <c r="AT6" s="642" t="s">
        <v>55</v>
      </c>
      <c r="AU6" s="639" t="s">
        <v>56</v>
      </c>
      <c r="AV6" s="638" t="s">
        <v>54</v>
      </c>
      <c r="AW6" s="639" t="s">
        <v>55</v>
      </c>
      <c r="AX6" s="643" t="s">
        <v>56</v>
      </c>
      <c r="AY6" s="641" t="s">
        <v>54</v>
      </c>
      <c r="AZ6" s="639" t="s">
        <v>55</v>
      </c>
      <c r="BA6" s="644" t="s">
        <v>56</v>
      </c>
      <c r="BB6" s="1061"/>
      <c r="BC6" s="1063"/>
      <c r="BD6" s="1052"/>
    </row>
    <row r="7" spans="2:56" ht="16.5">
      <c r="E7" s="247">
        <f>Biodata!B6</f>
        <v>1</v>
      </c>
      <c r="F7" s="248">
        <f>IF(Biodata!C6="","",VLOOKUP(E7,Biodata_Siswa,2,FALSE))</f>
        <v>7057</v>
      </c>
      <c r="G7" s="1015" t="str">
        <f>IF(Biodata!E6="","",PROPER(VLOOKUP(E7,Biodata_Siswa,4,FALSE)))</f>
        <v>Ahmad Zaki Aufa</v>
      </c>
      <c r="H7" s="1016"/>
      <c r="I7" s="651">
        <f>Leger2!I7</f>
        <v>0</v>
      </c>
      <c r="J7" s="652">
        <f>Leger2!J7</f>
        <v>0</v>
      </c>
      <c r="K7" s="652">
        <f>Leger2!K7</f>
        <v>0</v>
      </c>
      <c r="L7" s="652">
        <f>Leger2!L7</f>
        <v>0</v>
      </c>
      <c r="M7" s="652">
        <f>Leger2!M7</f>
        <v>0</v>
      </c>
      <c r="N7" s="652">
        <f>Leger2!N7</f>
        <v>0</v>
      </c>
      <c r="O7" s="652">
        <f>Leger2!O7</f>
        <v>0</v>
      </c>
      <c r="P7" s="652">
        <f>Leger2!P7</f>
        <v>0</v>
      </c>
      <c r="Q7" s="652">
        <f>Leger2!Q7</f>
        <v>0</v>
      </c>
      <c r="R7" s="652">
        <f>Leger2!R7</f>
        <v>0</v>
      </c>
      <c r="S7" s="652">
        <f>Leger2!S7</f>
        <v>0</v>
      </c>
      <c r="T7" s="652">
        <f>Leger2!T7</f>
        <v>0</v>
      </c>
      <c r="U7" s="652">
        <f>Leger2!U7</f>
        <v>0</v>
      </c>
      <c r="V7" s="652">
        <f>Leger2!V7</f>
        <v>0</v>
      </c>
      <c r="W7" s="652">
        <f>Leger2!W7</f>
        <v>0</v>
      </c>
      <c r="X7" s="652">
        <f>Leger2!X7</f>
        <v>0</v>
      </c>
      <c r="Y7" s="652">
        <f>Leger2!Y7</f>
        <v>0</v>
      </c>
      <c r="Z7" s="652">
        <f>Leger2!Z7</f>
        <v>0</v>
      </c>
      <c r="AA7" s="652">
        <f>Leger2!AA7</f>
        <v>0</v>
      </c>
      <c r="AB7" s="652">
        <f>Leger2!AB7</f>
        <v>0</v>
      </c>
      <c r="AC7" s="652">
        <f>Leger2!AC7</f>
        <v>0</v>
      </c>
      <c r="AD7" s="652">
        <f>Leger2!AD7</f>
        <v>0</v>
      </c>
      <c r="AE7" s="652">
        <f>Leger2!AE7</f>
        <v>0</v>
      </c>
      <c r="AF7" s="652">
        <f>Leger2!AF7</f>
        <v>0</v>
      </c>
      <c r="AG7" s="652">
        <f>Leger2!AG7</f>
        <v>0</v>
      </c>
      <c r="AH7" s="652">
        <f>Leger2!AH7</f>
        <v>0</v>
      </c>
      <c r="AI7" s="652">
        <f>Leger2!AI7</f>
        <v>0</v>
      </c>
      <c r="AJ7" s="652">
        <f>Leger2!AJ7</f>
        <v>0</v>
      </c>
      <c r="AK7" s="652">
        <f>Leger2!AK7</f>
        <v>0</v>
      </c>
      <c r="AL7" s="652">
        <f>Leger2!AL7</f>
        <v>0</v>
      </c>
      <c r="AM7" s="652">
        <f>Leger2!AM7</f>
        <v>0</v>
      </c>
      <c r="AN7" s="652">
        <f>Leger2!AN7</f>
        <v>0</v>
      </c>
      <c r="AO7" s="652">
        <f>Leger2!AO7</f>
        <v>0</v>
      </c>
      <c r="AP7" s="652">
        <f>Leger2!AP7</f>
        <v>0</v>
      </c>
      <c r="AQ7" s="652">
        <f>Leger2!AQ7</f>
        <v>0</v>
      </c>
      <c r="AR7" s="652">
        <f>Leger2!AR7</f>
        <v>0</v>
      </c>
      <c r="AS7" s="652">
        <f>Leger2!AS7</f>
        <v>0</v>
      </c>
      <c r="AT7" s="652">
        <f>Leger2!AT7</f>
        <v>0</v>
      </c>
      <c r="AU7" s="652">
        <f>Leger2!AU7</f>
        <v>0</v>
      </c>
      <c r="AV7" s="652">
        <f>Leger2!AV7</f>
        <v>0</v>
      </c>
      <c r="AW7" s="652">
        <f>Leger2!AW7</f>
        <v>0</v>
      </c>
      <c r="AX7" s="652">
        <f>Leger2!AX7</f>
        <v>0</v>
      </c>
      <c r="AY7" s="652">
        <f>Leger2!AY7</f>
        <v>0</v>
      </c>
      <c r="AZ7" s="652">
        <f>Leger2!AZ7</f>
        <v>0</v>
      </c>
      <c r="BA7" s="213" t="str">
        <f>IF(AY7="","",IF(AY7&gt;=($C$4+2/3*(100-$C$4)),"A",IF(AY7&gt;=($C$4+1/3*(100-$C$4)),"B",IF(AY7&gt;=$C$4,"C","D"))))</f>
        <v>D</v>
      </c>
      <c r="BB7" s="393" t="str">
        <f t="shared" ref="BB7:BB46" si="0">IF(G7="","",IF(I7+L7+O7+R7+U7+X7+AA7+AD7+AG7+AJ7+AM7+AP7+AS7+AV7+AY7=0,"",I7+L7+O7+R7+U7+X7+AA7+AD7+AG7+AJ7+AM7+AP7+AS7+AV7+AY7))</f>
        <v/>
      </c>
      <c r="BC7" s="394" t="str">
        <f t="shared" ref="BC7:BC46" si="1">IF(BB7="","",(AVERAGE(I7,L7,O7,R7,U7,X7,AA7,AD7,AG7,AJ7,AM7,AP7,AS7,AV7,AY7)))</f>
        <v/>
      </c>
      <c r="BD7" s="318" t="str">
        <f>IF(BB7="","",RANK(BB7,$BB$7:$BB$46,0))</f>
        <v/>
      </c>
    </row>
    <row r="8" spans="2:56" ht="16.5">
      <c r="E8" s="211">
        <f>Biodata!B7</f>
        <v>2</v>
      </c>
      <c r="F8" s="212">
        <f>IF(Biodata!C7="","",VLOOKUP(E8,Biodata_Siswa,2,FALSE))</f>
        <v>7058</v>
      </c>
      <c r="G8" s="891" t="str">
        <f>IF(Biodata!E7="","",PROPER(VLOOKUP(E8,Biodata_Siswa,4,FALSE)))</f>
        <v>Anandhita Nafra Wilova</v>
      </c>
      <c r="H8" s="892"/>
      <c r="I8" s="646">
        <f>Leger2!I8</f>
        <v>0</v>
      </c>
      <c r="J8" s="647">
        <f>Leger2!J8</f>
        <v>0</v>
      </c>
      <c r="K8" s="647">
        <f>Leger2!K8</f>
        <v>0</v>
      </c>
      <c r="L8" s="647">
        <f>Leger2!L8</f>
        <v>0</v>
      </c>
      <c r="M8" s="647">
        <f>Leger2!M8</f>
        <v>0</v>
      </c>
      <c r="N8" s="647">
        <f>Leger2!N8</f>
        <v>0</v>
      </c>
      <c r="O8" s="647">
        <f>Leger2!O8</f>
        <v>0</v>
      </c>
      <c r="P8" s="647">
        <f>Leger2!P8</f>
        <v>0</v>
      </c>
      <c r="Q8" s="647">
        <f>Leger2!Q8</f>
        <v>0</v>
      </c>
      <c r="R8" s="647">
        <f>Leger2!R8</f>
        <v>0</v>
      </c>
      <c r="S8" s="647">
        <f>Leger2!S8</f>
        <v>0</v>
      </c>
      <c r="T8" s="647">
        <f>Leger2!T8</f>
        <v>0</v>
      </c>
      <c r="U8" s="647">
        <f>Leger2!U8</f>
        <v>0</v>
      </c>
      <c r="V8" s="647">
        <f>Leger2!V8</f>
        <v>0</v>
      </c>
      <c r="W8" s="647">
        <f>Leger2!W8</f>
        <v>0</v>
      </c>
      <c r="X8" s="647">
        <f>Leger2!X8</f>
        <v>0</v>
      </c>
      <c r="Y8" s="647">
        <f>Leger2!Y8</f>
        <v>0</v>
      </c>
      <c r="Z8" s="647">
        <f>Leger2!Z8</f>
        <v>0</v>
      </c>
      <c r="AA8" s="647">
        <f>Leger2!AA8</f>
        <v>0</v>
      </c>
      <c r="AB8" s="647">
        <f>Leger2!AB8</f>
        <v>0</v>
      </c>
      <c r="AC8" s="647">
        <f>Leger2!AC8</f>
        <v>0</v>
      </c>
      <c r="AD8" s="647">
        <f>Leger2!AD8</f>
        <v>0</v>
      </c>
      <c r="AE8" s="647">
        <f>Leger2!AE8</f>
        <v>0</v>
      </c>
      <c r="AF8" s="647">
        <f>Leger2!AF8</f>
        <v>0</v>
      </c>
      <c r="AG8" s="647">
        <f>Leger2!AG8</f>
        <v>0</v>
      </c>
      <c r="AH8" s="647">
        <f>Leger2!AH8</f>
        <v>0</v>
      </c>
      <c r="AI8" s="647">
        <f>Leger2!AI8</f>
        <v>0</v>
      </c>
      <c r="AJ8" s="647">
        <f>Leger2!AJ8</f>
        <v>0</v>
      </c>
      <c r="AK8" s="647">
        <f>Leger2!AK8</f>
        <v>0</v>
      </c>
      <c r="AL8" s="647">
        <f>Leger2!AL8</f>
        <v>0</v>
      </c>
      <c r="AM8" s="647">
        <f>Leger2!AM8</f>
        <v>0</v>
      </c>
      <c r="AN8" s="647">
        <f>Leger2!AN8</f>
        <v>0</v>
      </c>
      <c r="AO8" s="647">
        <f>Leger2!AO8</f>
        <v>0</v>
      </c>
      <c r="AP8" s="647">
        <f>Leger2!AP8</f>
        <v>0</v>
      </c>
      <c r="AQ8" s="647">
        <f>Leger2!AQ8</f>
        <v>0</v>
      </c>
      <c r="AR8" s="647">
        <f>Leger2!AR8</f>
        <v>0</v>
      </c>
      <c r="AS8" s="647">
        <f>Leger2!AS8</f>
        <v>0</v>
      </c>
      <c r="AT8" s="647">
        <f>Leger2!AT8</f>
        <v>0</v>
      </c>
      <c r="AU8" s="647">
        <f>Leger2!AU8</f>
        <v>0</v>
      </c>
      <c r="AV8" s="647">
        <f>Leger2!AV8</f>
        <v>0</v>
      </c>
      <c r="AW8" s="647">
        <f>Leger2!AW8</f>
        <v>0</v>
      </c>
      <c r="AX8" s="647">
        <f>Leger2!AX8</f>
        <v>0</v>
      </c>
      <c r="AY8" s="647">
        <f>Leger2!AY8</f>
        <v>0</v>
      </c>
      <c r="AZ8" s="647">
        <f>Leger2!AZ8</f>
        <v>0</v>
      </c>
      <c r="BA8" s="213" t="str">
        <f t="shared" ref="BA8:BA46" si="2">IF(AY8="","",IF(AY8&gt;=($C$4+2/3*(100-$C$4)),"A",IF(AY8&gt;=($C$4+1/3*(100-$C$4)),"B",IF(AY8&gt;=$C$4,"C","D"))))</f>
        <v>D</v>
      </c>
      <c r="BB8" s="389" t="str">
        <f t="shared" si="0"/>
        <v/>
      </c>
      <c r="BC8" s="390" t="str">
        <f t="shared" si="1"/>
        <v/>
      </c>
      <c r="BD8" s="214" t="str">
        <f t="shared" ref="BD8:BD46" si="3">IF(BB8="","",RANK(BB8,$BB$7:$BB$46,0))</f>
        <v/>
      </c>
    </row>
    <row r="9" spans="2:56" ht="16.5">
      <c r="E9" s="211">
        <f>Biodata!B8</f>
        <v>3</v>
      </c>
      <c r="F9" s="212">
        <f>IF(Biodata!C8="","",VLOOKUP(E9,Biodata_Siswa,2,FALSE))</f>
        <v>7059</v>
      </c>
      <c r="G9" s="891" t="str">
        <f>IF(Biodata!E8="","",PROPER(VLOOKUP(E9,Biodata_Siswa,4,FALSE)))</f>
        <v>Andini Dwi Aryanti</v>
      </c>
      <c r="H9" s="892"/>
      <c r="I9" s="646">
        <f>Leger2!I9</f>
        <v>0</v>
      </c>
      <c r="J9" s="647">
        <f>Leger2!J9</f>
        <v>0</v>
      </c>
      <c r="K9" s="647">
        <f>Leger2!K9</f>
        <v>0</v>
      </c>
      <c r="L9" s="647">
        <f>Leger2!L9</f>
        <v>0</v>
      </c>
      <c r="M9" s="647">
        <f>Leger2!M9</f>
        <v>0</v>
      </c>
      <c r="N9" s="647">
        <f>Leger2!N9</f>
        <v>0</v>
      </c>
      <c r="O9" s="647">
        <f>Leger2!O9</f>
        <v>0</v>
      </c>
      <c r="P9" s="647">
        <f>Leger2!P9</f>
        <v>0</v>
      </c>
      <c r="Q9" s="647">
        <f>Leger2!Q9</f>
        <v>0</v>
      </c>
      <c r="R9" s="647">
        <f>Leger2!R9</f>
        <v>0</v>
      </c>
      <c r="S9" s="647">
        <f>Leger2!S9</f>
        <v>0</v>
      </c>
      <c r="T9" s="647">
        <f>Leger2!T9</f>
        <v>0</v>
      </c>
      <c r="U9" s="647">
        <f>Leger2!U9</f>
        <v>0</v>
      </c>
      <c r="V9" s="647">
        <f>Leger2!V9</f>
        <v>0</v>
      </c>
      <c r="W9" s="647">
        <f>Leger2!W9</f>
        <v>0</v>
      </c>
      <c r="X9" s="647">
        <f>Leger2!X9</f>
        <v>0</v>
      </c>
      <c r="Y9" s="647">
        <f>Leger2!Y9</f>
        <v>0</v>
      </c>
      <c r="Z9" s="647">
        <f>Leger2!Z9</f>
        <v>0</v>
      </c>
      <c r="AA9" s="647">
        <f>Leger2!AA9</f>
        <v>0</v>
      </c>
      <c r="AB9" s="647">
        <f>Leger2!AB9</f>
        <v>0</v>
      </c>
      <c r="AC9" s="647">
        <f>Leger2!AC9</f>
        <v>0</v>
      </c>
      <c r="AD9" s="647">
        <f>Leger2!AD9</f>
        <v>0</v>
      </c>
      <c r="AE9" s="647">
        <f>Leger2!AE9</f>
        <v>0</v>
      </c>
      <c r="AF9" s="647">
        <f>Leger2!AF9</f>
        <v>0</v>
      </c>
      <c r="AG9" s="647">
        <f>Leger2!AG9</f>
        <v>0</v>
      </c>
      <c r="AH9" s="647">
        <f>Leger2!AH9</f>
        <v>0</v>
      </c>
      <c r="AI9" s="647">
        <f>Leger2!AI9</f>
        <v>0</v>
      </c>
      <c r="AJ9" s="647">
        <f>Leger2!AJ9</f>
        <v>0</v>
      </c>
      <c r="AK9" s="647">
        <f>Leger2!AK9</f>
        <v>0</v>
      </c>
      <c r="AL9" s="647">
        <f>Leger2!AL9</f>
        <v>0</v>
      </c>
      <c r="AM9" s="647">
        <f>Leger2!AM9</f>
        <v>0</v>
      </c>
      <c r="AN9" s="647">
        <f>Leger2!AN9</f>
        <v>0</v>
      </c>
      <c r="AO9" s="647">
        <f>Leger2!AO9</f>
        <v>0</v>
      </c>
      <c r="AP9" s="647">
        <f>Leger2!AP9</f>
        <v>0</v>
      </c>
      <c r="AQ9" s="647">
        <f>Leger2!AQ9</f>
        <v>0</v>
      </c>
      <c r="AR9" s="647">
        <f>Leger2!AR9</f>
        <v>0</v>
      </c>
      <c r="AS9" s="647">
        <f>Leger2!AS9</f>
        <v>0</v>
      </c>
      <c r="AT9" s="647">
        <f>Leger2!AT9</f>
        <v>0</v>
      </c>
      <c r="AU9" s="647">
        <f>Leger2!AU9</f>
        <v>0</v>
      </c>
      <c r="AV9" s="647">
        <f>Leger2!AV9</f>
        <v>0</v>
      </c>
      <c r="AW9" s="647">
        <f>Leger2!AW9</f>
        <v>0</v>
      </c>
      <c r="AX9" s="647">
        <f>Leger2!AX9</f>
        <v>0</v>
      </c>
      <c r="AY9" s="647">
        <f>Leger2!AY9</f>
        <v>0</v>
      </c>
      <c r="AZ9" s="647">
        <f>Leger2!AZ9</f>
        <v>0</v>
      </c>
      <c r="BA9" s="213" t="str">
        <f>IF(AY9="","",IF(AY9&gt;=($C$4+2/3*(100-$C$4)),"A",IF(AY9&gt;=($C$4+1/3*(100-$C$4)),"B",IF(AY9&gt;=$C$4,"C","D"))))</f>
        <v>D</v>
      </c>
      <c r="BB9" s="389" t="str">
        <f>IF(G9="","",IF(I9+L9+O9+R9+U9+X9+AA9+AD9+AG9+AJ9+AM9+AP9+AS9+AV9+AY9=0,"",I9+L9+O9+R9+U9+X9+AA9+AD9+AG9+AJ9+AM9+AP9+AS9+AV9+AY9))</f>
        <v/>
      </c>
      <c r="BC9" s="390" t="str">
        <f>IF(BB9="","",(AVERAGE(I9,L9,O9,R9,U9,X9,AA9,AD9,AG9,AJ9,AM9,AP9,AS9,AV9,AY9)))</f>
        <v/>
      </c>
      <c r="BD9" s="214" t="str">
        <f>IF(BB9="","",RANK(BB9,$BB$7:$BB$46,0))</f>
        <v/>
      </c>
    </row>
    <row r="10" spans="2:56" ht="16.5">
      <c r="E10" s="211">
        <f>Biodata!B9</f>
        <v>4</v>
      </c>
      <c r="F10" s="212">
        <f>IF(Biodata!C9="","",VLOOKUP(E10,Biodata_Siswa,2,FALSE))</f>
        <v>7060</v>
      </c>
      <c r="G10" s="891" t="str">
        <f>IF(Biodata!E9="","",PROPER(VLOOKUP(E10,Biodata_Siswa,4,FALSE)))</f>
        <v>Anggun Suci Rahmadani</v>
      </c>
      <c r="H10" s="892"/>
      <c r="I10" s="646">
        <f>Leger2!I10</f>
        <v>0</v>
      </c>
      <c r="J10" s="647">
        <f>Leger2!J10</f>
        <v>0</v>
      </c>
      <c r="K10" s="647">
        <f>Leger2!K10</f>
        <v>0</v>
      </c>
      <c r="L10" s="647">
        <f>Leger2!L10</f>
        <v>0</v>
      </c>
      <c r="M10" s="647">
        <f>Leger2!M10</f>
        <v>0</v>
      </c>
      <c r="N10" s="647">
        <f>Leger2!N10</f>
        <v>0</v>
      </c>
      <c r="O10" s="647">
        <f>Leger2!O10</f>
        <v>0</v>
      </c>
      <c r="P10" s="647">
        <f>Leger2!P10</f>
        <v>0</v>
      </c>
      <c r="Q10" s="647">
        <f>Leger2!Q10</f>
        <v>0</v>
      </c>
      <c r="R10" s="647">
        <f>Leger2!R10</f>
        <v>0</v>
      </c>
      <c r="S10" s="647">
        <f>Leger2!S10</f>
        <v>0</v>
      </c>
      <c r="T10" s="647">
        <f>Leger2!T10</f>
        <v>0</v>
      </c>
      <c r="U10" s="647">
        <f>Leger2!U10</f>
        <v>0</v>
      </c>
      <c r="V10" s="647">
        <f>Leger2!V10</f>
        <v>0</v>
      </c>
      <c r="W10" s="647">
        <f>Leger2!W10</f>
        <v>0</v>
      </c>
      <c r="X10" s="647">
        <f>Leger2!X10</f>
        <v>0</v>
      </c>
      <c r="Y10" s="647">
        <f>Leger2!Y10</f>
        <v>0</v>
      </c>
      <c r="Z10" s="647">
        <f>Leger2!Z10</f>
        <v>0</v>
      </c>
      <c r="AA10" s="647">
        <f>Leger2!AA10</f>
        <v>0</v>
      </c>
      <c r="AB10" s="647">
        <f>Leger2!AB10</f>
        <v>0</v>
      </c>
      <c r="AC10" s="647">
        <f>Leger2!AC10</f>
        <v>0</v>
      </c>
      <c r="AD10" s="647">
        <f>Leger2!AD10</f>
        <v>0</v>
      </c>
      <c r="AE10" s="647">
        <f>Leger2!AE10</f>
        <v>0</v>
      </c>
      <c r="AF10" s="647">
        <f>Leger2!AF10</f>
        <v>0</v>
      </c>
      <c r="AG10" s="647">
        <f>Leger2!AG10</f>
        <v>0</v>
      </c>
      <c r="AH10" s="647">
        <f>Leger2!AH10</f>
        <v>0</v>
      </c>
      <c r="AI10" s="647">
        <f>Leger2!AI10</f>
        <v>0</v>
      </c>
      <c r="AJ10" s="647">
        <f>Leger2!AJ10</f>
        <v>0</v>
      </c>
      <c r="AK10" s="647">
        <f>Leger2!AK10</f>
        <v>0</v>
      </c>
      <c r="AL10" s="647">
        <f>Leger2!AL10</f>
        <v>0</v>
      </c>
      <c r="AM10" s="647">
        <f>Leger2!AM10</f>
        <v>0</v>
      </c>
      <c r="AN10" s="647">
        <f>Leger2!AN10</f>
        <v>0</v>
      </c>
      <c r="AO10" s="647">
        <f>Leger2!AO10</f>
        <v>0</v>
      </c>
      <c r="AP10" s="647">
        <f>Leger2!AP10</f>
        <v>0</v>
      </c>
      <c r="AQ10" s="647">
        <f>Leger2!AQ10</f>
        <v>0</v>
      </c>
      <c r="AR10" s="647">
        <f>Leger2!AR10</f>
        <v>0</v>
      </c>
      <c r="AS10" s="647">
        <f>Leger2!AS10</f>
        <v>0</v>
      </c>
      <c r="AT10" s="647">
        <f>Leger2!AT10</f>
        <v>0</v>
      </c>
      <c r="AU10" s="647">
        <f>Leger2!AU10</f>
        <v>0</v>
      </c>
      <c r="AV10" s="647">
        <f>Leger2!AV10</f>
        <v>0</v>
      </c>
      <c r="AW10" s="647">
        <f>Leger2!AW10</f>
        <v>0</v>
      </c>
      <c r="AX10" s="647">
        <f>Leger2!AX10</f>
        <v>0</v>
      </c>
      <c r="AY10" s="647">
        <f>Leger2!AY10</f>
        <v>0</v>
      </c>
      <c r="AZ10" s="647">
        <f>Leger2!AZ10</f>
        <v>0</v>
      </c>
      <c r="BA10" s="213" t="str">
        <f t="shared" si="2"/>
        <v>D</v>
      </c>
      <c r="BB10" s="389" t="str">
        <f t="shared" si="0"/>
        <v/>
      </c>
      <c r="BC10" s="390" t="str">
        <f t="shared" si="1"/>
        <v/>
      </c>
      <c r="BD10" s="214" t="str">
        <f>IF(BB10="","",RANK(BB10,$BB$7:$BB$46,0))</f>
        <v/>
      </c>
    </row>
    <row r="11" spans="2:56" ht="16.5">
      <c r="E11" s="211">
        <f>Biodata!B10</f>
        <v>5</v>
      </c>
      <c r="F11" s="212">
        <f>IF(Biodata!C10="","",VLOOKUP(E11,Biodata_Siswa,2,FALSE))</f>
        <v>7061</v>
      </c>
      <c r="G11" s="891" t="str">
        <f>IF(Biodata!E10="","",PROPER(VLOOKUP(E11,Biodata_Siswa,4,FALSE)))</f>
        <v>Anisa Julia Tasya</v>
      </c>
      <c r="H11" s="892"/>
      <c r="I11" s="646">
        <f>Leger2!I11</f>
        <v>0</v>
      </c>
      <c r="J11" s="647">
        <f>Leger2!J11</f>
        <v>0</v>
      </c>
      <c r="K11" s="647">
        <f>Leger2!K11</f>
        <v>0</v>
      </c>
      <c r="L11" s="647">
        <f>Leger2!L11</f>
        <v>0</v>
      </c>
      <c r="M11" s="647">
        <f>Leger2!M11</f>
        <v>0</v>
      </c>
      <c r="N11" s="647">
        <f>Leger2!N11</f>
        <v>0</v>
      </c>
      <c r="O11" s="647">
        <f>Leger2!O11</f>
        <v>0</v>
      </c>
      <c r="P11" s="647">
        <f>Leger2!P11</f>
        <v>0</v>
      </c>
      <c r="Q11" s="647">
        <f>Leger2!Q11</f>
        <v>0</v>
      </c>
      <c r="R11" s="647">
        <f>Leger2!R11</f>
        <v>0</v>
      </c>
      <c r="S11" s="647">
        <f>Leger2!S11</f>
        <v>0</v>
      </c>
      <c r="T11" s="647">
        <f>Leger2!T11</f>
        <v>0</v>
      </c>
      <c r="U11" s="647">
        <f>Leger2!U11</f>
        <v>0</v>
      </c>
      <c r="V11" s="647">
        <f>Leger2!V11</f>
        <v>0</v>
      </c>
      <c r="W11" s="647">
        <f>Leger2!W11</f>
        <v>0</v>
      </c>
      <c r="X11" s="647">
        <f>Leger2!X11</f>
        <v>0</v>
      </c>
      <c r="Y11" s="647">
        <f>Leger2!Y11</f>
        <v>0</v>
      </c>
      <c r="Z11" s="647">
        <f>Leger2!Z11</f>
        <v>0</v>
      </c>
      <c r="AA11" s="647">
        <f>Leger2!AA11</f>
        <v>0</v>
      </c>
      <c r="AB11" s="647">
        <f>Leger2!AB11</f>
        <v>0</v>
      </c>
      <c r="AC11" s="647">
        <f>Leger2!AC11</f>
        <v>0</v>
      </c>
      <c r="AD11" s="647">
        <f>Leger2!AD11</f>
        <v>0</v>
      </c>
      <c r="AE11" s="647">
        <f>Leger2!AE11</f>
        <v>0</v>
      </c>
      <c r="AF11" s="647">
        <f>Leger2!AF11</f>
        <v>0</v>
      </c>
      <c r="AG11" s="647">
        <f>Leger2!AG11</f>
        <v>0</v>
      </c>
      <c r="AH11" s="647">
        <f>Leger2!AH11</f>
        <v>0</v>
      </c>
      <c r="AI11" s="647">
        <f>Leger2!AI11</f>
        <v>0</v>
      </c>
      <c r="AJ11" s="647">
        <f>Leger2!AJ11</f>
        <v>0</v>
      </c>
      <c r="AK11" s="647">
        <f>Leger2!AK11</f>
        <v>0</v>
      </c>
      <c r="AL11" s="647">
        <f>Leger2!AL11</f>
        <v>0</v>
      </c>
      <c r="AM11" s="647">
        <f>Leger2!AM11</f>
        <v>0</v>
      </c>
      <c r="AN11" s="647">
        <f>Leger2!AN11</f>
        <v>0</v>
      </c>
      <c r="AO11" s="647">
        <f>Leger2!AO11</f>
        <v>0</v>
      </c>
      <c r="AP11" s="647">
        <f>Leger2!AP11</f>
        <v>0</v>
      </c>
      <c r="AQ11" s="647">
        <f>Leger2!AQ11</f>
        <v>0</v>
      </c>
      <c r="AR11" s="647">
        <f>Leger2!AR11</f>
        <v>0</v>
      </c>
      <c r="AS11" s="647">
        <f>Leger2!AS11</f>
        <v>0</v>
      </c>
      <c r="AT11" s="647">
        <f>Leger2!AT11</f>
        <v>0</v>
      </c>
      <c r="AU11" s="647">
        <f>Leger2!AU11</f>
        <v>0</v>
      </c>
      <c r="AV11" s="647">
        <f>Leger2!AV11</f>
        <v>0</v>
      </c>
      <c r="AW11" s="647">
        <f>Leger2!AW11</f>
        <v>0</v>
      </c>
      <c r="AX11" s="647">
        <f>Leger2!AX11</f>
        <v>0</v>
      </c>
      <c r="AY11" s="647">
        <f>Leger2!AY11</f>
        <v>0</v>
      </c>
      <c r="AZ11" s="647">
        <f>Leger2!AZ11</f>
        <v>0</v>
      </c>
      <c r="BA11" s="213" t="str">
        <f>IF(AY11="","",IF(AY11&gt;=($C$4+2/3*(100-$C$4)),"A",IF(AY11&gt;=($C$4+1/3*(100-$C$4)),"B",IF(AY11&gt;=$C$4,"C","D"))))</f>
        <v>D</v>
      </c>
      <c r="BB11" s="389" t="str">
        <f>IF(G11="","",IF(I11+L11+O11+R11+U11+X11+AA11+AD11+AG11+AJ11+AM11+AP11+AS11+AV11+AY11=0,"",I11+L11+O11+R11+U11+X11+AA11+AD11+AG11+AJ11+AM11+AP11+AS11+AV11+AY11))</f>
        <v/>
      </c>
      <c r="BC11" s="390" t="str">
        <f>IF(BB11="","",(AVERAGE(I11,L11,O11,R11,U11,X11,AA11,AD11,AG11,AJ11,AM11,AP11,AS11,AV11,AY11)))</f>
        <v/>
      </c>
      <c r="BD11" s="214" t="str">
        <f t="shared" si="3"/>
        <v/>
      </c>
    </row>
    <row r="12" spans="2:56" ht="16.5">
      <c r="E12" s="211">
        <f>Biodata!B11</f>
        <v>6</v>
      </c>
      <c r="F12" s="212">
        <f>IF(Biodata!C11="","",VLOOKUP(E12,Biodata_Siswa,2,FALSE))</f>
        <v>7065</v>
      </c>
      <c r="G12" s="891" t="str">
        <f>IF(Biodata!E11="","",PROPER(VLOOKUP(E12,Biodata_Siswa,4,FALSE)))</f>
        <v>Aulia Rahmawati</v>
      </c>
      <c r="H12" s="892"/>
      <c r="I12" s="646">
        <f>Leger2!I12</f>
        <v>0</v>
      </c>
      <c r="J12" s="647">
        <f>Leger2!J12</f>
        <v>0</v>
      </c>
      <c r="K12" s="647">
        <f>Leger2!K12</f>
        <v>0</v>
      </c>
      <c r="L12" s="647">
        <f>Leger2!L12</f>
        <v>0</v>
      </c>
      <c r="M12" s="647">
        <f>Leger2!M12</f>
        <v>0</v>
      </c>
      <c r="N12" s="647">
        <f>Leger2!N12</f>
        <v>0</v>
      </c>
      <c r="O12" s="647">
        <f>Leger2!O12</f>
        <v>0</v>
      </c>
      <c r="P12" s="647">
        <f>Leger2!P12</f>
        <v>0</v>
      </c>
      <c r="Q12" s="647">
        <f>Leger2!Q12</f>
        <v>0</v>
      </c>
      <c r="R12" s="647">
        <f>Leger2!R12</f>
        <v>0</v>
      </c>
      <c r="S12" s="647">
        <f>Leger2!S12</f>
        <v>0</v>
      </c>
      <c r="T12" s="647">
        <f>Leger2!T12</f>
        <v>0</v>
      </c>
      <c r="U12" s="647">
        <f>Leger2!U12</f>
        <v>0</v>
      </c>
      <c r="V12" s="647">
        <f>Leger2!V12</f>
        <v>0</v>
      </c>
      <c r="W12" s="647">
        <f>Leger2!W12</f>
        <v>0</v>
      </c>
      <c r="X12" s="647">
        <f>Leger2!X12</f>
        <v>0</v>
      </c>
      <c r="Y12" s="647">
        <f>Leger2!Y12</f>
        <v>0</v>
      </c>
      <c r="Z12" s="647">
        <f>Leger2!Z12</f>
        <v>0</v>
      </c>
      <c r="AA12" s="647">
        <f>Leger2!AA12</f>
        <v>0</v>
      </c>
      <c r="AB12" s="647">
        <f>Leger2!AB12</f>
        <v>0</v>
      </c>
      <c r="AC12" s="647">
        <f>Leger2!AC12</f>
        <v>0</v>
      </c>
      <c r="AD12" s="647">
        <f>Leger2!AD12</f>
        <v>0</v>
      </c>
      <c r="AE12" s="647">
        <f>Leger2!AE12</f>
        <v>0</v>
      </c>
      <c r="AF12" s="647">
        <f>Leger2!AF12</f>
        <v>0</v>
      </c>
      <c r="AG12" s="647">
        <f>Leger2!AG12</f>
        <v>0</v>
      </c>
      <c r="AH12" s="647">
        <f>Leger2!AH12</f>
        <v>0</v>
      </c>
      <c r="AI12" s="647">
        <f>Leger2!AI12</f>
        <v>0</v>
      </c>
      <c r="AJ12" s="647">
        <f>Leger2!AJ12</f>
        <v>0</v>
      </c>
      <c r="AK12" s="647">
        <f>Leger2!AK12</f>
        <v>0</v>
      </c>
      <c r="AL12" s="647">
        <f>Leger2!AL12</f>
        <v>0</v>
      </c>
      <c r="AM12" s="647">
        <f>Leger2!AM12</f>
        <v>0</v>
      </c>
      <c r="AN12" s="647">
        <f>Leger2!AN12</f>
        <v>0</v>
      </c>
      <c r="AO12" s="647">
        <f>Leger2!AO12</f>
        <v>0</v>
      </c>
      <c r="AP12" s="647">
        <f>Leger2!AP12</f>
        <v>0</v>
      </c>
      <c r="AQ12" s="647">
        <f>Leger2!AQ12</f>
        <v>0</v>
      </c>
      <c r="AR12" s="647">
        <f>Leger2!AR12</f>
        <v>0</v>
      </c>
      <c r="AS12" s="647">
        <f>Leger2!AS12</f>
        <v>0</v>
      </c>
      <c r="AT12" s="647">
        <f>Leger2!AT12</f>
        <v>0</v>
      </c>
      <c r="AU12" s="647">
        <f>Leger2!AU12</f>
        <v>0</v>
      </c>
      <c r="AV12" s="647">
        <f>Leger2!AV12</f>
        <v>0</v>
      </c>
      <c r="AW12" s="647">
        <f>Leger2!AW12</f>
        <v>0</v>
      </c>
      <c r="AX12" s="647">
        <f>Leger2!AX12</f>
        <v>0</v>
      </c>
      <c r="AY12" s="647">
        <f>Leger2!AY12</f>
        <v>0</v>
      </c>
      <c r="AZ12" s="647">
        <f>Leger2!AZ12</f>
        <v>0</v>
      </c>
      <c r="BA12" s="213" t="str">
        <f t="shared" si="2"/>
        <v>D</v>
      </c>
      <c r="BB12" s="389" t="str">
        <f t="shared" si="0"/>
        <v/>
      </c>
      <c r="BC12" s="390" t="str">
        <f t="shared" si="1"/>
        <v/>
      </c>
      <c r="BD12" s="214" t="str">
        <f t="shared" si="3"/>
        <v/>
      </c>
    </row>
    <row r="13" spans="2:56" ht="16.5">
      <c r="E13" s="211">
        <f>Biodata!B12</f>
        <v>7</v>
      </c>
      <c r="F13" s="212">
        <f>IF(Biodata!C12="","",VLOOKUP(E13,Biodata_Siswa,2,FALSE))</f>
        <v>7066</v>
      </c>
      <c r="G13" s="891" t="str">
        <f>IF(Biodata!E12="","",PROPER(VLOOKUP(E13,Biodata_Siswa,4,FALSE)))</f>
        <v>Ayu Chumaira</v>
      </c>
      <c r="H13" s="892"/>
      <c r="I13" s="646">
        <f>Leger2!I13</f>
        <v>0</v>
      </c>
      <c r="J13" s="647">
        <f>Leger2!J13</f>
        <v>0</v>
      </c>
      <c r="K13" s="647">
        <f>Leger2!K13</f>
        <v>0</v>
      </c>
      <c r="L13" s="647">
        <f>Leger2!L13</f>
        <v>0</v>
      </c>
      <c r="M13" s="647">
        <f>Leger2!M13</f>
        <v>0</v>
      </c>
      <c r="N13" s="647">
        <f>Leger2!N13</f>
        <v>0</v>
      </c>
      <c r="O13" s="647">
        <f>Leger2!O13</f>
        <v>0</v>
      </c>
      <c r="P13" s="647">
        <f>Leger2!P13</f>
        <v>0</v>
      </c>
      <c r="Q13" s="647">
        <f>Leger2!Q13</f>
        <v>0</v>
      </c>
      <c r="R13" s="647">
        <f>Leger2!R13</f>
        <v>0</v>
      </c>
      <c r="S13" s="647">
        <f>Leger2!S13</f>
        <v>0</v>
      </c>
      <c r="T13" s="647">
        <f>Leger2!T13</f>
        <v>0</v>
      </c>
      <c r="U13" s="647">
        <f>Leger2!U13</f>
        <v>0</v>
      </c>
      <c r="V13" s="647">
        <f>Leger2!V13</f>
        <v>0</v>
      </c>
      <c r="W13" s="647">
        <f>Leger2!W13</f>
        <v>0</v>
      </c>
      <c r="X13" s="647">
        <f>Leger2!X13</f>
        <v>0</v>
      </c>
      <c r="Y13" s="647">
        <f>Leger2!Y13</f>
        <v>0</v>
      </c>
      <c r="Z13" s="647">
        <f>Leger2!Z13</f>
        <v>0</v>
      </c>
      <c r="AA13" s="647">
        <f>Leger2!AA13</f>
        <v>0</v>
      </c>
      <c r="AB13" s="647">
        <f>Leger2!AB13</f>
        <v>0</v>
      </c>
      <c r="AC13" s="647">
        <f>Leger2!AC13</f>
        <v>0</v>
      </c>
      <c r="AD13" s="647">
        <f>Leger2!AD13</f>
        <v>0</v>
      </c>
      <c r="AE13" s="647">
        <f>Leger2!AE13</f>
        <v>0</v>
      </c>
      <c r="AF13" s="647">
        <f>Leger2!AF13</f>
        <v>0</v>
      </c>
      <c r="AG13" s="647">
        <f>Leger2!AG13</f>
        <v>0</v>
      </c>
      <c r="AH13" s="647">
        <f>Leger2!AH13</f>
        <v>0</v>
      </c>
      <c r="AI13" s="647">
        <f>Leger2!AI13</f>
        <v>0</v>
      </c>
      <c r="AJ13" s="647">
        <f>Leger2!AJ13</f>
        <v>0</v>
      </c>
      <c r="AK13" s="647">
        <f>Leger2!AK13</f>
        <v>0</v>
      </c>
      <c r="AL13" s="647">
        <f>Leger2!AL13</f>
        <v>0</v>
      </c>
      <c r="AM13" s="647">
        <f>Leger2!AM13</f>
        <v>0</v>
      </c>
      <c r="AN13" s="647">
        <f>Leger2!AN13</f>
        <v>0</v>
      </c>
      <c r="AO13" s="647">
        <f>Leger2!AO13</f>
        <v>0</v>
      </c>
      <c r="AP13" s="647">
        <f>Leger2!AP13</f>
        <v>0</v>
      </c>
      <c r="AQ13" s="647">
        <f>Leger2!AQ13</f>
        <v>0</v>
      </c>
      <c r="AR13" s="647">
        <f>Leger2!AR13</f>
        <v>0</v>
      </c>
      <c r="AS13" s="647">
        <f>Leger2!AS13</f>
        <v>0</v>
      </c>
      <c r="AT13" s="647">
        <f>Leger2!AT13</f>
        <v>0</v>
      </c>
      <c r="AU13" s="647">
        <f>Leger2!AU13</f>
        <v>0</v>
      </c>
      <c r="AV13" s="647">
        <f>Leger2!AV13</f>
        <v>0</v>
      </c>
      <c r="AW13" s="647">
        <f>Leger2!AW13</f>
        <v>0</v>
      </c>
      <c r="AX13" s="647">
        <f>Leger2!AX13</f>
        <v>0</v>
      </c>
      <c r="AY13" s="647">
        <f>Leger2!AY13</f>
        <v>0</v>
      </c>
      <c r="AZ13" s="647">
        <f>Leger2!AZ13</f>
        <v>0</v>
      </c>
      <c r="BA13" s="213" t="str">
        <f t="shared" si="2"/>
        <v>D</v>
      </c>
      <c r="BB13" s="389" t="str">
        <f t="shared" si="0"/>
        <v/>
      </c>
      <c r="BC13" s="390" t="str">
        <f t="shared" si="1"/>
        <v/>
      </c>
      <c r="BD13" s="214" t="str">
        <f t="shared" si="3"/>
        <v/>
      </c>
    </row>
    <row r="14" spans="2:56" ht="16.5">
      <c r="E14" s="211">
        <f>Biodata!B13</f>
        <v>8</v>
      </c>
      <c r="F14" s="212">
        <f>IF(Biodata!C13="","",VLOOKUP(E14,Biodata_Siswa,2,FALSE))</f>
        <v>7067</v>
      </c>
      <c r="G14" s="891" t="str">
        <f>IF(Biodata!E13="","",PROPER(VLOOKUP(E14,Biodata_Siswa,4,FALSE)))</f>
        <v>Ayu Emelia Putri</v>
      </c>
      <c r="H14" s="892"/>
      <c r="I14" s="646">
        <f>Leger2!I14</f>
        <v>0</v>
      </c>
      <c r="J14" s="647">
        <f>Leger2!J14</f>
        <v>0</v>
      </c>
      <c r="K14" s="647">
        <f>Leger2!K14</f>
        <v>0</v>
      </c>
      <c r="L14" s="647">
        <f>Leger2!L14</f>
        <v>0</v>
      </c>
      <c r="M14" s="647">
        <f>Leger2!M14</f>
        <v>0</v>
      </c>
      <c r="N14" s="647">
        <f>Leger2!N14</f>
        <v>0</v>
      </c>
      <c r="O14" s="647">
        <f>Leger2!O14</f>
        <v>0</v>
      </c>
      <c r="P14" s="647">
        <f>Leger2!P14</f>
        <v>0</v>
      </c>
      <c r="Q14" s="647">
        <f>Leger2!Q14</f>
        <v>0</v>
      </c>
      <c r="R14" s="647">
        <f>Leger2!R14</f>
        <v>0</v>
      </c>
      <c r="S14" s="647">
        <f>Leger2!S14</f>
        <v>0</v>
      </c>
      <c r="T14" s="647">
        <f>Leger2!T14</f>
        <v>0</v>
      </c>
      <c r="U14" s="647">
        <f>Leger2!U14</f>
        <v>0</v>
      </c>
      <c r="V14" s="647">
        <f>Leger2!V14</f>
        <v>0</v>
      </c>
      <c r="W14" s="647">
        <f>Leger2!W14</f>
        <v>0</v>
      </c>
      <c r="X14" s="647">
        <f>Leger2!X14</f>
        <v>0</v>
      </c>
      <c r="Y14" s="647">
        <f>Leger2!Y14</f>
        <v>0</v>
      </c>
      <c r="Z14" s="647">
        <f>Leger2!Z14</f>
        <v>0</v>
      </c>
      <c r="AA14" s="647">
        <f>Leger2!AA14</f>
        <v>0</v>
      </c>
      <c r="AB14" s="647">
        <f>Leger2!AB14</f>
        <v>0</v>
      </c>
      <c r="AC14" s="647">
        <f>Leger2!AC14</f>
        <v>0</v>
      </c>
      <c r="AD14" s="647">
        <f>Leger2!AD14</f>
        <v>0</v>
      </c>
      <c r="AE14" s="647">
        <f>Leger2!AE14</f>
        <v>0</v>
      </c>
      <c r="AF14" s="647">
        <f>Leger2!AF14</f>
        <v>0</v>
      </c>
      <c r="AG14" s="647">
        <f>Leger2!AG14</f>
        <v>0</v>
      </c>
      <c r="AH14" s="647">
        <f>Leger2!AH14</f>
        <v>0</v>
      </c>
      <c r="AI14" s="647">
        <f>Leger2!AI14</f>
        <v>0</v>
      </c>
      <c r="AJ14" s="647">
        <f>Leger2!AJ14</f>
        <v>0</v>
      </c>
      <c r="AK14" s="647">
        <f>Leger2!AK14</f>
        <v>0</v>
      </c>
      <c r="AL14" s="647">
        <f>Leger2!AL14</f>
        <v>0</v>
      </c>
      <c r="AM14" s="647">
        <f>Leger2!AM14</f>
        <v>0</v>
      </c>
      <c r="AN14" s="647">
        <f>Leger2!AN14</f>
        <v>0</v>
      </c>
      <c r="AO14" s="647">
        <f>Leger2!AO14</f>
        <v>0</v>
      </c>
      <c r="AP14" s="647">
        <f>Leger2!AP14</f>
        <v>0</v>
      </c>
      <c r="AQ14" s="647">
        <f>Leger2!AQ14</f>
        <v>0</v>
      </c>
      <c r="AR14" s="647">
        <f>Leger2!AR14</f>
        <v>0</v>
      </c>
      <c r="AS14" s="647">
        <f>Leger2!AS14</f>
        <v>0</v>
      </c>
      <c r="AT14" s="647">
        <f>Leger2!AT14</f>
        <v>0</v>
      </c>
      <c r="AU14" s="647">
        <f>Leger2!AU14</f>
        <v>0</v>
      </c>
      <c r="AV14" s="647">
        <f>Leger2!AV14</f>
        <v>0</v>
      </c>
      <c r="AW14" s="647">
        <f>Leger2!AW14</f>
        <v>0</v>
      </c>
      <c r="AX14" s="647">
        <f>Leger2!AX14</f>
        <v>0</v>
      </c>
      <c r="AY14" s="647">
        <f>Leger2!AY14</f>
        <v>0</v>
      </c>
      <c r="AZ14" s="647">
        <f>Leger2!AZ14</f>
        <v>0</v>
      </c>
      <c r="BA14" s="213" t="str">
        <f t="shared" si="2"/>
        <v>D</v>
      </c>
      <c r="BB14" s="389" t="str">
        <f t="shared" si="0"/>
        <v/>
      </c>
      <c r="BC14" s="390" t="str">
        <f t="shared" si="1"/>
        <v/>
      </c>
      <c r="BD14" s="214" t="str">
        <f t="shared" si="3"/>
        <v/>
      </c>
    </row>
    <row r="15" spans="2:56" ht="16.5">
      <c r="E15" s="211">
        <f>Biodata!B14</f>
        <v>9</v>
      </c>
      <c r="F15" s="212">
        <f>IF(Biodata!C14="","",VLOOKUP(E15,Biodata_Siswa,2,FALSE))</f>
        <v>7068</v>
      </c>
      <c r="G15" s="891" t="str">
        <f>IF(Biodata!E14="","",PROPER(VLOOKUP(E15,Biodata_Siswa,4,FALSE)))</f>
        <v>Bayu Anggoro</v>
      </c>
      <c r="H15" s="892"/>
      <c r="I15" s="646">
        <f>Leger2!I15</f>
        <v>0</v>
      </c>
      <c r="J15" s="647">
        <f>Leger2!J15</f>
        <v>0</v>
      </c>
      <c r="K15" s="647">
        <f>Leger2!K15</f>
        <v>0</v>
      </c>
      <c r="L15" s="647">
        <f>Leger2!L15</f>
        <v>0</v>
      </c>
      <c r="M15" s="647">
        <f>Leger2!M15</f>
        <v>0</v>
      </c>
      <c r="N15" s="647">
        <f>Leger2!N15</f>
        <v>0</v>
      </c>
      <c r="O15" s="647">
        <f>Leger2!O15</f>
        <v>0</v>
      </c>
      <c r="P15" s="647">
        <f>Leger2!P15</f>
        <v>0</v>
      </c>
      <c r="Q15" s="647">
        <f>Leger2!Q15</f>
        <v>0</v>
      </c>
      <c r="R15" s="647">
        <f>Leger2!R15</f>
        <v>0</v>
      </c>
      <c r="S15" s="647">
        <f>Leger2!S15</f>
        <v>0</v>
      </c>
      <c r="T15" s="647">
        <f>Leger2!T15</f>
        <v>0</v>
      </c>
      <c r="U15" s="647">
        <f>Leger2!U15</f>
        <v>0</v>
      </c>
      <c r="V15" s="647">
        <f>Leger2!V15</f>
        <v>0</v>
      </c>
      <c r="W15" s="647">
        <f>Leger2!W15</f>
        <v>0</v>
      </c>
      <c r="X15" s="647">
        <f>Leger2!X15</f>
        <v>0</v>
      </c>
      <c r="Y15" s="647">
        <f>Leger2!Y15</f>
        <v>0</v>
      </c>
      <c r="Z15" s="647">
        <f>Leger2!Z15</f>
        <v>0</v>
      </c>
      <c r="AA15" s="647">
        <f>Leger2!AA15</f>
        <v>0</v>
      </c>
      <c r="AB15" s="647">
        <f>Leger2!AB15</f>
        <v>0</v>
      </c>
      <c r="AC15" s="647">
        <f>Leger2!AC15</f>
        <v>0</v>
      </c>
      <c r="AD15" s="647">
        <f>Leger2!AD15</f>
        <v>0</v>
      </c>
      <c r="AE15" s="647">
        <f>Leger2!AE15</f>
        <v>0</v>
      </c>
      <c r="AF15" s="647">
        <f>Leger2!AF15</f>
        <v>0</v>
      </c>
      <c r="AG15" s="647">
        <f>Leger2!AG15</f>
        <v>0</v>
      </c>
      <c r="AH15" s="647">
        <f>Leger2!AH15</f>
        <v>0</v>
      </c>
      <c r="AI15" s="647">
        <f>Leger2!AI15</f>
        <v>0</v>
      </c>
      <c r="AJ15" s="647">
        <f>Leger2!AJ15</f>
        <v>0</v>
      </c>
      <c r="AK15" s="647">
        <f>Leger2!AK15</f>
        <v>0</v>
      </c>
      <c r="AL15" s="647">
        <f>Leger2!AL15</f>
        <v>0</v>
      </c>
      <c r="AM15" s="647">
        <f>Leger2!AM15</f>
        <v>0</v>
      </c>
      <c r="AN15" s="647">
        <f>Leger2!AN15</f>
        <v>0</v>
      </c>
      <c r="AO15" s="647">
        <f>Leger2!AO15</f>
        <v>0</v>
      </c>
      <c r="AP15" s="647">
        <f>Leger2!AP15</f>
        <v>0</v>
      </c>
      <c r="AQ15" s="647">
        <f>Leger2!AQ15</f>
        <v>0</v>
      </c>
      <c r="AR15" s="647">
        <f>Leger2!AR15</f>
        <v>0</v>
      </c>
      <c r="AS15" s="647">
        <f>Leger2!AS15</f>
        <v>0</v>
      </c>
      <c r="AT15" s="647">
        <f>Leger2!AT15</f>
        <v>0</v>
      </c>
      <c r="AU15" s="647">
        <f>Leger2!AU15</f>
        <v>0</v>
      </c>
      <c r="AV15" s="647">
        <f>Leger2!AV15</f>
        <v>0</v>
      </c>
      <c r="AW15" s="647">
        <f>Leger2!AW15</f>
        <v>0</v>
      </c>
      <c r="AX15" s="647">
        <f>Leger2!AX15</f>
        <v>0</v>
      </c>
      <c r="AY15" s="647">
        <f>Leger2!AY15</f>
        <v>0</v>
      </c>
      <c r="AZ15" s="647">
        <f>Leger2!AZ15</f>
        <v>0</v>
      </c>
      <c r="BA15" s="213" t="str">
        <f t="shared" si="2"/>
        <v>D</v>
      </c>
      <c r="BB15" s="389" t="str">
        <f t="shared" si="0"/>
        <v/>
      </c>
      <c r="BC15" s="390" t="str">
        <f t="shared" si="1"/>
        <v/>
      </c>
      <c r="BD15" s="214" t="str">
        <f t="shared" si="3"/>
        <v/>
      </c>
    </row>
    <row r="16" spans="2:56" ht="16.5">
      <c r="E16" s="211">
        <f>Biodata!B15</f>
        <v>10</v>
      </c>
      <c r="F16" s="212">
        <f>IF(Biodata!C15="","",VLOOKUP(E16,Biodata_Siswa,2,FALSE))</f>
        <v>7069</v>
      </c>
      <c r="G16" s="891" t="str">
        <f>IF(Biodata!E15="","",PROPER(VLOOKUP(E16,Biodata_Siswa,4,FALSE)))</f>
        <v>Calissta Sabrina Salwa Aurelia</v>
      </c>
      <c r="H16" s="892"/>
      <c r="I16" s="646">
        <f>Leger2!I16</f>
        <v>0</v>
      </c>
      <c r="J16" s="647">
        <f>Leger2!J16</f>
        <v>0</v>
      </c>
      <c r="K16" s="647">
        <f>Leger2!K16</f>
        <v>0</v>
      </c>
      <c r="L16" s="647">
        <f>Leger2!L16</f>
        <v>0</v>
      </c>
      <c r="M16" s="647">
        <f>Leger2!M16</f>
        <v>0</v>
      </c>
      <c r="N16" s="647">
        <f>Leger2!N16</f>
        <v>0</v>
      </c>
      <c r="O16" s="647">
        <f>Leger2!O16</f>
        <v>0</v>
      </c>
      <c r="P16" s="647">
        <f>Leger2!P16</f>
        <v>0</v>
      </c>
      <c r="Q16" s="647">
        <f>Leger2!Q16</f>
        <v>0</v>
      </c>
      <c r="R16" s="647">
        <f>Leger2!R16</f>
        <v>0</v>
      </c>
      <c r="S16" s="647">
        <f>Leger2!S16</f>
        <v>0</v>
      </c>
      <c r="T16" s="647">
        <f>Leger2!T16</f>
        <v>0</v>
      </c>
      <c r="U16" s="647">
        <f>Leger2!U16</f>
        <v>0</v>
      </c>
      <c r="V16" s="647">
        <f>Leger2!V16</f>
        <v>0</v>
      </c>
      <c r="W16" s="647">
        <f>Leger2!W16</f>
        <v>0</v>
      </c>
      <c r="X16" s="647">
        <f>Leger2!X16</f>
        <v>0</v>
      </c>
      <c r="Y16" s="647">
        <f>Leger2!Y16</f>
        <v>0</v>
      </c>
      <c r="Z16" s="647">
        <f>Leger2!Z16</f>
        <v>0</v>
      </c>
      <c r="AA16" s="647">
        <f>Leger2!AA16</f>
        <v>0</v>
      </c>
      <c r="AB16" s="647">
        <f>Leger2!AB16</f>
        <v>0</v>
      </c>
      <c r="AC16" s="647">
        <f>Leger2!AC16</f>
        <v>0</v>
      </c>
      <c r="AD16" s="647">
        <f>Leger2!AD16</f>
        <v>0</v>
      </c>
      <c r="AE16" s="647">
        <f>Leger2!AE16</f>
        <v>0</v>
      </c>
      <c r="AF16" s="647">
        <f>Leger2!AF16</f>
        <v>0</v>
      </c>
      <c r="AG16" s="647">
        <f>Leger2!AG16</f>
        <v>0</v>
      </c>
      <c r="AH16" s="647">
        <f>Leger2!AH16</f>
        <v>0</v>
      </c>
      <c r="AI16" s="647">
        <f>Leger2!AI16</f>
        <v>0</v>
      </c>
      <c r="AJ16" s="647">
        <f>Leger2!AJ16</f>
        <v>0</v>
      </c>
      <c r="AK16" s="647">
        <f>Leger2!AK16</f>
        <v>0</v>
      </c>
      <c r="AL16" s="647">
        <f>Leger2!AL16</f>
        <v>0</v>
      </c>
      <c r="AM16" s="647">
        <f>Leger2!AM16</f>
        <v>0</v>
      </c>
      <c r="AN16" s="647">
        <f>Leger2!AN16</f>
        <v>0</v>
      </c>
      <c r="AO16" s="647">
        <f>Leger2!AO16</f>
        <v>0</v>
      </c>
      <c r="AP16" s="647">
        <f>Leger2!AP16</f>
        <v>0</v>
      </c>
      <c r="AQ16" s="647">
        <f>Leger2!AQ16</f>
        <v>0</v>
      </c>
      <c r="AR16" s="647">
        <f>Leger2!AR16</f>
        <v>0</v>
      </c>
      <c r="AS16" s="647">
        <f>Leger2!AS16</f>
        <v>0</v>
      </c>
      <c r="AT16" s="647">
        <f>Leger2!AT16</f>
        <v>0</v>
      </c>
      <c r="AU16" s="647">
        <f>Leger2!AU16</f>
        <v>0</v>
      </c>
      <c r="AV16" s="647">
        <f>Leger2!AV16</f>
        <v>0</v>
      </c>
      <c r="AW16" s="647">
        <f>Leger2!AW16</f>
        <v>0</v>
      </c>
      <c r="AX16" s="647">
        <f>Leger2!AX16</f>
        <v>0</v>
      </c>
      <c r="AY16" s="647">
        <f>Leger2!AY16</f>
        <v>0</v>
      </c>
      <c r="AZ16" s="647">
        <f>Leger2!AZ16</f>
        <v>0</v>
      </c>
      <c r="BA16" s="213" t="str">
        <f t="shared" si="2"/>
        <v>D</v>
      </c>
      <c r="BB16" s="389" t="str">
        <f t="shared" si="0"/>
        <v/>
      </c>
      <c r="BC16" s="390" t="str">
        <f t="shared" si="1"/>
        <v/>
      </c>
      <c r="BD16" s="214" t="str">
        <f t="shared" si="3"/>
        <v/>
      </c>
    </row>
    <row r="17" spans="5:56" ht="16.5">
      <c r="E17" s="211">
        <f>Biodata!B16</f>
        <v>11</v>
      </c>
      <c r="F17" s="212">
        <f>IF(Biodata!C16="","",VLOOKUP(E17,Biodata_Siswa,2,FALSE))</f>
        <v>7074</v>
      </c>
      <c r="G17" s="891" t="str">
        <f>IF(Biodata!E16="","",PROPER(VLOOKUP(E17,Biodata_Siswa,4,FALSE)))</f>
        <v>Dea Safitri</v>
      </c>
      <c r="H17" s="892"/>
      <c r="I17" s="646">
        <f>Leger2!I17</f>
        <v>0</v>
      </c>
      <c r="J17" s="647">
        <f>Leger2!J17</f>
        <v>0</v>
      </c>
      <c r="K17" s="647">
        <f>Leger2!K17</f>
        <v>0</v>
      </c>
      <c r="L17" s="647">
        <f>Leger2!L17</f>
        <v>0</v>
      </c>
      <c r="M17" s="647">
        <f>Leger2!M17</f>
        <v>0</v>
      </c>
      <c r="N17" s="647">
        <f>Leger2!N17</f>
        <v>0</v>
      </c>
      <c r="O17" s="647">
        <f>Leger2!O17</f>
        <v>0</v>
      </c>
      <c r="P17" s="647">
        <f>Leger2!P17</f>
        <v>0</v>
      </c>
      <c r="Q17" s="647">
        <f>Leger2!Q17</f>
        <v>0</v>
      </c>
      <c r="R17" s="647">
        <f>Leger2!R17</f>
        <v>0</v>
      </c>
      <c r="S17" s="647">
        <f>Leger2!S17</f>
        <v>0</v>
      </c>
      <c r="T17" s="647">
        <f>Leger2!T17</f>
        <v>0</v>
      </c>
      <c r="U17" s="647">
        <f>Leger2!U17</f>
        <v>0</v>
      </c>
      <c r="V17" s="647">
        <f>Leger2!V17</f>
        <v>0</v>
      </c>
      <c r="W17" s="647">
        <f>Leger2!W17</f>
        <v>0</v>
      </c>
      <c r="X17" s="647">
        <f>Leger2!X17</f>
        <v>0</v>
      </c>
      <c r="Y17" s="647">
        <f>Leger2!Y17</f>
        <v>0</v>
      </c>
      <c r="Z17" s="647">
        <f>Leger2!Z17</f>
        <v>0</v>
      </c>
      <c r="AA17" s="647">
        <f>Leger2!AA17</f>
        <v>0</v>
      </c>
      <c r="AB17" s="647">
        <f>Leger2!AB17</f>
        <v>0</v>
      </c>
      <c r="AC17" s="647">
        <f>Leger2!AC17</f>
        <v>0</v>
      </c>
      <c r="AD17" s="647">
        <f>Leger2!AD17</f>
        <v>0</v>
      </c>
      <c r="AE17" s="647">
        <f>Leger2!AE17</f>
        <v>0</v>
      </c>
      <c r="AF17" s="647">
        <f>Leger2!AF17</f>
        <v>0</v>
      </c>
      <c r="AG17" s="647">
        <f>Leger2!AG17</f>
        <v>0</v>
      </c>
      <c r="AH17" s="647">
        <f>Leger2!AH17</f>
        <v>0</v>
      </c>
      <c r="AI17" s="647">
        <f>Leger2!AI17</f>
        <v>0</v>
      </c>
      <c r="AJ17" s="647">
        <f>Leger2!AJ17</f>
        <v>0</v>
      </c>
      <c r="AK17" s="647">
        <f>Leger2!AK17</f>
        <v>0</v>
      </c>
      <c r="AL17" s="647">
        <f>Leger2!AL17</f>
        <v>0</v>
      </c>
      <c r="AM17" s="647">
        <f>Leger2!AM17</f>
        <v>0</v>
      </c>
      <c r="AN17" s="647">
        <f>Leger2!AN17</f>
        <v>0</v>
      </c>
      <c r="AO17" s="647">
        <f>Leger2!AO17</f>
        <v>0</v>
      </c>
      <c r="AP17" s="647">
        <f>Leger2!AP17</f>
        <v>0</v>
      </c>
      <c r="AQ17" s="647">
        <f>Leger2!AQ17</f>
        <v>0</v>
      </c>
      <c r="AR17" s="647">
        <f>Leger2!AR17</f>
        <v>0</v>
      </c>
      <c r="AS17" s="647">
        <f>Leger2!AS17</f>
        <v>0</v>
      </c>
      <c r="AT17" s="647">
        <f>Leger2!AT17</f>
        <v>0</v>
      </c>
      <c r="AU17" s="647">
        <f>Leger2!AU17</f>
        <v>0</v>
      </c>
      <c r="AV17" s="647">
        <f>Leger2!AV17</f>
        <v>0</v>
      </c>
      <c r="AW17" s="647">
        <f>Leger2!AW17</f>
        <v>0</v>
      </c>
      <c r="AX17" s="647">
        <f>Leger2!AX17</f>
        <v>0</v>
      </c>
      <c r="AY17" s="647">
        <f>Leger2!AY17</f>
        <v>0</v>
      </c>
      <c r="AZ17" s="647">
        <f>Leger2!AZ17</f>
        <v>0</v>
      </c>
      <c r="BA17" s="213" t="str">
        <f t="shared" si="2"/>
        <v>D</v>
      </c>
      <c r="BB17" s="389" t="str">
        <f t="shared" si="0"/>
        <v/>
      </c>
      <c r="BC17" s="390" t="str">
        <f t="shared" si="1"/>
        <v/>
      </c>
      <c r="BD17" s="214" t="str">
        <f t="shared" si="3"/>
        <v/>
      </c>
    </row>
    <row r="18" spans="5:56" ht="16.5">
      <c r="E18" s="211">
        <f>Biodata!B17</f>
        <v>12</v>
      </c>
      <c r="F18" s="212">
        <f>IF(Biodata!C17="","",VLOOKUP(E18,Biodata_Siswa,2,FALSE))</f>
        <v>7080</v>
      </c>
      <c r="G18" s="891" t="str">
        <f>IF(Biodata!E17="","",PROPER(VLOOKUP(E18,Biodata_Siswa,4,FALSE)))</f>
        <v>Dewi Wulandari</v>
      </c>
      <c r="H18" s="892"/>
      <c r="I18" s="646">
        <f>Leger2!I18</f>
        <v>0</v>
      </c>
      <c r="J18" s="647">
        <f>Leger2!J18</f>
        <v>0</v>
      </c>
      <c r="K18" s="647">
        <f>Leger2!K18</f>
        <v>0</v>
      </c>
      <c r="L18" s="647">
        <f>Leger2!L18</f>
        <v>0</v>
      </c>
      <c r="M18" s="647">
        <f>Leger2!M18</f>
        <v>0</v>
      </c>
      <c r="N18" s="647">
        <f>Leger2!N18</f>
        <v>0</v>
      </c>
      <c r="O18" s="647">
        <f>Leger2!O18</f>
        <v>0</v>
      </c>
      <c r="P18" s="647">
        <f>Leger2!P18</f>
        <v>0</v>
      </c>
      <c r="Q18" s="647">
        <f>Leger2!Q18</f>
        <v>0</v>
      </c>
      <c r="R18" s="647">
        <f>Leger2!R18</f>
        <v>0</v>
      </c>
      <c r="S18" s="647">
        <f>Leger2!S18</f>
        <v>0</v>
      </c>
      <c r="T18" s="647">
        <f>Leger2!T18</f>
        <v>0</v>
      </c>
      <c r="U18" s="647">
        <f>Leger2!U18</f>
        <v>0</v>
      </c>
      <c r="V18" s="647">
        <f>Leger2!V18</f>
        <v>0</v>
      </c>
      <c r="W18" s="647">
        <f>Leger2!W18</f>
        <v>0</v>
      </c>
      <c r="X18" s="647">
        <f>Leger2!X18</f>
        <v>0</v>
      </c>
      <c r="Y18" s="647">
        <f>Leger2!Y18</f>
        <v>0</v>
      </c>
      <c r="Z18" s="647">
        <f>Leger2!Z18</f>
        <v>0</v>
      </c>
      <c r="AA18" s="647">
        <f>Leger2!AA18</f>
        <v>0</v>
      </c>
      <c r="AB18" s="647">
        <f>Leger2!AB18</f>
        <v>0</v>
      </c>
      <c r="AC18" s="647">
        <f>Leger2!AC18</f>
        <v>0</v>
      </c>
      <c r="AD18" s="647">
        <f>Leger2!AD18</f>
        <v>0</v>
      </c>
      <c r="AE18" s="647">
        <f>Leger2!AE18</f>
        <v>0</v>
      </c>
      <c r="AF18" s="647">
        <f>Leger2!AF18</f>
        <v>0</v>
      </c>
      <c r="AG18" s="647">
        <f>Leger2!AG18</f>
        <v>0</v>
      </c>
      <c r="AH18" s="647">
        <f>Leger2!AH18</f>
        <v>0</v>
      </c>
      <c r="AI18" s="647">
        <f>Leger2!AI18</f>
        <v>0</v>
      </c>
      <c r="AJ18" s="647">
        <f>Leger2!AJ18</f>
        <v>0</v>
      </c>
      <c r="AK18" s="647">
        <f>Leger2!AK18</f>
        <v>0</v>
      </c>
      <c r="AL18" s="647">
        <f>Leger2!AL18</f>
        <v>0</v>
      </c>
      <c r="AM18" s="647">
        <f>Leger2!AM18</f>
        <v>0</v>
      </c>
      <c r="AN18" s="647">
        <f>Leger2!AN18</f>
        <v>0</v>
      </c>
      <c r="AO18" s="647">
        <f>Leger2!AO18</f>
        <v>0</v>
      </c>
      <c r="AP18" s="647">
        <f>Leger2!AP18</f>
        <v>0</v>
      </c>
      <c r="AQ18" s="647">
        <f>Leger2!AQ18</f>
        <v>0</v>
      </c>
      <c r="AR18" s="647">
        <f>Leger2!AR18</f>
        <v>0</v>
      </c>
      <c r="AS18" s="647">
        <f>Leger2!AS18</f>
        <v>0</v>
      </c>
      <c r="AT18" s="647">
        <f>Leger2!AT18</f>
        <v>0</v>
      </c>
      <c r="AU18" s="647">
        <f>Leger2!AU18</f>
        <v>0</v>
      </c>
      <c r="AV18" s="647">
        <f>Leger2!AV18</f>
        <v>0</v>
      </c>
      <c r="AW18" s="647">
        <f>Leger2!AW18</f>
        <v>0</v>
      </c>
      <c r="AX18" s="647">
        <f>Leger2!AX18</f>
        <v>0</v>
      </c>
      <c r="AY18" s="647">
        <f>Leger2!AY18</f>
        <v>0</v>
      </c>
      <c r="AZ18" s="647">
        <f>Leger2!AZ18</f>
        <v>0</v>
      </c>
      <c r="BA18" s="213" t="str">
        <f t="shared" si="2"/>
        <v>D</v>
      </c>
      <c r="BB18" s="389" t="str">
        <f t="shared" si="0"/>
        <v/>
      </c>
      <c r="BC18" s="390" t="str">
        <f t="shared" si="1"/>
        <v/>
      </c>
      <c r="BD18" s="214" t="str">
        <f t="shared" si="3"/>
        <v/>
      </c>
    </row>
    <row r="19" spans="5:56" ht="16.5">
      <c r="E19" s="211">
        <f>Biodata!B18</f>
        <v>13</v>
      </c>
      <c r="F19" s="212">
        <f>IF(Biodata!C18="","",VLOOKUP(E19,Biodata_Siswa,2,FALSE))</f>
        <v>7084</v>
      </c>
      <c r="G19" s="891" t="str">
        <f>IF(Biodata!E18="","",PROPER(VLOOKUP(E19,Biodata_Siswa,4,FALSE)))</f>
        <v>Dony Pratama</v>
      </c>
      <c r="H19" s="892"/>
      <c r="I19" s="646">
        <f>Leger2!I19</f>
        <v>0</v>
      </c>
      <c r="J19" s="647">
        <f>Leger2!J19</f>
        <v>0</v>
      </c>
      <c r="K19" s="647">
        <f>Leger2!K19</f>
        <v>0</v>
      </c>
      <c r="L19" s="647">
        <f>Leger2!L19</f>
        <v>0</v>
      </c>
      <c r="M19" s="647">
        <f>Leger2!M19</f>
        <v>0</v>
      </c>
      <c r="N19" s="647">
        <f>Leger2!N19</f>
        <v>0</v>
      </c>
      <c r="O19" s="647">
        <f>Leger2!O19</f>
        <v>0</v>
      </c>
      <c r="P19" s="647">
        <f>Leger2!P19</f>
        <v>0</v>
      </c>
      <c r="Q19" s="647">
        <f>Leger2!Q19</f>
        <v>0</v>
      </c>
      <c r="R19" s="647">
        <f>Leger2!R19</f>
        <v>0</v>
      </c>
      <c r="S19" s="647">
        <f>Leger2!S19</f>
        <v>0</v>
      </c>
      <c r="T19" s="647">
        <f>Leger2!T19</f>
        <v>0</v>
      </c>
      <c r="U19" s="647">
        <f>Leger2!U19</f>
        <v>0</v>
      </c>
      <c r="V19" s="647">
        <f>Leger2!V19</f>
        <v>0</v>
      </c>
      <c r="W19" s="647">
        <f>Leger2!W19</f>
        <v>0</v>
      </c>
      <c r="X19" s="647">
        <f>Leger2!X19</f>
        <v>0</v>
      </c>
      <c r="Y19" s="647">
        <f>Leger2!Y19</f>
        <v>0</v>
      </c>
      <c r="Z19" s="647">
        <f>Leger2!Z19</f>
        <v>0</v>
      </c>
      <c r="AA19" s="647">
        <f>Leger2!AA19</f>
        <v>0</v>
      </c>
      <c r="AB19" s="647">
        <f>Leger2!AB19</f>
        <v>0</v>
      </c>
      <c r="AC19" s="647">
        <f>Leger2!AC19</f>
        <v>0</v>
      </c>
      <c r="AD19" s="647">
        <f>Leger2!AD19</f>
        <v>0</v>
      </c>
      <c r="AE19" s="647">
        <f>Leger2!AE19</f>
        <v>0</v>
      </c>
      <c r="AF19" s="647">
        <f>Leger2!AF19</f>
        <v>0</v>
      </c>
      <c r="AG19" s="647">
        <f>Leger2!AG19</f>
        <v>0</v>
      </c>
      <c r="AH19" s="647">
        <f>Leger2!AH19</f>
        <v>0</v>
      </c>
      <c r="AI19" s="647">
        <f>Leger2!AI19</f>
        <v>0</v>
      </c>
      <c r="AJ19" s="647">
        <f>Leger2!AJ19</f>
        <v>0</v>
      </c>
      <c r="AK19" s="647">
        <f>Leger2!AK19</f>
        <v>0</v>
      </c>
      <c r="AL19" s="647">
        <f>Leger2!AL19</f>
        <v>0</v>
      </c>
      <c r="AM19" s="647">
        <f>Leger2!AM19</f>
        <v>0</v>
      </c>
      <c r="AN19" s="647">
        <f>Leger2!AN19</f>
        <v>0</v>
      </c>
      <c r="AO19" s="647">
        <f>Leger2!AO19</f>
        <v>0</v>
      </c>
      <c r="AP19" s="647">
        <f>Leger2!AP19</f>
        <v>0</v>
      </c>
      <c r="AQ19" s="647">
        <f>Leger2!AQ19</f>
        <v>0</v>
      </c>
      <c r="AR19" s="647">
        <f>Leger2!AR19</f>
        <v>0</v>
      </c>
      <c r="AS19" s="647">
        <f>Leger2!AS19</f>
        <v>0</v>
      </c>
      <c r="AT19" s="647">
        <f>Leger2!AT19</f>
        <v>0</v>
      </c>
      <c r="AU19" s="647">
        <f>Leger2!AU19</f>
        <v>0</v>
      </c>
      <c r="AV19" s="647">
        <f>Leger2!AV19</f>
        <v>0</v>
      </c>
      <c r="AW19" s="647">
        <f>Leger2!AW19</f>
        <v>0</v>
      </c>
      <c r="AX19" s="647">
        <f>Leger2!AX19</f>
        <v>0</v>
      </c>
      <c r="AY19" s="647">
        <f>Leger2!AY19</f>
        <v>0</v>
      </c>
      <c r="AZ19" s="647">
        <f>Leger2!AZ19</f>
        <v>0</v>
      </c>
      <c r="BA19" s="213" t="str">
        <f t="shared" si="2"/>
        <v>D</v>
      </c>
      <c r="BB19" s="389" t="str">
        <f t="shared" si="0"/>
        <v/>
      </c>
      <c r="BC19" s="390" t="str">
        <f t="shared" si="1"/>
        <v/>
      </c>
      <c r="BD19" s="214" t="str">
        <f t="shared" si="3"/>
        <v/>
      </c>
    </row>
    <row r="20" spans="5:56" ht="16.5">
      <c r="E20" s="211">
        <f>Biodata!B19</f>
        <v>14</v>
      </c>
      <c r="F20" s="212">
        <f>IF(Biodata!C19="","",VLOOKUP(E20,Biodata_Siswa,2,FALSE))</f>
        <v>7089</v>
      </c>
      <c r="G20" s="891" t="str">
        <f>IF(Biodata!E19="","",PROPER(VLOOKUP(E20,Biodata_Siswa,4,FALSE)))</f>
        <v>Faris Febram</v>
      </c>
      <c r="H20" s="892"/>
      <c r="I20" s="646">
        <f>Leger2!I20</f>
        <v>0</v>
      </c>
      <c r="J20" s="647">
        <f>Leger2!J20</f>
        <v>0</v>
      </c>
      <c r="K20" s="647">
        <f>Leger2!K20</f>
        <v>0</v>
      </c>
      <c r="L20" s="647">
        <f>Leger2!L20</f>
        <v>0</v>
      </c>
      <c r="M20" s="647">
        <f>Leger2!M20</f>
        <v>0</v>
      </c>
      <c r="N20" s="647">
        <f>Leger2!N20</f>
        <v>0</v>
      </c>
      <c r="O20" s="647">
        <f>Leger2!O20</f>
        <v>0</v>
      </c>
      <c r="P20" s="647">
        <f>Leger2!P20</f>
        <v>0</v>
      </c>
      <c r="Q20" s="647">
        <f>Leger2!Q20</f>
        <v>0</v>
      </c>
      <c r="R20" s="647">
        <f>Leger2!R20</f>
        <v>0</v>
      </c>
      <c r="S20" s="647">
        <f>Leger2!S20</f>
        <v>0</v>
      </c>
      <c r="T20" s="647">
        <f>Leger2!T20</f>
        <v>0</v>
      </c>
      <c r="U20" s="647">
        <f>Leger2!U20</f>
        <v>0</v>
      </c>
      <c r="V20" s="647">
        <f>Leger2!V20</f>
        <v>0</v>
      </c>
      <c r="W20" s="647">
        <f>Leger2!W20</f>
        <v>0</v>
      </c>
      <c r="X20" s="647">
        <f>Leger2!X20</f>
        <v>0</v>
      </c>
      <c r="Y20" s="647">
        <f>Leger2!Y20</f>
        <v>0</v>
      </c>
      <c r="Z20" s="647">
        <f>Leger2!Z20</f>
        <v>0</v>
      </c>
      <c r="AA20" s="647">
        <f>Leger2!AA20</f>
        <v>0</v>
      </c>
      <c r="AB20" s="647">
        <f>Leger2!AB20</f>
        <v>0</v>
      </c>
      <c r="AC20" s="647">
        <f>Leger2!AC20</f>
        <v>0</v>
      </c>
      <c r="AD20" s="647">
        <f>Leger2!AD20</f>
        <v>0</v>
      </c>
      <c r="AE20" s="647">
        <f>Leger2!AE20</f>
        <v>0</v>
      </c>
      <c r="AF20" s="647">
        <f>Leger2!AF20</f>
        <v>0</v>
      </c>
      <c r="AG20" s="647">
        <f>Leger2!AG20</f>
        <v>0</v>
      </c>
      <c r="AH20" s="647">
        <f>Leger2!AH20</f>
        <v>0</v>
      </c>
      <c r="AI20" s="647">
        <f>Leger2!AI20</f>
        <v>0</v>
      </c>
      <c r="AJ20" s="647">
        <f>Leger2!AJ20</f>
        <v>0</v>
      </c>
      <c r="AK20" s="647">
        <f>Leger2!AK20</f>
        <v>0</v>
      </c>
      <c r="AL20" s="647">
        <f>Leger2!AL20</f>
        <v>0</v>
      </c>
      <c r="AM20" s="647">
        <f>Leger2!AM20</f>
        <v>0</v>
      </c>
      <c r="AN20" s="647">
        <f>Leger2!AN20</f>
        <v>0</v>
      </c>
      <c r="AO20" s="647">
        <f>Leger2!AO20</f>
        <v>0</v>
      </c>
      <c r="AP20" s="647">
        <f>Leger2!AP20</f>
        <v>0</v>
      </c>
      <c r="AQ20" s="647">
        <f>Leger2!AQ20</f>
        <v>0</v>
      </c>
      <c r="AR20" s="647">
        <f>Leger2!AR20</f>
        <v>0</v>
      </c>
      <c r="AS20" s="647">
        <f>Leger2!AS20</f>
        <v>0</v>
      </c>
      <c r="AT20" s="647">
        <f>Leger2!AT20</f>
        <v>0</v>
      </c>
      <c r="AU20" s="647">
        <f>Leger2!AU20</f>
        <v>0</v>
      </c>
      <c r="AV20" s="647">
        <f>Leger2!AV20</f>
        <v>0</v>
      </c>
      <c r="AW20" s="647">
        <f>Leger2!AW20</f>
        <v>0</v>
      </c>
      <c r="AX20" s="647">
        <f>Leger2!AX20</f>
        <v>0</v>
      </c>
      <c r="AY20" s="647">
        <f>Leger2!AY20</f>
        <v>0</v>
      </c>
      <c r="AZ20" s="647">
        <f>Leger2!AZ20</f>
        <v>0</v>
      </c>
      <c r="BA20" s="213" t="str">
        <f t="shared" si="2"/>
        <v>D</v>
      </c>
      <c r="BB20" s="389" t="str">
        <f t="shared" si="0"/>
        <v/>
      </c>
      <c r="BC20" s="390" t="str">
        <f t="shared" si="1"/>
        <v/>
      </c>
      <c r="BD20" s="214" t="str">
        <f t="shared" si="3"/>
        <v/>
      </c>
    </row>
    <row r="21" spans="5:56" ht="16.5">
      <c r="E21" s="211">
        <f>Biodata!B20</f>
        <v>15</v>
      </c>
      <c r="F21" s="212">
        <f>IF(Biodata!C20="","",VLOOKUP(E21,Biodata_Siswa,2,FALSE))</f>
        <v>7095</v>
      </c>
      <c r="G21" s="891" t="str">
        <f>IF(Biodata!E20="","",PROPER(VLOOKUP(E21,Biodata_Siswa,4,FALSE)))</f>
        <v>Hikmatullah Umar Malik Abdul Aziz</v>
      </c>
      <c r="H21" s="892"/>
      <c r="I21" s="646">
        <f>Leger2!I21</f>
        <v>0</v>
      </c>
      <c r="J21" s="647">
        <f>Leger2!J21</f>
        <v>0</v>
      </c>
      <c r="K21" s="647">
        <f>Leger2!K21</f>
        <v>0</v>
      </c>
      <c r="L21" s="647">
        <f>Leger2!L21</f>
        <v>0</v>
      </c>
      <c r="M21" s="647">
        <f>Leger2!M21</f>
        <v>0</v>
      </c>
      <c r="N21" s="647">
        <f>Leger2!N21</f>
        <v>0</v>
      </c>
      <c r="O21" s="647">
        <f>Leger2!O21</f>
        <v>0</v>
      </c>
      <c r="P21" s="647">
        <f>Leger2!P21</f>
        <v>0</v>
      </c>
      <c r="Q21" s="647">
        <f>Leger2!Q21</f>
        <v>0</v>
      </c>
      <c r="R21" s="647">
        <f>Leger2!R21</f>
        <v>0</v>
      </c>
      <c r="S21" s="647">
        <f>Leger2!S21</f>
        <v>0</v>
      </c>
      <c r="T21" s="647">
        <f>Leger2!T21</f>
        <v>0</v>
      </c>
      <c r="U21" s="647">
        <f>Leger2!U21</f>
        <v>0</v>
      </c>
      <c r="V21" s="647">
        <f>Leger2!V21</f>
        <v>0</v>
      </c>
      <c r="W21" s="647">
        <f>Leger2!W21</f>
        <v>0</v>
      </c>
      <c r="X21" s="647">
        <f>Leger2!X21</f>
        <v>0</v>
      </c>
      <c r="Y21" s="647">
        <f>Leger2!Y21</f>
        <v>0</v>
      </c>
      <c r="Z21" s="647">
        <f>Leger2!Z21</f>
        <v>0</v>
      </c>
      <c r="AA21" s="647">
        <f>Leger2!AA21</f>
        <v>0</v>
      </c>
      <c r="AB21" s="647">
        <f>Leger2!AB21</f>
        <v>0</v>
      </c>
      <c r="AC21" s="647">
        <f>Leger2!AC21</f>
        <v>0</v>
      </c>
      <c r="AD21" s="647">
        <f>Leger2!AD21</f>
        <v>0</v>
      </c>
      <c r="AE21" s="647">
        <f>Leger2!AE21</f>
        <v>0</v>
      </c>
      <c r="AF21" s="647">
        <f>Leger2!AF21</f>
        <v>0</v>
      </c>
      <c r="AG21" s="647">
        <f>Leger2!AG21</f>
        <v>0</v>
      </c>
      <c r="AH21" s="647">
        <f>Leger2!AH21</f>
        <v>0</v>
      </c>
      <c r="AI21" s="647">
        <f>Leger2!AI21</f>
        <v>0</v>
      </c>
      <c r="AJ21" s="647">
        <f>Leger2!AJ21</f>
        <v>0</v>
      </c>
      <c r="AK21" s="647">
        <f>Leger2!AK21</f>
        <v>0</v>
      </c>
      <c r="AL21" s="647">
        <f>Leger2!AL21</f>
        <v>0</v>
      </c>
      <c r="AM21" s="647">
        <f>Leger2!AM21</f>
        <v>0</v>
      </c>
      <c r="AN21" s="647">
        <f>Leger2!AN21</f>
        <v>0</v>
      </c>
      <c r="AO21" s="647">
        <f>Leger2!AO21</f>
        <v>0</v>
      </c>
      <c r="AP21" s="647">
        <f>Leger2!AP21</f>
        <v>0</v>
      </c>
      <c r="AQ21" s="647">
        <f>Leger2!AQ21</f>
        <v>0</v>
      </c>
      <c r="AR21" s="647">
        <f>Leger2!AR21</f>
        <v>0</v>
      </c>
      <c r="AS21" s="647">
        <f>Leger2!AS21</f>
        <v>0</v>
      </c>
      <c r="AT21" s="647">
        <f>Leger2!AT21</f>
        <v>0</v>
      </c>
      <c r="AU21" s="647">
        <f>Leger2!AU21</f>
        <v>0</v>
      </c>
      <c r="AV21" s="647">
        <f>Leger2!AV21</f>
        <v>0</v>
      </c>
      <c r="AW21" s="647">
        <f>Leger2!AW21</f>
        <v>0</v>
      </c>
      <c r="AX21" s="647">
        <f>Leger2!AX21</f>
        <v>0</v>
      </c>
      <c r="AY21" s="647">
        <f>Leger2!AY21</f>
        <v>0</v>
      </c>
      <c r="AZ21" s="647">
        <f>Leger2!AZ21</f>
        <v>0</v>
      </c>
      <c r="BA21" s="213" t="str">
        <f t="shared" si="2"/>
        <v>D</v>
      </c>
      <c r="BB21" s="389" t="str">
        <f t="shared" si="0"/>
        <v/>
      </c>
      <c r="BC21" s="390" t="str">
        <f t="shared" si="1"/>
        <v/>
      </c>
      <c r="BD21" s="214" t="str">
        <f t="shared" si="3"/>
        <v/>
      </c>
    </row>
    <row r="22" spans="5:56" ht="16.5">
      <c r="E22" s="211">
        <f>Biodata!B21</f>
        <v>16</v>
      </c>
      <c r="F22" s="212">
        <f>IF(Biodata!C21="","",VLOOKUP(E22,Biodata_Siswa,2,FALSE))</f>
        <v>7096</v>
      </c>
      <c r="G22" s="891" t="str">
        <f>IF(Biodata!E21="","",PROPER(VLOOKUP(E22,Biodata_Siswa,4,FALSE)))</f>
        <v>Indah Purnama Ningsih</v>
      </c>
      <c r="H22" s="892"/>
      <c r="I22" s="646">
        <f>Leger2!I22</f>
        <v>0</v>
      </c>
      <c r="J22" s="647">
        <f>Leger2!J22</f>
        <v>0</v>
      </c>
      <c r="K22" s="647">
        <f>Leger2!K22</f>
        <v>0</v>
      </c>
      <c r="L22" s="647">
        <f>Leger2!L22</f>
        <v>0</v>
      </c>
      <c r="M22" s="647">
        <f>Leger2!M22</f>
        <v>0</v>
      </c>
      <c r="N22" s="647">
        <f>Leger2!N22</f>
        <v>0</v>
      </c>
      <c r="O22" s="647">
        <f>Leger2!O22</f>
        <v>0</v>
      </c>
      <c r="P22" s="647">
        <f>Leger2!P22</f>
        <v>0</v>
      </c>
      <c r="Q22" s="647">
        <f>Leger2!Q22</f>
        <v>0</v>
      </c>
      <c r="R22" s="647">
        <f>Leger2!R22</f>
        <v>0</v>
      </c>
      <c r="S22" s="647">
        <f>Leger2!S22</f>
        <v>0</v>
      </c>
      <c r="T22" s="647">
        <f>Leger2!T22</f>
        <v>0</v>
      </c>
      <c r="U22" s="647">
        <f>Leger2!U22</f>
        <v>0</v>
      </c>
      <c r="V22" s="647">
        <f>Leger2!V22</f>
        <v>0</v>
      </c>
      <c r="W22" s="647">
        <f>Leger2!W22</f>
        <v>0</v>
      </c>
      <c r="X22" s="647">
        <f>Leger2!X22</f>
        <v>0</v>
      </c>
      <c r="Y22" s="647">
        <f>Leger2!Y22</f>
        <v>0</v>
      </c>
      <c r="Z22" s="647">
        <f>Leger2!Z22</f>
        <v>0</v>
      </c>
      <c r="AA22" s="647">
        <f>Leger2!AA22</f>
        <v>0</v>
      </c>
      <c r="AB22" s="647">
        <f>Leger2!AB22</f>
        <v>0</v>
      </c>
      <c r="AC22" s="647">
        <f>Leger2!AC22</f>
        <v>0</v>
      </c>
      <c r="AD22" s="647">
        <f>Leger2!AD22</f>
        <v>0</v>
      </c>
      <c r="AE22" s="647">
        <f>Leger2!AE22</f>
        <v>0</v>
      </c>
      <c r="AF22" s="647">
        <f>Leger2!AF22</f>
        <v>0</v>
      </c>
      <c r="AG22" s="647">
        <f>Leger2!AG22</f>
        <v>0</v>
      </c>
      <c r="AH22" s="647">
        <f>Leger2!AH22</f>
        <v>0</v>
      </c>
      <c r="AI22" s="647">
        <f>Leger2!AI22</f>
        <v>0</v>
      </c>
      <c r="AJ22" s="647">
        <f>Leger2!AJ22</f>
        <v>0</v>
      </c>
      <c r="AK22" s="647">
        <f>Leger2!AK22</f>
        <v>0</v>
      </c>
      <c r="AL22" s="647">
        <f>Leger2!AL22</f>
        <v>0</v>
      </c>
      <c r="AM22" s="647">
        <f>Leger2!AM22</f>
        <v>0</v>
      </c>
      <c r="AN22" s="647">
        <f>Leger2!AN22</f>
        <v>0</v>
      </c>
      <c r="AO22" s="647">
        <f>Leger2!AO22</f>
        <v>0</v>
      </c>
      <c r="AP22" s="647">
        <f>Leger2!AP22</f>
        <v>0</v>
      </c>
      <c r="AQ22" s="647">
        <f>Leger2!AQ22</f>
        <v>0</v>
      </c>
      <c r="AR22" s="647">
        <f>Leger2!AR22</f>
        <v>0</v>
      </c>
      <c r="AS22" s="647">
        <f>Leger2!AS22</f>
        <v>0</v>
      </c>
      <c r="AT22" s="647">
        <f>Leger2!AT22</f>
        <v>0</v>
      </c>
      <c r="AU22" s="647">
        <f>Leger2!AU22</f>
        <v>0</v>
      </c>
      <c r="AV22" s="647">
        <f>Leger2!AV22</f>
        <v>0</v>
      </c>
      <c r="AW22" s="647">
        <f>Leger2!AW22</f>
        <v>0</v>
      </c>
      <c r="AX22" s="647">
        <f>Leger2!AX22</f>
        <v>0</v>
      </c>
      <c r="AY22" s="647">
        <f>Leger2!AY22</f>
        <v>0</v>
      </c>
      <c r="AZ22" s="647">
        <f>Leger2!AZ22</f>
        <v>0</v>
      </c>
      <c r="BA22" s="213" t="str">
        <f t="shared" si="2"/>
        <v>D</v>
      </c>
      <c r="BB22" s="389" t="str">
        <f t="shared" si="0"/>
        <v/>
      </c>
      <c r="BC22" s="390" t="str">
        <f t="shared" si="1"/>
        <v/>
      </c>
      <c r="BD22" s="214" t="str">
        <f t="shared" si="3"/>
        <v/>
      </c>
    </row>
    <row r="23" spans="5:56" ht="16.5">
      <c r="E23" s="211">
        <f>Biodata!B22</f>
        <v>17</v>
      </c>
      <c r="F23" s="212">
        <f>IF(Biodata!C22="","",VLOOKUP(E23,Biodata_Siswa,2,FALSE))</f>
        <v>7098</v>
      </c>
      <c r="G23" s="891" t="str">
        <f>IF(Biodata!E22="","",PROPER(VLOOKUP(E23,Biodata_Siswa,4,FALSE)))</f>
        <v>Ladiva Nurrosa Laila</v>
      </c>
      <c r="H23" s="892"/>
      <c r="I23" s="646">
        <f>Leger2!I23</f>
        <v>0</v>
      </c>
      <c r="J23" s="647">
        <f>Leger2!J23</f>
        <v>0</v>
      </c>
      <c r="K23" s="647">
        <f>Leger2!K23</f>
        <v>0</v>
      </c>
      <c r="L23" s="647">
        <f>Leger2!L23</f>
        <v>0</v>
      </c>
      <c r="M23" s="647">
        <f>Leger2!M23</f>
        <v>0</v>
      </c>
      <c r="N23" s="647">
        <f>Leger2!N23</f>
        <v>0</v>
      </c>
      <c r="O23" s="647">
        <f>Leger2!O23</f>
        <v>0</v>
      </c>
      <c r="P23" s="647">
        <f>Leger2!P23</f>
        <v>0</v>
      </c>
      <c r="Q23" s="647">
        <f>Leger2!Q23</f>
        <v>0</v>
      </c>
      <c r="R23" s="647">
        <f>Leger2!R23</f>
        <v>0</v>
      </c>
      <c r="S23" s="647">
        <f>Leger2!S23</f>
        <v>0</v>
      </c>
      <c r="T23" s="647">
        <f>Leger2!T23</f>
        <v>0</v>
      </c>
      <c r="U23" s="647">
        <f>Leger2!U23</f>
        <v>0</v>
      </c>
      <c r="V23" s="647">
        <f>Leger2!V23</f>
        <v>0</v>
      </c>
      <c r="W23" s="647">
        <f>Leger2!W23</f>
        <v>0</v>
      </c>
      <c r="X23" s="647">
        <f>Leger2!X23</f>
        <v>0</v>
      </c>
      <c r="Y23" s="647">
        <f>Leger2!Y23</f>
        <v>0</v>
      </c>
      <c r="Z23" s="647">
        <f>Leger2!Z23</f>
        <v>0</v>
      </c>
      <c r="AA23" s="647">
        <f>Leger2!AA23</f>
        <v>0</v>
      </c>
      <c r="AB23" s="647">
        <f>Leger2!AB23</f>
        <v>0</v>
      </c>
      <c r="AC23" s="647">
        <f>Leger2!AC23</f>
        <v>0</v>
      </c>
      <c r="AD23" s="647">
        <f>Leger2!AD23</f>
        <v>0</v>
      </c>
      <c r="AE23" s="647">
        <f>Leger2!AE23</f>
        <v>0</v>
      </c>
      <c r="AF23" s="647">
        <f>Leger2!AF23</f>
        <v>0</v>
      </c>
      <c r="AG23" s="647">
        <f>Leger2!AG23</f>
        <v>0</v>
      </c>
      <c r="AH23" s="647">
        <f>Leger2!AH23</f>
        <v>0</v>
      </c>
      <c r="AI23" s="647">
        <f>Leger2!AI23</f>
        <v>0</v>
      </c>
      <c r="AJ23" s="647">
        <f>Leger2!AJ23</f>
        <v>0</v>
      </c>
      <c r="AK23" s="647">
        <f>Leger2!AK23</f>
        <v>0</v>
      </c>
      <c r="AL23" s="647">
        <f>Leger2!AL23</f>
        <v>0</v>
      </c>
      <c r="AM23" s="647">
        <f>Leger2!AM23</f>
        <v>0</v>
      </c>
      <c r="AN23" s="647">
        <f>Leger2!AN23</f>
        <v>0</v>
      </c>
      <c r="AO23" s="647">
        <f>Leger2!AO23</f>
        <v>0</v>
      </c>
      <c r="AP23" s="647">
        <f>Leger2!AP23</f>
        <v>0</v>
      </c>
      <c r="AQ23" s="647">
        <f>Leger2!AQ23</f>
        <v>0</v>
      </c>
      <c r="AR23" s="647">
        <f>Leger2!AR23</f>
        <v>0</v>
      </c>
      <c r="AS23" s="647">
        <f>Leger2!AS23</f>
        <v>0</v>
      </c>
      <c r="AT23" s="647">
        <f>Leger2!AT23</f>
        <v>0</v>
      </c>
      <c r="AU23" s="647">
        <f>Leger2!AU23</f>
        <v>0</v>
      </c>
      <c r="AV23" s="647">
        <f>Leger2!AV23</f>
        <v>0</v>
      </c>
      <c r="AW23" s="647">
        <f>Leger2!AW23</f>
        <v>0</v>
      </c>
      <c r="AX23" s="647">
        <f>Leger2!AX23</f>
        <v>0</v>
      </c>
      <c r="AY23" s="647">
        <f>Leger2!AY23</f>
        <v>0</v>
      </c>
      <c r="AZ23" s="647">
        <f>Leger2!AZ23</f>
        <v>0</v>
      </c>
      <c r="BA23" s="213" t="str">
        <f t="shared" si="2"/>
        <v>D</v>
      </c>
      <c r="BB23" s="389" t="str">
        <f t="shared" si="0"/>
        <v/>
      </c>
      <c r="BC23" s="390" t="str">
        <f t="shared" si="1"/>
        <v/>
      </c>
      <c r="BD23" s="214" t="str">
        <f t="shared" si="3"/>
        <v/>
      </c>
    </row>
    <row r="24" spans="5:56" ht="16.5">
      <c r="E24" s="211">
        <f>Biodata!B23</f>
        <v>18</v>
      </c>
      <c r="F24" s="212">
        <f>IF(Biodata!C23="","",VLOOKUP(E24,Biodata_Siswa,2,FALSE))</f>
        <v>7101</v>
      </c>
      <c r="G24" s="891" t="str">
        <f>IF(Biodata!E23="","",PROPER(VLOOKUP(E24,Biodata_Siswa,4,FALSE)))</f>
        <v>Mefa Novita Putri</v>
      </c>
      <c r="H24" s="892"/>
      <c r="I24" s="646">
        <f>Leger2!I24</f>
        <v>0</v>
      </c>
      <c r="J24" s="647">
        <f>Leger2!J24</f>
        <v>0</v>
      </c>
      <c r="K24" s="647">
        <f>Leger2!K24</f>
        <v>0</v>
      </c>
      <c r="L24" s="647">
        <f>Leger2!L24</f>
        <v>0</v>
      </c>
      <c r="M24" s="647">
        <f>Leger2!M24</f>
        <v>0</v>
      </c>
      <c r="N24" s="647">
        <f>Leger2!N24</f>
        <v>0</v>
      </c>
      <c r="O24" s="647">
        <f>Leger2!O24</f>
        <v>0</v>
      </c>
      <c r="P24" s="647">
        <f>Leger2!P24</f>
        <v>0</v>
      </c>
      <c r="Q24" s="647">
        <f>Leger2!Q24</f>
        <v>0</v>
      </c>
      <c r="R24" s="647">
        <f>Leger2!R24</f>
        <v>0</v>
      </c>
      <c r="S24" s="647">
        <f>Leger2!S24</f>
        <v>0</v>
      </c>
      <c r="T24" s="647">
        <f>Leger2!T24</f>
        <v>0</v>
      </c>
      <c r="U24" s="647">
        <f>Leger2!U24</f>
        <v>0</v>
      </c>
      <c r="V24" s="647">
        <f>Leger2!V24</f>
        <v>0</v>
      </c>
      <c r="W24" s="647">
        <f>Leger2!W24</f>
        <v>0</v>
      </c>
      <c r="X24" s="647">
        <f>Leger2!X24</f>
        <v>0</v>
      </c>
      <c r="Y24" s="647">
        <f>Leger2!Y24</f>
        <v>0</v>
      </c>
      <c r="Z24" s="647">
        <f>Leger2!Z24</f>
        <v>0</v>
      </c>
      <c r="AA24" s="647">
        <f>Leger2!AA24</f>
        <v>0</v>
      </c>
      <c r="AB24" s="647">
        <f>Leger2!AB24</f>
        <v>0</v>
      </c>
      <c r="AC24" s="647">
        <f>Leger2!AC24</f>
        <v>0</v>
      </c>
      <c r="AD24" s="647">
        <f>Leger2!AD24</f>
        <v>0</v>
      </c>
      <c r="AE24" s="647">
        <f>Leger2!AE24</f>
        <v>0</v>
      </c>
      <c r="AF24" s="647">
        <f>Leger2!AF24</f>
        <v>0</v>
      </c>
      <c r="AG24" s="647">
        <f>Leger2!AG24</f>
        <v>0</v>
      </c>
      <c r="AH24" s="647">
        <f>Leger2!AH24</f>
        <v>0</v>
      </c>
      <c r="AI24" s="647">
        <f>Leger2!AI24</f>
        <v>0</v>
      </c>
      <c r="AJ24" s="647">
        <f>Leger2!AJ24</f>
        <v>0</v>
      </c>
      <c r="AK24" s="647">
        <f>Leger2!AK24</f>
        <v>0</v>
      </c>
      <c r="AL24" s="647">
        <f>Leger2!AL24</f>
        <v>0</v>
      </c>
      <c r="AM24" s="647">
        <f>Leger2!AM24</f>
        <v>0</v>
      </c>
      <c r="AN24" s="647">
        <f>Leger2!AN24</f>
        <v>0</v>
      </c>
      <c r="AO24" s="647">
        <f>Leger2!AO24</f>
        <v>0</v>
      </c>
      <c r="AP24" s="647">
        <f>Leger2!AP24</f>
        <v>0</v>
      </c>
      <c r="AQ24" s="647">
        <f>Leger2!AQ24</f>
        <v>0</v>
      </c>
      <c r="AR24" s="647">
        <f>Leger2!AR24</f>
        <v>0</v>
      </c>
      <c r="AS24" s="647">
        <f>Leger2!AS24</f>
        <v>0</v>
      </c>
      <c r="AT24" s="647">
        <f>Leger2!AT24</f>
        <v>0</v>
      </c>
      <c r="AU24" s="647">
        <f>Leger2!AU24</f>
        <v>0</v>
      </c>
      <c r="AV24" s="647">
        <f>Leger2!AV24</f>
        <v>0</v>
      </c>
      <c r="AW24" s="647">
        <f>Leger2!AW24</f>
        <v>0</v>
      </c>
      <c r="AX24" s="647">
        <f>Leger2!AX24</f>
        <v>0</v>
      </c>
      <c r="AY24" s="647">
        <f>Leger2!AY24</f>
        <v>0</v>
      </c>
      <c r="AZ24" s="647">
        <f>Leger2!AZ24</f>
        <v>0</v>
      </c>
      <c r="BA24" s="213" t="str">
        <f t="shared" si="2"/>
        <v>D</v>
      </c>
      <c r="BB24" s="389" t="str">
        <f t="shared" si="0"/>
        <v/>
      </c>
      <c r="BC24" s="390" t="str">
        <f t="shared" si="1"/>
        <v/>
      </c>
      <c r="BD24" s="214" t="str">
        <f t="shared" si="3"/>
        <v/>
      </c>
    </row>
    <row r="25" spans="5:56" ht="16.5">
      <c r="E25" s="211">
        <f>Biodata!B24</f>
        <v>19</v>
      </c>
      <c r="F25" s="212">
        <f>IF(Biodata!C24="","",VLOOKUP(E25,Biodata_Siswa,2,FALSE))</f>
        <v>7104</v>
      </c>
      <c r="G25" s="891" t="str">
        <f>IF(Biodata!E24="","",PROPER(VLOOKUP(E25,Biodata_Siswa,4,FALSE)))</f>
        <v>Mellanie Bunga Aprilia</v>
      </c>
      <c r="H25" s="892"/>
      <c r="I25" s="646">
        <f>Leger2!I25</f>
        <v>0</v>
      </c>
      <c r="J25" s="647">
        <f>Leger2!J25</f>
        <v>0</v>
      </c>
      <c r="K25" s="647">
        <f>Leger2!K25</f>
        <v>0</v>
      </c>
      <c r="L25" s="647">
        <f>Leger2!L25</f>
        <v>0</v>
      </c>
      <c r="M25" s="647">
        <f>Leger2!M25</f>
        <v>0</v>
      </c>
      <c r="N25" s="647">
        <f>Leger2!N25</f>
        <v>0</v>
      </c>
      <c r="O25" s="647">
        <f>Leger2!O25</f>
        <v>0</v>
      </c>
      <c r="P25" s="647">
        <f>Leger2!P25</f>
        <v>0</v>
      </c>
      <c r="Q25" s="647">
        <f>Leger2!Q25</f>
        <v>0</v>
      </c>
      <c r="R25" s="647">
        <f>Leger2!R25</f>
        <v>0</v>
      </c>
      <c r="S25" s="647">
        <f>Leger2!S25</f>
        <v>0</v>
      </c>
      <c r="T25" s="647">
        <f>Leger2!T25</f>
        <v>0</v>
      </c>
      <c r="U25" s="647">
        <f>Leger2!U25</f>
        <v>0</v>
      </c>
      <c r="V25" s="647">
        <f>Leger2!V25</f>
        <v>0</v>
      </c>
      <c r="W25" s="647">
        <f>Leger2!W25</f>
        <v>0</v>
      </c>
      <c r="X25" s="647">
        <f>Leger2!X25</f>
        <v>0</v>
      </c>
      <c r="Y25" s="647">
        <f>Leger2!Y25</f>
        <v>0</v>
      </c>
      <c r="Z25" s="647">
        <f>Leger2!Z25</f>
        <v>0</v>
      </c>
      <c r="AA25" s="647">
        <f>Leger2!AA25</f>
        <v>0</v>
      </c>
      <c r="AB25" s="647">
        <f>Leger2!AB25</f>
        <v>0</v>
      </c>
      <c r="AC25" s="647">
        <f>Leger2!AC25</f>
        <v>0</v>
      </c>
      <c r="AD25" s="647">
        <f>Leger2!AD25</f>
        <v>0</v>
      </c>
      <c r="AE25" s="647">
        <f>Leger2!AE25</f>
        <v>0</v>
      </c>
      <c r="AF25" s="647">
        <f>Leger2!AF25</f>
        <v>0</v>
      </c>
      <c r="AG25" s="647">
        <f>Leger2!AG25</f>
        <v>0</v>
      </c>
      <c r="AH25" s="647">
        <f>Leger2!AH25</f>
        <v>0</v>
      </c>
      <c r="AI25" s="647">
        <f>Leger2!AI25</f>
        <v>0</v>
      </c>
      <c r="AJ25" s="647">
        <f>Leger2!AJ25</f>
        <v>0</v>
      </c>
      <c r="AK25" s="647">
        <f>Leger2!AK25</f>
        <v>0</v>
      </c>
      <c r="AL25" s="647">
        <f>Leger2!AL25</f>
        <v>0</v>
      </c>
      <c r="AM25" s="647">
        <f>Leger2!AM25</f>
        <v>0</v>
      </c>
      <c r="AN25" s="647">
        <f>Leger2!AN25</f>
        <v>0</v>
      </c>
      <c r="AO25" s="647">
        <f>Leger2!AO25</f>
        <v>0</v>
      </c>
      <c r="AP25" s="647">
        <f>Leger2!AP25</f>
        <v>0</v>
      </c>
      <c r="AQ25" s="647">
        <f>Leger2!AQ25</f>
        <v>0</v>
      </c>
      <c r="AR25" s="647">
        <f>Leger2!AR25</f>
        <v>0</v>
      </c>
      <c r="AS25" s="647">
        <f>Leger2!AS25</f>
        <v>0</v>
      </c>
      <c r="AT25" s="647">
        <f>Leger2!AT25</f>
        <v>0</v>
      </c>
      <c r="AU25" s="647">
        <f>Leger2!AU25</f>
        <v>0</v>
      </c>
      <c r="AV25" s="647">
        <f>Leger2!AV25</f>
        <v>0</v>
      </c>
      <c r="AW25" s="647">
        <f>Leger2!AW25</f>
        <v>0</v>
      </c>
      <c r="AX25" s="647">
        <f>Leger2!AX25</f>
        <v>0</v>
      </c>
      <c r="AY25" s="647">
        <f>Leger2!AY25</f>
        <v>0</v>
      </c>
      <c r="AZ25" s="647">
        <f>Leger2!AZ25</f>
        <v>0</v>
      </c>
      <c r="BA25" s="213" t="str">
        <f t="shared" si="2"/>
        <v>D</v>
      </c>
      <c r="BB25" s="389" t="str">
        <f t="shared" si="0"/>
        <v/>
      </c>
      <c r="BC25" s="390" t="str">
        <f t="shared" si="1"/>
        <v/>
      </c>
      <c r="BD25" s="214" t="str">
        <f t="shared" si="3"/>
        <v/>
      </c>
    </row>
    <row r="26" spans="5:56" ht="16.5">
      <c r="E26" s="211">
        <f>Biodata!B25</f>
        <v>20</v>
      </c>
      <c r="F26" s="212">
        <f>IF(Biodata!C25="","",VLOOKUP(E26,Biodata_Siswa,2,FALSE))</f>
        <v>7105</v>
      </c>
      <c r="G26" s="891" t="str">
        <f>IF(Biodata!E25="","",PROPER(VLOOKUP(E26,Biodata_Siswa,4,FALSE)))</f>
        <v>Mirra Tusolickak</v>
      </c>
      <c r="H26" s="892"/>
      <c r="I26" s="646">
        <f>Leger2!I26</f>
        <v>0</v>
      </c>
      <c r="J26" s="647">
        <f>Leger2!J26</f>
        <v>0</v>
      </c>
      <c r="K26" s="647">
        <f>Leger2!K26</f>
        <v>0</v>
      </c>
      <c r="L26" s="647">
        <f>Leger2!L26</f>
        <v>0</v>
      </c>
      <c r="M26" s="647">
        <f>Leger2!M26</f>
        <v>0</v>
      </c>
      <c r="N26" s="647">
        <f>Leger2!N26</f>
        <v>0</v>
      </c>
      <c r="O26" s="647">
        <f>Leger2!O26</f>
        <v>0</v>
      </c>
      <c r="P26" s="647">
        <f>Leger2!P26</f>
        <v>0</v>
      </c>
      <c r="Q26" s="647">
        <f>Leger2!Q26</f>
        <v>0</v>
      </c>
      <c r="R26" s="647">
        <f>Leger2!R26</f>
        <v>0</v>
      </c>
      <c r="S26" s="647">
        <f>Leger2!S26</f>
        <v>0</v>
      </c>
      <c r="T26" s="647">
        <f>Leger2!T26</f>
        <v>0</v>
      </c>
      <c r="U26" s="647">
        <f>Leger2!U26</f>
        <v>0</v>
      </c>
      <c r="V26" s="647">
        <f>Leger2!V26</f>
        <v>0</v>
      </c>
      <c r="W26" s="647">
        <f>Leger2!W26</f>
        <v>0</v>
      </c>
      <c r="X26" s="647">
        <f>Leger2!X26</f>
        <v>0</v>
      </c>
      <c r="Y26" s="647">
        <f>Leger2!Y26</f>
        <v>0</v>
      </c>
      <c r="Z26" s="647">
        <f>Leger2!Z26</f>
        <v>0</v>
      </c>
      <c r="AA26" s="647">
        <f>Leger2!AA26</f>
        <v>0</v>
      </c>
      <c r="AB26" s="647">
        <f>Leger2!AB26</f>
        <v>0</v>
      </c>
      <c r="AC26" s="647">
        <f>Leger2!AC26</f>
        <v>0</v>
      </c>
      <c r="AD26" s="647">
        <f>Leger2!AD26</f>
        <v>0</v>
      </c>
      <c r="AE26" s="647">
        <f>Leger2!AE26</f>
        <v>0</v>
      </c>
      <c r="AF26" s="647">
        <f>Leger2!AF26</f>
        <v>0</v>
      </c>
      <c r="AG26" s="647">
        <f>Leger2!AG26</f>
        <v>0</v>
      </c>
      <c r="AH26" s="647">
        <f>Leger2!AH26</f>
        <v>0</v>
      </c>
      <c r="AI26" s="647">
        <f>Leger2!AI26</f>
        <v>0</v>
      </c>
      <c r="AJ26" s="647">
        <f>Leger2!AJ26</f>
        <v>0</v>
      </c>
      <c r="AK26" s="647">
        <f>Leger2!AK26</f>
        <v>0</v>
      </c>
      <c r="AL26" s="647">
        <f>Leger2!AL26</f>
        <v>0</v>
      </c>
      <c r="AM26" s="647">
        <f>Leger2!AM26</f>
        <v>0</v>
      </c>
      <c r="AN26" s="647">
        <f>Leger2!AN26</f>
        <v>0</v>
      </c>
      <c r="AO26" s="647">
        <f>Leger2!AO26</f>
        <v>0</v>
      </c>
      <c r="AP26" s="647">
        <f>Leger2!AP26</f>
        <v>0</v>
      </c>
      <c r="AQ26" s="647">
        <f>Leger2!AQ26</f>
        <v>0</v>
      </c>
      <c r="AR26" s="647">
        <f>Leger2!AR26</f>
        <v>0</v>
      </c>
      <c r="AS26" s="647">
        <f>Leger2!AS26</f>
        <v>0</v>
      </c>
      <c r="AT26" s="647">
        <f>Leger2!AT26</f>
        <v>0</v>
      </c>
      <c r="AU26" s="647">
        <f>Leger2!AU26</f>
        <v>0</v>
      </c>
      <c r="AV26" s="647">
        <f>Leger2!AV26</f>
        <v>0</v>
      </c>
      <c r="AW26" s="647">
        <f>Leger2!AW26</f>
        <v>0</v>
      </c>
      <c r="AX26" s="647">
        <f>Leger2!AX26</f>
        <v>0</v>
      </c>
      <c r="AY26" s="647">
        <f>Leger2!AY26</f>
        <v>0</v>
      </c>
      <c r="AZ26" s="647">
        <f>Leger2!AZ26</f>
        <v>0</v>
      </c>
      <c r="BA26" s="213" t="str">
        <f t="shared" si="2"/>
        <v>D</v>
      </c>
      <c r="BB26" s="389" t="str">
        <f t="shared" si="0"/>
        <v/>
      </c>
      <c r="BC26" s="390" t="str">
        <f t="shared" si="1"/>
        <v/>
      </c>
      <c r="BD26" s="214" t="str">
        <f t="shared" si="3"/>
        <v/>
      </c>
    </row>
    <row r="27" spans="5:56" ht="16.5">
      <c r="E27" s="211">
        <f>Biodata!B26</f>
        <v>21</v>
      </c>
      <c r="F27" s="212">
        <f>IF(Biodata!C26="","",VLOOKUP(E27,Biodata_Siswa,2,FALSE))</f>
        <v>7107</v>
      </c>
      <c r="G27" s="891" t="str">
        <f>IF(Biodata!E26="","",PROPER(VLOOKUP(E27,Biodata_Siswa,4,FALSE)))</f>
        <v>Muhammad Daffa Rifa'I</v>
      </c>
      <c r="H27" s="892"/>
      <c r="I27" s="646">
        <f>Leger2!I27</f>
        <v>0</v>
      </c>
      <c r="J27" s="647">
        <f>Leger2!J27</f>
        <v>0</v>
      </c>
      <c r="K27" s="647">
        <f>Leger2!K27</f>
        <v>0</v>
      </c>
      <c r="L27" s="647">
        <f>Leger2!L27</f>
        <v>0</v>
      </c>
      <c r="M27" s="647">
        <f>Leger2!M27</f>
        <v>0</v>
      </c>
      <c r="N27" s="647">
        <f>Leger2!N27</f>
        <v>0</v>
      </c>
      <c r="O27" s="647">
        <f>Leger2!O27</f>
        <v>0</v>
      </c>
      <c r="P27" s="647">
        <f>Leger2!P27</f>
        <v>0</v>
      </c>
      <c r="Q27" s="647">
        <f>Leger2!Q27</f>
        <v>0</v>
      </c>
      <c r="R27" s="647">
        <f>Leger2!R27</f>
        <v>0</v>
      </c>
      <c r="S27" s="647">
        <f>Leger2!S27</f>
        <v>0</v>
      </c>
      <c r="T27" s="647">
        <f>Leger2!T27</f>
        <v>0</v>
      </c>
      <c r="U27" s="647">
        <f>Leger2!U27</f>
        <v>0</v>
      </c>
      <c r="V27" s="647">
        <f>Leger2!V27</f>
        <v>0</v>
      </c>
      <c r="W27" s="647">
        <f>Leger2!W27</f>
        <v>0</v>
      </c>
      <c r="X27" s="647">
        <f>Leger2!X27</f>
        <v>0</v>
      </c>
      <c r="Y27" s="647">
        <f>Leger2!Y27</f>
        <v>0</v>
      </c>
      <c r="Z27" s="647">
        <f>Leger2!Z27</f>
        <v>0</v>
      </c>
      <c r="AA27" s="647">
        <f>Leger2!AA27</f>
        <v>0</v>
      </c>
      <c r="AB27" s="647">
        <f>Leger2!AB27</f>
        <v>0</v>
      </c>
      <c r="AC27" s="647">
        <f>Leger2!AC27</f>
        <v>0</v>
      </c>
      <c r="AD27" s="647">
        <f>Leger2!AD27</f>
        <v>0</v>
      </c>
      <c r="AE27" s="647">
        <f>Leger2!AE27</f>
        <v>0</v>
      </c>
      <c r="AF27" s="647">
        <f>Leger2!AF27</f>
        <v>0</v>
      </c>
      <c r="AG27" s="647">
        <f>Leger2!AG27</f>
        <v>0</v>
      </c>
      <c r="AH27" s="647">
        <f>Leger2!AH27</f>
        <v>0</v>
      </c>
      <c r="AI27" s="647">
        <f>Leger2!AI27</f>
        <v>0</v>
      </c>
      <c r="AJ27" s="647">
        <f>Leger2!AJ27</f>
        <v>0</v>
      </c>
      <c r="AK27" s="647">
        <f>Leger2!AK27</f>
        <v>0</v>
      </c>
      <c r="AL27" s="647">
        <f>Leger2!AL27</f>
        <v>0</v>
      </c>
      <c r="AM27" s="647">
        <f>Leger2!AM27</f>
        <v>0</v>
      </c>
      <c r="AN27" s="647">
        <f>Leger2!AN27</f>
        <v>0</v>
      </c>
      <c r="AO27" s="647">
        <f>Leger2!AO27</f>
        <v>0</v>
      </c>
      <c r="AP27" s="647">
        <f>Leger2!AP27</f>
        <v>0</v>
      </c>
      <c r="AQ27" s="647">
        <f>Leger2!AQ27</f>
        <v>0</v>
      </c>
      <c r="AR27" s="647">
        <f>Leger2!AR27</f>
        <v>0</v>
      </c>
      <c r="AS27" s="647">
        <f>Leger2!AS27</f>
        <v>0</v>
      </c>
      <c r="AT27" s="647">
        <f>Leger2!AT27</f>
        <v>0</v>
      </c>
      <c r="AU27" s="647">
        <f>Leger2!AU27</f>
        <v>0</v>
      </c>
      <c r="AV27" s="647">
        <f>Leger2!AV27</f>
        <v>0</v>
      </c>
      <c r="AW27" s="647">
        <f>Leger2!AW27</f>
        <v>0</v>
      </c>
      <c r="AX27" s="647">
        <f>Leger2!AX27</f>
        <v>0</v>
      </c>
      <c r="AY27" s="647">
        <f>Leger2!AY27</f>
        <v>0</v>
      </c>
      <c r="AZ27" s="647">
        <f>Leger2!AZ27</f>
        <v>0</v>
      </c>
      <c r="BA27" s="213" t="str">
        <f t="shared" si="2"/>
        <v>D</v>
      </c>
      <c r="BB27" s="389" t="str">
        <f t="shared" si="0"/>
        <v/>
      </c>
      <c r="BC27" s="390" t="str">
        <f t="shared" si="1"/>
        <v/>
      </c>
      <c r="BD27" s="214" t="str">
        <f t="shared" si="3"/>
        <v/>
      </c>
    </row>
    <row r="28" spans="5:56" ht="16.5">
      <c r="E28" s="211">
        <f>Biodata!B27</f>
        <v>22</v>
      </c>
      <c r="F28" s="212">
        <f>IF(Biodata!C27="","",VLOOKUP(E28,Biodata_Siswa,2,FALSE))</f>
        <v>7108</v>
      </c>
      <c r="G28" s="891" t="str">
        <f>IF(Biodata!E27="","",PROPER(VLOOKUP(E28,Biodata_Siswa,4,FALSE)))</f>
        <v>Muhammad Jaupanto</v>
      </c>
      <c r="H28" s="892"/>
      <c r="I28" s="646">
        <f>Leger2!I28</f>
        <v>0</v>
      </c>
      <c r="J28" s="647">
        <f>Leger2!J28</f>
        <v>0</v>
      </c>
      <c r="K28" s="647">
        <f>Leger2!K28</f>
        <v>0</v>
      </c>
      <c r="L28" s="647">
        <f>Leger2!L28</f>
        <v>0</v>
      </c>
      <c r="M28" s="647">
        <f>Leger2!M28</f>
        <v>0</v>
      </c>
      <c r="N28" s="647">
        <f>Leger2!N28</f>
        <v>0</v>
      </c>
      <c r="O28" s="647">
        <f>Leger2!O28</f>
        <v>0</v>
      </c>
      <c r="P28" s="647">
        <f>Leger2!P28</f>
        <v>0</v>
      </c>
      <c r="Q28" s="647">
        <f>Leger2!Q28</f>
        <v>0</v>
      </c>
      <c r="R28" s="647">
        <f>Leger2!R28</f>
        <v>0</v>
      </c>
      <c r="S28" s="647">
        <f>Leger2!S28</f>
        <v>0</v>
      </c>
      <c r="T28" s="647">
        <f>Leger2!T28</f>
        <v>0</v>
      </c>
      <c r="U28" s="647">
        <f>Leger2!U28</f>
        <v>0</v>
      </c>
      <c r="V28" s="647">
        <f>Leger2!V28</f>
        <v>0</v>
      </c>
      <c r="W28" s="647">
        <f>Leger2!W28</f>
        <v>0</v>
      </c>
      <c r="X28" s="647">
        <f>Leger2!X28</f>
        <v>0</v>
      </c>
      <c r="Y28" s="647">
        <f>Leger2!Y28</f>
        <v>0</v>
      </c>
      <c r="Z28" s="647">
        <f>Leger2!Z28</f>
        <v>0</v>
      </c>
      <c r="AA28" s="647">
        <f>Leger2!AA28</f>
        <v>0</v>
      </c>
      <c r="AB28" s="647">
        <f>Leger2!AB28</f>
        <v>0</v>
      </c>
      <c r="AC28" s="647">
        <f>Leger2!AC28</f>
        <v>0</v>
      </c>
      <c r="AD28" s="647">
        <f>Leger2!AD28</f>
        <v>0</v>
      </c>
      <c r="AE28" s="647">
        <f>Leger2!AE28</f>
        <v>0</v>
      </c>
      <c r="AF28" s="647">
        <f>Leger2!AF28</f>
        <v>0</v>
      </c>
      <c r="AG28" s="647">
        <f>Leger2!AG28</f>
        <v>0</v>
      </c>
      <c r="AH28" s="647">
        <f>Leger2!AH28</f>
        <v>0</v>
      </c>
      <c r="AI28" s="647">
        <f>Leger2!AI28</f>
        <v>0</v>
      </c>
      <c r="AJ28" s="647">
        <f>Leger2!AJ28</f>
        <v>0</v>
      </c>
      <c r="AK28" s="647">
        <f>Leger2!AK28</f>
        <v>0</v>
      </c>
      <c r="AL28" s="647">
        <f>Leger2!AL28</f>
        <v>0</v>
      </c>
      <c r="AM28" s="647">
        <f>Leger2!AM28</f>
        <v>0</v>
      </c>
      <c r="AN28" s="647">
        <f>Leger2!AN28</f>
        <v>0</v>
      </c>
      <c r="AO28" s="647">
        <f>Leger2!AO28</f>
        <v>0</v>
      </c>
      <c r="AP28" s="647">
        <f>Leger2!AP28</f>
        <v>0</v>
      </c>
      <c r="AQ28" s="647">
        <f>Leger2!AQ28</f>
        <v>0</v>
      </c>
      <c r="AR28" s="647">
        <f>Leger2!AR28</f>
        <v>0</v>
      </c>
      <c r="AS28" s="647">
        <f>Leger2!AS28</f>
        <v>0</v>
      </c>
      <c r="AT28" s="647">
        <f>Leger2!AT28</f>
        <v>0</v>
      </c>
      <c r="AU28" s="647">
        <f>Leger2!AU28</f>
        <v>0</v>
      </c>
      <c r="AV28" s="647">
        <f>Leger2!AV28</f>
        <v>0</v>
      </c>
      <c r="AW28" s="647">
        <f>Leger2!AW28</f>
        <v>0</v>
      </c>
      <c r="AX28" s="647">
        <f>Leger2!AX28</f>
        <v>0</v>
      </c>
      <c r="AY28" s="647">
        <f>Leger2!AY28</f>
        <v>0</v>
      </c>
      <c r="AZ28" s="647">
        <f>Leger2!AZ28</f>
        <v>0</v>
      </c>
      <c r="BA28" s="213" t="str">
        <f t="shared" si="2"/>
        <v>D</v>
      </c>
      <c r="BB28" s="389" t="str">
        <f t="shared" si="0"/>
        <v/>
      </c>
      <c r="BC28" s="390" t="str">
        <f t="shared" si="1"/>
        <v/>
      </c>
      <c r="BD28" s="214" t="str">
        <f t="shared" si="3"/>
        <v/>
      </c>
    </row>
    <row r="29" spans="5:56" ht="16.5">
      <c r="E29" s="211">
        <f>Biodata!B28</f>
        <v>23</v>
      </c>
      <c r="F29" s="212">
        <f>IF(Biodata!C28="","",VLOOKUP(E29,Biodata_Siswa,2,FALSE))</f>
        <v>7111</v>
      </c>
      <c r="G29" s="891" t="str">
        <f>IF(Biodata!E28="","",PROPER(VLOOKUP(E29,Biodata_Siswa,4,FALSE)))</f>
        <v>Nova Laila Khusna</v>
      </c>
      <c r="H29" s="892"/>
      <c r="I29" s="646">
        <f>Leger2!I29</f>
        <v>0</v>
      </c>
      <c r="J29" s="647">
        <f>Leger2!J29</f>
        <v>0</v>
      </c>
      <c r="K29" s="647">
        <f>Leger2!K29</f>
        <v>0</v>
      </c>
      <c r="L29" s="647">
        <f>Leger2!L29</f>
        <v>0</v>
      </c>
      <c r="M29" s="647">
        <f>Leger2!M29</f>
        <v>0</v>
      </c>
      <c r="N29" s="647">
        <f>Leger2!N29</f>
        <v>0</v>
      </c>
      <c r="O29" s="647">
        <f>Leger2!O29</f>
        <v>0</v>
      </c>
      <c r="P29" s="647">
        <f>Leger2!P29</f>
        <v>0</v>
      </c>
      <c r="Q29" s="647">
        <f>Leger2!Q29</f>
        <v>0</v>
      </c>
      <c r="R29" s="647">
        <f>Leger2!R29</f>
        <v>0</v>
      </c>
      <c r="S29" s="647">
        <f>Leger2!S29</f>
        <v>0</v>
      </c>
      <c r="T29" s="647">
        <f>Leger2!T29</f>
        <v>0</v>
      </c>
      <c r="U29" s="647">
        <f>Leger2!U29</f>
        <v>0</v>
      </c>
      <c r="V29" s="647">
        <f>Leger2!V29</f>
        <v>0</v>
      </c>
      <c r="W29" s="647">
        <f>Leger2!W29</f>
        <v>0</v>
      </c>
      <c r="X29" s="647">
        <f>Leger2!X29</f>
        <v>0</v>
      </c>
      <c r="Y29" s="647">
        <f>Leger2!Y29</f>
        <v>0</v>
      </c>
      <c r="Z29" s="647">
        <f>Leger2!Z29</f>
        <v>0</v>
      </c>
      <c r="AA29" s="647">
        <f>Leger2!AA29</f>
        <v>0</v>
      </c>
      <c r="AB29" s="647">
        <f>Leger2!AB29</f>
        <v>0</v>
      </c>
      <c r="AC29" s="647">
        <f>Leger2!AC29</f>
        <v>0</v>
      </c>
      <c r="AD29" s="647">
        <f>Leger2!AD29</f>
        <v>0</v>
      </c>
      <c r="AE29" s="647">
        <f>Leger2!AE29</f>
        <v>0</v>
      </c>
      <c r="AF29" s="647">
        <f>Leger2!AF29</f>
        <v>0</v>
      </c>
      <c r="AG29" s="647">
        <f>Leger2!AG29</f>
        <v>0</v>
      </c>
      <c r="AH29" s="647">
        <f>Leger2!AH29</f>
        <v>0</v>
      </c>
      <c r="AI29" s="647">
        <f>Leger2!AI29</f>
        <v>0</v>
      </c>
      <c r="AJ29" s="647">
        <f>Leger2!AJ29</f>
        <v>0</v>
      </c>
      <c r="AK29" s="647">
        <f>Leger2!AK29</f>
        <v>0</v>
      </c>
      <c r="AL29" s="647">
        <f>Leger2!AL29</f>
        <v>0</v>
      </c>
      <c r="AM29" s="647">
        <f>Leger2!AM29</f>
        <v>0</v>
      </c>
      <c r="AN29" s="647">
        <f>Leger2!AN29</f>
        <v>0</v>
      </c>
      <c r="AO29" s="647">
        <f>Leger2!AO29</f>
        <v>0</v>
      </c>
      <c r="AP29" s="647">
        <f>Leger2!AP29</f>
        <v>0</v>
      </c>
      <c r="AQ29" s="647">
        <f>Leger2!AQ29</f>
        <v>0</v>
      </c>
      <c r="AR29" s="647">
        <f>Leger2!AR29</f>
        <v>0</v>
      </c>
      <c r="AS29" s="647">
        <f>Leger2!AS29</f>
        <v>0</v>
      </c>
      <c r="AT29" s="647">
        <f>Leger2!AT29</f>
        <v>0</v>
      </c>
      <c r="AU29" s="647">
        <f>Leger2!AU29</f>
        <v>0</v>
      </c>
      <c r="AV29" s="647">
        <f>Leger2!AV29</f>
        <v>0</v>
      </c>
      <c r="AW29" s="647">
        <f>Leger2!AW29</f>
        <v>0</v>
      </c>
      <c r="AX29" s="647">
        <f>Leger2!AX29</f>
        <v>0</v>
      </c>
      <c r="AY29" s="647">
        <f>Leger2!AY29</f>
        <v>0</v>
      </c>
      <c r="AZ29" s="647">
        <f>Leger2!AZ29</f>
        <v>0</v>
      </c>
      <c r="BA29" s="213" t="str">
        <f t="shared" si="2"/>
        <v>D</v>
      </c>
      <c r="BB29" s="389" t="str">
        <f t="shared" si="0"/>
        <v/>
      </c>
      <c r="BC29" s="390" t="str">
        <f t="shared" si="1"/>
        <v/>
      </c>
      <c r="BD29" s="214" t="str">
        <f t="shared" si="3"/>
        <v/>
      </c>
    </row>
    <row r="30" spans="5:56" ht="16.5">
      <c r="E30" s="211">
        <f>Biodata!B29</f>
        <v>24</v>
      </c>
      <c r="F30" s="212">
        <f>IF(Biodata!C29="","",VLOOKUP(E30,Biodata_Siswa,2,FALSE))</f>
        <v>7126</v>
      </c>
      <c r="G30" s="891" t="str">
        <f>IF(Biodata!E29="","",PROPER(VLOOKUP(E30,Biodata_Siswa,4,FALSE)))</f>
        <v>Sawal Ramadian</v>
      </c>
      <c r="H30" s="892"/>
      <c r="I30" s="646">
        <f>Leger2!I30</f>
        <v>0</v>
      </c>
      <c r="J30" s="647">
        <f>Leger2!J30</f>
        <v>0</v>
      </c>
      <c r="K30" s="647">
        <f>Leger2!K30</f>
        <v>0</v>
      </c>
      <c r="L30" s="647">
        <f>Leger2!L30</f>
        <v>0</v>
      </c>
      <c r="M30" s="647">
        <f>Leger2!M30</f>
        <v>0</v>
      </c>
      <c r="N30" s="647">
        <f>Leger2!N30</f>
        <v>0</v>
      </c>
      <c r="O30" s="647">
        <f>Leger2!O30</f>
        <v>0</v>
      </c>
      <c r="P30" s="647">
        <f>Leger2!P30</f>
        <v>0</v>
      </c>
      <c r="Q30" s="647">
        <f>Leger2!Q30</f>
        <v>0</v>
      </c>
      <c r="R30" s="647">
        <f>Leger2!R30</f>
        <v>0</v>
      </c>
      <c r="S30" s="647">
        <f>Leger2!S30</f>
        <v>0</v>
      </c>
      <c r="T30" s="647">
        <f>Leger2!T30</f>
        <v>0</v>
      </c>
      <c r="U30" s="647">
        <f>Leger2!U30</f>
        <v>0</v>
      </c>
      <c r="V30" s="647">
        <f>Leger2!V30</f>
        <v>0</v>
      </c>
      <c r="W30" s="647">
        <f>Leger2!W30</f>
        <v>0</v>
      </c>
      <c r="X30" s="647">
        <f>Leger2!X30</f>
        <v>0</v>
      </c>
      <c r="Y30" s="647">
        <f>Leger2!Y30</f>
        <v>0</v>
      </c>
      <c r="Z30" s="647">
        <f>Leger2!Z30</f>
        <v>0</v>
      </c>
      <c r="AA30" s="647">
        <f>Leger2!AA30</f>
        <v>0</v>
      </c>
      <c r="AB30" s="647">
        <f>Leger2!AB30</f>
        <v>0</v>
      </c>
      <c r="AC30" s="647">
        <f>Leger2!AC30</f>
        <v>0</v>
      </c>
      <c r="AD30" s="647">
        <f>Leger2!AD30</f>
        <v>0</v>
      </c>
      <c r="AE30" s="647">
        <f>Leger2!AE30</f>
        <v>0</v>
      </c>
      <c r="AF30" s="647">
        <f>Leger2!AF30</f>
        <v>0</v>
      </c>
      <c r="AG30" s="647">
        <f>Leger2!AG30</f>
        <v>0</v>
      </c>
      <c r="AH30" s="647">
        <f>Leger2!AH30</f>
        <v>0</v>
      </c>
      <c r="AI30" s="647">
        <f>Leger2!AI30</f>
        <v>0</v>
      </c>
      <c r="AJ30" s="647">
        <f>Leger2!AJ30</f>
        <v>0</v>
      </c>
      <c r="AK30" s="647">
        <f>Leger2!AK30</f>
        <v>0</v>
      </c>
      <c r="AL30" s="647">
        <f>Leger2!AL30</f>
        <v>0</v>
      </c>
      <c r="AM30" s="647">
        <f>Leger2!AM30</f>
        <v>0</v>
      </c>
      <c r="AN30" s="647">
        <f>Leger2!AN30</f>
        <v>0</v>
      </c>
      <c r="AO30" s="647">
        <f>Leger2!AO30</f>
        <v>0</v>
      </c>
      <c r="AP30" s="647">
        <f>Leger2!AP30</f>
        <v>0</v>
      </c>
      <c r="AQ30" s="647">
        <f>Leger2!AQ30</f>
        <v>0</v>
      </c>
      <c r="AR30" s="647">
        <f>Leger2!AR30</f>
        <v>0</v>
      </c>
      <c r="AS30" s="647">
        <f>Leger2!AS30</f>
        <v>0</v>
      </c>
      <c r="AT30" s="647">
        <f>Leger2!AT30</f>
        <v>0</v>
      </c>
      <c r="AU30" s="647">
        <f>Leger2!AU30</f>
        <v>0</v>
      </c>
      <c r="AV30" s="647">
        <f>Leger2!AV30</f>
        <v>0</v>
      </c>
      <c r="AW30" s="647">
        <f>Leger2!AW30</f>
        <v>0</v>
      </c>
      <c r="AX30" s="647">
        <f>Leger2!AX30</f>
        <v>0</v>
      </c>
      <c r="AY30" s="647">
        <f>Leger2!AY30</f>
        <v>0</v>
      </c>
      <c r="AZ30" s="647">
        <f>Leger2!AZ30</f>
        <v>0</v>
      </c>
      <c r="BA30" s="213" t="str">
        <f t="shared" si="2"/>
        <v>D</v>
      </c>
      <c r="BB30" s="389" t="str">
        <f t="shared" si="0"/>
        <v/>
      </c>
      <c r="BC30" s="390" t="str">
        <f t="shared" si="1"/>
        <v/>
      </c>
      <c r="BD30" s="214" t="str">
        <f t="shared" si="3"/>
        <v/>
      </c>
    </row>
    <row r="31" spans="5:56" ht="16.5">
      <c r="E31" s="211">
        <f>Biodata!B30</f>
        <v>25</v>
      </c>
      <c r="F31" s="212">
        <f>IF(Biodata!C30="","",VLOOKUP(E31,Biodata_Siswa,2,FALSE))</f>
        <v>7130</v>
      </c>
      <c r="G31" s="891" t="str">
        <f>IF(Biodata!E30="","",PROPER(VLOOKUP(E31,Biodata_Siswa,4,FALSE)))</f>
        <v>Sofyan Romansyah</v>
      </c>
      <c r="H31" s="892"/>
      <c r="I31" s="646">
        <f>Leger2!I31</f>
        <v>0</v>
      </c>
      <c r="J31" s="647">
        <f>Leger2!J31</f>
        <v>0</v>
      </c>
      <c r="K31" s="647">
        <f>Leger2!K31</f>
        <v>0</v>
      </c>
      <c r="L31" s="647">
        <f>Leger2!L31</f>
        <v>0</v>
      </c>
      <c r="M31" s="647">
        <f>Leger2!M31</f>
        <v>0</v>
      </c>
      <c r="N31" s="647">
        <f>Leger2!N31</f>
        <v>0</v>
      </c>
      <c r="O31" s="647">
        <f>Leger2!O31</f>
        <v>0</v>
      </c>
      <c r="P31" s="647">
        <f>Leger2!P31</f>
        <v>0</v>
      </c>
      <c r="Q31" s="647">
        <f>Leger2!Q31</f>
        <v>0</v>
      </c>
      <c r="R31" s="647">
        <f>Leger2!R31</f>
        <v>0</v>
      </c>
      <c r="S31" s="647">
        <f>Leger2!S31</f>
        <v>0</v>
      </c>
      <c r="T31" s="647">
        <f>Leger2!T31</f>
        <v>0</v>
      </c>
      <c r="U31" s="647">
        <f>Leger2!U31</f>
        <v>0</v>
      </c>
      <c r="V31" s="647">
        <f>Leger2!V31</f>
        <v>0</v>
      </c>
      <c r="W31" s="647">
        <f>Leger2!W31</f>
        <v>0</v>
      </c>
      <c r="X31" s="647">
        <f>Leger2!X31</f>
        <v>0</v>
      </c>
      <c r="Y31" s="647">
        <f>Leger2!Y31</f>
        <v>0</v>
      </c>
      <c r="Z31" s="647">
        <f>Leger2!Z31</f>
        <v>0</v>
      </c>
      <c r="AA31" s="647">
        <f>Leger2!AA31</f>
        <v>0</v>
      </c>
      <c r="AB31" s="647">
        <f>Leger2!AB31</f>
        <v>0</v>
      </c>
      <c r="AC31" s="647">
        <f>Leger2!AC31</f>
        <v>0</v>
      </c>
      <c r="AD31" s="647">
        <f>Leger2!AD31</f>
        <v>0</v>
      </c>
      <c r="AE31" s="647">
        <f>Leger2!AE31</f>
        <v>0</v>
      </c>
      <c r="AF31" s="647">
        <f>Leger2!AF31</f>
        <v>0</v>
      </c>
      <c r="AG31" s="647">
        <f>Leger2!AG31</f>
        <v>0</v>
      </c>
      <c r="AH31" s="647">
        <f>Leger2!AH31</f>
        <v>0</v>
      </c>
      <c r="AI31" s="647">
        <f>Leger2!AI31</f>
        <v>0</v>
      </c>
      <c r="AJ31" s="647">
        <f>Leger2!AJ31</f>
        <v>0</v>
      </c>
      <c r="AK31" s="647">
        <f>Leger2!AK31</f>
        <v>0</v>
      </c>
      <c r="AL31" s="647">
        <f>Leger2!AL31</f>
        <v>0</v>
      </c>
      <c r="AM31" s="647">
        <f>Leger2!AM31</f>
        <v>0</v>
      </c>
      <c r="AN31" s="647">
        <f>Leger2!AN31</f>
        <v>0</v>
      </c>
      <c r="AO31" s="647">
        <f>Leger2!AO31</f>
        <v>0</v>
      </c>
      <c r="AP31" s="647">
        <f>Leger2!AP31</f>
        <v>0</v>
      </c>
      <c r="AQ31" s="647">
        <f>Leger2!AQ31</f>
        <v>0</v>
      </c>
      <c r="AR31" s="647">
        <f>Leger2!AR31</f>
        <v>0</v>
      </c>
      <c r="AS31" s="647">
        <f>Leger2!AS31</f>
        <v>0</v>
      </c>
      <c r="AT31" s="647">
        <f>Leger2!AT31</f>
        <v>0</v>
      </c>
      <c r="AU31" s="647">
        <f>Leger2!AU31</f>
        <v>0</v>
      </c>
      <c r="AV31" s="647">
        <f>Leger2!AV31</f>
        <v>0</v>
      </c>
      <c r="AW31" s="647">
        <f>Leger2!AW31</f>
        <v>0</v>
      </c>
      <c r="AX31" s="647">
        <f>Leger2!AX31</f>
        <v>0</v>
      </c>
      <c r="AY31" s="647">
        <f>Leger2!AY31</f>
        <v>0</v>
      </c>
      <c r="AZ31" s="647">
        <f>Leger2!AZ31</f>
        <v>0</v>
      </c>
      <c r="BA31" s="213" t="str">
        <f t="shared" si="2"/>
        <v>D</v>
      </c>
      <c r="BB31" s="389" t="str">
        <f t="shared" si="0"/>
        <v/>
      </c>
      <c r="BC31" s="390" t="str">
        <f t="shared" si="1"/>
        <v/>
      </c>
      <c r="BD31" s="214" t="str">
        <f t="shared" si="3"/>
        <v/>
      </c>
    </row>
    <row r="32" spans="5:56" ht="16.5">
      <c r="E32" s="211">
        <f>Biodata!B31</f>
        <v>26</v>
      </c>
      <c r="F32" s="212">
        <f>IF(Biodata!C31="","",VLOOKUP(E32,Biodata_Siswa,2,FALSE))</f>
        <v>7132</v>
      </c>
      <c r="G32" s="891" t="str">
        <f>IF(Biodata!E31="","",PROPER(VLOOKUP(E32,Biodata_Siswa,4,FALSE)))</f>
        <v>Tio Ardinata</v>
      </c>
      <c r="H32" s="892"/>
      <c r="I32" s="646">
        <f>Leger2!I32</f>
        <v>0</v>
      </c>
      <c r="J32" s="647">
        <f>Leger2!J32</f>
        <v>0</v>
      </c>
      <c r="K32" s="647">
        <f>Leger2!K32</f>
        <v>0</v>
      </c>
      <c r="L32" s="647">
        <f>Leger2!L32</f>
        <v>0</v>
      </c>
      <c r="M32" s="647">
        <f>Leger2!M32</f>
        <v>0</v>
      </c>
      <c r="N32" s="647">
        <f>Leger2!N32</f>
        <v>0</v>
      </c>
      <c r="O32" s="647">
        <f>Leger2!O32</f>
        <v>0</v>
      </c>
      <c r="P32" s="647">
        <f>Leger2!P32</f>
        <v>0</v>
      </c>
      <c r="Q32" s="647">
        <f>Leger2!Q32</f>
        <v>0</v>
      </c>
      <c r="R32" s="647">
        <f>Leger2!R32</f>
        <v>0</v>
      </c>
      <c r="S32" s="647">
        <f>Leger2!S32</f>
        <v>0</v>
      </c>
      <c r="T32" s="647">
        <f>Leger2!T32</f>
        <v>0</v>
      </c>
      <c r="U32" s="647">
        <f>Leger2!U32</f>
        <v>0</v>
      </c>
      <c r="V32" s="647">
        <f>Leger2!V32</f>
        <v>0</v>
      </c>
      <c r="W32" s="647">
        <f>Leger2!W32</f>
        <v>0</v>
      </c>
      <c r="X32" s="647">
        <f>Leger2!X32</f>
        <v>0</v>
      </c>
      <c r="Y32" s="647">
        <f>Leger2!Y32</f>
        <v>0</v>
      </c>
      <c r="Z32" s="647">
        <f>Leger2!Z32</f>
        <v>0</v>
      </c>
      <c r="AA32" s="647">
        <f>Leger2!AA32</f>
        <v>0</v>
      </c>
      <c r="AB32" s="647">
        <f>Leger2!AB32</f>
        <v>0</v>
      </c>
      <c r="AC32" s="647">
        <f>Leger2!AC32</f>
        <v>0</v>
      </c>
      <c r="AD32" s="647">
        <f>Leger2!AD32</f>
        <v>0</v>
      </c>
      <c r="AE32" s="647">
        <f>Leger2!AE32</f>
        <v>0</v>
      </c>
      <c r="AF32" s="647">
        <f>Leger2!AF32</f>
        <v>0</v>
      </c>
      <c r="AG32" s="647">
        <f>Leger2!AG32</f>
        <v>0</v>
      </c>
      <c r="AH32" s="647">
        <f>Leger2!AH32</f>
        <v>0</v>
      </c>
      <c r="AI32" s="647">
        <f>Leger2!AI32</f>
        <v>0</v>
      </c>
      <c r="AJ32" s="647">
        <f>Leger2!AJ32</f>
        <v>0</v>
      </c>
      <c r="AK32" s="647">
        <f>Leger2!AK32</f>
        <v>0</v>
      </c>
      <c r="AL32" s="647">
        <f>Leger2!AL32</f>
        <v>0</v>
      </c>
      <c r="AM32" s="647">
        <f>Leger2!AM32</f>
        <v>0</v>
      </c>
      <c r="AN32" s="647">
        <f>Leger2!AN32</f>
        <v>0</v>
      </c>
      <c r="AO32" s="647">
        <f>Leger2!AO32</f>
        <v>0</v>
      </c>
      <c r="AP32" s="647">
        <f>Leger2!AP32</f>
        <v>0</v>
      </c>
      <c r="AQ32" s="647">
        <f>Leger2!AQ32</f>
        <v>0</v>
      </c>
      <c r="AR32" s="647">
        <f>Leger2!AR32</f>
        <v>0</v>
      </c>
      <c r="AS32" s="647">
        <f>Leger2!AS32</f>
        <v>0</v>
      </c>
      <c r="AT32" s="647">
        <f>Leger2!AT32</f>
        <v>0</v>
      </c>
      <c r="AU32" s="647">
        <f>Leger2!AU32</f>
        <v>0</v>
      </c>
      <c r="AV32" s="647">
        <f>Leger2!AV32</f>
        <v>0</v>
      </c>
      <c r="AW32" s="647">
        <f>Leger2!AW32</f>
        <v>0</v>
      </c>
      <c r="AX32" s="647">
        <f>Leger2!AX32</f>
        <v>0</v>
      </c>
      <c r="AY32" s="647">
        <f>Leger2!AY32</f>
        <v>0</v>
      </c>
      <c r="AZ32" s="647">
        <f>Leger2!AZ32</f>
        <v>0</v>
      </c>
      <c r="BA32" s="213" t="str">
        <f t="shared" si="2"/>
        <v>D</v>
      </c>
      <c r="BB32" s="389" t="str">
        <f t="shared" si="0"/>
        <v/>
      </c>
      <c r="BC32" s="390" t="str">
        <f t="shared" si="1"/>
        <v/>
      </c>
      <c r="BD32" s="214" t="str">
        <f t="shared" si="3"/>
        <v/>
      </c>
    </row>
    <row r="33" spans="2:56" ht="16.5">
      <c r="E33" s="211">
        <f>Biodata!B32</f>
        <v>27</v>
      </c>
      <c r="F33" s="212">
        <f>IF(Biodata!C32="","",VLOOKUP(E33,Biodata_Siswa,2,FALSE))</f>
        <v>7133</v>
      </c>
      <c r="G33" s="891" t="str">
        <f>IF(Biodata!E32="","",PROPER(VLOOKUP(E33,Biodata_Siswa,4,FALSE)))</f>
        <v>Tutik Dillayanti</v>
      </c>
      <c r="H33" s="892"/>
      <c r="I33" s="646">
        <f>Leger2!I33</f>
        <v>0</v>
      </c>
      <c r="J33" s="647">
        <f>Leger2!J33</f>
        <v>0</v>
      </c>
      <c r="K33" s="647">
        <f>Leger2!K33</f>
        <v>0</v>
      </c>
      <c r="L33" s="647">
        <f>Leger2!L33</f>
        <v>0</v>
      </c>
      <c r="M33" s="647">
        <f>Leger2!M33</f>
        <v>0</v>
      </c>
      <c r="N33" s="647">
        <f>Leger2!N33</f>
        <v>0</v>
      </c>
      <c r="O33" s="647">
        <f>Leger2!O33</f>
        <v>0</v>
      </c>
      <c r="P33" s="647">
        <f>Leger2!P33</f>
        <v>0</v>
      </c>
      <c r="Q33" s="647">
        <f>Leger2!Q33</f>
        <v>0</v>
      </c>
      <c r="R33" s="647">
        <f>Leger2!R33</f>
        <v>0</v>
      </c>
      <c r="S33" s="647">
        <f>Leger2!S33</f>
        <v>0</v>
      </c>
      <c r="T33" s="647">
        <f>Leger2!T33</f>
        <v>0</v>
      </c>
      <c r="U33" s="647">
        <f>Leger2!U33</f>
        <v>0</v>
      </c>
      <c r="V33" s="647">
        <f>Leger2!V33</f>
        <v>0</v>
      </c>
      <c r="W33" s="647">
        <f>Leger2!W33</f>
        <v>0</v>
      </c>
      <c r="X33" s="647">
        <f>Leger2!X33</f>
        <v>0</v>
      </c>
      <c r="Y33" s="647">
        <f>Leger2!Y33</f>
        <v>0</v>
      </c>
      <c r="Z33" s="647">
        <f>Leger2!Z33</f>
        <v>0</v>
      </c>
      <c r="AA33" s="647">
        <f>Leger2!AA33</f>
        <v>0</v>
      </c>
      <c r="AB33" s="647">
        <f>Leger2!AB33</f>
        <v>0</v>
      </c>
      <c r="AC33" s="647">
        <f>Leger2!AC33</f>
        <v>0</v>
      </c>
      <c r="AD33" s="647">
        <f>Leger2!AD33</f>
        <v>0</v>
      </c>
      <c r="AE33" s="647">
        <f>Leger2!AE33</f>
        <v>0</v>
      </c>
      <c r="AF33" s="647">
        <f>Leger2!AF33</f>
        <v>0</v>
      </c>
      <c r="AG33" s="647">
        <f>Leger2!AG33</f>
        <v>0</v>
      </c>
      <c r="AH33" s="647">
        <f>Leger2!AH33</f>
        <v>0</v>
      </c>
      <c r="AI33" s="647">
        <f>Leger2!AI33</f>
        <v>0</v>
      </c>
      <c r="AJ33" s="647">
        <f>Leger2!AJ33</f>
        <v>0</v>
      </c>
      <c r="AK33" s="647">
        <f>Leger2!AK33</f>
        <v>0</v>
      </c>
      <c r="AL33" s="647">
        <f>Leger2!AL33</f>
        <v>0</v>
      </c>
      <c r="AM33" s="647">
        <f>Leger2!AM33</f>
        <v>0</v>
      </c>
      <c r="AN33" s="647">
        <f>Leger2!AN33</f>
        <v>0</v>
      </c>
      <c r="AO33" s="647">
        <f>Leger2!AO33</f>
        <v>0</v>
      </c>
      <c r="AP33" s="647">
        <f>Leger2!AP33</f>
        <v>0</v>
      </c>
      <c r="AQ33" s="647">
        <f>Leger2!AQ33</f>
        <v>0</v>
      </c>
      <c r="AR33" s="647">
        <f>Leger2!AR33</f>
        <v>0</v>
      </c>
      <c r="AS33" s="647">
        <f>Leger2!AS33</f>
        <v>0</v>
      </c>
      <c r="AT33" s="647">
        <f>Leger2!AT33</f>
        <v>0</v>
      </c>
      <c r="AU33" s="647">
        <f>Leger2!AU33</f>
        <v>0</v>
      </c>
      <c r="AV33" s="647">
        <f>Leger2!AV33</f>
        <v>0</v>
      </c>
      <c r="AW33" s="647">
        <f>Leger2!AW33</f>
        <v>0</v>
      </c>
      <c r="AX33" s="647">
        <f>Leger2!AX33</f>
        <v>0</v>
      </c>
      <c r="AY33" s="647">
        <f>Leger2!AY33</f>
        <v>0</v>
      </c>
      <c r="AZ33" s="647">
        <f>Leger2!AZ33</f>
        <v>0</v>
      </c>
      <c r="BA33" s="213" t="str">
        <f t="shared" si="2"/>
        <v>D</v>
      </c>
      <c r="BB33" s="389" t="str">
        <f t="shared" si="0"/>
        <v/>
      </c>
      <c r="BC33" s="390" t="str">
        <f t="shared" si="1"/>
        <v/>
      </c>
      <c r="BD33" s="214" t="str">
        <f t="shared" si="3"/>
        <v/>
      </c>
    </row>
    <row r="34" spans="2:56" ht="16.5">
      <c r="E34" s="211">
        <f>Biodata!B33</f>
        <v>28</v>
      </c>
      <c r="F34" s="212">
        <f>IF(Biodata!C33="","",VLOOKUP(E34,Biodata_Siswa,2,FALSE))</f>
        <v>7142</v>
      </c>
      <c r="G34" s="891" t="str">
        <f>IF(Biodata!E33="","",PROPER(VLOOKUP(E34,Biodata_Siswa,4,FALSE)))</f>
        <v>I Gede Nyoman Bagiyasa</v>
      </c>
      <c r="H34" s="892"/>
      <c r="I34" s="646">
        <f>Leger2!I34</f>
        <v>0</v>
      </c>
      <c r="J34" s="647">
        <f>Leger2!J34</f>
        <v>0</v>
      </c>
      <c r="K34" s="647">
        <f>Leger2!K34</f>
        <v>0</v>
      </c>
      <c r="L34" s="647">
        <f>Leger2!L34</f>
        <v>0</v>
      </c>
      <c r="M34" s="647">
        <f>Leger2!M34</f>
        <v>0</v>
      </c>
      <c r="N34" s="647">
        <f>Leger2!N34</f>
        <v>0</v>
      </c>
      <c r="O34" s="647">
        <f>Leger2!O34</f>
        <v>0</v>
      </c>
      <c r="P34" s="647">
        <f>Leger2!P34</f>
        <v>0</v>
      </c>
      <c r="Q34" s="647">
        <f>Leger2!Q34</f>
        <v>0</v>
      </c>
      <c r="R34" s="647">
        <f>Leger2!R34</f>
        <v>0</v>
      </c>
      <c r="S34" s="647">
        <f>Leger2!S34</f>
        <v>0</v>
      </c>
      <c r="T34" s="647">
        <f>Leger2!T34</f>
        <v>0</v>
      </c>
      <c r="U34" s="647">
        <f>Leger2!U34</f>
        <v>0</v>
      </c>
      <c r="V34" s="647">
        <f>Leger2!V34</f>
        <v>0</v>
      </c>
      <c r="W34" s="647">
        <f>Leger2!W34</f>
        <v>0</v>
      </c>
      <c r="X34" s="647">
        <f>Leger2!X34</f>
        <v>0</v>
      </c>
      <c r="Y34" s="647">
        <f>Leger2!Y34</f>
        <v>0</v>
      </c>
      <c r="Z34" s="647">
        <f>Leger2!Z34</f>
        <v>0</v>
      </c>
      <c r="AA34" s="647">
        <f>Leger2!AA34</f>
        <v>0</v>
      </c>
      <c r="AB34" s="647">
        <f>Leger2!AB34</f>
        <v>0</v>
      </c>
      <c r="AC34" s="647">
        <f>Leger2!AC34</f>
        <v>0</v>
      </c>
      <c r="AD34" s="647">
        <f>Leger2!AD34</f>
        <v>0</v>
      </c>
      <c r="AE34" s="647">
        <f>Leger2!AE34</f>
        <v>0</v>
      </c>
      <c r="AF34" s="647">
        <f>Leger2!AF34</f>
        <v>0</v>
      </c>
      <c r="AG34" s="647">
        <f>Leger2!AG34</f>
        <v>0</v>
      </c>
      <c r="AH34" s="647">
        <f>Leger2!AH34</f>
        <v>0</v>
      </c>
      <c r="AI34" s="647">
        <f>Leger2!AI34</f>
        <v>0</v>
      </c>
      <c r="AJ34" s="647">
        <f>Leger2!AJ34</f>
        <v>0</v>
      </c>
      <c r="AK34" s="647">
        <f>Leger2!AK34</f>
        <v>0</v>
      </c>
      <c r="AL34" s="647">
        <f>Leger2!AL34</f>
        <v>0</v>
      </c>
      <c r="AM34" s="647">
        <f>Leger2!AM34</f>
        <v>0</v>
      </c>
      <c r="AN34" s="647">
        <f>Leger2!AN34</f>
        <v>0</v>
      </c>
      <c r="AO34" s="647">
        <f>Leger2!AO34</f>
        <v>0</v>
      </c>
      <c r="AP34" s="647">
        <f>Leger2!AP34</f>
        <v>0</v>
      </c>
      <c r="AQ34" s="647">
        <f>Leger2!AQ34</f>
        <v>0</v>
      </c>
      <c r="AR34" s="647">
        <f>Leger2!AR34</f>
        <v>0</v>
      </c>
      <c r="AS34" s="647">
        <f>Leger2!AS34</f>
        <v>0</v>
      </c>
      <c r="AT34" s="647">
        <f>Leger2!AT34</f>
        <v>0</v>
      </c>
      <c r="AU34" s="647">
        <f>Leger2!AU34</f>
        <v>0</v>
      </c>
      <c r="AV34" s="647">
        <f>Leger2!AV34</f>
        <v>0</v>
      </c>
      <c r="AW34" s="647">
        <f>Leger2!AW34</f>
        <v>0</v>
      </c>
      <c r="AX34" s="647">
        <f>Leger2!AX34</f>
        <v>0</v>
      </c>
      <c r="AY34" s="647">
        <f>Leger2!AY34</f>
        <v>0</v>
      </c>
      <c r="AZ34" s="647">
        <f>Leger2!AZ34</f>
        <v>0</v>
      </c>
      <c r="BA34" s="213" t="str">
        <f t="shared" si="2"/>
        <v>D</v>
      </c>
      <c r="BB34" s="389" t="str">
        <f t="shared" si="0"/>
        <v/>
      </c>
      <c r="BC34" s="390" t="str">
        <f t="shared" si="1"/>
        <v/>
      </c>
      <c r="BD34" s="214" t="str">
        <f t="shared" si="3"/>
        <v/>
      </c>
    </row>
    <row r="35" spans="2:56" ht="16.5">
      <c r="E35" s="211">
        <f>Biodata!B34</f>
        <v>29</v>
      </c>
      <c r="F35" s="212" t="str">
        <f>IF(Biodata!C34="","",VLOOKUP(E35,Biodata_Siswa,2,FALSE))</f>
        <v/>
      </c>
      <c r="G35" s="891" t="str">
        <f>IF(Biodata!E34="","",PROPER(VLOOKUP(E35,Biodata_Siswa,4,FALSE)))</f>
        <v>Melati Sabilla Rochmah</v>
      </c>
      <c r="H35" s="892"/>
      <c r="I35" s="646">
        <f>Leger2!I35</f>
        <v>0</v>
      </c>
      <c r="J35" s="647">
        <f>Leger2!J35</f>
        <v>0</v>
      </c>
      <c r="K35" s="647">
        <f>Leger2!K35</f>
        <v>0</v>
      </c>
      <c r="L35" s="647">
        <f>Leger2!L35</f>
        <v>0</v>
      </c>
      <c r="M35" s="647">
        <f>Leger2!M35</f>
        <v>0</v>
      </c>
      <c r="N35" s="647">
        <f>Leger2!N35</f>
        <v>0</v>
      </c>
      <c r="O35" s="647">
        <f>Leger2!O35</f>
        <v>0</v>
      </c>
      <c r="P35" s="647">
        <f>Leger2!P35</f>
        <v>0</v>
      </c>
      <c r="Q35" s="647">
        <f>Leger2!Q35</f>
        <v>0</v>
      </c>
      <c r="R35" s="647">
        <f>Leger2!R35</f>
        <v>0</v>
      </c>
      <c r="S35" s="647">
        <f>Leger2!S35</f>
        <v>0</v>
      </c>
      <c r="T35" s="647">
        <f>Leger2!T35</f>
        <v>0</v>
      </c>
      <c r="U35" s="647">
        <f>Leger2!U35</f>
        <v>0</v>
      </c>
      <c r="V35" s="647">
        <f>Leger2!V35</f>
        <v>0</v>
      </c>
      <c r="W35" s="647">
        <f>Leger2!W35</f>
        <v>0</v>
      </c>
      <c r="X35" s="647">
        <f>Leger2!X35</f>
        <v>0</v>
      </c>
      <c r="Y35" s="647">
        <f>Leger2!Y35</f>
        <v>0</v>
      </c>
      <c r="Z35" s="647">
        <f>Leger2!Z35</f>
        <v>0</v>
      </c>
      <c r="AA35" s="647">
        <f>Leger2!AA35</f>
        <v>0</v>
      </c>
      <c r="AB35" s="647">
        <f>Leger2!AB35</f>
        <v>0</v>
      </c>
      <c r="AC35" s="647">
        <f>Leger2!AC35</f>
        <v>0</v>
      </c>
      <c r="AD35" s="647">
        <f>Leger2!AD35</f>
        <v>0</v>
      </c>
      <c r="AE35" s="647">
        <f>Leger2!AE35</f>
        <v>0</v>
      </c>
      <c r="AF35" s="647">
        <f>Leger2!AF35</f>
        <v>0</v>
      </c>
      <c r="AG35" s="647">
        <f>Leger2!AG35</f>
        <v>0</v>
      </c>
      <c r="AH35" s="647">
        <f>Leger2!AH35</f>
        <v>0</v>
      </c>
      <c r="AI35" s="647">
        <f>Leger2!AI35</f>
        <v>0</v>
      </c>
      <c r="AJ35" s="647">
        <f>Leger2!AJ35</f>
        <v>0</v>
      </c>
      <c r="AK35" s="647">
        <f>Leger2!AK35</f>
        <v>0</v>
      </c>
      <c r="AL35" s="647">
        <f>Leger2!AL35</f>
        <v>0</v>
      </c>
      <c r="AM35" s="647">
        <f>Leger2!AM35</f>
        <v>0</v>
      </c>
      <c r="AN35" s="647">
        <f>Leger2!AN35</f>
        <v>0</v>
      </c>
      <c r="AO35" s="647">
        <f>Leger2!AO35</f>
        <v>0</v>
      </c>
      <c r="AP35" s="647">
        <f>Leger2!AP35</f>
        <v>0</v>
      </c>
      <c r="AQ35" s="647">
        <f>Leger2!AQ35</f>
        <v>0</v>
      </c>
      <c r="AR35" s="647">
        <f>Leger2!AR35</f>
        <v>0</v>
      </c>
      <c r="AS35" s="647">
        <f>Leger2!AS35</f>
        <v>0</v>
      </c>
      <c r="AT35" s="647">
        <f>Leger2!AT35</f>
        <v>0</v>
      </c>
      <c r="AU35" s="647">
        <f>Leger2!AU35</f>
        <v>0</v>
      </c>
      <c r="AV35" s="647">
        <f>Leger2!AV35</f>
        <v>0</v>
      </c>
      <c r="AW35" s="647">
        <f>Leger2!AW35</f>
        <v>0</v>
      </c>
      <c r="AX35" s="647">
        <f>Leger2!AX35</f>
        <v>0</v>
      </c>
      <c r="AY35" s="647">
        <f>Leger2!AY35</f>
        <v>0</v>
      </c>
      <c r="AZ35" s="647">
        <f>Leger2!AZ35</f>
        <v>0</v>
      </c>
      <c r="BA35" s="213" t="str">
        <f t="shared" si="2"/>
        <v>D</v>
      </c>
      <c r="BB35" s="389" t="str">
        <f t="shared" si="0"/>
        <v/>
      </c>
      <c r="BC35" s="390" t="str">
        <f t="shared" si="1"/>
        <v/>
      </c>
      <c r="BD35" s="214" t="str">
        <f t="shared" si="3"/>
        <v/>
      </c>
    </row>
    <row r="36" spans="2:56" ht="16.5">
      <c r="E36" s="211" t="str">
        <f>Biodata!B35</f>
        <v/>
      </c>
      <c r="F36" s="212" t="str">
        <f>IF(Biodata!C35="","",VLOOKUP(E36,Biodata_Siswa,2,FALSE))</f>
        <v/>
      </c>
      <c r="G36" s="891" t="str">
        <f>IF(Biodata!E35="","",PROPER(VLOOKUP(E36,Biodata_Siswa,4,FALSE)))</f>
        <v/>
      </c>
      <c r="H36" s="892"/>
      <c r="I36" s="646">
        <f>Leger2!I36</f>
        <v>0</v>
      </c>
      <c r="J36" s="647">
        <f>Leger2!J36</f>
        <v>0</v>
      </c>
      <c r="K36" s="647">
        <f>Leger2!K36</f>
        <v>0</v>
      </c>
      <c r="L36" s="647">
        <f>Leger2!L36</f>
        <v>0</v>
      </c>
      <c r="M36" s="647">
        <f>Leger2!M36</f>
        <v>0</v>
      </c>
      <c r="N36" s="647">
        <f>Leger2!N36</f>
        <v>0</v>
      </c>
      <c r="O36" s="647">
        <f>Leger2!O36</f>
        <v>0</v>
      </c>
      <c r="P36" s="647">
        <f>Leger2!P36</f>
        <v>0</v>
      </c>
      <c r="Q36" s="647">
        <f>Leger2!Q36</f>
        <v>0</v>
      </c>
      <c r="R36" s="647">
        <f>Leger2!R36</f>
        <v>0</v>
      </c>
      <c r="S36" s="647">
        <f>Leger2!S36</f>
        <v>0</v>
      </c>
      <c r="T36" s="647">
        <f>Leger2!T36</f>
        <v>0</v>
      </c>
      <c r="U36" s="647">
        <f>Leger2!U36</f>
        <v>0</v>
      </c>
      <c r="V36" s="647">
        <f>Leger2!V36</f>
        <v>0</v>
      </c>
      <c r="W36" s="647">
        <f>Leger2!W36</f>
        <v>0</v>
      </c>
      <c r="X36" s="647">
        <f>Leger2!X36</f>
        <v>0</v>
      </c>
      <c r="Y36" s="647">
        <f>Leger2!Y36</f>
        <v>0</v>
      </c>
      <c r="Z36" s="647">
        <f>Leger2!Z36</f>
        <v>0</v>
      </c>
      <c r="AA36" s="647">
        <f>Leger2!AA36</f>
        <v>0</v>
      </c>
      <c r="AB36" s="647">
        <f>Leger2!AB36</f>
        <v>0</v>
      </c>
      <c r="AC36" s="647">
        <f>Leger2!AC36</f>
        <v>0</v>
      </c>
      <c r="AD36" s="647">
        <f>Leger2!AD36</f>
        <v>0</v>
      </c>
      <c r="AE36" s="647">
        <f>Leger2!AE36</f>
        <v>0</v>
      </c>
      <c r="AF36" s="647">
        <f>Leger2!AF36</f>
        <v>0</v>
      </c>
      <c r="AG36" s="647">
        <f>Leger2!AG36</f>
        <v>0</v>
      </c>
      <c r="AH36" s="647">
        <f>Leger2!AH36</f>
        <v>0</v>
      </c>
      <c r="AI36" s="647">
        <f>Leger2!AI36</f>
        <v>0</v>
      </c>
      <c r="AJ36" s="647">
        <f>Leger2!AJ36</f>
        <v>0</v>
      </c>
      <c r="AK36" s="647">
        <f>Leger2!AK36</f>
        <v>0</v>
      </c>
      <c r="AL36" s="647">
        <f>Leger2!AL36</f>
        <v>0</v>
      </c>
      <c r="AM36" s="647">
        <f>Leger2!AM36</f>
        <v>0</v>
      </c>
      <c r="AN36" s="647">
        <f>Leger2!AN36</f>
        <v>0</v>
      </c>
      <c r="AO36" s="647">
        <f>Leger2!AO36</f>
        <v>0</v>
      </c>
      <c r="AP36" s="647">
        <f>Leger2!AP36</f>
        <v>0</v>
      </c>
      <c r="AQ36" s="647">
        <f>Leger2!AQ36</f>
        <v>0</v>
      </c>
      <c r="AR36" s="647">
        <f>Leger2!AR36</f>
        <v>0</v>
      </c>
      <c r="AS36" s="647">
        <f>Leger2!AS36</f>
        <v>0</v>
      </c>
      <c r="AT36" s="647">
        <f>Leger2!AT36</f>
        <v>0</v>
      </c>
      <c r="AU36" s="647">
        <f>Leger2!AU36</f>
        <v>0</v>
      </c>
      <c r="AV36" s="647">
        <f>Leger2!AV36</f>
        <v>0</v>
      </c>
      <c r="AW36" s="647">
        <f>Leger2!AW36</f>
        <v>0</v>
      </c>
      <c r="AX36" s="647">
        <f>Leger2!AX36</f>
        <v>0</v>
      </c>
      <c r="AY36" s="647">
        <f>Leger2!AY36</f>
        <v>0</v>
      </c>
      <c r="AZ36" s="647">
        <f>Leger2!AZ36</f>
        <v>0</v>
      </c>
      <c r="BA36" s="213" t="str">
        <f t="shared" si="2"/>
        <v>D</v>
      </c>
      <c r="BB36" s="389" t="str">
        <f t="shared" si="0"/>
        <v/>
      </c>
      <c r="BC36" s="390" t="str">
        <f t="shared" si="1"/>
        <v/>
      </c>
      <c r="BD36" s="214" t="str">
        <f t="shared" si="3"/>
        <v/>
      </c>
    </row>
    <row r="37" spans="2:56" ht="16.5">
      <c r="E37" s="211" t="str">
        <f>Biodata!B36</f>
        <v/>
      </c>
      <c r="F37" s="212" t="str">
        <f>IF(Biodata!C36="","",VLOOKUP(E37,Biodata_Siswa,2,FALSE))</f>
        <v/>
      </c>
      <c r="G37" s="891" t="str">
        <f>IF(Biodata!E36="","",PROPER(VLOOKUP(E37,Biodata_Siswa,4,FALSE)))</f>
        <v/>
      </c>
      <c r="H37" s="892"/>
      <c r="I37" s="646">
        <f>Leger2!I37</f>
        <v>0</v>
      </c>
      <c r="J37" s="647">
        <f>Leger2!J37</f>
        <v>0</v>
      </c>
      <c r="K37" s="647">
        <f>Leger2!K37</f>
        <v>0</v>
      </c>
      <c r="L37" s="647">
        <f>Leger2!L37</f>
        <v>0</v>
      </c>
      <c r="M37" s="647">
        <f>Leger2!M37</f>
        <v>0</v>
      </c>
      <c r="N37" s="647">
        <f>Leger2!N37</f>
        <v>0</v>
      </c>
      <c r="O37" s="647">
        <f>Leger2!O37</f>
        <v>0</v>
      </c>
      <c r="P37" s="647">
        <f>Leger2!P37</f>
        <v>0</v>
      </c>
      <c r="Q37" s="647">
        <f>Leger2!Q37</f>
        <v>0</v>
      </c>
      <c r="R37" s="647">
        <f>Leger2!R37</f>
        <v>0</v>
      </c>
      <c r="S37" s="647">
        <f>Leger2!S37</f>
        <v>0</v>
      </c>
      <c r="T37" s="647">
        <f>Leger2!T37</f>
        <v>0</v>
      </c>
      <c r="U37" s="647">
        <f>Leger2!U37</f>
        <v>0</v>
      </c>
      <c r="V37" s="647">
        <f>Leger2!V37</f>
        <v>0</v>
      </c>
      <c r="W37" s="647">
        <f>Leger2!W37</f>
        <v>0</v>
      </c>
      <c r="X37" s="647">
        <f>Leger2!X37</f>
        <v>0</v>
      </c>
      <c r="Y37" s="647">
        <f>Leger2!Y37</f>
        <v>0</v>
      </c>
      <c r="Z37" s="647">
        <f>Leger2!Z37</f>
        <v>0</v>
      </c>
      <c r="AA37" s="647">
        <f>Leger2!AA37</f>
        <v>0</v>
      </c>
      <c r="AB37" s="647">
        <f>Leger2!AB37</f>
        <v>0</v>
      </c>
      <c r="AC37" s="647">
        <f>Leger2!AC37</f>
        <v>0</v>
      </c>
      <c r="AD37" s="647">
        <f>Leger2!AD37</f>
        <v>0</v>
      </c>
      <c r="AE37" s="647">
        <f>Leger2!AE37</f>
        <v>0</v>
      </c>
      <c r="AF37" s="647">
        <f>Leger2!AF37</f>
        <v>0</v>
      </c>
      <c r="AG37" s="647">
        <f>Leger2!AG37</f>
        <v>0</v>
      </c>
      <c r="AH37" s="647">
        <f>Leger2!AH37</f>
        <v>0</v>
      </c>
      <c r="AI37" s="647">
        <f>Leger2!AI37</f>
        <v>0</v>
      </c>
      <c r="AJ37" s="647">
        <f>Leger2!AJ37</f>
        <v>0</v>
      </c>
      <c r="AK37" s="647">
        <f>Leger2!AK37</f>
        <v>0</v>
      </c>
      <c r="AL37" s="647">
        <f>Leger2!AL37</f>
        <v>0</v>
      </c>
      <c r="AM37" s="647">
        <f>Leger2!AM37</f>
        <v>0</v>
      </c>
      <c r="AN37" s="647">
        <f>Leger2!AN37</f>
        <v>0</v>
      </c>
      <c r="AO37" s="647">
        <f>Leger2!AO37</f>
        <v>0</v>
      </c>
      <c r="AP37" s="647">
        <f>Leger2!AP37</f>
        <v>0</v>
      </c>
      <c r="AQ37" s="647">
        <f>Leger2!AQ37</f>
        <v>0</v>
      </c>
      <c r="AR37" s="647">
        <f>Leger2!AR37</f>
        <v>0</v>
      </c>
      <c r="AS37" s="647">
        <f>Leger2!AS37</f>
        <v>0</v>
      </c>
      <c r="AT37" s="647">
        <f>Leger2!AT37</f>
        <v>0</v>
      </c>
      <c r="AU37" s="647">
        <f>Leger2!AU37</f>
        <v>0</v>
      </c>
      <c r="AV37" s="647">
        <f>Leger2!AV37</f>
        <v>0</v>
      </c>
      <c r="AW37" s="647">
        <f>Leger2!AW37</f>
        <v>0</v>
      </c>
      <c r="AX37" s="647">
        <f>Leger2!AX37</f>
        <v>0</v>
      </c>
      <c r="AY37" s="647">
        <f>Leger2!AY37</f>
        <v>0</v>
      </c>
      <c r="AZ37" s="647">
        <f>Leger2!AZ37</f>
        <v>0</v>
      </c>
      <c r="BA37" s="213" t="str">
        <f t="shared" si="2"/>
        <v>D</v>
      </c>
      <c r="BB37" s="389" t="str">
        <f>IF(G37="","",IF(I37+L37+O37+R37+U37+X37+AA37+AD37+AG37+AJ37+AM37+AP37+AS37+AV37+AY37=0,"",I37+L37+O37+R37+U37+X37+AA37+AD37+AG37+AJ37+AM37+AP37+AS37+AV37+AY37))</f>
        <v/>
      </c>
      <c r="BC37" s="390" t="str">
        <f t="shared" si="1"/>
        <v/>
      </c>
      <c r="BD37" s="214" t="str">
        <f t="shared" si="3"/>
        <v/>
      </c>
    </row>
    <row r="38" spans="2:56" ht="16.5">
      <c r="E38" s="211" t="str">
        <f>Biodata!B37</f>
        <v/>
      </c>
      <c r="F38" s="212" t="str">
        <f>IF(Biodata!C37="","",VLOOKUP(E38,Biodata_Siswa,2,FALSE))</f>
        <v/>
      </c>
      <c r="G38" s="891" t="str">
        <f>IF(Biodata!E37="","",PROPER(VLOOKUP(E38,Biodata_Siswa,4,FALSE)))</f>
        <v/>
      </c>
      <c r="H38" s="892"/>
      <c r="I38" s="646">
        <f>Leger2!I38</f>
        <v>0</v>
      </c>
      <c r="J38" s="647">
        <f>Leger2!J38</f>
        <v>0</v>
      </c>
      <c r="K38" s="647">
        <f>Leger2!K38</f>
        <v>0</v>
      </c>
      <c r="L38" s="647">
        <f>Leger2!L38</f>
        <v>0</v>
      </c>
      <c r="M38" s="647">
        <f>Leger2!M38</f>
        <v>0</v>
      </c>
      <c r="N38" s="647">
        <f>Leger2!N38</f>
        <v>0</v>
      </c>
      <c r="O38" s="647">
        <f>Leger2!O38</f>
        <v>0</v>
      </c>
      <c r="P38" s="647">
        <f>Leger2!P38</f>
        <v>0</v>
      </c>
      <c r="Q38" s="647">
        <f>Leger2!Q38</f>
        <v>0</v>
      </c>
      <c r="R38" s="647">
        <f>Leger2!R38</f>
        <v>0</v>
      </c>
      <c r="S38" s="647">
        <f>Leger2!S38</f>
        <v>0</v>
      </c>
      <c r="T38" s="647">
        <f>Leger2!T38</f>
        <v>0</v>
      </c>
      <c r="U38" s="647">
        <f>Leger2!U38</f>
        <v>0</v>
      </c>
      <c r="V38" s="647">
        <f>Leger2!V38</f>
        <v>0</v>
      </c>
      <c r="W38" s="647">
        <f>Leger2!W38</f>
        <v>0</v>
      </c>
      <c r="X38" s="647">
        <f>Leger2!X38</f>
        <v>0</v>
      </c>
      <c r="Y38" s="647">
        <f>Leger2!Y38</f>
        <v>0</v>
      </c>
      <c r="Z38" s="647">
        <f>Leger2!Z38</f>
        <v>0</v>
      </c>
      <c r="AA38" s="647">
        <f>Leger2!AA38</f>
        <v>0</v>
      </c>
      <c r="AB38" s="647">
        <f>Leger2!AB38</f>
        <v>0</v>
      </c>
      <c r="AC38" s="647">
        <f>Leger2!AC38</f>
        <v>0</v>
      </c>
      <c r="AD38" s="647">
        <f>Leger2!AD38</f>
        <v>0</v>
      </c>
      <c r="AE38" s="647">
        <f>Leger2!AE38</f>
        <v>0</v>
      </c>
      <c r="AF38" s="647">
        <f>Leger2!AF38</f>
        <v>0</v>
      </c>
      <c r="AG38" s="647">
        <f>Leger2!AG38</f>
        <v>0</v>
      </c>
      <c r="AH38" s="647">
        <f>Leger2!AH38</f>
        <v>0</v>
      </c>
      <c r="AI38" s="647">
        <f>Leger2!AI38</f>
        <v>0</v>
      </c>
      <c r="AJ38" s="647">
        <f>Leger2!AJ38</f>
        <v>0</v>
      </c>
      <c r="AK38" s="647">
        <f>Leger2!AK38</f>
        <v>0</v>
      </c>
      <c r="AL38" s="647">
        <f>Leger2!AL38</f>
        <v>0</v>
      </c>
      <c r="AM38" s="647">
        <f>Leger2!AM38</f>
        <v>0</v>
      </c>
      <c r="AN38" s="647">
        <f>Leger2!AN38</f>
        <v>0</v>
      </c>
      <c r="AO38" s="647">
        <f>Leger2!AO38</f>
        <v>0</v>
      </c>
      <c r="AP38" s="647">
        <f>Leger2!AP38</f>
        <v>0</v>
      </c>
      <c r="AQ38" s="647">
        <f>Leger2!AQ38</f>
        <v>0</v>
      </c>
      <c r="AR38" s="647">
        <f>Leger2!AR38</f>
        <v>0</v>
      </c>
      <c r="AS38" s="647">
        <f>Leger2!AS38</f>
        <v>0</v>
      </c>
      <c r="AT38" s="647">
        <f>Leger2!AT38</f>
        <v>0</v>
      </c>
      <c r="AU38" s="647">
        <f>Leger2!AU38</f>
        <v>0</v>
      </c>
      <c r="AV38" s="647">
        <f>Leger2!AV38</f>
        <v>0</v>
      </c>
      <c r="AW38" s="647">
        <f>Leger2!AW38</f>
        <v>0</v>
      </c>
      <c r="AX38" s="647">
        <f>Leger2!AX38</f>
        <v>0</v>
      </c>
      <c r="AY38" s="647">
        <f>Leger2!AY38</f>
        <v>0</v>
      </c>
      <c r="AZ38" s="647">
        <f>Leger2!AZ38</f>
        <v>0</v>
      </c>
      <c r="BA38" s="213" t="str">
        <f t="shared" si="2"/>
        <v>D</v>
      </c>
      <c r="BB38" s="389" t="str">
        <f t="shared" si="0"/>
        <v/>
      </c>
      <c r="BC38" s="390" t="str">
        <f t="shared" si="1"/>
        <v/>
      </c>
      <c r="BD38" s="214" t="str">
        <f t="shared" si="3"/>
        <v/>
      </c>
    </row>
    <row r="39" spans="2:56" ht="16.5">
      <c r="E39" s="211" t="str">
        <f>Biodata!B38</f>
        <v/>
      </c>
      <c r="F39" s="212" t="str">
        <f>IF(Biodata!C38="","",VLOOKUP(E39,Biodata_Siswa,2,FALSE))</f>
        <v/>
      </c>
      <c r="G39" s="891" t="str">
        <f>IF(Biodata!E38="","",PROPER(VLOOKUP(E39,Biodata_Siswa,4,FALSE)))</f>
        <v/>
      </c>
      <c r="H39" s="892"/>
      <c r="I39" s="646">
        <f>Leger2!I39</f>
        <v>0</v>
      </c>
      <c r="J39" s="647">
        <f>Leger2!J39</f>
        <v>0</v>
      </c>
      <c r="K39" s="647">
        <f>Leger2!K39</f>
        <v>0</v>
      </c>
      <c r="L39" s="647">
        <f>Leger2!L39</f>
        <v>0</v>
      </c>
      <c r="M39" s="647">
        <f>Leger2!M39</f>
        <v>0</v>
      </c>
      <c r="N39" s="647">
        <f>Leger2!N39</f>
        <v>0</v>
      </c>
      <c r="O39" s="647">
        <f>Leger2!O39</f>
        <v>0</v>
      </c>
      <c r="P39" s="647">
        <f>Leger2!P39</f>
        <v>0</v>
      </c>
      <c r="Q39" s="647">
        <f>Leger2!Q39</f>
        <v>0</v>
      </c>
      <c r="R39" s="647">
        <f>Leger2!R39</f>
        <v>0</v>
      </c>
      <c r="S39" s="647">
        <f>Leger2!S39</f>
        <v>0</v>
      </c>
      <c r="T39" s="647">
        <f>Leger2!T39</f>
        <v>0</v>
      </c>
      <c r="U39" s="647">
        <f>Leger2!U39</f>
        <v>0</v>
      </c>
      <c r="V39" s="647">
        <f>Leger2!V39</f>
        <v>0</v>
      </c>
      <c r="W39" s="647">
        <f>Leger2!W39</f>
        <v>0</v>
      </c>
      <c r="X39" s="647">
        <f>Leger2!X39</f>
        <v>0</v>
      </c>
      <c r="Y39" s="647">
        <f>Leger2!Y39</f>
        <v>0</v>
      </c>
      <c r="Z39" s="647">
        <f>Leger2!Z39</f>
        <v>0</v>
      </c>
      <c r="AA39" s="647">
        <f>Leger2!AA39</f>
        <v>0</v>
      </c>
      <c r="AB39" s="647">
        <f>Leger2!AB39</f>
        <v>0</v>
      </c>
      <c r="AC39" s="647">
        <f>Leger2!AC39</f>
        <v>0</v>
      </c>
      <c r="AD39" s="647">
        <f>Leger2!AD39</f>
        <v>0</v>
      </c>
      <c r="AE39" s="647">
        <f>Leger2!AE39</f>
        <v>0</v>
      </c>
      <c r="AF39" s="647">
        <f>Leger2!AF39</f>
        <v>0</v>
      </c>
      <c r="AG39" s="647">
        <f>Leger2!AG39</f>
        <v>0</v>
      </c>
      <c r="AH39" s="647">
        <f>Leger2!AH39</f>
        <v>0</v>
      </c>
      <c r="AI39" s="647">
        <f>Leger2!AI39</f>
        <v>0</v>
      </c>
      <c r="AJ39" s="647">
        <f>Leger2!AJ39</f>
        <v>0</v>
      </c>
      <c r="AK39" s="647">
        <f>Leger2!AK39</f>
        <v>0</v>
      </c>
      <c r="AL39" s="647">
        <f>Leger2!AL39</f>
        <v>0</v>
      </c>
      <c r="AM39" s="647">
        <f>Leger2!AM39</f>
        <v>0</v>
      </c>
      <c r="AN39" s="647">
        <f>Leger2!AN39</f>
        <v>0</v>
      </c>
      <c r="AO39" s="647">
        <f>Leger2!AO39</f>
        <v>0</v>
      </c>
      <c r="AP39" s="647">
        <f>Leger2!AP39</f>
        <v>0</v>
      </c>
      <c r="AQ39" s="647">
        <f>Leger2!AQ39</f>
        <v>0</v>
      </c>
      <c r="AR39" s="647">
        <f>Leger2!AR39</f>
        <v>0</v>
      </c>
      <c r="AS39" s="647">
        <f>Leger2!AS39</f>
        <v>0</v>
      </c>
      <c r="AT39" s="647">
        <f>Leger2!AT39</f>
        <v>0</v>
      </c>
      <c r="AU39" s="647">
        <f>Leger2!AU39</f>
        <v>0</v>
      </c>
      <c r="AV39" s="647">
        <f>Leger2!AV39</f>
        <v>0</v>
      </c>
      <c r="AW39" s="647">
        <f>Leger2!AW39</f>
        <v>0</v>
      </c>
      <c r="AX39" s="647">
        <f>Leger2!AX39</f>
        <v>0</v>
      </c>
      <c r="AY39" s="647">
        <f>Leger2!AY39</f>
        <v>0</v>
      </c>
      <c r="AZ39" s="647">
        <f>Leger2!AZ39</f>
        <v>0</v>
      </c>
      <c r="BA39" s="213" t="str">
        <f t="shared" si="2"/>
        <v>D</v>
      </c>
      <c r="BB39" s="389" t="str">
        <f t="shared" si="0"/>
        <v/>
      </c>
      <c r="BC39" s="390" t="str">
        <f t="shared" si="1"/>
        <v/>
      </c>
      <c r="BD39" s="214" t="str">
        <f t="shared" si="3"/>
        <v/>
      </c>
    </row>
    <row r="40" spans="2:56" ht="16.5">
      <c r="E40" s="211" t="str">
        <f>Biodata!B39</f>
        <v/>
      </c>
      <c r="F40" s="212" t="str">
        <f>IF(Biodata!C39="","",VLOOKUP(E40,Biodata_Siswa,2,FALSE))</f>
        <v/>
      </c>
      <c r="G40" s="891" t="str">
        <f>IF(Biodata!E39="","",PROPER(VLOOKUP(E40,Biodata_Siswa,4,FALSE)))</f>
        <v/>
      </c>
      <c r="H40" s="892"/>
      <c r="I40" s="646">
        <f>Leger2!I40</f>
        <v>0</v>
      </c>
      <c r="J40" s="647">
        <f>Leger2!J40</f>
        <v>0</v>
      </c>
      <c r="K40" s="647">
        <f>Leger2!K40</f>
        <v>0</v>
      </c>
      <c r="L40" s="647">
        <f>Leger2!L40</f>
        <v>0</v>
      </c>
      <c r="M40" s="647">
        <f>Leger2!M40</f>
        <v>0</v>
      </c>
      <c r="N40" s="647">
        <f>Leger2!N40</f>
        <v>0</v>
      </c>
      <c r="O40" s="647">
        <f>Leger2!O40</f>
        <v>0</v>
      </c>
      <c r="P40" s="647">
        <f>Leger2!P40</f>
        <v>0</v>
      </c>
      <c r="Q40" s="647">
        <f>Leger2!Q40</f>
        <v>0</v>
      </c>
      <c r="R40" s="647">
        <f>Leger2!R40</f>
        <v>0</v>
      </c>
      <c r="S40" s="647">
        <f>Leger2!S40</f>
        <v>0</v>
      </c>
      <c r="T40" s="647">
        <f>Leger2!T40</f>
        <v>0</v>
      </c>
      <c r="U40" s="647">
        <f>Leger2!U40</f>
        <v>0</v>
      </c>
      <c r="V40" s="647">
        <f>Leger2!V40</f>
        <v>0</v>
      </c>
      <c r="W40" s="647">
        <f>Leger2!W40</f>
        <v>0</v>
      </c>
      <c r="X40" s="647">
        <f>Leger2!X40</f>
        <v>0</v>
      </c>
      <c r="Y40" s="647">
        <f>Leger2!Y40</f>
        <v>0</v>
      </c>
      <c r="Z40" s="647">
        <f>Leger2!Z40</f>
        <v>0</v>
      </c>
      <c r="AA40" s="647">
        <f>Leger2!AA40</f>
        <v>0</v>
      </c>
      <c r="AB40" s="647">
        <f>Leger2!AB40</f>
        <v>0</v>
      </c>
      <c r="AC40" s="647">
        <f>Leger2!AC40</f>
        <v>0</v>
      </c>
      <c r="AD40" s="647">
        <f>Leger2!AD40</f>
        <v>0</v>
      </c>
      <c r="AE40" s="647">
        <f>Leger2!AE40</f>
        <v>0</v>
      </c>
      <c r="AF40" s="647">
        <f>Leger2!AF40</f>
        <v>0</v>
      </c>
      <c r="AG40" s="647">
        <f>Leger2!AG40</f>
        <v>0</v>
      </c>
      <c r="AH40" s="647">
        <f>Leger2!AH40</f>
        <v>0</v>
      </c>
      <c r="AI40" s="647">
        <f>Leger2!AI40</f>
        <v>0</v>
      </c>
      <c r="AJ40" s="647">
        <f>Leger2!AJ40</f>
        <v>0</v>
      </c>
      <c r="AK40" s="647">
        <f>Leger2!AK40</f>
        <v>0</v>
      </c>
      <c r="AL40" s="647">
        <f>Leger2!AL40</f>
        <v>0</v>
      </c>
      <c r="AM40" s="647">
        <f>Leger2!AM40</f>
        <v>0</v>
      </c>
      <c r="AN40" s="647">
        <f>Leger2!AN40</f>
        <v>0</v>
      </c>
      <c r="AO40" s="647">
        <f>Leger2!AO40</f>
        <v>0</v>
      </c>
      <c r="AP40" s="647">
        <f>Leger2!AP40</f>
        <v>0</v>
      </c>
      <c r="AQ40" s="647">
        <f>Leger2!AQ40</f>
        <v>0</v>
      </c>
      <c r="AR40" s="647">
        <f>Leger2!AR40</f>
        <v>0</v>
      </c>
      <c r="AS40" s="647">
        <f>Leger2!AS40</f>
        <v>0</v>
      </c>
      <c r="AT40" s="647">
        <f>Leger2!AT40</f>
        <v>0</v>
      </c>
      <c r="AU40" s="647">
        <f>Leger2!AU40</f>
        <v>0</v>
      </c>
      <c r="AV40" s="647">
        <f>Leger2!AV40</f>
        <v>0</v>
      </c>
      <c r="AW40" s="647">
        <f>Leger2!AW40</f>
        <v>0</v>
      </c>
      <c r="AX40" s="647">
        <f>Leger2!AX40</f>
        <v>0</v>
      </c>
      <c r="AY40" s="647">
        <f>Leger2!AY40</f>
        <v>0</v>
      </c>
      <c r="AZ40" s="647">
        <f>Leger2!AZ40</f>
        <v>0</v>
      </c>
      <c r="BA40" s="213" t="str">
        <f t="shared" si="2"/>
        <v>D</v>
      </c>
      <c r="BB40" s="389" t="str">
        <f t="shared" si="0"/>
        <v/>
      </c>
      <c r="BC40" s="390" t="str">
        <f t="shared" si="1"/>
        <v/>
      </c>
      <c r="BD40" s="214" t="str">
        <f t="shared" si="3"/>
        <v/>
      </c>
    </row>
    <row r="41" spans="2:56" ht="16.5">
      <c r="B41" s="948"/>
      <c r="C41" s="948"/>
      <c r="E41" s="211" t="str">
        <f>Biodata!B40</f>
        <v/>
      </c>
      <c r="F41" s="212" t="str">
        <f>IF(Biodata!C40="","",VLOOKUP(E41,Biodata_Siswa,2,FALSE))</f>
        <v/>
      </c>
      <c r="G41" s="891" t="str">
        <f>IF(Biodata!E40="","",PROPER(VLOOKUP(E41,Biodata_Siswa,4,FALSE)))</f>
        <v/>
      </c>
      <c r="H41" s="892"/>
      <c r="I41" s="646">
        <f>Leger2!I41</f>
        <v>0</v>
      </c>
      <c r="J41" s="647">
        <f>Leger2!J41</f>
        <v>0</v>
      </c>
      <c r="K41" s="647">
        <f>Leger2!K41</f>
        <v>0</v>
      </c>
      <c r="L41" s="647">
        <f>Leger2!L41</f>
        <v>0</v>
      </c>
      <c r="M41" s="647">
        <f>Leger2!M41</f>
        <v>0</v>
      </c>
      <c r="N41" s="647">
        <f>Leger2!N41</f>
        <v>0</v>
      </c>
      <c r="O41" s="647">
        <f>Leger2!O41</f>
        <v>0</v>
      </c>
      <c r="P41" s="647">
        <f>Leger2!P41</f>
        <v>0</v>
      </c>
      <c r="Q41" s="647">
        <f>Leger2!Q41</f>
        <v>0</v>
      </c>
      <c r="R41" s="647">
        <f>Leger2!R41</f>
        <v>0</v>
      </c>
      <c r="S41" s="647">
        <f>Leger2!S41</f>
        <v>0</v>
      </c>
      <c r="T41" s="647">
        <f>Leger2!T41</f>
        <v>0</v>
      </c>
      <c r="U41" s="647">
        <f>Leger2!U41</f>
        <v>0</v>
      </c>
      <c r="V41" s="647">
        <f>Leger2!V41</f>
        <v>0</v>
      </c>
      <c r="W41" s="647">
        <f>Leger2!W41</f>
        <v>0</v>
      </c>
      <c r="X41" s="647">
        <f>Leger2!X41</f>
        <v>0</v>
      </c>
      <c r="Y41" s="647">
        <f>Leger2!Y41</f>
        <v>0</v>
      </c>
      <c r="Z41" s="647">
        <f>Leger2!Z41</f>
        <v>0</v>
      </c>
      <c r="AA41" s="647">
        <f>Leger2!AA41</f>
        <v>0</v>
      </c>
      <c r="AB41" s="647">
        <f>Leger2!AB41</f>
        <v>0</v>
      </c>
      <c r="AC41" s="647">
        <f>Leger2!AC41</f>
        <v>0</v>
      </c>
      <c r="AD41" s="647">
        <f>Leger2!AD41</f>
        <v>0</v>
      </c>
      <c r="AE41" s="647">
        <f>Leger2!AE41</f>
        <v>0</v>
      </c>
      <c r="AF41" s="647">
        <f>Leger2!AF41</f>
        <v>0</v>
      </c>
      <c r="AG41" s="647">
        <f>Leger2!AG41</f>
        <v>0</v>
      </c>
      <c r="AH41" s="647">
        <f>Leger2!AH41</f>
        <v>0</v>
      </c>
      <c r="AI41" s="647">
        <f>Leger2!AI41</f>
        <v>0</v>
      </c>
      <c r="AJ41" s="647">
        <f>Leger2!AJ41</f>
        <v>0</v>
      </c>
      <c r="AK41" s="647">
        <f>Leger2!AK41</f>
        <v>0</v>
      </c>
      <c r="AL41" s="647">
        <f>Leger2!AL41</f>
        <v>0</v>
      </c>
      <c r="AM41" s="647">
        <f>Leger2!AM41</f>
        <v>0</v>
      </c>
      <c r="AN41" s="647">
        <f>Leger2!AN41</f>
        <v>0</v>
      </c>
      <c r="AO41" s="647">
        <f>Leger2!AO41</f>
        <v>0</v>
      </c>
      <c r="AP41" s="647">
        <f>Leger2!AP41</f>
        <v>0</v>
      </c>
      <c r="AQ41" s="647">
        <f>Leger2!AQ41</f>
        <v>0</v>
      </c>
      <c r="AR41" s="647">
        <f>Leger2!AR41</f>
        <v>0</v>
      </c>
      <c r="AS41" s="647">
        <f>Leger2!AS41</f>
        <v>0</v>
      </c>
      <c r="AT41" s="647">
        <f>Leger2!AT41</f>
        <v>0</v>
      </c>
      <c r="AU41" s="647">
        <f>Leger2!AU41</f>
        <v>0</v>
      </c>
      <c r="AV41" s="647">
        <f>Leger2!AV41</f>
        <v>0</v>
      </c>
      <c r="AW41" s="647">
        <f>Leger2!AW41</f>
        <v>0</v>
      </c>
      <c r="AX41" s="647">
        <f>Leger2!AX41</f>
        <v>0</v>
      </c>
      <c r="AY41" s="647">
        <f>Leger2!AY41</f>
        <v>0</v>
      </c>
      <c r="AZ41" s="647">
        <f>Leger2!AZ41</f>
        <v>0</v>
      </c>
      <c r="BA41" s="213" t="str">
        <f t="shared" si="2"/>
        <v>D</v>
      </c>
      <c r="BB41" s="389" t="str">
        <f t="shared" si="0"/>
        <v/>
      </c>
      <c r="BC41" s="390" t="str">
        <f t="shared" si="1"/>
        <v/>
      </c>
      <c r="BD41" s="214" t="str">
        <f t="shared" si="3"/>
        <v/>
      </c>
    </row>
    <row r="42" spans="2:56" ht="16.5">
      <c r="E42" s="211" t="str">
        <f>Biodata!B41</f>
        <v/>
      </c>
      <c r="F42" s="212" t="str">
        <f>IF(Biodata!C41="","",VLOOKUP(E42,Biodata_Siswa,2,FALSE))</f>
        <v/>
      </c>
      <c r="G42" s="891" t="str">
        <f>IF(Biodata!E41="","",PROPER(VLOOKUP(E42,Biodata_Siswa,4,FALSE)))</f>
        <v/>
      </c>
      <c r="H42" s="892"/>
      <c r="I42" s="646">
        <f>Leger2!I42</f>
        <v>0</v>
      </c>
      <c r="J42" s="647">
        <f>Leger2!J42</f>
        <v>0</v>
      </c>
      <c r="K42" s="647">
        <f>Leger2!K42</f>
        <v>0</v>
      </c>
      <c r="L42" s="647">
        <f>Leger2!L42</f>
        <v>0</v>
      </c>
      <c r="M42" s="647">
        <f>Leger2!M42</f>
        <v>0</v>
      </c>
      <c r="N42" s="647">
        <f>Leger2!N42</f>
        <v>0</v>
      </c>
      <c r="O42" s="647">
        <f>Leger2!O42</f>
        <v>0</v>
      </c>
      <c r="P42" s="647">
        <f>Leger2!P42</f>
        <v>0</v>
      </c>
      <c r="Q42" s="647">
        <f>Leger2!Q42</f>
        <v>0</v>
      </c>
      <c r="R42" s="647">
        <f>Leger2!R42</f>
        <v>0</v>
      </c>
      <c r="S42" s="647">
        <f>Leger2!S42</f>
        <v>0</v>
      </c>
      <c r="T42" s="647">
        <f>Leger2!T42</f>
        <v>0</v>
      </c>
      <c r="U42" s="647">
        <f>Leger2!U42</f>
        <v>0</v>
      </c>
      <c r="V42" s="647">
        <f>Leger2!V42</f>
        <v>0</v>
      </c>
      <c r="W42" s="647">
        <f>Leger2!W42</f>
        <v>0</v>
      </c>
      <c r="X42" s="647">
        <f>Leger2!X42</f>
        <v>0</v>
      </c>
      <c r="Y42" s="647">
        <f>Leger2!Y42</f>
        <v>0</v>
      </c>
      <c r="Z42" s="647">
        <f>Leger2!Z42</f>
        <v>0</v>
      </c>
      <c r="AA42" s="647">
        <f>Leger2!AA42</f>
        <v>0</v>
      </c>
      <c r="AB42" s="647">
        <f>Leger2!AB42</f>
        <v>0</v>
      </c>
      <c r="AC42" s="647">
        <f>Leger2!AC42</f>
        <v>0</v>
      </c>
      <c r="AD42" s="647">
        <f>Leger2!AD42</f>
        <v>0</v>
      </c>
      <c r="AE42" s="647">
        <f>Leger2!AE42</f>
        <v>0</v>
      </c>
      <c r="AF42" s="647">
        <f>Leger2!AF42</f>
        <v>0</v>
      </c>
      <c r="AG42" s="647">
        <f>Leger2!AG42</f>
        <v>0</v>
      </c>
      <c r="AH42" s="647">
        <f>Leger2!AH42</f>
        <v>0</v>
      </c>
      <c r="AI42" s="647">
        <f>Leger2!AI42</f>
        <v>0</v>
      </c>
      <c r="AJ42" s="647">
        <f>Leger2!AJ42</f>
        <v>0</v>
      </c>
      <c r="AK42" s="647">
        <f>Leger2!AK42</f>
        <v>0</v>
      </c>
      <c r="AL42" s="647">
        <f>Leger2!AL42</f>
        <v>0</v>
      </c>
      <c r="AM42" s="647">
        <f>Leger2!AM42</f>
        <v>0</v>
      </c>
      <c r="AN42" s="647">
        <f>Leger2!AN42</f>
        <v>0</v>
      </c>
      <c r="AO42" s="647">
        <f>Leger2!AO42</f>
        <v>0</v>
      </c>
      <c r="AP42" s="647">
        <f>Leger2!AP42</f>
        <v>0</v>
      </c>
      <c r="AQ42" s="647">
        <f>Leger2!AQ42</f>
        <v>0</v>
      </c>
      <c r="AR42" s="647">
        <f>Leger2!AR42</f>
        <v>0</v>
      </c>
      <c r="AS42" s="647">
        <f>Leger2!AS42</f>
        <v>0</v>
      </c>
      <c r="AT42" s="647">
        <f>Leger2!AT42</f>
        <v>0</v>
      </c>
      <c r="AU42" s="647">
        <f>Leger2!AU42</f>
        <v>0</v>
      </c>
      <c r="AV42" s="647">
        <f>Leger2!AV42</f>
        <v>0</v>
      </c>
      <c r="AW42" s="647">
        <f>Leger2!AW42</f>
        <v>0</v>
      </c>
      <c r="AX42" s="647">
        <f>Leger2!AX42</f>
        <v>0</v>
      </c>
      <c r="AY42" s="647">
        <f>Leger2!AY42</f>
        <v>0</v>
      </c>
      <c r="AZ42" s="647">
        <f>Leger2!AZ42</f>
        <v>0</v>
      </c>
      <c r="BA42" s="213" t="str">
        <f t="shared" si="2"/>
        <v>D</v>
      </c>
      <c r="BB42" s="389" t="str">
        <f t="shared" si="0"/>
        <v/>
      </c>
      <c r="BC42" s="390" t="str">
        <f t="shared" si="1"/>
        <v/>
      </c>
      <c r="BD42" s="214" t="str">
        <f t="shared" si="3"/>
        <v/>
      </c>
    </row>
    <row r="43" spans="2:56" ht="16.5">
      <c r="E43" s="211" t="str">
        <f>Biodata!B42</f>
        <v/>
      </c>
      <c r="F43" s="212" t="str">
        <f>IF(Biodata!C42="","",VLOOKUP(E43,Biodata_Siswa,2,FALSE))</f>
        <v/>
      </c>
      <c r="G43" s="891" t="str">
        <f>IF(Biodata!E42="","",PROPER(VLOOKUP(E43,Biodata_Siswa,4,FALSE)))</f>
        <v/>
      </c>
      <c r="H43" s="892"/>
      <c r="I43" s="646">
        <f>Leger2!I43</f>
        <v>0</v>
      </c>
      <c r="J43" s="647">
        <f>Leger2!J43</f>
        <v>0</v>
      </c>
      <c r="K43" s="647">
        <f>Leger2!K43</f>
        <v>0</v>
      </c>
      <c r="L43" s="647">
        <f>Leger2!L43</f>
        <v>0</v>
      </c>
      <c r="M43" s="647">
        <f>Leger2!M43</f>
        <v>0</v>
      </c>
      <c r="N43" s="647">
        <f>Leger2!N43</f>
        <v>0</v>
      </c>
      <c r="O43" s="647">
        <f>Leger2!O43</f>
        <v>0</v>
      </c>
      <c r="P43" s="647">
        <f>Leger2!P43</f>
        <v>0</v>
      </c>
      <c r="Q43" s="647">
        <f>Leger2!Q43</f>
        <v>0</v>
      </c>
      <c r="R43" s="647">
        <f>Leger2!R43</f>
        <v>0</v>
      </c>
      <c r="S43" s="647">
        <f>Leger2!S43</f>
        <v>0</v>
      </c>
      <c r="T43" s="647">
        <f>Leger2!T43</f>
        <v>0</v>
      </c>
      <c r="U43" s="647">
        <f>Leger2!U43</f>
        <v>0</v>
      </c>
      <c r="V43" s="647">
        <f>Leger2!V43</f>
        <v>0</v>
      </c>
      <c r="W43" s="647">
        <f>Leger2!W43</f>
        <v>0</v>
      </c>
      <c r="X43" s="647">
        <f>Leger2!X43</f>
        <v>0</v>
      </c>
      <c r="Y43" s="647">
        <f>Leger2!Y43</f>
        <v>0</v>
      </c>
      <c r="Z43" s="647">
        <f>Leger2!Z43</f>
        <v>0</v>
      </c>
      <c r="AA43" s="647">
        <f>Leger2!AA43</f>
        <v>0</v>
      </c>
      <c r="AB43" s="647">
        <f>Leger2!AB43</f>
        <v>0</v>
      </c>
      <c r="AC43" s="647">
        <f>Leger2!AC43</f>
        <v>0</v>
      </c>
      <c r="AD43" s="647">
        <f>Leger2!AD43</f>
        <v>0</v>
      </c>
      <c r="AE43" s="647">
        <f>Leger2!AE43</f>
        <v>0</v>
      </c>
      <c r="AF43" s="647">
        <f>Leger2!AF43</f>
        <v>0</v>
      </c>
      <c r="AG43" s="647">
        <f>Leger2!AG43</f>
        <v>0</v>
      </c>
      <c r="AH43" s="647">
        <f>Leger2!AH43</f>
        <v>0</v>
      </c>
      <c r="AI43" s="647">
        <f>Leger2!AI43</f>
        <v>0</v>
      </c>
      <c r="AJ43" s="647">
        <f>Leger2!AJ43</f>
        <v>0</v>
      </c>
      <c r="AK43" s="647">
        <f>Leger2!AK43</f>
        <v>0</v>
      </c>
      <c r="AL43" s="647">
        <f>Leger2!AL43</f>
        <v>0</v>
      </c>
      <c r="AM43" s="647">
        <f>Leger2!AM43</f>
        <v>0</v>
      </c>
      <c r="AN43" s="647">
        <f>Leger2!AN43</f>
        <v>0</v>
      </c>
      <c r="AO43" s="647">
        <f>Leger2!AO43</f>
        <v>0</v>
      </c>
      <c r="AP43" s="647">
        <f>Leger2!AP43</f>
        <v>0</v>
      </c>
      <c r="AQ43" s="647">
        <f>Leger2!AQ43</f>
        <v>0</v>
      </c>
      <c r="AR43" s="647">
        <f>Leger2!AR43</f>
        <v>0</v>
      </c>
      <c r="AS43" s="647">
        <f>Leger2!AS43</f>
        <v>0</v>
      </c>
      <c r="AT43" s="647">
        <f>Leger2!AT43</f>
        <v>0</v>
      </c>
      <c r="AU43" s="647">
        <f>Leger2!AU43</f>
        <v>0</v>
      </c>
      <c r="AV43" s="647">
        <f>Leger2!AV43</f>
        <v>0</v>
      </c>
      <c r="AW43" s="647">
        <f>Leger2!AW43</f>
        <v>0</v>
      </c>
      <c r="AX43" s="647">
        <f>Leger2!AX43</f>
        <v>0</v>
      </c>
      <c r="AY43" s="647">
        <f>Leger2!AY43</f>
        <v>0</v>
      </c>
      <c r="AZ43" s="647">
        <f>Leger2!AZ43</f>
        <v>0</v>
      </c>
      <c r="BA43" s="213" t="str">
        <f t="shared" si="2"/>
        <v>D</v>
      </c>
      <c r="BB43" s="389" t="str">
        <f t="shared" si="0"/>
        <v/>
      </c>
      <c r="BC43" s="390" t="str">
        <f t="shared" si="1"/>
        <v/>
      </c>
      <c r="BD43" s="214" t="str">
        <f t="shared" si="3"/>
        <v/>
      </c>
    </row>
    <row r="44" spans="2:56" ht="16.5">
      <c r="E44" s="211" t="str">
        <f>Biodata!B43</f>
        <v/>
      </c>
      <c r="F44" s="212" t="str">
        <f>IF(Biodata!C43="","",VLOOKUP(E44,Biodata_Siswa,2,FALSE))</f>
        <v/>
      </c>
      <c r="G44" s="891" t="str">
        <f>IF(Biodata!E43="","",PROPER(VLOOKUP(E44,Biodata_Siswa,4,FALSE)))</f>
        <v/>
      </c>
      <c r="H44" s="892"/>
      <c r="I44" s="646">
        <f>Leger2!I44</f>
        <v>0</v>
      </c>
      <c r="J44" s="647">
        <f>Leger2!J44</f>
        <v>0</v>
      </c>
      <c r="K44" s="647">
        <f>Leger2!K44</f>
        <v>0</v>
      </c>
      <c r="L44" s="647">
        <f>Leger2!L44</f>
        <v>0</v>
      </c>
      <c r="M44" s="647">
        <f>Leger2!M44</f>
        <v>0</v>
      </c>
      <c r="N44" s="647">
        <f>Leger2!N44</f>
        <v>0</v>
      </c>
      <c r="O44" s="647">
        <f>Leger2!O44</f>
        <v>0</v>
      </c>
      <c r="P44" s="647">
        <f>Leger2!P44</f>
        <v>0</v>
      </c>
      <c r="Q44" s="647">
        <f>Leger2!Q44</f>
        <v>0</v>
      </c>
      <c r="R44" s="647">
        <f>Leger2!R44</f>
        <v>0</v>
      </c>
      <c r="S44" s="647">
        <f>Leger2!S44</f>
        <v>0</v>
      </c>
      <c r="T44" s="647">
        <f>Leger2!T44</f>
        <v>0</v>
      </c>
      <c r="U44" s="647">
        <f>Leger2!U44</f>
        <v>0</v>
      </c>
      <c r="V44" s="647">
        <f>Leger2!V44</f>
        <v>0</v>
      </c>
      <c r="W44" s="647">
        <f>Leger2!W44</f>
        <v>0</v>
      </c>
      <c r="X44" s="647">
        <f>Leger2!X44</f>
        <v>0</v>
      </c>
      <c r="Y44" s="647">
        <f>Leger2!Y44</f>
        <v>0</v>
      </c>
      <c r="Z44" s="647">
        <f>Leger2!Z44</f>
        <v>0</v>
      </c>
      <c r="AA44" s="647">
        <f>Leger2!AA44</f>
        <v>0</v>
      </c>
      <c r="AB44" s="647">
        <f>Leger2!AB44</f>
        <v>0</v>
      </c>
      <c r="AC44" s="647">
        <f>Leger2!AC44</f>
        <v>0</v>
      </c>
      <c r="AD44" s="647">
        <f>Leger2!AD44</f>
        <v>0</v>
      </c>
      <c r="AE44" s="647">
        <f>Leger2!AE44</f>
        <v>0</v>
      </c>
      <c r="AF44" s="647">
        <f>Leger2!AF44</f>
        <v>0</v>
      </c>
      <c r="AG44" s="647">
        <f>Leger2!AG44</f>
        <v>0</v>
      </c>
      <c r="AH44" s="647">
        <f>Leger2!AH44</f>
        <v>0</v>
      </c>
      <c r="AI44" s="647">
        <f>Leger2!AI44</f>
        <v>0</v>
      </c>
      <c r="AJ44" s="647">
        <f>Leger2!AJ44</f>
        <v>0</v>
      </c>
      <c r="AK44" s="647">
        <f>Leger2!AK44</f>
        <v>0</v>
      </c>
      <c r="AL44" s="647">
        <f>Leger2!AL44</f>
        <v>0</v>
      </c>
      <c r="AM44" s="647">
        <f>Leger2!AM44</f>
        <v>0</v>
      </c>
      <c r="AN44" s="647">
        <f>Leger2!AN44</f>
        <v>0</v>
      </c>
      <c r="AO44" s="647">
        <f>Leger2!AO44</f>
        <v>0</v>
      </c>
      <c r="AP44" s="647">
        <f>Leger2!AP44</f>
        <v>0</v>
      </c>
      <c r="AQ44" s="647">
        <f>Leger2!AQ44</f>
        <v>0</v>
      </c>
      <c r="AR44" s="647">
        <f>Leger2!AR44</f>
        <v>0</v>
      </c>
      <c r="AS44" s="647">
        <f>Leger2!AS44</f>
        <v>0</v>
      </c>
      <c r="AT44" s="647">
        <f>Leger2!AT44</f>
        <v>0</v>
      </c>
      <c r="AU44" s="647">
        <f>Leger2!AU44</f>
        <v>0</v>
      </c>
      <c r="AV44" s="647">
        <f>Leger2!AV44</f>
        <v>0</v>
      </c>
      <c r="AW44" s="647">
        <f>Leger2!AW44</f>
        <v>0</v>
      </c>
      <c r="AX44" s="647">
        <f>Leger2!AX44</f>
        <v>0</v>
      </c>
      <c r="AY44" s="647">
        <f>Leger2!AY44</f>
        <v>0</v>
      </c>
      <c r="AZ44" s="647">
        <f>Leger2!AZ44</f>
        <v>0</v>
      </c>
      <c r="BA44" s="213" t="str">
        <f t="shared" si="2"/>
        <v>D</v>
      </c>
      <c r="BB44" s="389" t="str">
        <f t="shared" si="0"/>
        <v/>
      </c>
      <c r="BC44" s="390" t="str">
        <f t="shared" si="1"/>
        <v/>
      </c>
      <c r="BD44" s="214" t="str">
        <f t="shared" si="3"/>
        <v/>
      </c>
    </row>
    <row r="45" spans="2:56" ht="16.5">
      <c r="E45" s="211" t="str">
        <f>Biodata!B44</f>
        <v/>
      </c>
      <c r="F45" s="212" t="str">
        <f>IF(Biodata!C44="","",VLOOKUP(E45,Biodata_Siswa,2,FALSE))</f>
        <v/>
      </c>
      <c r="G45" s="891" t="str">
        <f>IF(Biodata!E44="","",PROPER(VLOOKUP(E45,Biodata_Siswa,4,FALSE)))</f>
        <v/>
      </c>
      <c r="H45" s="892"/>
      <c r="I45" s="646">
        <f>Leger2!I45</f>
        <v>0</v>
      </c>
      <c r="J45" s="647">
        <f>Leger2!J45</f>
        <v>0</v>
      </c>
      <c r="K45" s="647">
        <f>Leger2!K45</f>
        <v>0</v>
      </c>
      <c r="L45" s="647">
        <f>Leger2!L45</f>
        <v>0</v>
      </c>
      <c r="M45" s="647">
        <f>Leger2!M45</f>
        <v>0</v>
      </c>
      <c r="N45" s="647">
        <f>Leger2!N45</f>
        <v>0</v>
      </c>
      <c r="O45" s="647">
        <f>Leger2!O45</f>
        <v>0</v>
      </c>
      <c r="P45" s="647">
        <f>Leger2!P45</f>
        <v>0</v>
      </c>
      <c r="Q45" s="647">
        <f>Leger2!Q45</f>
        <v>0</v>
      </c>
      <c r="R45" s="647">
        <f>Leger2!R45</f>
        <v>0</v>
      </c>
      <c r="S45" s="647">
        <f>Leger2!S45</f>
        <v>0</v>
      </c>
      <c r="T45" s="647">
        <f>Leger2!T45</f>
        <v>0</v>
      </c>
      <c r="U45" s="647">
        <f>Leger2!U45</f>
        <v>0</v>
      </c>
      <c r="V45" s="647">
        <f>Leger2!V45</f>
        <v>0</v>
      </c>
      <c r="W45" s="647">
        <f>Leger2!W45</f>
        <v>0</v>
      </c>
      <c r="X45" s="647">
        <f>Leger2!X45</f>
        <v>0</v>
      </c>
      <c r="Y45" s="647">
        <f>Leger2!Y45</f>
        <v>0</v>
      </c>
      <c r="Z45" s="647">
        <f>Leger2!Z45</f>
        <v>0</v>
      </c>
      <c r="AA45" s="647">
        <f>Leger2!AA45</f>
        <v>0</v>
      </c>
      <c r="AB45" s="647">
        <f>Leger2!AB45</f>
        <v>0</v>
      </c>
      <c r="AC45" s="647">
        <f>Leger2!AC45</f>
        <v>0</v>
      </c>
      <c r="AD45" s="647">
        <f>Leger2!AD45</f>
        <v>0</v>
      </c>
      <c r="AE45" s="647">
        <f>Leger2!AE45</f>
        <v>0</v>
      </c>
      <c r="AF45" s="647">
        <f>Leger2!AF45</f>
        <v>0</v>
      </c>
      <c r="AG45" s="647">
        <f>Leger2!AG45</f>
        <v>0</v>
      </c>
      <c r="AH45" s="647">
        <f>Leger2!AH45</f>
        <v>0</v>
      </c>
      <c r="AI45" s="647">
        <f>Leger2!AI45</f>
        <v>0</v>
      </c>
      <c r="AJ45" s="647">
        <f>Leger2!AJ45</f>
        <v>0</v>
      </c>
      <c r="AK45" s="647">
        <f>Leger2!AK45</f>
        <v>0</v>
      </c>
      <c r="AL45" s="647">
        <f>Leger2!AL45</f>
        <v>0</v>
      </c>
      <c r="AM45" s="647">
        <f>Leger2!AM45</f>
        <v>0</v>
      </c>
      <c r="AN45" s="647">
        <f>Leger2!AN45</f>
        <v>0</v>
      </c>
      <c r="AO45" s="647">
        <f>Leger2!AO45</f>
        <v>0</v>
      </c>
      <c r="AP45" s="647">
        <f>Leger2!AP45</f>
        <v>0</v>
      </c>
      <c r="AQ45" s="647">
        <f>Leger2!AQ45</f>
        <v>0</v>
      </c>
      <c r="AR45" s="647">
        <f>Leger2!AR45</f>
        <v>0</v>
      </c>
      <c r="AS45" s="647">
        <f>Leger2!AS45</f>
        <v>0</v>
      </c>
      <c r="AT45" s="647">
        <f>Leger2!AT45</f>
        <v>0</v>
      </c>
      <c r="AU45" s="647">
        <f>Leger2!AU45</f>
        <v>0</v>
      </c>
      <c r="AV45" s="647">
        <f>Leger2!AV45</f>
        <v>0</v>
      </c>
      <c r="AW45" s="647">
        <f>Leger2!AW45</f>
        <v>0</v>
      </c>
      <c r="AX45" s="647">
        <f>Leger2!AX45</f>
        <v>0</v>
      </c>
      <c r="AY45" s="647">
        <f>Leger2!AY45</f>
        <v>0</v>
      </c>
      <c r="AZ45" s="647">
        <f>Leger2!AZ45</f>
        <v>0</v>
      </c>
      <c r="BA45" s="213" t="str">
        <f t="shared" si="2"/>
        <v>D</v>
      </c>
      <c r="BB45" s="389" t="str">
        <f t="shared" si="0"/>
        <v/>
      </c>
      <c r="BC45" s="390" t="str">
        <f t="shared" si="1"/>
        <v/>
      </c>
      <c r="BD45" s="214" t="str">
        <f t="shared" si="3"/>
        <v/>
      </c>
    </row>
    <row r="46" spans="2:56" ht="17.25" thickBot="1">
      <c r="E46" s="218" t="str">
        <f>Biodata!B45</f>
        <v/>
      </c>
      <c r="F46" s="219" t="str">
        <f>IF(Biodata!C45="","",VLOOKUP(E46,Biodata_Siswa,2,FALSE))</f>
        <v/>
      </c>
      <c r="G46" s="899" t="str">
        <f>IF(Biodata!E45="","",PROPER(VLOOKUP(E46,Biodata_Siswa,4,FALSE)))</f>
        <v/>
      </c>
      <c r="H46" s="900"/>
      <c r="I46" s="648">
        <f>Leger2!I46</f>
        <v>0</v>
      </c>
      <c r="J46" s="649">
        <f>Leger2!J46</f>
        <v>0</v>
      </c>
      <c r="K46" s="649">
        <f>Leger2!K46</f>
        <v>0</v>
      </c>
      <c r="L46" s="649">
        <f>Leger2!L46</f>
        <v>0</v>
      </c>
      <c r="M46" s="649">
        <f>Leger2!M46</f>
        <v>0</v>
      </c>
      <c r="N46" s="649">
        <f>Leger2!N46</f>
        <v>0</v>
      </c>
      <c r="O46" s="649">
        <f>Leger2!O46</f>
        <v>0</v>
      </c>
      <c r="P46" s="649">
        <f>Leger2!P46</f>
        <v>0</v>
      </c>
      <c r="Q46" s="649">
        <f>Leger2!Q46</f>
        <v>0</v>
      </c>
      <c r="R46" s="649">
        <f>Leger2!R46</f>
        <v>0</v>
      </c>
      <c r="S46" s="649">
        <f>Leger2!S46</f>
        <v>0</v>
      </c>
      <c r="T46" s="649">
        <f>Leger2!T46</f>
        <v>0</v>
      </c>
      <c r="U46" s="649">
        <f>Leger2!U46</f>
        <v>0</v>
      </c>
      <c r="V46" s="649">
        <f>Leger2!V46</f>
        <v>0</v>
      </c>
      <c r="W46" s="649">
        <f>Leger2!W46</f>
        <v>0</v>
      </c>
      <c r="X46" s="649">
        <f>Leger2!X46</f>
        <v>0</v>
      </c>
      <c r="Y46" s="649">
        <f>Leger2!Y46</f>
        <v>0</v>
      </c>
      <c r="Z46" s="649">
        <f>Leger2!Z46</f>
        <v>0</v>
      </c>
      <c r="AA46" s="649">
        <f>Leger2!AA46</f>
        <v>0</v>
      </c>
      <c r="AB46" s="649">
        <f>Leger2!AB46</f>
        <v>0</v>
      </c>
      <c r="AC46" s="649">
        <f>Leger2!AC46</f>
        <v>0</v>
      </c>
      <c r="AD46" s="649">
        <f>Leger2!AD46</f>
        <v>0</v>
      </c>
      <c r="AE46" s="649">
        <f>Leger2!AE46</f>
        <v>0</v>
      </c>
      <c r="AF46" s="649">
        <f>Leger2!AF46</f>
        <v>0</v>
      </c>
      <c r="AG46" s="649">
        <f>Leger2!AG46</f>
        <v>0</v>
      </c>
      <c r="AH46" s="649">
        <f>Leger2!AH46</f>
        <v>0</v>
      </c>
      <c r="AI46" s="649">
        <f>Leger2!AI46</f>
        <v>0</v>
      </c>
      <c r="AJ46" s="649">
        <f>Leger2!AJ46</f>
        <v>0</v>
      </c>
      <c r="AK46" s="649">
        <f>Leger2!AK46</f>
        <v>0</v>
      </c>
      <c r="AL46" s="649">
        <f>Leger2!AL46</f>
        <v>0</v>
      </c>
      <c r="AM46" s="649">
        <f>Leger2!AM46</f>
        <v>0</v>
      </c>
      <c r="AN46" s="649">
        <f>Leger2!AN46</f>
        <v>0</v>
      </c>
      <c r="AO46" s="649">
        <f>Leger2!AO46</f>
        <v>0</v>
      </c>
      <c r="AP46" s="649">
        <f>Leger2!AP46</f>
        <v>0</v>
      </c>
      <c r="AQ46" s="649">
        <f>Leger2!AQ46</f>
        <v>0</v>
      </c>
      <c r="AR46" s="649">
        <f>Leger2!AR46</f>
        <v>0</v>
      </c>
      <c r="AS46" s="649">
        <f>Leger2!AS46</f>
        <v>0</v>
      </c>
      <c r="AT46" s="649">
        <f>Leger2!AT46</f>
        <v>0</v>
      </c>
      <c r="AU46" s="649">
        <f>Leger2!AU46</f>
        <v>0</v>
      </c>
      <c r="AV46" s="649">
        <f>Leger2!AV46</f>
        <v>0</v>
      </c>
      <c r="AW46" s="649">
        <f>Leger2!AW46</f>
        <v>0</v>
      </c>
      <c r="AX46" s="649">
        <f>Leger2!AX46</f>
        <v>0</v>
      </c>
      <c r="AY46" s="649">
        <f>Leger2!AY46</f>
        <v>0</v>
      </c>
      <c r="AZ46" s="649">
        <f>Leger2!AZ46</f>
        <v>0</v>
      </c>
      <c r="BA46" s="220" t="str">
        <f t="shared" si="2"/>
        <v>D</v>
      </c>
      <c r="BB46" s="391" t="str">
        <f t="shared" si="0"/>
        <v/>
      </c>
      <c r="BC46" s="392" t="str">
        <f t="shared" si="1"/>
        <v/>
      </c>
      <c r="BD46" s="221" t="str">
        <f t="shared" si="3"/>
        <v/>
      </c>
    </row>
    <row r="47" spans="2:56" ht="16.5">
      <c r="E47" s="223">
        <f>MAX(E7:E46)</f>
        <v>29</v>
      </c>
    </row>
    <row r="48" spans="2:56" ht="16.5" hidden="1"/>
    <row r="49" ht="16.5" hidden="1"/>
    <row r="50" ht="16.5" hidden="1"/>
    <row r="51" ht="16.5" hidden="1"/>
    <row r="52" ht="16.5" hidden="1"/>
    <row r="53" ht="16.5" hidden="1"/>
    <row r="54" ht="16.5" hidden="1"/>
    <row r="55" ht="16.5" hidden="1"/>
    <row r="56" ht="16.5" hidden="1"/>
    <row r="57" ht="16.5" hidden="1"/>
    <row r="58" ht="16.5" hidden="1"/>
    <row r="59" ht="16.5" hidden="1"/>
    <row r="60" ht="16.5" hidden="1"/>
    <row r="61" ht="16.5" hidden="1"/>
    <row r="62" ht="16.5" hidden="1"/>
    <row r="63" ht="16.5" hidden="1"/>
    <row r="64" ht="16.5" hidden="1"/>
    <row r="65" spans="2:53" ht="16.5" hidden="1"/>
    <row r="66" spans="2:53" ht="16.5" hidden="1"/>
    <row r="67" spans="2:53" ht="16.5" hidden="1"/>
    <row r="68" spans="2:53" ht="16.5" hidden="1"/>
    <row r="69" spans="2:53" ht="16.5" hidden="1"/>
    <row r="70" spans="2:53" ht="16.5" hidden="1"/>
    <row r="71" spans="2:53" ht="16.5" hidden="1"/>
    <row r="72" spans="2:53" s="199" customFormat="1" ht="16.5" hidden="1">
      <c r="B72" s="224"/>
      <c r="E72" s="199">
        <f>DL!M32</f>
        <v>0</v>
      </c>
      <c r="I72" s="645"/>
      <c r="J72" s="645"/>
      <c r="K72" s="645"/>
      <c r="L72" s="645"/>
      <c r="M72" s="645"/>
      <c r="N72" s="645"/>
      <c r="O72" s="645"/>
      <c r="P72" s="645"/>
      <c r="Q72" s="645"/>
      <c r="R72" s="645"/>
      <c r="S72" s="645"/>
      <c r="T72" s="645"/>
      <c r="U72" s="645"/>
      <c r="V72" s="645"/>
      <c r="W72" s="645"/>
      <c r="X72" s="645"/>
      <c r="Y72" s="645"/>
      <c r="Z72" s="645"/>
      <c r="AA72" s="645"/>
      <c r="AB72" s="645"/>
      <c r="AC72" s="645"/>
      <c r="AD72" s="645"/>
      <c r="AE72" s="645"/>
      <c r="AF72" s="645"/>
      <c r="AG72" s="645"/>
      <c r="AH72" s="645"/>
      <c r="AI72" s="645"/>
      <c r="AJ72" s="645"/>
      <c r="AK72" s="645"/>
      <c r="AL72" s="645"/>
      <c r="AM72" s="645"/>
      <c r="AN72" s="645"/>
      <c r="AO72" s="645"/>
      <c r="AP72" s="645"/>
      <c r="AQ72" s="645"/>
      <c r="AR72" s="645"/>
      <c r="AS72" s="645"/>
      <c r="AT72" s="645"/>
      <c r="AU72" s="645"/>
      <c r="AV72" s="645"/>
      <c r="AW72" s="645"/>
      <c r="AX72" s="645"/>
      <c r="AY72" s="645"/>
      <c r="AZ72" s="645"/>
      <c r="BA72" s="198"/>
    </row>
  </sheetData>
  <sheetProtection password="CE75" sheet="1" objects="1" scenarios="1" selectLockedCells="1"/>
  <dataConsolidate/>
  <mergeCells count="85">
    <mergeCell ref="G42:H42"/>
    <mergeCell ref="G43:H43"/>
    <mergeCell ref="G44:H44"/>
    <mergeCell ref="G45:H45"/>
    <mergeCell ref="G46:H46"/>
    <mergeCell ref="G37:H37"/>
    <mergeCell ref="G38:H38"/>
    <mergeCell ref="G39:H39"/>
    <mergeCell ref="G40:H40"/>
    <mergeCell ref="B41:C41"/>
    <mergeCell ref="G41:H41"/>
    <mergeCell ref="G36:H36"/>
    <mergeCell ref="G25:H25"/>
    <mergeCell ref="G26:H26"/>
    <mergeCell ref="G27:H27"/>
    <mergeCell ref="G28:H28"/>
    <mergeCell ref="G29:H29"/>
    <mergeCell ref="G30:H30"/>
    <mergeCell ref="G31:H31"/>
    <mergeCell ref="G32:H32"/>
    <mergeCell ref="G33:H33"/>
    <mergeCell ref="G34:H34"/>
    <mergeCell ref="G35:H35"/>
    <mergeCell ref="G24:H24"/>
    <mergeCell ref="G13:H13"/>
    <mergeCell ref="G14:H14"/>
    <mergeCell ref="G15:H15"/>
    <mergeCell ref="G16:H16"/>
    <mergeCell ref="G17:H17"/>
    <mergeCell ref="G18:H18"/>
    <mergeCell ref="G19:H19"/>
    <mergeCell ref="G20:H20"/>
    <mergeCell ref="G21:H21"/>
    <mergeCell ref="G22:H22"/>
    <mergeCell ref="G23:H23"/>
    <mergeCell ref="G7:H7"/>
    <mergeCell ref="G8:H8"/>
    <mergeCell ref="G9:H9"/>
    <mergeCell ref="G10:H10"/>
    <mergeCell ref="G11:H11"/>
    <mergeCell ref="G12:H12"/>
    <mergeCell ref="BC4:BC6"/>
    <mergeCell ref="BD4:BD6"/>
    <mergeCell ref="C5:C6"/>
    <mergeCell ref="E5:E6"/>
    <mergeCell ref="F5:F6"/>
    <mergeCell ref="G5:H6"/>
    <mergeCell ref="AM4:AO5"/>
    <mergeCell ref="AP4:AR5"/>
    <mergeCell ref="AS4:AU5"/>
    <mergeCell ref="AV4:AX5"/>
    <mergeCell ref="AY4:BA5"/>
    <mergeCell ref="BB4:BB6"/>
    <mergeCell ref="U4:W5"/>
    <mergeCell ref="X4:Z5"/>
    <mergeCell ref="AA4:AC5"/>
    <mergeCell ref="AD4:AF5"/>
    <mergeCell ref="AG4:AI5"/>
    <mergeCell ref="AJ4:AL5"/>
    <mergeCell ref="AM3:AO3"/>
    <mergeCell ref="AP3:AR3"/>
    <mergeCell ref="E4:H4"/>
    <mergeCell ref="I4:K5"/>
    <mergeCell ref="L4:N5"/>
    <mergeCell ref="O4:Q5"/>
    <mergeCell ref="R4:T5"/>
    <mergeCell ref="C2:C3"/>
    <mergeCell ref="E2:G3"/>
    <mergeCell ref="H2:H3"/>
    <mergeCell ref="I2:AO2"/>
    <mergeCell ref="AP2:BA2"/>
    <mergeCell ref="AS3:AU3"/>
    <mergeCell ref="AV3:AX3"/>
    <mergeCell ref="AY3:BA3"/>
    <mergeCell ref="U3:W3"/>
    <mergeCell ref="X3:Z3"/>
    <mergeCell ref="AA3:AC3"/>
    <mergeCell ref="AD3:AF3"/>
    <mergeCell ref="AG3:AI3"/>
    <mergeCell ref="AJ3:AL3"/>
    <mergeCell ref="BB2:BD3"/>
    <mergeCell ref="I3:K3"/>
    <mergeCell ref="L3:N3"/>
    <mergeCell ref="O3:Q3"/>
    <mergeCell ref="R3:T3"/>
  </mergeCells>
  <conditionalFormatting sqref="I7:AZ46">
    <cfRule type="cellIs" dxfId="2" priority="3" operator="lessThan">
      <formula>$C$4</formula>
    </cfRule>
    <cfRule type="cellIs" dxfId="1" priority="2" operator="lessThan">
      <formula>1</formula>
    </cfRule>
    <cfRule type="cellIs" dxfId="0" priority="1" operator="greaterThan">
      <formula>100</formula>
    </cfRule>
  </conditionalFormatting>
  <pageMargins left="0.42" right="0.24" top="0.35" bottom="0.21" header="0.3" footer="0.19"/>
  <pageSetup paperSize="9" scale="74" orientation="landscape" r:id="rId1"/>
  <drawing r:id="rId2"/>
</worksheet>
</file>

<file path=xl/worksheets/sheet29.xml><?xml version="1.0" encoding="utf-8"?>
<worksheet xmlns="http://schemas.openxmlformats.org/spreadsheetml/2006/main" xmlns:r="http://schemas.openxmlformats.org/officeDocument/2006/relationships">
  <sheetPr codeName="Sheet29">
    <tabColor theme="9"/>
  </sheetPr>
  <dimension ref="A1:J55"/>
  <sheetViews>
    <sheetView showGridLines="0" showRowColHeaders="0" showZeros="0" zoomScaleSheetLayoutView="85" workbookViewId="0"/>
  </sheetViews>
  <sheetFormatPr defaultColWidth="0" defaultRowHeight="15" customHeight="1" zeroHeight="1"/>
  <cols>
    <col min="1" max="1" width="13.28515625" style="198" customWidth="1"/>
    <col min="2" max="2" width="1.7109375" style="198" customWidth="1"/>
    <col min="3" max="3" width="5.85546875" style="198" customWidth="1"/>
    <col min="4" max="4" width="11.85546875" style="198" customWidth="1"/>
    <col min="5" max="5" width="1.5703125" style="198" customWidth="1"/>
    <col min="6" max="6" width="29.7109375" style="198" customWidth="1"/>
    <col min="7" max="7" width="8.28515625" style="198" customWidth="1"/>
    <col min="8" max="8" width="14" style="198" customWidth="1"/>
    <col min="9" max="9" width="12.85546875" style="198" customWidth="1"/>
    <col min="10" max="10" width="16.140625" style="198" customWidth="1"/>
    <col min="11" max="16384" width="9.140625" style="198" hidden="1"/>
  </cols>
  <sheetData>
    <row r="1" spans="3:9" ht="18" customHeight="1">
      <c r="C1" s="1000" t="s">
        <v>98</v>
      </c>
      <c r="D1" s="1000"/>
      <c r="E1" s="1000"/>
      <c r="F1" s="1000"/>
      <c r="G1" s="1000"/>
      <c r="H1" s="1000"/>
      <c r="I1" s="1000"/>
    </row>
    <row r="2" spans="3:9" ht="16.5" customHeight="1">
      <c r="C2" s="225"/>
      <c r="D2" s="225"/>
      <c r="E2" s="225"/>
      <c r="F2" s="225"/>
      <c r="G2" s="225"/>
      <c r="H2" s="225"/>
      <c r="I2" s="225"/>
    </row>
    <row r="3" spans="3:9">
      <c r="C3" s="1001" t="s">
        <v>5</v>
      </c>
      <c r="D3" s="1001"/>
      <c r="E3" s="270" t="s">
        <v>2</v>
      </c>
      <c r="F3" s="1003" t="str">
        <f>DK!D5</f>
        <v>VIII A</v>
      </c>
      <c r="G3" s="1003"/>
      <c r="H3" s="227" t="s">
        <v>29</v>
      </c>
      <c r="I3" s="271" t="str">
        <f>": "&amp;COUNTA(Biodata!E6:E45)</f>
        <v>: 29</v>
      </c>
    </row>
    <row r="4" spans="3:9" ht="14.25" customHeight="1">
      <c r="C4" s="1001" t="s">
        <v>3</v>
      </c>
      <c r="D4" s="1001"/>
      <c r="E4" s="270" t="s">
        <v>2</v>
      </c>
      <c r="F4" s="1003" t="str">
        <f>DK!D8</f>
        <v>2018 / 2019</v>
      </c>
      <c r="G4" s="1003"/>
      <c r="H4" s="229" t="s">
        <v>4</v>
      </c>
      <c r="I4" s="229" t="str">
        <f>": "&amp;_smt_genap</f>
        <v>: 4 (Empat)</v>
      </c>
    </row>
    <row r="5" spans="3:9" ht="4.5" customHeight="1">
      <c r="C5" s="229"/>
      <c r="D5" s="229"/>
      <c r="E5" s="229"/>
      <c r="F5" s="229"/>
      <c r="G5" s="229"/>
      <c r="H5" s="229"/>
      <c r="I5" s="230"/>
    </row>
    <row r="6" spans="3:9" ht="5.25" customHeight="1" thickBot="1">
      <c r="C6" s="231"/>
      <c r="D6" s="231"/>
      <c r="E6" s="231"/>
      <c r="F6" s="231"/>
      <c r="G6" s="232"/>
      <c r="H6" s="232"/>
      <c r="I6" s="233"/>
    </row>
    <row r="7" spans="3:9" ht="30" customHeight="1" thickBot="1">
      <c r="C7" s="579" t="s">
        <v>96</v>
      </c>
      <c r="D7" s="580" t="s">
        <v>51</v>
      </c>
      <c r="E7" s="1412" t="s">
        <v>97</v>
      </c>
      <c r="F7" s="1412"/>
      <c r="G7" s="1412"/>
      <c r="H7" s="586" t="s">
        <v>59</v>
      </c>
      <c r="I7" s="581" t="s">
        <v>61</v>
      </c>
    </row>
    <row r="8" spans="3:9">
      <c r="C8" s="236" t="str">
        <f>IF(E8="","",ROW()-7)</f>
        <v/>
      </c>
      <c r="D8" s="237" t="str">
        <f>Konversi2!V3</f>
        <v/>
      </c>
      <c r="E8" s="997" t="str">
        <f>Konversi2!U3</f>
        <v/>
      </c>
      <c r="F8" s="998"/>
      <c r="G8" s="999"/>
      <c r="H8" s="395" t="str">
        <f>Konversi2!W3</f>
        <v/>
      </c>
      <c r="I8" s="238" t="str">
        <f>Konversi2!X3</f>
        <v/>
      </c>
    </row>
    <row r="9" spans="3:9">
      <c r="C9" s="236" t="str">
        <f t="shared" ref="C9:C47" si="0">IF(E9="","",ROW()-7)</f>
        <v/>
      </c>
      <c r="D9" s="237" t="str">
        <f>Konversi2!V4</f>
        <v/>
      </c>
      <c r="E9" s="997" t="str">
        <f>Konversi2!U4</f>
        <v/>
      </c>
      <c r="F9" s="998"/>
      <c r="G9" s="999"/>
      <c r="H9" s="395" t="str">
        <f>Konversi2!W4</f>
        <v/>
      </c>
      <c r="I9" s="238" t="str">
        <f>Konversi2!X4</f>
        <v/>
      </c>
    </row>
    <row r="10" spans="3:9">
      <c r="C10" s="236" t="str">
        <f t="shared" si="0"/>
        <v/>
      </c>
      <c r="D10" s="237" t="str">
        <f>Konversi2!V5</f>
        <v/>
      </c>
      <c r="E10" s="997" t="str">
        <f>Konversi2!U5</f>
        <v/>
      </c>
      <c r="F10" s="998"/>
      <c r="G10" s="999"/>
      <c r="H10" s="395" t="str">
        <f>Konversi2!W5</f>
        <v/>
      </c>
      <c r="I10" s="238" t="str">
        <f>Konversi2!X5</f>
        <v/>
      </c>
    </row>
    <row r="11" spans="3:9">
      <c r="C11" s="236" t="str">
        <f t="shared" si="0"/>
        <v/>
      </c>
      <c r="D11" s="237" t="str">
        <f>Konversi2!V6</f>
        <v/>
      </c>
      <c r="E11" s="997" t="str">
        <f>Konversi2!U6</f>
        <v/>
      </c>
      <c r="F11" s="998"/>
      <c r="G11" s="999"/>
      <c r="H11" s="395" t="str">
        <f>Konversi2!W6</f>
        <v/>
      </c>
      <c r="I11" s="238" t="str">
        <f>Konversi2!X6</f>
        <v/>
      </c>
    </row>
    <row r="12" spans="3:9">
      <c r="C12" s="236" t="str">
        <f t="shared" si="0"/>
        <v/>
      </c>
      <c r="D12" s="237" t="str">
        <f>Konversi2!V7</f>
        <v/>
      </c>
      <c r="E12" s="997" t="str">
        <f>Konversi2!U7</f>
        <v/>
      </c>
      <c r="F12" s="998"/>
      <c r="G12" s="999"/>
      <c r="H12" s="395" t="str">
        <f>Konversi2!W7</f>
        <v/>
      </c>
      <c r="I12" s="238" t="str">
        <f>Konversi2!X7</f>
        <v/>
      </c>
    </row>
    <row r="13" spans="3:9">
      <c r="C13" s="236" t="str">
        <f t="shared" si="0"/>
        <v/>
      </c>
      <c r="D13" s="237" t="str">
        <f>Konversi2!V8</f>
        <v/>
      </c>
      <c r="E13" s="997" t="str">
        <f>Konversi2!U8</f>
        <v/>
      </c>
      <c r="F13" s="998"/>
      <c r="G13" s="999"/>
      <c r="H13" s="395" t="str">
        <f>Konversi2!W8</f>
        <v/>
      </c>
      <c r="I13" s="238" t="str">
        <f>Konversi2!X8</f>
        <v/>
      </c>
    </row>
    <row r="14" spans="3:9">
      <c r="C14" s="236" t="str">
        <f t="shared" si="0"/>
        <v/>
      </c>
      <c r="D14" s="237" t="str">
        <f>Konversi2!V9</f>
        <v/>
      </c>
      <c r="E14" s="997" t="str">
        <f>Konversi2!U9</f>
        <v/>
      </c>
      <c r="F14" s="998"/>
      <c r="G14" s="999"/>
      <c r="H14" s="395" t="str">
        <f>Konversi2!W9</f>
        <v/>
      </c>
      <c r="I14" s="238" t="str">
        <f>Konversi2!X9</f>
        <v/>
      </c>
    </row>
    <row r="15" spans="3:9">
      <c r="C15" s="236" t="str">
        <f t="shared" si="0"/>
        <v/>
      </c>
      <c r="D15" s="237" t="str">
        <f>Konversi2!V10</f>
        <v/>
      </c>
      <c r="E15" s="997" t="str">
        <f>Konversi2!U10</f>
        <v/>
      </c>
      <c r="F15" s="998"/>
      <c r="G15" s="999"/>
      <c r="H15" s="395" t="str">
        <f>Konversi2!W10</f>
        <v/>
      </c>
      <c r="I15" s="238" t="str">
        <f>Konversi2!X10</f>
        <v/>
      </c>
    </row>
    <row r="16" spans="3:9">
      <c r="C16" s="236" t="str">
        <f t="shared" si="0"/>
        <v/>
      </c>
      <c r="D16" s="237" t="str">
        <f>Konversi2!V11</f>
        <v/>
      </c>
      <c r="E16" s="997" t="str">
        <f>Konversi2!U11</f>
        <v/>
      </c>
      <c r="F16" s="998"/>
      <c r="G16" s="999"/>
      <c r="H16" s="395" t="str">
        <f>Konversi2!W11</f>
        <v/>
      </c>
      <c r="I16" s="238" t="str">
        <f>Konversi2!X11</f>
        <v/>
      </c>
    </row>
    <row r="17" spans="3:9">
      <c r="C17" s="236" t="str">
        <f t="shared" si="0"/>
        <v/>
      </c>
      <c r="D17" s="237" t="str">
        <f>Konversi2!V12</f>
        <v/>
      </c>
      <c r="E17" s="997" t="str">
        <f>Konversi2!U12</f>
        <v/>
      </c>
      <c r="F17" s="998"/>
      <c r="G17" s="999"/>
      <c r="H17" s="395" t="str">
        <f>Konversi2!W12</f>
        <v/>
      </c>
      <c r="I17" s="238" t="str">
        <f>Konversi2!X12</f>
        <v/>
      </c>
    </row>
    <row r="18" spans="3:9">
      <c r="C18" s="236" t="str">
        <f t="shared" si="0"/>
        <v/>
      </c>
      <c r="D18" s="237" t="str">
        <f>Konversi2!V13</f>
        <v/>
      </c>
      <c r="E18" s="997" t="str">
        <f>Konversi2!U13</f>
        <v/>
      </c>
      <c r="F18" s="998"/>
      <c r="G18" s="999"/>
      <c r="H18" s="395" t="str">
        <f>Konversi2!W13</f>
        <v/>
      </c>
      <c r="I18" s="238" t="str">
        <f>Konversi2!X13</f>
        <v/>
      </c>
    </row>
    <row r="19" spans="3:9">
      <c r="C19" s="236" t="str">
        <f t="shared" si="0"/>
        <v/>
      </c>
      <c r="D19" s="237" t="str">
        <f>Konversi2!V14</f>
        <v/>
      </c>
      <c r="E19" s="997" t="str">
        <f>Konversi2!U14</f>
        <v/>
      </c>
      <c r="F19" s="998"/>
      <c r="G19" s="999"/>
      <c r="H19" s="395" t="str">
        <f>Konversi2!W14</f>
        <v/>
      </c>
      <c r="I19" s="238" t="str">
        <f>Konversi2!X14</f>
        <v/>
      </c>
    </row>
    <row r="20" spans="3:9">
      <c r="C20" s="236" t="str">
        <f t="shared" si="0"/>
        <v/>
      </c>
      <c r="D20" s="237" t="str">
        <f>Konversi2!V15</f>
        <v/>
      </c>
      <c r="E20" s="997" t="str">
        <f>Konversi2!U15</f>
        <v/>
      </c>
      <c r="F20" s="998"/>
      <c r="G20" s="999"/>
      <c r="H20" s="395" t="str">
        <f>Konversi2!W15</f>
        <v/>
      </c>
      <c r="I20" s="238" t="str">
        <f>Konversi2!X15</f>
        <v/>
      </c>
    </row>
    <row r="21" spans="3:9">
      <c r="C21" s="236" t="str">
        <f t="shared" si="0"/>
        <v/>
      </c>
      <c r="D21" s="237" t="str">
        <f>Konversi2!V16</f>
        <v/>
      </c>
      <c r="E21" s="997" t="str">
        <f>Konversi2!U16</f>
        <v/>
      </c>
      <c r="F21" s="998"/>
      <c r="G21" s="999"/>
      <c r="H21" s="395" t="str">
        <f>Konversi2!W16</f>
        <v/>
      </c>
      <c r="I21" s="238" t="str">
        <f>Konversi2!X16</f>
        <v/>
      </c>
    </row>
    <row r="22" spans="3:9">
      <c r="C22" s="236" t="str">
        <f t="shared" si="0"/>
        <v/>
      </c>
      <c r="D22" s="237" t="str">
        <f>Konversi2!V17</f>
        <v/>
      </c>
      <c r="E22" s="997" t="str">
        <f>Konversi2!U17</f>
        <v/>
      </c>
      <c r="F22" s="998"/>
      <c r="G22" s="999"/>
      <c r="H22" s="395" t="str">
        <f>Konversi2!W17</f>
        <v/>
      </c>
      <c r="I22" s="238" t="str">
        <f>Konversi2!X17</f>
        <v/>
      </c>
    </row>
    <row r="23" spans="3:9">
      <c r="C23" s="236" t="str">
        <f t="shared" si="0"/>
        <v/>
      </c>
      <c r="D23" s="237" t="str">
        <f>Konversi2!V18</f>
        <v/>
      </c>
      <c r="E23" s="997" t="str">
        <f>Konversi2!U18</f>
        <v/>
      </c>
      <c r="F23" s="998"/>
      <c r="G23" s="999"/>
      <c r="H23" s="395" t="str">
        <f>Konversi2!W18</f>
        <v/>
      </c>
      <c r="I23" s="238" t="str">
        <f>Konversi2!X18</f>
        <v/>
      </c>
    </row>
    <row r="24" spans="3:9">
      <c r="C24" s="236" t="str">
        <f t="shared" si="0"/>
        <v/>
      </c>
      <c r="D24" s="237" t="str">
        <f>Konversi2!V19</f>
        <v/>
      </c>
      <c r="E24" s="997" t="str">
        <f>Konversi2!U19</f>
        <v/>
      </c>
      <c r="F24" s="998"/>
      <c r="G24" s="999"/>
      <c r="H24" s="395" t="str">
        <f>Konversi2!W19</f>
        <v/>
      </c>
      <c r="I24" s="238" t="str">
        <f>Konversi2!X19</f>
        <v/>
      </c>
    </row>
    <row r="25" spans="3:9">
      <c r="C25" s="236" t="str">
        <f t="shared" si="0"/>
        <v/>
      </c>
      <c r="D25" s="237" t="str">
        <f>Konversi2!V20</f>
        <v/>
      </c>
      <c r="E25" s="997" t="str">
        <f>Konversi2!U20</f>
        <v/>
      </c>
      <c r="F25" s="998"/>
      <c r="G25" s="999"/>
      <c r="H25" s="395" t="str">
        <f>Konversi2!W20</f>
        <v/>
      </c>
      <c r="I25" s="238" t="str">
        <f>Konversi2!X20</f>
        <v/>
      </c>
    </row>
    <row r="26" spans="3:9">
      <c r="C26" s="236" t="str">
        <f t="shared" si="0"/>
        <v/>
      </c>
      <c r="D26" s="237" t="str">
        <f>Konversi2!V21</f>
        <v/>
      </c>
      <c r="E26" s="997" t="str">
        <f>Konversi2!U21</f>
        <v/>
      </c>
      <c r="F26" s="998"/>
      <c r="G26" s="999"/>
      <c r="H26" s="395" t="str">
        <f>Konversi2!W21</f>
        <v/>
      </c>
      <c r="I26" s="238" t="str">
        <f>Konversi2!X21</f>
        <v/>
      </c>
    </row>
    <row r="27" spans="3:9">
      <c r="C27" s="236" t="str">
        <f t="shared" si="0"/>
        <v/>
      </c>
      <c r="D27" s="237" t="str">
        <f>Konversi2!V22</f>
        <v/>
      </c>
      <c r="E27" s="997" t="str">
        <f>Konversi2!U22</f>
        <v/>
      </c>
      <c r="F27" s="998"/>
      <c r="G27" s="999"/>
      <c r="H27" s="395" t="str">
        <f>Konversi2!W22</f>
        <v/>
      </c>
      <c r="I27" s="238" t="str">
        <f>Konversi2!X22</f>
        <v/>
      </c>
    </row>
    <row r="28" spans="3:9">
      <c r="C28" s="236" t="str">
        <f t="shared" si="0"/>
        <v/>
      </c>
      <c r="D28" s="237" t="str">
        <f>Konversi2!V23</f>
        <v/>
      </c>
      <c r="E28" s="997" t="str">
        <f>Konversi2!U23</f>
        <v/>
      </c>
      <c r="F28" s="998"/>
      <c r="G28" s="999"/>
      <c r="H28" s="395" t="str">
        <f>Konversi2!W23</f>
        <v/>
      </c>
      <c r="I28" s="238" t="str">
        <f>Konversi2!X23</f>
        <v/>
      </c>
    </row>
    <row r="29" spans="3:9">
      <c r="C29" s="236" t="str">
        <f t="shared" si="0"/>
        <v/>
      </c>
      <c r="D29" s="237" t="str">
        <f>Konversi2!V24</f>
        <v/>
      </c>
      <c r="E29" s="997" t="str">
        <f>Konversi2!U24</f>
        <v/>
      </c>
      <c r="F29" s="998"/>
      <c r="G29" s="999"/>
      <c r="H29" s="395" t="str">
        <f>Konversi2!W24</f>
        <v/>
      </c>
      <c r="I29" s="238" t="str">
        <f>Konversi2!X24</f>
        <v/>
      </c>
    </row>
    <row r="30" spans="3:9">
      <c r="C30" s="236" t="str">
        <f t="shared" si="0"/>
        <v/>
      </c>
      <c r="D30" s="237" t="str">
        <f>Konversi2!V25</f>
        <v/>
      </c>
      <c r="E30" s="997" t="str">
        <f>Konversi2!U25</f>
        <v/>
      </c>
      <c r="F30" s="998"/>
      <c r="G30" s="999"/>
      <c r="H30" s="395" t="str">
        <f>Konversi2!W25</f>
        <v/>
      </c>
      <c r="I30" s="238" t="str">
        <f>Konversi2!X25</f>
        <v/>
      </c>
    </row>
    <row r="31" spans="3:9">
      <c r="C31" s="236" t="str">
        <f t="shared" si="0"/>
        <v/>
      </c>
      <c r="D31" s="237" t="str">
        <f>Konversi2!V26</f>
        <v/>
      </c>
      <c r="E31" s="997" t="str">
        <f>Konversi2!U26</f>
        <v/>
      </c>
      <c r="F31" s="998"/>
      <c r="G31" s="999"/>
      <c r="H31" s="395" t="str">
        <f>Konversi2!W26</f>
        <v/>
      </c>
      <c r="I31" s="238" t="str">
        <f>Konversi2!X26</f>
        <v/>
      </c>
    </row>
    <row r="32" spans="3:9">
      <c r="C32" s="236" t="str">
        <f t="shared" si="0"/>
        <v/>
      </c>
      <c r="D32" s="237" t="str">
        <f>Konversi2!V27</f>
        <v/>
      </c>
      <c r="E32" s="997" t="str">
        <f>Konversi2!U27</f>
        <v/>
      </c>
      <c r="F32" s="998"/>
      <c r="G32" s="999"/>
      <c r="H32" s="395" t="str">
        <f>Konversi2!W27</f>
        <v/>
      </c>
      <c r="I32" s="238" t="str">
        <f>Konversi2!X27</f>
        <v/>
      </c>
    </row>
    <row r="33" spans="3:9">
      <c r="C33" s="236" t="str">
        <f t="shared" si="0"/>
        <v/>
      </c>
      <c r="D33" s="237" t="str">
        <f>Konversi2!V28</f>
        <v/>
      </c>
      <c r="E33" s="997" t="str">
        <f>Konversi2!U28</f>
        <v/>
      </c>
      <c r="F33" s="998"/>
      <c r="G33" s="999"/>
      <c r="H33" s="395" t="str">
        <f>Konversi2!W28</f>
        <v/>
      </c>
      <c r="I33" s="238" t="str">
        <f>Konversi2!X28</f>
        <v/>
      </c>
    </row>
    <row r="34" spans="3:9">
      <c r="C34" s="236" t="str">
        <f t="shared" si="0"/>
        <v/>
      </c>
      <c r="D34" s="237" t="str">
        <f>Konversi2!V29</f>
        <v/>
      </c>
      <c r="E34" s="997" t="str">
        <f>Konversi2!U29</f>
        <v/>
      </c>
      <c r="F34" s="998"/>
      <c r="G34" s="999"/>
      <c r="H34" s="395" t="str">
        <f>Konversi2!W29</f>
        <v/>
      </c>
      <c r="I34" s="238" t="str">
        <f>Konversi2!X29</f>
        <v/>
      </c>
    </row>
    <row r="35" spans="3:9">
      <c r="C35" s="236" t="str">
        <f t="shared" si="0"/>
        <v/>
      </c>
      <c r="D35" s="237" t="str">
        <f>Konversi2!V30</f>
        <v/>
      </c>
      <c r="E35" s="997" t="str">
        <f>Konversi2!U30</f>
        <v/>
      </c>
      <c r="F35" s="998"/>
      <c r="G35" s="999"/>
      <c r="H35" s="395" t="str">
        <f>Konversi2!W30</f>
        <v/>
      </c>
      <c r="I35" s="238" t="str">
        <f>Konversi2!X30</f>
        <v/>
      </c>
    </row>
    <row r="36" spans="3:9">
      <c r="C36" s="236" t="str">
        <f t="shared" si="0"/>
        <v/>
      </c>
      <c r="D36" s="237" t="str">
        <f>Konversi2!V31</f>
        <v/>
      </c>
      <c r="E36" s="997" t="str">
        <f>Konversi2!U31</f>
        <v/>
      </c>
      <c r="F36" s="998"/>
      <c r="G36" s="999"/>
      <c r="H36" s="395" t="str">
        <f>Konversi2!W31</f>
        <v/>
      </c>
      <c r="I36" s="238" t="str">
        <f>Konversi2!X31</f>
        <v/>
      </c>
    </row>
    <row r="37" spans="3:9">
      <c r="C37" s="236" t="str">
        <f t="shared" si="0"/>
        <v/>
      </c>
      <c r="D37" s="237" t="str">
        <f>Konversi2!V32</f>
        <v/>
      </c>
      <c r="E37" s="997" t="str">
        <f>Konversi2!U32</f>
        <v/>
      </c>
      <c r="F37" s="998"/>
      <c r="G37" s="999"/>
      <c r="H37" s="395" t="str">
        <f>Konversi2!W32</f>
        <v/>
      </c>
      <c r="I37" s="238" t="str">
        <f>Konversi2!X32</f>
        <v/>
      </c>
    </row>
    <row r="38" spans="3:9">
      <c r="C38" s="236" t="str">
        <f t="shared" si="0"/>
        <v/>
      </c>
      <c r="D38" s="237" t="str">
        <f>Konversi2!V33</f>
        <v/>
      </c>
      <c r="E38" s="997" t="str">
        <f>Konversi2!U33</f>
        <v/>
      </c>
      <c r="F38" s="998"/>
      <c r="G38" s="999"/>
      <c r="H38" s="395" t="str">
        <f>Konversi2!W33</f>
        <v/>
      </c>
      <c r="I38" s="238" t="str">
        <f>Konversi2!X33</f>
        <v/>
      </c>
    </row>
    <row r="39" spans="3:9">
      <c r="C39" s="236" t="str">
        <f t="shared" si="0"/>
        <v/>
      </c>
      <c r="D39" s="237" t="str">
        <f>Konversi2!V34</f>
        <v/>
      </c>
      <c r="E39" s="997" t="str">
        <f>Konversi2!U34</f>
        <v/>
      </c>
      <c r="F39" s="998"/>
      <c r="G39" s="999"/>
      <c r="H39" s="395" t="str">
        <f>Konversi2!W34</f>
        <v/>
      </c>
      <c r="I39" s="238" t="str">
        <f>Konversi2!X34</f>
        <v/>
      </c>
    </row>
    <row r="40" spans="3:9">
      <c r="C40" s="236" t="str">
        <f t="shared" si="0"/>
        <v/>
      </c>
      <c r="D40" s="237" t="str">
        <f>Konversi2!V35</f>
        <v/>
      </c>
      <c r="E40" s="997" t="str">
        <f>Konversi2!U35</f>
        <v/>
      </c>
      <c r="F40" s="998"/>
      <c r="G40" s="999"/>
      <c r="H40" s="395" t="str">
        <f>Konversi2!W35</f>
        <v/>
      </c>
      <c r="I40" s="238" t="str">
        <f>Konversi2!X35</f>
        <v/>
      </c>
    </row>
    <row r="41" spans="3:9">
      <c r="C41" s="236" t="str">
        <f t="shared" si="0"/>
        <v/>
      </c>
      <c r="D41" s="237" t="str">
        <f>Konversi2!V36</f>
        <v/>
      </c>
      <c r="E41" s="997" t="str">
        <f>Konversi2!U36</f>
        <v/>
      </c>
      <c r="F41" s="998"/>
      <c r="G41" s="999"/>
      <c r="H41" s="395" t="str">
        <f>Konversi2!W36</f>
        <v/>
      </c>
      <c r="I41" s="238" t="str">
        <f>Konversi2!X36</f>
        <v/>
      </c>
    </row>
    <row r="42" spans="3:9">
      <c r="C42" s="236" t="str">
        <f t="shared" si="0"/>
        <v/>
      </c>
      <c r="D42" s="237" t="str">
        <f>Konversi2!V37</f>
        <v/>
      </c>
      <c r="E42" s="997" t="str">
        <f>Konversi2!U37</f>
        <v/>
      </c>
      <c r="F42" s="998"/>
      <c r="G42" s="999"/>
      <c r="H42" s="395" t="str">
        <f>Konversi2!W37</f>
        <v/>
      </c>
      <c r="I42" s="238" t="str">
        <f>Konversi2!X37</f>
        <v/>
      </c>
    </row>
    <row r="43" spans="3:9">
      <c r="C43" s="236" t="str">
        <f t="shared" si="0"/>
        <v/>
      </c>
      <c r="D43" s="237" t="str">
        <f>Konversi2!V38</f>
        <v/>
      </c>
      <c r="E43" s="997" t="str">
        <f>Konversi2!U38</f>
        <v/>
      </c>
      <c r="F43" s="998"/>
      <c r="G43" s="999"/>
      <c r="H43" s="395" t="str">
        <f>Konversi2!W38</f>
        <v/>
      </c>
      <c r="I43" s="238" t="str">
        <f>Konversi2!X38</f>
        <v/>
      </c>
    </row>
    <row r="44" spans="3:9">
      <c r="C44" s="236" t="str">
        <f t="shared" si="0"/>
        <v/>
      </c>
      <c r="D44" s="237" t="str">
        <f>Konversi2!V39</f>
        <v/>
      </c>
      <c r="E44" s="997" t="str">
        <f>Konversi2!U39</f>
        <v/>
      </c>
      <c r="F44" s="998"/>
      <c r="G44" s="999"/>
      <c r="H44" s="395" t="str">
        <f>Konversi2!W39</f>
        <v/>
      </c>
      <c r="I44" s="238" t="str">
        <f>Konversi2!X39</f>
        <v/>
      </c>
    </row>
    <row r="45" spans="3:9">
      <c r="C45" s="236" t="str">
        <f t="shared" si="0"/>
        <v/>
      </c>
      <c r="D45" s="237" t="str">
        <f>Konversi2!V40</f>
        <v/>
      </c>
      <c r="E45" s="997" t="str">
        <f>Konversi2!U40</f>
        <v/>
      </c>
      <c r="F45" s="998"/>
      <c r="G45" s="999"/>
      <c r="H45" s="395" t="str">
        <f>Konversi2!W40</f>
        <v/>
      </c>
      <c r="I45" s="238" t="str">
        <f>Konversi2!X40</f>
        <v/>
      </c>
    </row>
    <row r="46" spans="3:9">
      <c r="C46" s="236" t="str">
        <f t="shared" si="0"/>
        <v/>
      </c>
      <c r="D46" s="237" t="str">
        <f>Konversi2!V41</f>
        <v/>
      </c>
      <c r="E46" s="997" t="str">
        <f>Konversi2!U41</f>
        <v/>
      </c>
      <c r="F46" s="998"/>
      <c r="G46" s="999"/>
      <c r="H46" s="395" t="str">
        <f>Konversi2!W41</f>
        <v/>
      </c>
      <c r="I46" s="238" t="str">
        <f>Konversi2!X41</f>
        <v/>
      </c>
    </row>
    <row r="47" spans="3:9" ht="15.75" thickBot="1">
      <c r="C47" s="239" t="str">
        <f t="shared" si="0"/>
        <v/>
      </c>
      <c r="D47" s="240" t="str">
        <f>Konversi2!V42</f>
        <v/>
      </c>
      <c r="E47" s="1005" t="str">
        <f>Konversi2!U42</f>
        <v/>
      </c>
      <c r="F47" s="1006"/>
      <c r="G47" s="1007"/>
      <c r="H47" s="396" t="str">
        <f>Konversi2!W42</f>
        <v/>
      </c>
      <c r="I47" s="241" t="str">
        <f>Konversi2!X42</f>
        <v/>
      </c>
    </row>
    <row r="48" spans="3:9" ht="9.75" customHeight="1">
      <c r="C48" s="242"/>
      <c r="D48" s="242"/>
      <c r="E48" s="243"/>
      <c r="F48" s="243"/>
      <c r="G48" s="243"/>
      <c r="H48" s="242"/>
      <c r="I48" s="242"/>
    </row>
    <row r="49" spans="3:9">
      <c r="C49" s="242"/>
      <c r="D49" s="242"/>
      <c r="E49" s="243"/>
      <c r="F49" s="243"/>
      <c r="G49" s="1004" t="str">
        <f>_tempat_penyerahan&amp;", "&amp;_tgl_rapor_genap</f>
        <v>Abung Surakarta, 22 Juni 2020</v>
      </c>
      <c r="H49" s="1004"/>
      <c r="I49" s="1004"/>
    </row>
    <row r="50" spans="3:9">
      <c r="C50" s="242"/>
      <c r="D50" s="242"/>
      <c r="E50" s="243"/>
      <c r="F50" s="243"/>
      <c r="G50" s="272" t="s">
        <v>149</v>
      </c>
      <c r="H50" s="245"/>
      <c r="I50" s="242"/>
    </row>
    <row r="51" spans="3:9">
      <c r="C51" s="242"/>
      <c r="D51" s="242"/>
      <c r="E51" s="243"/>
      <c r="F51" s="243"/>
      <c r="G51" s="242"/>
      <c r="H51" s="245"/>
      <c r="I51" s="242"/>
    </row>
    <row r="52" spans="3:9">
      <c r="C52" s="242"/>
      <c r="D52" s="242"/>
      <c r="E52" s="243"/>
      <c r="F52" s="243"/>
      <c r="G52" s="242"/>
      <c r="H52" s="245"/>
      <c r="I52" s="242"/>
    </row>
    <row r="53" spans="3:9">
      <c r="C53" s="242"/>
      <c r="D53" s="242"/>
      <c r="E53" s="243"/>
      <c r="F53" s="243"/>
      <c r="G53" s="246" t="str">
        <f>DK!D6</f>
        <v>Siti Kotijah, S.Pd.</v>
      </c>
      <c r="H53" s="245"/>
      <c r="I53" s="242"/>
    </row>
    <row r="54" spans="3:9">
      <c r="C54" s="242"/>
      <c r="D54" s="242"/>
      <c r="E54" s="243"/>
      <c r="F54" s="243"/>
      <c r="G54" s="272" t="str">
        <f>"NIP. "&amp;IF(DK!D7=0,"",DK!D7)</f>
        <v>NIP. 19700120199501 2 001</v>
      </c>
      <c r="H54" s="245"/>
      <c r="I54" s="242"/>
    </row>
    <row r="55" spans="3:9"/>
  </sheetData>
  <sheetProtection password="CE75" sheet="1" objects="1" scenarios="1"/>
  <mergeCells count="47">
    <mergeCell ref="E7:G7"/>
    <mergeCell ref="C1:I1"/>
    <mergeCell ref="C3:D3"/>
    <mergeCell ref="F3:G3"/>
    <mergeCell ref="C4:D4"/>
    <mergeCell ref="F4:G4"/>
    <mergeCell ref="E19:G19"/>
    <mergeCell ref="E8:G8"/>
    <mergeCell ref="E9:G9"/>
    <mergeCell ref="E10:G10"/>
    <mergeCell ref="E11:G11"/>
    <mergeCell ref="E12:G12"/>
    <mergeCell ref="E13:G13"/>
    <mergeCell ref="E14:G14"/>
    <mergeCell ref="E15:G15"/>
    <mergeCell ref="E16:G16"/>
    <mergeCell ref="E17:G17"/>
    <mergeCell ref="E18:G18"/>
    <mergeCell ref="E31:G31"/>
    <mergeCell ref="E20:G20"/>
    <mergeCell ref="E21:G21"/>
    <mergeCell ref="E22:G22"/>
    <mergeCell ref="E23:G23"/>
    <mergeCell ref="E24:G24"/>
    <mergeCell ref="E25:G25"/>
    <mergeCell ref="E26:G26"/>
    <mergeCell ref="E27:G27"/>
    <mergeCell ref="E28:G28"/>
    <mergeCell ref="E29:G29"/>
    <mergeCell ref="E30:G30"/>
    <mergeCell ref="E43:G43"/>
    <mergeCell ref="E32:G32"/>
    <mergeCell ref="E33:G33"/>
    <mergeCell ref="E34:G34"/>
    <mergeCell ref="E35:G35"/>
    <mergeCell ref="E36:G36"/>
    <mergeCell ref="E37:G37"/>
    <mergeCell ref="E38:G38"/>
    <mergeCell ref="E39:G39"/>
    <mergeCell ref="E40:G40"/>
    <mergeCell ref="E41:G41"/>
    <mergeCell ref="E42:G42"/>
    <mergeCell ref="E44:G44"/>
    <mergeCell ref="E45:G45"/>
    <mergeCell ref="E46:G46"/>
    <mergeCell ref="E47:G47"/>
    <mergeCell ref="G49:I49"/>
  </mergeCells>
  <pageMargins left="1.0900000000000001" right="0.88" top="0.55000000000000004" bottom="0.39" header="0.3" footer="0.3"/>
  <pageSetup paperSize="9" scale="95" orientation="portrait" r:id="rId1"/>
  <drawing r:id="rId2"/>
</worksheet>
</file>

<file path=xl/worksheets/sheet30.xml><?xml version="1.0" encoding="utf-8"?>
<worksheet xmlns="http://schemas.openxmlformats.org/spreadsheetml/2006/main" xmlns:r="http://schemas.openxmlformats.org/officeDocument/2006/relationships">
  <sheetPr codeName="Sheet23">
    <tabColor theme="1"/>
  </sheetPr>
  <dimension ref="A1:AN72"/>
  <sheetViews>
    <sheetView showRowColHeaders="0" zoomScale="85" zoomScaleNormal="85" workbookViewId="0">
      <pane xSplit="8" ySplit="6" topLeftCell="I7" activePane="bottomRight" state="frozenSplit"/>
      <selection sqref="A1:XFD1048576"/>
      <selection pane="topRight" activeCell="J1" sqref="J1"/>
      <selection pane="bottomLeft" activeCell="A11" sqref="A11"/>
      <selection pane="bottomRight" activeCell="H2" sqref="H2:H3"/>
    </sheetView>
  </sheetViews>
  <sheetFormatPr defaultColWidth="0" defaultRowHeight="16.5" customHeight="1" zeroHeight="1"/>
  <cols>
    <col min="1" max="1" width="1.7109375" style="16" customWidth="1"/>
    <col min="2" max="2" width="9.42578125" style="19" customWidth="1"/>
    <col min="3" max="3" width="8.42578125" style="16" customWidth="1"/>
    <col min="4" max="4" width="2.5703125" style="16" customWidth="1"/>
    <col min="5" max="5" width="4.85546875" style="636" customWidth="1"/>
    <col min="6" max="6" width="7.85546875" style="636" customWidth="1"/>
    <col min="7" max="7" width="13.42578125" style="636" customWidth="1"/>
    <col min="8" max="8" width="17.5703125" style="636" customWidth="1"/>
    <col min="9" max="19" width="5.140625" style="16" customWidth="1"/>
    <col min="20" max="20" width="5.42578125" style="16" customWidth="1"/>
    <col min="21" max="21" width="4.28515625" style="16" customWidth="1"/>
    <col min="22" max="38" width="5.140625" style="16" customWidth="1"/>
    <col min="39" max="39" width="9.140625" style="16" customWidth="1"/>
    <col min="40" max="40" width="28.7109375" style="16" hidden="1" customWidth="1"/>
    <col min="41" max="16384" width="9.140625" style="16" hidden="1"/>
  </cols>
  <sheetData>
    <row r="1" spans="2:38" ht="17.25" thickBot="1">
      <c r="E1" s="199"/>
      <c r="F1" s="199"/>
      <c r="G1" s="199"/>
      <c r="H1" s="199"/>
      <c r="I1" s="198"/>
      <c r="J1" s="198"/>
      <c r="K1" s="198"/>
      <c r="L1" s="198"/>
      <c r="M1" s="198"/>
      <c r="N1" s="198"/>
      <c r="O1" s="198"/>
      <c r="P1" s="198"/>
      <c r="Q1" s="198"/>
      <c r="R1" s="198"/>
      <c r="S1" s="198"/>
      <c r="T1" s="198"/>
      <c r="U1" s="198"/>
      <c r="V1" s="198"/>
      <c r="W1" s="198"/>
      <c r="X1" s="198"/>
      <c r="Y1" s="198"/>
      <c r="Z1" s="198"/>
      <c r="AA1" s="198"/>
      <c r="AB1" s="198"/>
      <c r="AC1" s="198"/>
      <c r="AD1" s="198"/>
      <c r="AE1" s="198"/>
      <c r="AF1" s="198"/>
      <c r="AG1" s="198"/>
      <c r="AH1" s="198"/>
      <c r="AI1" s="198"/>
      <c r="AJ1" s="198"/>
      <c r="AK1" s="198"/>
      <c r="AL1" s="198"/>
    </row>
    <row r="2" spans="2:38" ht="18.75" customHeight="1">
      <c r="E2" s="1037" t="s">
        <v>57</v>
      </c>
      <c r="F2" s="1038"/>
      <c r="G2" s="1038"/>
      <c r="H2" s="1041" t="str">
        <f>UPPER(_smt_genap)</f>
        <v>4 (EMPAT)</v>
      </c>
      <c r="I2" s="1043" t="s">
        <v>53</v>
      </c>
      <c r="J2" s="1044"/>
      <c r="K2" s="1044"/>
      <c r="L2" s="1044"/>
      <c r="M2" s="1044"/>
      <c r="N2" s="1044"/>
      <c r="O2" s="1044"/>
      <c r="P2" s="1044"/>
      <c r="Q2" s="1044"/>
      <c r="R2" s="1044"/>
      <c r="S2" s="1044"/>
      <c r="T2" s="1044"/>
      <c r="U2" s="1044"/>
      <c r="V2" s="1044"/>
      <c r="W2" s="1044"/>
      <c r="X2" s="1044"/>
      <c r="Y2" s="1044"/>
      <c r="Z2" s="1044"/>
      <c r="AA2" s="1044"/>
      <c r="AB2" s="1044"/>
      <c r="AC2" s="1044"/>
      <c r="AD2" s="1044"/>
      <c r="AE2" s="1045" t="s">
        <v>58</v>
      </c>
      <c r="AF2" s="1046"/>
      <c r="AG2" s="1046"/>
      <c r="AH2" s="1046"/>
      <c r="AI2" s="1046"/>
      <c r="AJ2" s="1046"/>
      <c r="AK2" s="1046"/>
      <c r="AL2" s="1047"/>
    </row>
    <row r="3" spans="2:38" s="22" customFormat="1" ht="17.25" customHeight="1" thickBot="1">
      <c r="B3" s="21"/>
      <c r="E3" s="1039"/>
      <c r="F3" s="1040"/>
      <c r="G3" s="1040"/>
      <c r="H3" s="1042"/>
      <c r="I3" s="1049">
        <v>1</v>
      </c>
      <c r="J3" s="1050"/>
      <c r="K3" s="906">
        <v>2</v>
      </c>
      <c r="L3" s="907"/>
      <c r="M3" s="906">
        <v>3</v>
      </c>
      <c r="N3" s="907"/>
      <c r="O3" s="906">
        <v>4</v>
      </c>
      <c r="P3" s="907"/>
      <c r="Q3" s="906">
        <v>5</v>
      </c>
      <c r="R3" s="907"/>
      <c r="S3" s="906">
        <v>6</v>
      </c>
      <c r="T3" s="907"/>
      <c r="U3" s="906">
        <v>7</v>
      </c>
      <c r="V3" s="907"/>
      <c r="W3" s="906">
        <v>8</v>
      </c>
      <c r="X3" s="907"/>
      <c r="Y3" s="906">
        <v>9</v>
      </c>
      <c r="Z3" s="907"/>
      <c r="AA3" s="906">
        <v>10</v>
      </c>
      <c r="AB3" s="907"/>
      <c r="AC3" s="906">
        <v>11</v>
      </c>
      <c r="AD3" s="907"/>
      <c r="AE3" s="906">
        <v>12</v>
      </c>
      <c r="AF3" s="907"/>
      <c r="AG3" s="906">
        <v>13</v>
      </c>
      <c r="AH3" s="907"/>
      <c r="AI3" s="906">
        <v>14</v>
      </c>
      <c r="AJ3" s="907"/>
      <c r="AK3" s="906">
        <v>15</v>
      </c>
      <c r="AL3" s="1048"/>
    </row>
    <row r="4" spans="2:38" ht="33" customHeight="1" thickBot="1">
      <c r="E4" s="1023" t="str">
        <f>"KELAS "&amp;_kelas&amp;" - TP. "&amp;DK!D8</f>
        <v>KELAS VIII A - TP. 2018 / 2019</v>
      </c>
      <c r="F4" s="1024"/>
      <c r="G4" s="1024"/>
      <c r="H4" s="1025"/>
      <c r="I4" s="1019" t="str">
        <f>_MP1</f>
        <v>Pendidikan Agama Islam</v>
      </c>
      <c r="J4" s="1026"/>
      <c r="K4" s="1019" t="str">
        <f>_MP2</f>
        <v>Pendidikan Agama Kristen</v>
      </c>
      <c r="L4" s="1020"/>
      <c r="M4" s="1019" t="str">
        <f>_MP3</f>
        <v>Pendidikan Agama Katolik</v>
      </c>
      <c r="N4" s="1020"/>
      <c r="O4" s="1019" t="str">
        <f>_MP4</f>
        <v>Pendidikan Agama Hindu</v>
      </c>
      <c r="P4" s="1020"/>
      <c r="Q4" s="1019" t="str">
        <f>_MP5</f>
        <v>Pendidikan Agama Budha</v>
      </c>
      <c r="R4" s="1020"/>
      <c r="S4" s="885" t="str">
        <f>_MP6</f>
        <v>PKn</v>
      </c>
      <c r="T4" s="886"/>
      <c r="U4" s="885" t="str">
        <f>_MP7</f>
        <v xml:space="preserve">Bahasa Indonesia </v>
      </c>
      <c r="V4" s="886"/>
      <c r="W4" s="885" t="str">
        <f>_MP8</f>
        <v xml:space="preserve">Matematika </v>
      </c>
      <c r="X4" s="886"/>
      <c r="Y4" s="885" t="str">
        <f>_MP9</f>
        <v xml:space="preserve">Ilmu Pengetahuan Alam </v>
      </c>
      <c r="Z4" s="886"/>
      <c r="AA4" s="885" t="str">
        <f>_MP10</f>
        <v xml:space="preserve">Ilmu Pengetahuan Sosial </v>
      </c>
      <c r="AB4" s="886"/>
      <c r="AC4" s="885" t="str">
        <f>_MP11</f>
        <v xml:space="preserve">Bahasa Inggris </v>
      </c>
      <c r="AD4" s="886"/>
      <c r="AE4" s="885" t="str">
        <f>_MP12</f>
        <v>Seni Budaya</v>
      </c>
      <c r="AF4" s="886"/>
      <c r="AG4" s="885" t="str">
        <f>_MP13</f>
        <v>Penjaskes</v>
      </c>
      <c r="AH4" s="886"/>
      <c r="AI4" s="885" t="str">
        <f>_MP14</f>
        <v>Prakarya</v>
      </c>
      <c r="AJ4" s="886"/>
      <c r="AK4" s="885" t="str">
        <f>_MP15</f>
        <v>Bahasa dan Aksara Lampung</v>
      </c>
      <c r="AL4" s="887"/>
    </row>
    <row r="5" spans="2:38" ht="17.25" thickBot="1">
      <c r="E5" s="1029" t="s">
        <v>50</v>
      </c>
      <c r="F5" s="1031" t="s">
        <v>51</v>
      </c>
      <c r="G5" s="1033" t="s">
        <v>52</v>
      </c>
      <c r="H5" s="1034"/>
      <c r="I5" s="1027"/>
      <c r="J5" s="1028"/>
      <c r="K5" s="1021"/>
      <c r="L5" s="1022"/>
      <c r="M5" s="1021"/>
      <c r="N5" s="1022"/>
      <c r="O5" s="1021"/>
      <c r="P5" s="1022"/>
      <c r="Q5" s="1021"/>
      <c r="R5" s="1022"/>
      <c r="S5" s="888"/>
      <c r="T5" s="889"/>
      <c r="U5" s="888"/>
      <c r="V5" s="889"/>
      <c r="W5" s="888"/>
      <c r="X5" s="889"/>
      <c r="Y5" s="888"/>
      <c r="Z5" s="889"/>
      <c r="AA5" s="888"/>
      <c r="AB5" s="889"/>
      <c r="AC5" s="888"/>
      <c r="AD5" s="889"/>
      <c r="AE5" s="888"/>
      <c r="AF5" s="889"/>
      <c r="AG5" s="888"/>
      <c r="AH5" s="889"/>
      <c r="AI5" s="888"/>
      <c r="AJ5" s="889"/>
      <c r="AK5" s="888"/>
      <c r="AL5" s="890"/>
    </row>
    <row r="6" spans="2:38" ht="17.25" thickBot="1">
      <c r="E6" s="1030"/>
      <c r="F6" s="1032"/>
      <c r="G6" s="1035"/>
      <c r="H6" s="1036"/>
      <c r="I6" s="204" t="s">
        <v>600</v>
      </c>
      <c r="J6" s="205" t="s">
        <v>601</v>
      </c>
      <c r="K6" s="204" t="s">
        <v>600</v>
      </c>
      <c r="L6" s="205" t="s">
        <v>601</v>
      </c>
      <c r="M6" s="204" t="s">
        <v>600</v>
      </c>
      <c r="N6" s="205" t="s">
        <v>601</v>
      </c>
      <c r="O6" s="204" t="s">
        <v>600</v>
      </c>
      <c r="P6" s="205" t="s">
        <v>601</v>
      </c>
      <c r="Q6" s="204" t="s">
        <v>600</v>
      </c>
      <c r="R6" s="205" t="s">
        <v>601</v>
      </c>
      <c r="S6" s="204" t="s">
        <v>600</v>
      </c>
      <c r="T6" s="205" t="s">
        <v>601</v>
      </c>
      <c r="U6" s="204" t="s">
        <v>600</v>
      </c>
      <c r="V6" s="205" t="s">
        <v>601</v>
      </c>
      <c r="W6" s="204" t="s">
        <v>600</v>
      </c>
      <c r="X6" s="205" t="s">
        <v>601</v>
      </c>
      <c r="Y6" s="204" t="s">
        <v>600</v>
      </c>
      <c r="Z6" s="205" t="s">
        <v>601</v>
      </c>
      <c r="AA6" s="204" t="s">
        <v>600</v>
      </c>
      <c r="AB6" s="205" t="s">
        <v>601</v>
      </c>
      <c r="AC6" s="204" t="s">
        <v>600</v>
      </c>
      <c r="AD6" s="205" t="s">
        <v>601</v>
      </c>
      <c r="AE6" s="204" t="s">
        <v>600</v>
      </c>
      <c r="AF6" s="205" t="s">
        <v>601</v>
      </c>
      <c r="AG6" s="204" t="s">
        <v>600</v>
      </c>
      <c r="AH6" s="205" t="s">
        <v>601</v>
      </c>
      <c r="AI6" s="204" t="s">
        <v>600</v>
      </c>
      <c r="AJ6" s="205" t="s">
        <v>601</v>
      </c>
      <c r="AK6" s="204" t="s">
        <v>600</v>
      </c>
      <c r="AL6" s="205" t="s">
        <v>601</v>
      </c>
    </row>
    <row r="7" spans="2:38">
      <c r="E7" s="247">
        <f>Biodata!B6</f>
        <v>1</v>
      </c>
      <c r="F7" s="248">
        <f>IF(Biodata!C6="","",VLOOKUP(E7,Biodata_Siswa,2,FALSE))</f>
        <v>7057</v>
      </c>
      <c r="G7" s="1015" t="str">
        <f>IF(Biodata!E6="","",PROPER(VLOOKUP(E7,Biodata_Siswa,4,FALSE)))</f>
        <v>Ahmad Zaki Aufa</v>
      </c>
      <c r="H7" s="1016"/>
      <c r="I7" s="249" t="str">
        <f>IF(Leger2!I7="","",IF(Leger2!I7&gt;=(Leger2!$C$4+2/3*(100-Leger2!$C$4)),"A",IF(Leger2!I7&gt;=(Leger2!$C$4+1/3*(100-Leger2!$C$4)),"B",IF(Leger2!I7&gt;=Leger2!$C$4,"C","D"))))</f>
        <v/>
      </c>
      <c r="J7" s="250" t="str">
        <f>IF(Leger2!J7="","",IF(Leger2!J7&gt;=(Leger2!$C$4+2/3*(100-Leger2!$C$4)),"A",IF(Leger2!J7&gt;=(Leger2!$C$4+1/3*(100-Leger2!$C$4)),"B",IF(Leger2!J7&gt;=Leger2!$C$4,"C","D"))))</f>
        <v/>
      </c>
      <c r="K7" s="251" t="str">
        <f>IF(Leger2!L7="","",IF(Leger2!L7&gt;=(Leger2!$C$4+2/3*(100-Leger2!$C$4)),"A",IF(Leger2!L7&gt;=(Leger2!$C$4+1/3*(100-Leger2!$C$4)),"B",IF(Leger2!L7&gt;=Leger2!$C$4,"C","D"))))</f>
        <v/>
      </c>
      <c r="L7" s="250" t="str">
        <f>IF(Leger2!M7="","",IF(Leger2!M7&gt;=(Leger2!$C$4+2/3*(100-Leger2!$C$4)),"A",IF(Leger2!M7&gt;=(Leger2!$C$4+1/3*(100-Leger2!$C$4)),"B",IF(Leger2!M7&gt;=Leger2!$C$4,"C","D"))))</f>
        <v/>
      </c>
      <c r="M7" s="251" t="str">
        <f>IF(Leger2!O7="","",IF(Leger2!O7&gt;=(Leger2!$C$4+2/3*(100-Leger2!$C$4)),"A",IF(Leger2!O7&gt;=(Leger2!$C$4+1/3*(100-Leger2!$C$4)),"B",IF(Leger2!O7&gt;=Leger2!$C$4,"C","D"))))</f>
        <v/>
      </c>
      <c r="N7" s="250" t="str">
        <f>IF(Leger2!P7="","",IF(Leger2!P7&gt;=(Leger2!$C$4+2/3*(100-Leger2!$C$4)),"A",IF(Leger2!P7&gt;=(Leger2!$C$4+1/3*(100-Leger2!$C$4)),"B",IF(Leger2!P7&gt;=Leger2!$C$4,"C","D"))))</f>
        <v/>
      </c>
      <c r="O7" s="251" t="str">
        <f>IF(Leger2!R7="","",IF(Leger2!R7&gt;=(Leger2!$C$4+2/3*(100-Leger2!$C$4)),"A",IF(Leger2!R7&gt;=(Leger2!$C$4+1/3*(100-Leger2!$C$4)),"B",IF(Leger2!R7&gt;=Leger2!$C$4,"C","D"))))</f>
        <v/>
      </c>
      <c r="P7" s="250" t="str">
        <f>IF(Leger2!S7="","",IF(Leger2!S7&gt;=(Leger2!$C$4+2/3*(100-Leger2!$C$4)),"A",IF(Leger2!S7&gt;=(Leger2!$C$4+1/3*(100-Leger2!$C$4)),"B",IF(Leger2!S7&gt;=Leger2!$C$4,"C","D"))))</f>
        <v/>
      </c>
      <c r="Q7" s="251" t="str">
        <f>IF(Leger2!U7="","",IF(Leger2!U7&gt;=(Leger2!$C$4+2/3*(100-Leger2!$C$4)),"A",IF(Leger2!U7&gt;=(Leger2!$C$4+1/3*(100-Leger2!$C$4)),"B",IF(Leger2!U7&gt;=Leger2!$C$4,"C","D"))))</f>
        <v/>
      </c>
      <c r="R7" s="250" t="str">
        <f>IF(Leger2!V7="","",IF(Leger2!V7&gt;=(Leger2!$C$4+2/3*(100-Leger2!$C$4)),"A",IF(Leger2!V7&gt;=(Leger2!$C$4+1/3*(100-Leger2!$C$4)),"B",IF(Leger2!V7&gt;=Leger2!$C$4,"C","D"))))</f>
        <v/>
      </c>
      <c r="S7" s="251" t="str">
        <f>IF(Leger2!X7="","",IF(Leger2!X7&gt;=(Leger2!$C$4+2/3*(100-Leger2!$C$4)),"A",IF(Leger2!X7&gt;=(Leger2!$C$4+1/3*(100-Leger2!$C$4)),"B",IF(Leger2!X7&gt;=Leger2!$C$4,"C","D"))))</f>
        <v/>
      </c>
      <c r="T7" s="250" t="str">
        <f>IF(Leger2!Y7="","",IF(Leger2!Y7&gt;=(Leger2!$C$4+2/3*(100-Leger2!$C$4)),"A",IF(Leger2!Y7&gt;=(Leger2!$C$4+1/3*(100-Leger2!$C$4)),"B",IF(Leger2!Y7&gt;=Leger2!$C$4,"C","D"))))</f>
        <v/>
      </c>
      <c r="U7" s="251" t="str">
        <f>IF(Leger2!AA7="","",IF(Leger2!AA7&gt;=(Leger2!$C$4+2/3*(100-Leger2!$C$4)),"A",IF(Leger2!AA7&gt;=(Leger2!$C$4+1/3*(100-Leger2!$C$4)),"B",IF(Leger2!AA7&gt;=Leger2!$C$4,"C","D"))))</f>
        <v/>
      </c>
      <c r="V7" s="250" t="str">
        <f>IF(Leger2!AB7="","",IF(Leger2!AB7&gt;=(Leger2!$C$4+2/3*(100-Leger2!$C$4)),"A",IF(Leger2!AB7&gt;=(Leger2!$C$4+1/3*(100-Leger2!$C$4)),"B",IF(Leger2!AB7&gt;=Leger2!$C$4,"C","D"))))</f>
        <v/>
      </c>
      <c r="W7" s="251" t="str">
        <f>IF(Leger2!AD7="","",IF(Leger2!AD7&gt;=(Leger2!$C$4+2/3*(100-Leger2!$C$4)),"A",IF(Leger2!AD7&gt;=(Leger2!$C$4+1/3*(100-Leger2!$C$4)),"B",IF(Leger2!AD7&gt;=Leger2!$C$4,"C","D"))))</f>
        <v/>
      </c>
      <c r="X7" s="250" t="str">
        <f>IF(Leger2!AE7="","",IF(Leger2!AE7&gt;=(Leger2!$C$4+2/3*(100-Leger2!$C$4)),"A",IF(Leger2!AE7&gt;=(Leger2!$C$4+1/3*(100-Leger2!$C$4)),"B",IF(Leger2!AE7&gt;=Leger2!$C$4,"C","D"))))</f>
        <v/>
      </c>
      <c r="Y7" s="251" t="str">
        <f>IF(Leger2!AG7="","",IF(Leger2!AG7&gt;=(Leger2!$C$4+2/3*(100-Leger2!$C$4)),"A",IF(Leger2!AG7&gt;=(Leger2!$C$4+1/3*(100-Leger2!$C$4)),"B",IF(Leger2!AG7&gt;=Leger2!$C$4,"C","D"))))</f>
        <v/>
      </c>
      <c r="Z7" s="250" t="str">
        <f>IF(Leger2!AH7="","",IF(Leger2!AH7&gt;=(Leger2!$C$4+2/3*(100-Leger2!$C$4)),"A",IF(Leger2!AH7&gt;=(Leger2!$C$4+1/3*(100-Leger2!$C$4)),"B",IF(Leger2!AH7&gt;=Leger2!$C$4,"C","D"))))</f>
        <v/>
      </c>
      <c r="AA7" s="251" t="str">
        <f>IF(Leger2!AJ7="","",IF(Leger2!AJ7&gt;=(Leger2!$C$4+2/3*(100-Leger2!$C$4)),"A",IF(Leger2!AJ7&gt;=(Leger2!$C$4+1/3*(100-Leger2!$C$4)),"B",IF(Leger2!AJ7&gt;=Leger2!$C$4,"C","D"))))</f>
        <v/>
      </c>
      <c r="AB7" s="250" t="str">
        <f>IF(Leger2!AK7="","",IF(Leger2!AK7&gt;=(Leger2!$C$4+2/3*(100-Leger2!$C$4)),"A",IF(Leger2!AK7&gt;=(Leger2!$C$4+1/3*(100-Leger2!$C$4)),"B",IF(Leger2!AK7&gt;=Leger2!$C$4,"C","D"))))</f>
        <v/>
      </c>
      <c r="AC7" s="251" t="str">
        <f>IF(Leger2!AM7="","",IF(Leger2!AM7&gt;=(Leger2!$C$4+2/3*(100-Leger2!$C$4)),"A",IF(Leger2!AM7&gt;=(Leger2!$C$4+1/3*(100-Leger2!$C$4)),"B",IF(Leger2!AM7&gt;=Leger2!$C$4,"C","D"))))</f>
        <v/>
      </c>
      <c r="AD7" s="250" t="str">
        <f>IF(Leger2!AN7="","",IF(Leger2!AN7&gt;=(Leger2!$C$4+2/3*(100-Leger2!$C$4)),"A",IF(Leger2!AN7&gt;=(Leger2!$C$4+1/3*(100-Leger2!$C$4)),"B",IF(Leger2!AN7&gt;=Leger2!$C$4,"C","D"))))</f>
        <v/>
      </c>
      <c r="AE7" s="251" t="str">
        <f>IF(Leger2!AP7="","",IF(Leger2!AP7&gt;=(Leger2!$C$4+2/3*(100-Leger2!$C$4)),"A",IF(Leger2!AP7&gt;=(Leger2!$C$4+1/3*(100-Leger2!$C$4)),"B",IF(Leger2!AP7&gt;=Leger2!$C$4,"C","D"))))</f>
        <v/>
      </c>
      <c r="AF7" s="250" t="str">
        <f>IF(Leger2!AQ7="","",IF(Leger2!AQ7&gt;=(Leger2!$C$4+2/3*(100-Leger2!$C$4)),"A",IF(Leger2!AQ7&gt;=(Leger2!$C$4+1/3*(100-Leger2!$C$4)),"B",IF(Leger2!AQ7&gt;=Leger2!$C$4,"C","D"))))</f>
        <v/>
      </c>
      <c r="AG7" s="251" t="str">
        <f>IF(Leger2!AS7="","",IF(Leger2!AS7&gt;=(Leger2!$C$4+2/3*(100-Leger2!$C$4)),"A",IF(Leger2!AS7&gt;=(Leger2!$C$4+1/3*(100-Leger2!$C$4)),"B",IF(Leger2!AS7&gt;=Leger2!$C$4,"C","D"))))</f>
        <v/>
      </c>
      <c r="AH7" s="250" t="str">
        <f>IF(Leger2!AT7="","",IF(Leger2!AT7&gt;=(Leger2!$C$4+2/3*(100-Leger2!$C$4)),"A",IF(Leger2!AT7&gt;=(Leger2!$C$4+1/3*(100-Leger2!$C$4)),"B",IF(Leger2!AT7&gt;=Leger2!$C$4,"C","D"))))</f>
        <v/>
      </c>
      <c r="AI7" s="251" t="str">
        <f>IF(Leger2!AV7="","",IF(Leger2!AV7&gt;=(Leger2!$C$4+2/3*(100-Leger2!$C$4)),"A",IF(Leger2!AV7&gt;=(Leger2!$C$4+1/3*(100-Leger2!$C$4)),"B",IF(Leger2!AV7&gt;=Leger2!$C$4,"C","D"))))</f>
        <v/>
      </c>
      <c r="AJ7" s="250" t="str">
        <f>IF(Leger2!AW7="","",IF(Leger2!AW7&gt;=(Leger2!$C$4+2/3*(100-Leger2!$C$4)),"A",IF(Leger2!AW7&gt;=(Leger2!$C$4+1/3*(100-Leger2!$C$4)),"B",IF(Leger2!AW7&gt;=Leger2!$C$4,"C","D"))))</f>
        <v/>
      </c>
      <c r="AK7" s="251" t="str">
        <f>IF(Leger2!AY7="","",IF(Leger2!AY7&gt;=(Leger2!$C$4+2/3*(100-Leger2!$C$4)),"A",IF(Leger2!AY7&gt;=(Leger2!$C$4+1/3*(100-Leger2!$C$4)),"B",IF(Leger2!AY7&gt;=Leger2!$C$4,"C","D"))))</f>
        <v/>
      </c>
      <c r="AL7" s="250" t="str">
        <f>IF(Leger2!AZ7="","",IF(Leger2!AZ7&gt;=(Leger2!$C$4+2/3*(100-Leger2!$C$4)),"A",IF(Leger2!AZ7&gt;=(Leger2!$C$4+1/3*(100-Leger2!$C$4)),"B",IF(Leger2!AZ7&gt;=Leger2!$C$4,"C","D"))))</f>
        <v/>
      </c>
    </row>
    <row r="8" spans="2:38">
      <c r="E8" s="211">
        <f>Biodata!B7</f>
        <v>2</v>
      </c>
      <c r="F8" s="212">
        <f>IF(Biodata!C7="","",VLOOKUP(E8,Biodata_Siswa,2,FALSE))</f>
        <v>7058</v>
      </c>
      <c r="G8" s="1015" t="str">
        <f>IF(Biodata!E7="","",PROPER(VLOOKUP(E8,Biodata_Siswa,4,FALSE)))</f>
        <v>Anandhita Nafra Wilova</v>
      </c>
      <c r="H8" s="1016"/>
      <c r="I8" s="249" t="str">
        <f>IF(Leger2!I8="","",IF(Leger2!I8&gt;=(Leger2!$C$4+2/3*(100-Leger2!$C$4)),"A",IF(Leger2!I8&gt;=(Leger2!$C$4+1/3*(100-Leger2!$C$4)),"B",IF(Leger2!I8&gt;=Leger2!$C$4,"C","D"))))</f>
        <v/>
      </c>
      <c r="J8" s="252" t="str">
        <f>IF(Leger2!J8="","",IF(Leger2!J8&gt;=(Leger2!$C$4+2/3*(100-Leger2!$C$4)),"A",IF(Leger2!J8&gt;=(Leger2!$C$4+1/3*(100-Leger2!$C$4)),"B",IF(Leger2!J8&gt;=Leger2!$C$4,"C","D"))))</f>
        <v/>
      </c>
      <c r="K8" s="249" t="str">
        <f>IF(Leger2!L8="","",IF(Leger2!L8&gt;=(Leger2!$C$4+2/3*(100-Leger2!$C$4)),"A",IF(Leger2!L8&gt;=(Leger2!$C$4+1/3*(100-Leger2!$C$4)),"B",IF(Leger2!L8&gt;=Leger2!$C$4,"C","D"))))</f>
        <v/>
      </c>
      <c r="L8" s="252" t="str">
        <f>IF(Leger2!M8="","",IF(Leger2!M8&gt;=(Leger2!$C$4+2/3*(100-Leger2!$C$4)),"A",IF(Leger2!M8&gt;=(Leger2!$C$4+1/3*(100-Leger2!$C$4)),"B",IF(Leger2!M8&gt;=Leger2!$C$4,"C","D"))))</f>
        <v/>
      </c>
      <c r="M8" s="249" t="str">
        <f>IF(Leger2!O8="","",IF(Leger2!O8&gt;=(Leger2!$C$4+2/3*(100-Leger2!$C$4)),"A",IF(Leger2!O8&gt;=(Leger2!$C$4+1/3*(100-Leger2!$C$4)),"B",IF(Leger2!O8&gt;=Leger2!$C$4,"C","D"))))</f>
        <v/>
      </c>
      <c r="N8" s="252" t="str">
        <f>IF(Leger2!P8="","",IF(Leger2!P8&gt;=(Leger2!$C$4+2/3*(100-Leger2!$C$4)),"A",IF(Leger2!P8&gt;=(Leger2!$C$4+1/3*(100-Leger2!$C$4)),"B",IF(Leger2!P8&gt;=Leger2!$C$4,"C","D"))))</f>
        <v/>
      </c>
      <c r="O8" s="249" t="str">
        <f>IF(Leger2!R8="","",IF(Leger2!R8&gt;=(Leger2!$C$4+2/3*(100-Leger2!$C$4)),"A",IF(Leger2!R8&gt;=(Leger2!$C$4+1/3*(100-Leger2!$C$4)),"B",IF(Leger2!R8&gt;=Leger2!$C$4,"C","D"))))</f>
        <v/>
      </c>
      <c r="P8" s="252" t="str">
        <f>IF(Leger2!S8="","",IF(Leger2!S8&gt;=(Leger2!$C$4+2/3*(100-Leger2!$C$4)),"A",IF(Leger2!S8&gt;=(Leger2!$C$4+1/3*(100-Leger2!$C$4)),"B",IF(Leger2!S8&gt;=Leger2!$C$4,"C","D"))))</f>
        <v/>
      </c>
      <c r="Q8" s="249" t="str">
        <f>IF(Leger2!U8="","",IF(Leger2!U8&gt;=(Leger2!$C$4+2/3*(100-Leger2!$C$4)),"A",IF(Leger2!U8&gt;=(Leger2!$C$4+1/3*(100-Leger2!$C$4)),"B",IF(Leger2!U8&gt;=Leger2!$C$4,"C","D"))))</f>
        <v/>
      </c>
      <c r="R8" s="252" t="str">
        <f>IF(Leger2!V8="","",IF(Leger2!V8&gt;=(Leger2!$C$4+2/3*(100-Leger2!$C$4)),"A",IF(Leger2!V8&gt;=(Leger2!$C$4+1/3*(100-Leger2!$C$4)),"B",IF(Leger2!V8&gt;=Leger2!$C$4,"C","D"))))</f>
        <v/>
      </c>
      <c r="S8" s="249" t="str">
        <f>IF(Leger2!X8="","",IF(Leger2!X8&gt;=(Leger2!$C$4+2/3*(100-Leger2!$C$4)),"A",IF(Leger2!X8&gt;=(Leger2!$C$4+1/3*(100-Leger2!$C$4)),"B",IF(Leger2!X8&gt;=Leger2!$C$4,"C","D"))))</f>
        <v/>
      </c>
      <c r="T8" s="252" t="str">
        <f>IF(Leger2!Y8="","",IF(Leger2!Y8&gt;=(Leger2!$C$4+2/3*(100-Leger2!$C$4)),"A",IF(Leger2!Y8&gt;=(Leger2!$C$4+1/3*(100-Leger2!$C$4)),"B",IF(Leger2!Y8&gt;=Leger2!$C$4,"C","D"))))</f>
        <v/>
      </c>
      <c r="U8" s="249" t="str">
        <f>IF(Leger2!AA8="","",IF(Leger2!AA8&gt;=(Leger2!$C$4+2/3*(100-Leger2!$C$4)),"A",IF(Leger2!AA8&gt;=(Leger2!$C$4+1/3*(100-Leger2!$C$4)),"B",IF(Leger2!AA8&gt;=Leger2!$C$4,"C","D"))))</f>
        <v/>
      </c>
      <c r="V8" s="252" t="str">
        <f>IF(Leger2!AB8="","",IF(Leger2!AB8&gt;=(Leger2!$C$4+2/3*(100-Leger2!$C$4)),"A",IF(Leger2!AB8&gt;=(Leger2!$C$4+1/3*(100-Leger2!$C$4)),"B",IF(Leger2!AB8&gt;=Leger2!$C$4,"C","D"))))</f>
        <v/>
      </c>
      <c r="W8" s="249" t="str">
        <f>IF(Leger2!AD8="","",IF(Leger2!AD8&gt;=(Leger2!$C$4+2/3*(100-Leger2!$C$4)),"A",IF(Leger2!AD8&gt;=(Leger2!$C$4+1/3*(100-Leger2!$C$4)),"B",IF(Leger2!AD8&gt;=Leger2!$C$4,"C","D"))))</f>
        <v/>
      </c>
      <c r="X8" s="252" t="str">
        <f>IF(Leger2!AE8="","",IF(Leger2!AE8&gt;=(Leger2!$C$4+2/3*(100-Leger2!$C$4)),"A",IF(Leger2!AE8&gt;=(Leger2!$C$4+1/3*(100-Leger2!$C$4)),"B",IF(Leger2!AE8&gt;=Leger2!$C$4,"C","D"))))</f>
        <v/>
      </c>
      <c r="Y8" s="249" t="str">
        <f>IF(Leger2!AG8="","",IF(Leger2!AG8&gt;=(Leger2!$C$4+2/3*(100-Leger2!$C$4)),"A",IF(Leger2!AG8&gt;=(Leger2!$C$4+1/3*(100-Leger2!$C$4)),"B",IF(Leger2!AG8&gt;=Leger2!$C$4,"C","D"))))</f>
        <v/>
      </c>
      <c r="Z8" s="252" t="str">
        <f>IF(Leger2!AH8="","",IF(Leger2!AH8&gt;=(Leger2!$C$4+2/3*(100-Leger2!$C$4)),"A",IF(Leger2!AH8&gt;=(Leger2!$C$4+1/3*(100-Leger2!$C$4)),"B",IF(Leger2!AH8&gt;=Leger2!$C$4,"C","D"))))</f>
        <v/>
      </c>
      <c r="AA8" s="249" t="str">
        <f>IF(Leger2!AJ8="","",IF(Leger2!AJ8&gt;=(Leger2!$C$4+2/3*(100-Leger2!$C$4)),"A",IF(Leger2!AJ8&gt;=(Leger2!$C$4+1/3*(100-Leger2!$C$4)),"B",IF(Leger2!AJ8&gt;=Leger2!$C$4,"C","D"))))</f>
        <v/>
      </c>
      <c r="AB8" s="252" t="str">
        <f>IF(Leger2!AK8="","",IF(Leger2!AK8&gt;=(Leger2!$C$4+2/3*(100-Leger2!$C$4)),"A",IF(Leger2!AK8&gt;=(Leger2!$C$4+1/3*(100-Leger2!$C$4)),"B",IF(Leger2!AK8&gt;=Leger2!$C$4,"C","D"))))</f>
        <v/>
      </c>
      <c r="AC8" s="249" t="str">
        <f>IF(Leger2!AM8="","",IF(Leger2!AM8&gt;=(Leger2!$C$4+2/3*(100-Leger2!$C$4)),"A",IF(Leger2!AM8&gt;=(Leger2!$C$4+1/3*(100-Leger2!$C$4)),"B",IF(Leger2!AM8&gt;=Leger2!$C$4,"C","D"))))</f>
        <v/>
      </c>
      <c r="AD8" s="252" t="str">
        <f>IF(Leger2!AN8="","",IF(Leger2!AN8&gt;=(Leger2!$C$4+2/3*(100-Leger2!$C$4)),"A",IF(Leger2!AN8&gt;=(Leger2!$C$4+1/3*(100-Leger2!$C$4)),"B",IF(Leger2!AN8&gt;=Leger2!$C$4,"C","D"))))</f>
        <v/>
      </c>
      <c r="AE8" s="249" t="str">
        <f>IF(Leger2!AP8="","",IF(Leger2!AP8&gt;=(Leger2!$C$4+2/3*(100-Leger2!$C$4)),"A",IF(Leger2!AP8&gt;=(Leger2!$C$4+1/3*(100-Leger2!$C$4)),"B",IF(Leger2!AP8&gt;=Leger2!$C$4,"C","D"))))</f>
        <v/>
      </c>
      <c r="AF8" s="252" t="str">
        <f>IF(Leger2!AQ8="","",IF(Leger2!AQ8&gt;=(Leger2!$C$4+2/3*(100-Leger2!$C$4)),"A",IF(Leger2!AQ8&gt;=(Leger2!$C$4+1/3*(100-Leger2!$C$4)),"B",IF(Leger2!AQ8&gt;=Leger2!$C$4,"C","D"))))</f>
        <v/>
      </c>
      <c r="AG8" s="249" t="str">
        <f>IF(Leger2!AS8="","",IF(Leger2!AS8&gt;=(Leger2!$C$4+2/3*(100-Leger2!$C$4)),"A",IF(Leger2!AS8&gt;=(Leger2!$C$4+1/3*(100-Leger2!$C$4)),"B",IF(Leger2!AS8&gt;=Leger2!$C$4,"C","D"))))</f>
        <v/>
      </c>
      <c r="AH8" s="252" t="str">
        <f>IF(Leger2!AT8="","",IF(Leger2!AT8&gt;=(Leger2!$C$4+2/3*(100-Leger2!$C$4)),"A",IF(Leger2!AT8&gt;=(Leger2!$C$4+1/3*(100-Leger2!$C$4)),"B",IF(Leger2!AT8&gt;=Leger2!$C$4,"C","D"))))</f>
        <v/>
      </c>
      <c r="AI8" s="249" t="str">
        <f>IF(Leger2!AV8="","",IF(Leger2!AV8&gt;=(Leger2!$C$4+2/3*(100-Leger2!$C$4)),"A",IF(Leger2!AV8&gt;=(Leger2!$C$4+1/3*(100-Leger2!$C$4)),"B",IF(Leger2!AV8&gt;=Leger2!$C$4,"C","D"))))</f>
        <v/>
      </c>
      <c r="AJ8" s="252" t="str">
        <f>IF(Leger2!AW8="","",IF(Leger2!AW8&gt;=(Leger2!$C$4+2/3*(100-Leger2!$C$4)),"A",IF(Leger2!AW8&gt;=(Leger2!$C$4+1/3*(100-Leger2!$C$4)),"B",IF(Leger2!AW8&gt;=Leger2!$C$4,"C","D"))))</f>
        <v/>
      </c>
      <c r="AK8" s="249" t="str">
        <f>IF(Leger2!AY8="","",IF(Leger2!AY8&gt;=(Leger2!$C$4+2/3*(100-Leger2!$C$4)),"A",IF(Leger2!AY8&gt;=(Leger2!$C$4+1/3*(100-Leger2!$C$4)),"B",IF(Leger2!AY8&gt;=Leger2!$C$4,"C","D"))))</f>
        <v/>
      </c>
      <c r="AL8" s="252" t="str">
        <f>IF(Leger2!AZ8="","",IF(Leger2!AZ8&gt;=(Leger2!$C$4+2/3*(100-Leger2!$C$4)),"A",IF(Leger2!AZ8&gt;=(Leger2!$C$4+1/3*(100-Leger2!$C$4)),"B",IF(Leger2!AZ8&gt;=Leger2!$C$4,"C","D"))))</f>
        <v/>
      </c>
    </row>
    <row r="9" spans="2:38">
      <c r="B9" s="1018" t="s">
        <v>85</v>
      </c>
      <c r="C9" s="1018"/>
      <c r="E9" s="211">
        <f>Biodata!B8</f>
        <v>3</v>
      </c>
      <c r="F9" s="212">
        <f>IF(Biodata!C8="","",VLOOKUP(E9,Biodata_Siswa,2,FALSE))</f>
        <v>7059</v>
      </c>
      <c r="G9" s="1015" t="str">
        <f>IF(Biodata!E8="","",PROPER(VLOOKUP(E9,Biodata_Siswa,4,FALSE)))</f>
        <v>Andini Dwi Aryanti</v>
      </c>
      <c r="H9" s="1016"/>
      <c r="I9" s="249" t="str">
        <f>IF(Leger2!I9="","",IF(Leger2!I9&gt;=(Leger2!$C$4+2/3*(100-Leger2!$C$4)),"A",IF(Leger2!I9&gt;=(Leger2!$C$4+1/3*(100-Leger2!$C$4)),"B",IF(Leger2!I9&gt;=Leger2!$C$4,"C","D"))))</f>
        <v/>
      </c>
      <c r="J9" s="252" t="str">
        <f>IF(Leger2!J9="","",IF(Leger2!J9&gt;=(Leger2!$C$4+2/3*(100-Leger2!$C$4)),"A",IF(Leger2!J9&gt;=(Leger2!$C$4+1/3*(100-Leger2!$C$4)),"B",IF(Leger2!J9&gt;=Leger2!$C$4,"C","D"))))</f>
        <v/>
      </c>
      <c r="K9" s="249" t="str">
        <f>IF(Leger2!L9="","",IF(Leger2!L9&gt;=(Leger2!$C$4+2/3*(100-Leger2!$C$4)),"A",IF(Leger2!L9&gt;=(Leger2!$C$4+1/3*(100-Leger2!$C$4)),"B",IF(Leger2!L9&gt;=Leger2!$C$4,"C","D"))))</f>
        <v/>
      </c>
      <c r="L9" s="252" t="str">
        <f>IF(Leger2!M9="","",IF(Leger2!M9&gt;=(Leger2!$C$4+2/3*(100-Leger2!$C$4)),"A",IF(Leger2!M9&gt;=(Leger2!$C$4+1/3*(100-Leger2!$C$4)),"B",IF(Leger2!M9&gt;=Leger2!$C$4,"C","D"))))</f>
        <v/>
      </c>
      <c r="M9" s="249" t="str">
        <f>IF(Leger2!O9="","",IF(Leger2!O9&gt;=(Leger2!$C$4+2/3*(100-Leger2!$C$4)),"A",IF(Leger2!O9&gt;=(Leger2!$C$4+1/3*(100-Leger2!$C$4)),"B",IF(Leger2!O9&gt;=Leger2!$C$4,"C","D"))))</f>
        <v/>
      </c>
      <c r="N9" s="252" t="str">
        <f>IF(Leger2!P9="","",IF(Leger2!P9&gt;=(Leger2!$C$4+2/3*(100-Leger2!$C$4)),"A",IF(Leger2!P9&gt;=(Leger2!$C$4+1/3*(100-Leger2!$C$4)),"B",IF(Leger2!P9&gt;=Leger2!$C$4,"C","D"))))</f>
        <v/>
      </c>
      <c r="O9" s="249" t="str">
        <f>IF(Leger2!R9="","",IF(Leger2!R9&gt;=(Leger2!$C$4+2/3*(100-Leger2!$C$4)),"A",IF(Leger2!R9&gt;=(Leger2!$C$4+1/3*(100-Leger2!$C$4)),"B",IF(Leger2!R9&gt;=Leger2!$C$4,"C","D"))))</f>
        <v/>
      </c>
      <c r="P9" s="252" t="str">
        <f>IF(Leger2!S9="","",IF(Leger2!S9&gt;=(Leger2!$C$4+2/3*(100-Leger2!$C$4)),"A",IF(Leger2!S9&gt;=(Leger2!$C$4+1/3*(100-Leger2!$C$4)),"B",IF(Leger2!S9&gt;=Leger2!$C$4,"C","D"))))</f>
        <v/>
      </c>
      <c r="Q9" s="249" t="str">
        <f>IF(Leger2!U9="","",IF(Leger2!U9&gt;=(Leger2!$C$4+2/3*(100-Leger2!$C$4)),"A",IF(Leger2!U9&gt;=(Leger2!$C$4+1/3*(100-Leger2!$C$4)),"B",IF(Leger2!U9&gt;=Leger2!$C$4,"C","D"))))</f>
        <v/>
      </c>
      <c r="R9" s="252" t="str">
        <f>IF(Leger2!V9="","",IF(Leger2!V9&gt;=(Leger2!$C$4+2/3*(100-Leger2!$C$4)),"A",IF(Leger2!V9&gt;=(Leger2!$C$4+1/3*(100-Leger2!$C$4)),"B",IF(Leger2!V9&gt;=Leger2!$C$4,"C","D"))))</f>
        <v/>
      </c>
      <c r="S9" s="249" t="str">
        <f>IF(Leger2!X9="","",IF(Leger2!X9&gt;=(Leger2!$C$4+2/3*(100-Leger2!$C$4)),"A",IF(Leger2!X9&gt;=(Leger2!$C$4+1/3*(100-Leger2!$C$4)),"B",IF(Leger2!X9&gt;=Leger2!$C$4,"C","D"))))</f>
        <v/>
      </c>
      <c r="T9" s="252" t="str">
        <f>IF(Leger2!Y9="","",IF(Leger2!Y9&gt;=(Leger2!$C$4+2/3*(100-Leger2!$C$4)),"A",IF(Leger2!Y9&gt;=(Leger2!$C$4+1/3*(100-Leger2!$C$4)),"B",IF(Leger2!Y9&gt;=Leger2!$C$4,"C","D"))))</f>
        <v/>
      </c>
      <c r="U9" s="249" t="str">
        <f>IF(Leger2!AA9="","",IF(Leger2!AA9&gt;=(Leger2!$C$4+2/3*(100-Leger2!$C$4)),"A",IF(Leger2!AA9&gt;=(Leger2!$C$4+1/3*(100-Leger2!$C$4)),"B",IF(Leger2!AA9&gt;=Leger2!$C$4,"C","D"))))</f>
        <v/>
      </c>
      <c r="V9" s="252" t="str">
        <f>IF(Leger2!AB9="","",IF(Leger2!AB9&gt;=(Leger2!$C$4+2/3*(100-Leger2!$C$4)),"A",IF(Leger2!AB9&gt;=(Leger2!$C$4+1/3*(100-Leger2!$C$4)),"B",IF(Leger2!AB9&gt;=Leger2!$C$4,"C","D"))))</f>
        <v/>
      </c>
      <c r="W9" s="249" t="str">
        <f>IF(Leger2!AD9="","",IF(Leger2!AD9&gt;=(Leger2!$C$4+2/3*(100-Leger2!$C$4)),"A",IF(Leger2!AD9&gt;=(Leger2!$C$4+1/3*(100-Leger2!$C$4)),"B",IF(Leger2!AD9&gt;=Leger2!$C$4,"C","D"))))</f>
        <v/>
      </c>
      <c r="X9" s="252" t="str">
        <f>IF(Leger2!AE9="","",IF(Leger2!AE9&gt;=(Leger2!$C$4+2/3*(100-Leger2!$C$4)),"A",IF(Leger2!AE9&gt;=(Leger2!$C$4+1/3*(100-Leger2!$C$4)),"B",IF(Leger2!AE9&gt;=Leger2!$C$4,"C","D"))))</f>
        <v/>
      </c>
      <c r="Y9" s="249" t="str">
        <f>IF(Leger2!AG9="","",IF(Leger2!AG9&gt;=(Leger2!$C$4+2/3*(100-Leger2!$C$4)),"A",IF(Leger2!AG9&gt;=(Leger2!$C$4+1/3*(100-Leger2!$C$4)),"B",IF(Leger2!AG9&gt;=Leger2!$C$4,"C","D"))))</f>
        <v/>
      </c>
      <c r="Z9" s="252" t="str">
        <f>IF(Leger2!AH9="","",IF(Leger2!AH9&gt;=(Leger2!$C$4+2/3*(100-Leger2!$C$4)),"A",IF(Leger2!AH9&gt;=(Leger2!$C$4+1/3*(100-Leger2!$C$4)),"B",IF(Leger2!AH9&gt;=Leger2!$C$4,"C","D"))))</f>
        <v/>
      </c>
      <c r="AA9" s="249" t="str">
        <f>IF(Leger2!AJ9="","",IF(Leger2!AJ9&gt;=(Leger2!$C$4+2/3*(100-Leger2!$C$4)),"A",IF(Leger2!AJ9&gt;=(Leger2!$C$4+1/3*(100-Leger2!$C$4)),"B",IF(Leger2!AJ9&gt;=Leger2!$C$4,"C","D"))))</f>
        <v/>
      </c>
      <c r="AB9" s="252" t="str">
        <f>IF(Leger2!AK9="","",IF(Leger2!AK9&gt;=(Leger2!$C$4+2/3*(100-Leger2!$C$4)),"A",IF(Leger2!AK9&gt;=(Leger2!$C$4+1/3*(100-Leger2!$C$4)),"B",IF(Leger2!AK9&gt;=Leger2!$C$4,"C","D"))))</f>
        <v/>
      </c>
      <c r="AC9" s="249" t="str">
        <f>IF(Leger2!AM9="","",IF(Leger2!AM9&gt;=(Leger2!$C$4+2/3*(100-Leger2!$C$4)),"A",IF(Leger2!AM9&gt;=(Leger2!$C$4+1/3*(100-Leger2!$C$4)),"B",IF(Leger2!AM9&gt;=Leger2!$C$4,"C","D"))))</f>
        <v/>
      </c>
      <c r="AD9" s="252" t="str">
        <f>IF(Leger2!AN9="","",IF(Leger2!AN9&gt;=(Leger2!$C$4+2/3*(100-Leger2!$C$4)),"A",IF(Leger2!AN9&gt;=(Leger2!$C$4+1/3*(100-Leger2!$C$4)),"B",IF(Leger2!AN9&gt;=Leger2!$C$4,"C","D"))))</f>
        <v/>
      </c>
      <c r="AE9" s="249" t="str">
        <f>IF(Leger2!AP9="","",IF(Leger2!AP9&gt;=(Leger2!$C$4+2/3*(100-Leger2!$C$4)),"A",IF(Leger2!AP9&gt;=(Leger2!$C$4+1/3*(100-Leger2!$C$4)),"B",IF(Leger2!AP9&gt;=Leger2!$C$4,"C","D"))))</f>
        <v/>
      </c>
      <c r="AF9" s="252" t="str">
        <f>IF(Leger2!AQ9="","",IF(Leger2!AQ9&gt;=(Leger2!$C$4+2/3*(100-Leger2!$C$4)),"A",IF(Leger2!AQ9&gt;=(Leger2!$C$4+1/3*(100-Leger2!$C$4)),"B",IF(Leger2!AQ9&gt;=Leger2!$C$4,"C","D"))))</f>
        <v/>
      </c>
      <c r="AG9" s="249" t="str">
        <f>IF(Leger2!AS9="","",IF(Leger2!AS9&gt;=(Leger2!$C$4+2/3*(100-Leger2!$C$4)),"A",IF(Leger2!AS9&gt;=(Leger2!$C$4+1/3*(100-Leger2!$C$4)),"B",IF(Leger2!AS9&gt;=Leger2!$C$4,"C","D"))))</f>
        <v/>
      </c>
      <c r="AH9" s="252" t="str">
        <f>IF(Leger2!AT9="","",IF(Leger2!AT9&gt;=(Leger2!$C$4+2/3*(100-Leger2!$C$4)),"A",IF(Leger2!AT9&gt;=(Leger2!$C$4+1/3*(100-Leger2!$C$4)),"B",IF(Leger2!AT9&gt;=Leger2!$C$4,"C","D"))))</f>
        <v/>
      </c>
      <c r="AI9" s="249" t="str">
        <f>IF(Leger2!AV9="","",IF(Leger2!AV9&gt;=(Leger2!$C$4+2/3*(100-Leger2!$C$4)),"A",IF(Leger2!AV9&gt;=(Leger2!$C$4+1/3*(100-Leger2!$C$4)),"B",IF(Leger2!AV9&gt;=Leger2!$C$4,"C","D"))))</f>
        <v/>
      </c>
      <c r="AJ9" s="252" t="str">
        <f>IF(Leger2!AW9="","",IF(Leger2!AW9&gt;=(Leger2!$C$4+2/3*(100-Leger2!$C$4)),"A",IF(Leger2!AW9&gt;=(Leger2!$C$4+1/3*(100-Leger2!$C$4)),"B",IF(Leger2!AW9&gt;=Leger2!$C$4,"C","D"))))</f>
        <v/>
      </c>
      <c r="AK9" s="249" t="str">
        <f>IF(Leger2!AY9="","",IF(Leger2!AY9&gt;=(Leger2!$C$4+2/3*(100-Leger2!$C$4)),"A",IF(Leger2!AY9&gt;=(Leger2!$C$4+1/3*(100-Leger2!$C$4)),"B",IF(Leger2!AY9&gt;=Leger2!$C$4,"C","D"))))</f>
        <v/>
      </c>
      <c r="AL9" s="252" t="str">
        <f>IF(Leger2!AZ9="","",IF(Leger2!AZ9&gt;=(Leger2!$C$4+2/3*(100-Leger2!$C$4)),"A",IF(Leger2!AZ9&gt;=(Leger2!$C$4+1/3*(100-Leger2!$C$4)),"B",IF(Leger2!AZ9&gt;=Leger2!$C$4,"C","D"))))</f>
        <v/>
      </c>
    </row>
    <row r="10" spans="2:38" ht="15.75">
      <c r="B10" s="66" t="s">
        <v>59</v>
      </c>
      <c r="C10" s="66" t="s">
        <v>113</v>
      </c>
      <c r="E10" s="211">
        <f>Biodata!B9</f>
        <v>4</v>
      </c>
      <c r="F10" s="212">
        <f>IF(Biodata!C9="","",VLOOKUP(E10,Biodata_Siswa,2,FALSE))</f>
        <v>7060</v>
      </c>
      <c r="G10" s="1015" t="str">
        <f>IF(Biodata!E9="","",PROPER(VLOOKUP(E10,Biodata_Siswa,4,FALSE)))</f>
        <v>Anggun Suci Rahmadani</v>
      </c>
      <c r="H10" s="1016"/>
      <c r="I10" s="249" t="str">
        <f>IF(Leger2!I10="","",IF(Leger2!I10&gt;=(Leger2!$C$4+2/3*(100-Leger2!$C$4)),"A",IF(Leger2!I10&gt;=(Leger2!$C$4+1/3*(100-Leger2!$C$4)),"B",IF(Leger2!I10&gt;=Leger2!$C$4,"C","D"))))</f>
        <v/>
      </c>
      <c r="J10" s="252" t="str">
        <f>IF(Leger2!J10="","",IF(Leger2!J10&gt;=(Leger2!$C$4+2/3*(100-Leger2!$C$4)),"A",IF(Leger2!J10&gt;=(Leger2!$C$4+1/3*(100-Leger2!$C$4)),"B",IF(Leger2!J10&gt;=Leger2!$C$4,"C","D"))))</f>
        <v/>
      </c>
      <c r="K10" s="249" t="str">
        <f>IF(Leger2!L10="","",IF(Leger2!L10&gt;=(Leger2!$C$4+2/3*(100-Leger2!$C$4)),"A",IF(Leger2!L10&gt;=(Leger2!$C$4+1/3*(100-Leger2!$C$4)),"B",IF(Leger2!L10&gt;=Leger2!$C$4,"C","D"))))</f>
        <v/>
      </c>
      <c r="L10" s="252" t="str">
        <f>IF(Leger2!M10="","",IF(Leger2!M10&gt;=(Leger2!$C$4+2/3*(100-Leger2!$C$4)),"A",IF(Leger2!M10&gt;=(Leger2!$C$4+1/3*(100-Leger2!$C$4)),"B",IF(Leger2!M10&gt;=Leger2!$C$4,"C","D"))))</f>
        <v/>
      </c>
      <c r="M10" s="249" t="str">
        <f>IF(Leger2!O10="","",IF(Leger2!O10&gt;=(Leger2!$C$4+2/3*(100-Leger2!$C$4)),"A",IF(Leger2!O10&gt;=(Leger2!$C$4+1/3*(100-Leger2!$C$4)),"B",IF(Leger2!O10&gt;=Leger2!$C$4,"C","D"))))</f>
        <v/>
      </c>
      <c r="N10" s="252" t="str">
        <f>IF(Leger2!P10="","",IF(Leger2!P10&gt;=(Leger2!$C$4+2/3*(100-Leger2!$C$4)),"A",IF(Leger2!P10&gt;=(Leger2!$C$4+1/3*(100-Leger2!$C$4)),"B",IF(Leger2!P10&gt;=Leger2!$C$4,"C","D"))))</f>
        <v/>
      </c>
      <c r="O10" s="249" t="str">
        <f>IF(Leger2!R10="","",IF(Leger2!R10&gt;=(Leger2!$C$4+2/3*(100-Leger2!$C$4)),"A",IF(Leger2!R10&gt;=(Leger2!$C$4+1/3*(100-Leger2!$C$4)),"B",IF(Leger2!R10&gt;=Leger2!$C$4,"C","D"))))</f>
        <v/>
      </c>
      <c r="P10" s="252" t="str">
        <f>IF(Leger2!S10="","",IF(Leger2!S10&gt;=(Leger2!$C$4+2/3*(100-Leger2!$C$4)),"A",IF(Leger2!S10&gt;=(Leger2!$C$4+1/3*(100-Leger2!$C$4)),"B",IF(Leger2!S10&gt;=Leger2!$C$4,"C","D"))))</f>
        <v/>
      </c>
      <c r="Q10" s="249" t="str">
        <f>IF(Leger2!U10="","",IF(Leger2!U10&gt;=(Leger2!$C$4+2/3*(100-Leger2!$C$4)),"A",IF(Leger2!U10&gt;=(Leger2!$C$4+1/3*(100-Leger2!$C$4)),"B",IF(Leger2!U10&gt;=Leger2!$C$4,"C","D"))))</f>
        <v/>
      </c>
      <c r="R10" s="252" t="str">
        <f>IF(Leger2!V10="","",IF(Leger2!V10&gt;=(Leger2!$C$4+2/3*(100-Leger2!$C$4)),"A",IF(Leger2!V10&gt;=(Leger2!$C$4+1/3*(100-Leger2!$C$4)),"B",IF(Leger2!V10&gt;=Leger2!$C$4,"C","D"))))</f>
        <v/>
      </c>
      <c r="S10" s="249" t="str">
        <f>IF(Leger2!X10="","",IF(Leger2!X10&gt;=(Leger2!$C$4+2/3*(100-Leger2!$C$4)),"A",IF(Leger2!X10&gt;=(Leger2!$C$4+1/3*(100-Leger2!$C$4)),"B",IF(Leger2!X10&gt;=Leger2!$C$4,"C","D"))))</f>
        <v/>
      </c>
      <c r="T10" s="252" t="str">
        <f>IF(Leger2!Y10="","",IF(Leger2!Y10&gt;=(Leger2!$C$4+2/3*(100-Leger2!$C$4)),"A",IF(Leger2!Y10&gt;=(Leger2!$C$4+1/3*(100-Leger2!$C$4)),"B",IF(Leger2!Y10&gt;=Leger2!$C$4,"C","D"))))</f>
        <v/>
      </c>
      <c r="U10" s="249" t="str">
        <f>IF(Leger2!AA10="","",IF(Leger2!AA10&gt;=(Leger2!$C$4+2/3*(100-Leger2!$C$4)),"A",IF(Leger2!AA10&gt;=(Leger2!$C$4+1/3*(100-Leger2!$C$4)),"B",IF(Leger2!AA10&gt;=Leger2!$C$4,"C","D"))))</f>
        <v/>
      </c>
      <c r="V10" s="252" t="str">
        <f>IF(Leger2!AB10="","",IF(Leger2!AB10&gt;=(Leger2!$C$4+2/3*(100-Leger2!$C$4)),"A",IF(Leger2!AB10&gt;=(Leger2!$C$4+1/3*(100-Leger2!$C$4)),"B",IF(Leger2!AB10&gt;=Leger2!$C$4,"C","D"))))</f>
        <v/>
      </c>
      <c r="W10" s="249" t="str">
        <f>IF(Leger2!AD10="","",IF(Leger2!AD10&gt;=(Leger2!$C$4+2/3*(100-Leger2!$C$4)),"A",IF(Leger2!AD10&gt;=(Leger2!$C$4+1/3*(100-Leger2!$C$4)),"B",IF(Leger2!AD10&gt;=Leger2!$C$4,"C","D"))))</f>
        <v/>
      </c>
      <c r="X10" s="252" t="str">
        <f>IF(Leger2!AE10="","",IF(Leger2!AE10&gt;=(Leger2!$C$4+2/3*(100-Leger2!$C$4)),"A",IF(Leger2!AE10&gt;=(Leger2!$C$4+1/3*(100-Leger2!$C$4)),"B",IF(Leger2!AE10&gt;=Leger2!$C$4,"C","D"))))</f>
        <v/>
      </c>
      <c r="Y10" s="249" t="str">
        <f>IF(Leger2!AG10="","",IF(Leger2!AG10&gt;=(Leger2!$C$4+2/3*(100-Leger2!$C$4)),"A",IF(Leger2!AG10&gt;=(Leger2!$C$4+1/3*(100-Leger2!$C$4)),"B",IF(Leger2!AG10&gt;=Leger2!$C$4,"C","D"))))</f>
        <v/>
      </c>
      <c r="Z10" s="252" t="str">
        <f>IF(Leger2!AH10="","",IF(Leger2!AH10&gt;=(Leger2!$C$4+2/3*(100-Leger2!$C$4)),"A",IF(Leger2!AH10&gt;=(Leger2!$C$4+1/3*(100-Leger2!$C$4)),"B",IF(Leger2!AH10&gt;=Leger2!$C$4,"C","D"))))</f>
        <v/>
      </c>
      <c r="AA10" s="249" t="str">
        <f>IF(Leger2!AJ10="","",IF(Leger2!AJ10&gt;=(Leger2!$C$4+2/3*(100-Leger2!$C$4)),"A",IF(Leger2!AJ10&gt;=(Leger2!$C$4+1/3*(100-Leger2!$C$4)),"B",IF(Leger2!AJ10&gt;=Leger2!$C$4,"C","D"))))</f>
        <v/>
      </c>
      <c r="AB10" s="252" t="str">
        <f>IF(Leger2!AK10="","",IF(Leger2!AK10&gt;=(Leger2!$C$4+2/3*(100-Leger2!$C$4)),"A",IF(Leger2!AK10&gt;=(Leger2!$C$4+1/3*(100-Leger2!$C$4)),"B",IF(Leger2!AK10&gt;=Leger2!$C$4,"C","D"))))</f>
        <v/>
      </c>
      <c r="AC10" s="249" t="str">
        <f>IF(Leger2!AM10="","",IF(Leger2!AM10&gt;=(Leger2!$C$4+2/3*(100-Leger2!$C$4)),"A",IF(Leger2!AM10&gt;=(Leger2!$C$4+1/3*(100-Leger2!$C$4)),"B",IF(Leger2!AM10&gt;=Leger2!$C$4,"C","D"))))</f>
        <v/>
      </c>
      <c r="AD10" s="252" t="str">
        <f>IF(Leger2!AN10="","",IF(Leger2!AN10&gt;=(Leger2!$C$4+2/3*(100-Leger2!$C$4)),"A",IF(Leger2!AN10&gt;=(Leger2!$C$4+1/3*(100-Leger2!$C$4)),"B",IF(Leger2!AN10&gt;=Leger2!$C$4,"C","D"))))</f>
        <v/>
      </c>
      <c r="AE10" s="249" t="str">
        <f>IF(Leger2!AP10="","",IF(Leger2!AP10&gt;=(Leger2!$C$4+2/3*(100-Leger2!$C$4)),"A",IF(Leger2!AP10&gt;=(Leger2!$C$4+1/3*(100-Leger2!$C$4)),"B",IF(Leger2!AP10&gt;=Leger2!$C$4,"C","D"))))</f>
        <v/>
      </c>
      <c r="AF10" s="252" t="str">
        <f>IF(Leger2!AQ10="","",IF(Leger2!AQ10&gt;=(Leger2!$C$4+2/3*(100-Leger2!$C$4)),"A",IF(Leger2!AQ10&gt;=(Leger2!$C$4+1/3*(100-Leger2!$C$4)),"B",IF(Leger2!AQ10&gt;=Leger2!$C$4,"C","D"))))</f>
        <v/>
      </c>
      <c r="AG10" s="249" t="str">
        <f>IF(Leger2!AS10="","",IF(Leger2!AS10&gt;=(Leger2!$C$4+2/3*(100-Leger2!$C$4)),"A",IF(Leger2!AS10&gt;=(Leger2!$C$4+1/3*(100-Leger2!$C$4)),"B",IF(Leger2!AS10&gt;=Leger2!$C$4,"C","D"))))</f>
        <v/>
      </c>
      <c r="AH10" s="252" t="str">
        <f>IF(Leger2!AT10="","",IF(Leger2!AT10&gt;=(Leger2!$C$4+2/3*(100-Leger2!$C$4)),"A",IF(Leger2!AT10&gt;=(Leger2!$C$4+1/3*(100-Leger2!$C$4)),"B",IF(Leger2!AT10&gt;=Leger2!$C$4,"C","D"))))</f>
        <v/>
      </c>
      <c r="AI10" s="249" t="str">
        <f>IF(Leger2!AV10="","",IF(Leger2!AV10&gt;=(Leger2!$C$4+2/3*(100-Leger2!$C$4)),"A",IF(Leger2!AV10&gt;=(Leger2!$C$4+1/3*(100-Leger2!$C$4)),"B",IF(Leger2!AV10&gt;=Leger2!$C$4,"C","D"))))</f>
        <v/>
      </c>
      <c r="AJ10" s="252" t="str">
        <f>IF(Leger2!AW10="","",IF(Leger2!AW10&gt;=(Leger2!$C$4+2/3*(100-Leger2!$C$4)),"A",IF(Leger2!AW10&gt;=(Leger2!$C$4+1/3*(100-Leger2!$C$4)),"B",IF(Leger2!AW10&gt;=Leger2!$C$4,"C","D"))))</f>
        <v/>
      </c>
      <c r="AK10" s="249" t="str">
        <f>IF(Leger2!AY10="","",IF(Leger2!AY10&gt;=(Leger2!$C$4+2/3*(100-Leger2!$C$4)),"A",IF(Leger2!AY10&gt;=(Leger2!$C$4+1/3*(100-Leger2!$C$4)),"B",IF(Leger2!AY10&gt;=Leger2!$C$4,"C","D"))))</f>
        <v/>
      </c>
      <c r="AL10" s="252" t="str">
        <f>IF(Leger2!AZ10="","",IF(Leger2!AZ10&gt;=(Leger2!$C$4+2/3*(100-Leger2!$C$4)),"A",IF(Leger2!AZ10&gt;=(Leger2!$C$4+1/3*(100-Leger2!$C$4)),"B",IF(Leger2!AZ10&gt;=Leger2!$C$4,"C","D"))))</f>
        <v/>
      </c>
    </row>
    <row r="11" spans="2:38" ht="15.75">
      <c r="B11" s="637" t="s">
        <v>126</v>
      </c>
      <c r="C11" s="637" t="s">
        <v>79</v>
      </c>
      <c r="E11" s="211">
        <f>Biodata!B10</f>
        <v>5</v>
      </c>
      <c r="F11" s="212">
        <f>IF(Biodata!C10="","",VLOOKUP(E11,Biodata_Siswa,2,FALSE))</f>
        <v>7061</v>
      </c>
      <c r="G11" s="1015" t="str">
        <f>IF(Biodata!E10="","",PROPER(VLOOKUP(E11,Biodata_Siswa,4,FALSE)))</f>
        <v>Anisa Julia Tasya</v>
      </c>
      <c r="H11" s="1016"/>
      <c r="I11" s="249" t="str">
        <f>IF(Leger2!I11="","",IF(Leger2!I11&gt;=(Leger2!$C$4+2/3*(100-Leger2!$C$4)),"A",IF(Leger2!I11&gt;=(Leger2!$C$4+1/3*(100-Leger2!$C$4)),"B",IF(Leger2!I11&gt;=Leger2!$C$4,"C","D"))))</f>
        <v/>
      </c>
      <c r="J11" s="252" t="str">
        <f>IF(Leger2!J11="","",IF(Leger2!J11&gt;=(Leger2!$C$4+2/3*(100-Leger2!$C$4)),"A",IF(Leger2!J11&gt;=(Leger2!$C$4+1/3*(100-Leger2!$C$4)),"B",IF(Leger2!J11&gt;=Leger2!$C$4,"C","D"))))</f>
        <v/>
      </c>
      <c r="K11" s="249" t="str">
        <f>IF(Leger2!L11="","",IF(Leger2!L11&gt;=(Leger2!$C$4+2/3*(100-Leger2!$C$4)),"A",IF(Leger2!L11&gt;=(Leger2!$C$4+1/3*(100-Leger2!$C$4)),"B",IF(Leger2!L11&gt;=Leger2!$C$4,"C","D"))))</f>
        <v/>
      </c>
      <c r="L11" s="252" t="str">
        <f>IF(Leger2!M11="","",IF(Leger2!M11&gt;=(Leger2!$C$4+2/3*(100-Leger2!$C$4)),"A",IF(Leger2!M11&gt;=(Leger2!$C$4+1/3*(100-Leger2!$C$4)),"B",IF(Leger2!M11&gt;=Leger2!$C$4,"C","D"))))</f>
        <v/>
      </c>
      <c r="M11" s="249" t="str">
        <f>IF(Leger2!O11="","",IF(Leger2!O11&gt;=(Leger2!$C$4+2/3*(100-Leger2!$C$4)),"A",IF(Leger2!O11&gt;=(Leger2!$C$4+1/3*(100-Leger2!$C$4)),"B",IF(Leger2!O11&gt;=Leger2!$C$4,"C","D"))))</f>
        <v/>
      </c>
      <c r="N11" s="252" t="str">
        <f>IF(Leger2!P11="","",IF(Leger2!P11&gt;=(Leger2!$C$4+2/3*(100-Leger2!$C$4)),"A",IF(Leger2!P11&gt;=(Leger2!$C$4+1/3*(100-Leger2!$C$4)),"B",IF(Leger2!P11&gt;=Leger2!$C$4,"C","D"))))</f>
        <v/>
      </c>
      <c r="O11" s="249" t="str">
        <f>IF(Leger2!R11="","",IF(Leger2!R11&gt;=(Leger2!$C$4+2/3*(100-Leger2!$C$4)),"A",IF(Leger2!R11&gt;=(Leger2!$C$4+1/3*(100-Leger2!$C$4)),"B",IF(Leger2!R11&gt;=Leger2!$C$4,"C","D"))))</f>
        <v/>
      </c>
      <c r="P11" s="252" t="str">
        <f>IF(Leger2!S11="","",IF(Leger2!S11&gt;=(Leger2!$C$4+2/3*(100-Leger2!$C$4)),"A",IF(Leger2!S11&gt;=(Leger2!$C$4+1/3*(100-Leger2!$C$4)),"B",IF(Leger2!S11&gt;=Leger2!$C$4,"C","D"))))</f>
        <v/>
      </c>
      <c r="Q11" s="249" t="str">
        <f>IF(Leger2!U11="","",IF(Leger2!U11&gt;=(Leger2!$C$4+2/3*(100-Leger2!$C$4)),"A",IF(Leger2!U11&gt;=(Leger2!$C$4+1/3*(100-Leger2!$C$4)),"B",IF(Leger2!U11&gt;=Leger2!$C$4,"C","D"))))</f>
        <v/>
      </c>
      <c r="R11" s="252" t="str">
        <f>IF(Leger2!V11="","",IF(Leger2!V11&gt;=(Leger2!$C$4+2/3*(100-Leger2!$C$4)),"A",IF(Leger2!V11&gt;=(Leger2!$C$4+1/3*(100-Leger2!$C$4)),"B",IF(Leger2!V11&gt;=Leger2!$C$4,"C","D"))))</f>
        <v/>
      </c>
      <c r="S11" s="249" t="str">
        <f>IF(Leger2!X11="","",IF(Leger2!X11&gt;=(Leger2!$C$4+2/3*(100-Leger2!$C$4)),"A",IF(Leger2!X11&gt;=(Leger2!$C$4+1/3*(100-Leger2!$C$4)),"B",IF(Leger2!X11&gt;=Leger2!$C$4,"C","D"))))</f>
        <v/>
      </c>
      <c r="T11" s="252" t="str">
        <f>IF(Leger2!Y11="","",IF(Leger2!Y11&gt;=(Leger2!$C$4+2/3*(100-Leger2!$C$4)),"A",IF(Leger2!Y11&gt;=(Leger2!$C$4+1/3*(100-Leger2!$C$4)),"B",IF(Leger2!Y11&gt;=Leger2!$C$4,"C","D"))))</f>
        <v/>
      </c>
      <c r="U11" s="249" t="str">
        <f>IF(Leger2!AA11="","",IF(Leger2!AA11&gt;=(Leger2!$C$4+2/3*(100-Leger2!$C$4)),"A",IF(Leger2!AA11&gt;=(Leger2!$C$4+1/3*(100-Leger2!$C$4)),"B",IF(Leger2!AA11&gt;=Leger2!$C$4,"C","D"))))</f>
        <v/>
      </c>
      <c r="V11" s="252" t="str">
        <f>IF(Leger2!AB11="","",IF(Leger2!AB11&gt;=(Leger2!$C$4+2/3*(100-Leger2!$C$4)),"A",IF(Leger2!AB11&gt;=(Leger2!$C$4+1/3*(100-Leger2!$C$4)),"B",IF(Leger2!AB11&gt;=Leger2!$C$4,"C","D"))))</f>
        <v/>
      </c>
      <c r="W11" s="249" t="str">
        <f>IF(Leger2!AD11="","",IF(Leger2!AD11&gt;=(Leger2!$C$4+2/3*(100-Leger2!$C$4)),"A",IF(Leger2!AD11&gt;=(Leger2!$C$4+1/3*(100-Leger2!$C$4)),"B",IF(Leger2!AD11&gt;=Leger2!$C$4,"C","D"))))</f>
        <v/>
      </c>
      <c r="X11" s="252" t="str">
        <f>IF(Leger2!AE11="","",IF(Leger2!AE11&gt;=(Leger2!$C$4+2/3*(100-Leger2!$C$4)),"A",IF(Leger2!AE11&gt;=(Leger2!$C$4+1/3*(100-Leger2!$C$4)),"B",IF(Leger2!AE11&gt;=Leger2!$C$4,"C","D"))))</f>
        <v/>
      </c>
      <c r="Y11" s="249" t="str">
        <f>IF(Leger2!AG11="","",IF(Leger2!AG11&gt;=(Leger2!$C$4+2/3*(100-Leger2!$C$4)),"A",IF(Leger2!AG11&gt;=(Leger2!$C$4+1/3*(100-Leger2!$C$4)),"B",IF(Leger2!AG11&gt;=Leger2!$C$4,"C","D"))))</f>
        <v/>
      </c>
      <c r="Z11" s="252" t="str">
        <f>IF(Leger2!AH11="","",IF(Leger2!AH11&gt;=(Leger2!$C$4+2/3*(100-Leger2!$C$4)),"A",IF(Leger2!AH11&gt;=(Leger2!$C$4+1/3*(100-Leger2!$C$4)),"B",IF(Leger2!AH11&gt;=Leger2!$C$4,"C","D"))))</f>
        <v/>
      </c>
      <c r="AA11" s="249" t="str">
        <f>IF(Leger2!AJ11="","",IF(Leger2!AJ11&gt;=(Leger2!$C$4+2/3*(100-Leger2!$C$4)),"A",IF(Leger2!AJ11&gt;=(Leger2!$C$4+1/3*(100-Leger2!$C$4)),"B",IF(Leger2!AJ11&gt;=Leger2!$C$4,"C","D"))))</f>
        <v/>
      </c>
      <c r="AB11" s="252" t="str">
        <f>IF(Leger2!AK11="","",IF(Leger2!AK11&gt;=(Leger2!$C$4+2/3*(100-Leger2!$C$4)),"A",IF(Leger2!AK11&gt;=(Leger2!$C$4+1/3*(100-Leger2!$C$4)),"B",IF(Leger2!AK11&gt;=Leger2!$C$4,"C","D"))))</f>
        <v/>
      </c>
      <c r="AC11" s="249" t="str">
        <f>IF(Leger2!AM11="","",IF(Leger2!AM11&gt;=(Leger2!$C$4+2/3*(100-Leger2!$C$4)),"A",IF(Leger2!AM11&gt;=(Leger2!$C$4+1/3*(100-Leger2!$C$4)),"B",IF(Leger2!AM11&gt;=Leger2!$C$4,"C","D"))))</f>
        <v/>
      </c>
      <c r="AD11" s="252" t="str">
        <f>IF(Leger2!AN11="","",IF(Leger2!AN11&gt;=(Leger2!$C$4+2/3*(100-Leger2!$C$4)),"A",IF(Leger2!AN11&gt;=(Leger2!$C$4+1/3*(100-Leger2!$C$4)),"B",IF(Leger2!AN11&gt;=Leger2!$C$4,"C","D"))))</f>
        <v/>
      </c>
      <c r="AE11" s="249" t="str">
        <f>IF(Leger2!AP11="","",IF(Leger2!AP11&gt;=(Leger2!$C$4+2/3*(100-Leger2!$C$4)),"A",IF(Leger2!AP11&gt;=(Leger2!$C$4+1/3*(100-Leger2!$C$4)),"B",IF(Leger2!AP11&gt;=Leger2!$C$4,"C","D"))))</f>
        <v/>
      </c>
      <c r="AF11" s="252" t="str">
        <f>IF(Leger2!AQ11="","",IF(Leger2!AQ11&gt;=(Leger2!$C$4+2/3*(100-Leger2!$C$4)),"A",IF(Leger2!AQ11&gt;=(Leger2!$C$4+1/3*(100-Leger2!$C$4)),"B",IF(Leger2!AQ11&gt;=Leger2!$C$4,"C","D"))))</f>
        <v/>
      </c>
      <c r="AG11" s="249" t="str">
        <f>IF(Leger2!AS11="","",IF(Leger2!AS11&gt;=(Leger2!$C$4+2/3*(100-Leger2!$C$4)),"A",IF(Leger2!AS11&gt;=(Leger2!$C$4+1/3*(100-Leger2!$C$4)),"B",IF(Leger2!AS11&gt;=Leger2!$C$4,"C","D"))))</f>
        <v/>
      </c>
      <c r="AH11" s="252" t="str">
        <f>IF(Leger2!AT11="","",IF(Leger2!AT11&gt;=(Leger2!$C$4+2/3*(100-Leger2!$C$4)),"A",IF(Leger2!AT11&gt;=(Leger2!$C$4+1/3*(100-Leger2!$C$4)),"B",IF(Leger2!AT11&gt;=Leger2!$C$4,"C","D"))))</f>
        <v/>
      </c>
      <c r="AI11" s="249" t="str">
        <f>IF(Leger2!AV11="","",IF(Leger2!AV11&gt;=(Leger2!$C$4+2/3*(100-Leger2!$C$4)),"A",IF(Leger2!AV11&gt;=(Leger2!$C$4+1/3*(100-Leger2!$C$4)),"B",IF(Leger2!AV11&gt;=Leger2!$C$4,"C","D"))))</f>
        <v/>
      </c>
      <c r="AJ11" s="252" t="str">
        <f>IF(Leger2!AW11="","",IF(Leger2!AW11&gt;=(Leger2!$C$4+2/3*(100-Leger2!$C$4)),"A",IF(Leger2!AW11&gt;=(Leger2!$C$4+1/3*(100-Leger2!$C$4)),"B",IF(Leger2!AW11&gt;=Leger2!$C$4,"C","D"))))</f>
        <v/>
      </c>
      <c r="AK11" s="249" t="str">
        <f>IF(Leger2!AY11="","",IF(Leger2!AY11&gt;=(Leger2!$C$4+2/3*(100-Leger2!$C$4)),"A",IF(Leger2!AY11&gt;=(Leger2!$C$4+1/3*(100-Leger2!$C$4)),"B",IF(Leger2!AY11&gt;=Leger2!$C$4,"C","D"))))</f>
        <v/>
      </c>
      <c r="AL11" s="252" t="str">
        <f>IF(Leger2!AZ11="","",IF(Leger2!AZ11&gt;=(Leger2!$C$4+2/3*(100-Leger2!$C$4)),"A",IF(Leger2!AZ11&gt;=(Leger2!$C$4+1/3*(100-Leger2!$C$4)),"B",IF(Leger2!AZ11&gt;=Leger2!$C$4,"C","D"))))</f>
        <v/>
      </c>
    </row>
    <row r="12" spans="2:38" ht="15.75">
      <c r="B12" s="637" t="s">
        <v>125</v>
      </c>
      <c r="C12" s="637" t="s">
        <v>83</v>
      </c>
      <c r="E12" s="211">
        <f>Biodata!B11</f>
        <v>6</v>
      </c>
      <c r="F12" s="212">
        <f>IF(Biodata!C11="","",VLOOKUP(E12,Biodata_Siswa,2,FALSE))</f>
        <v>7065</v>
      </c>
      <c r="G12" s="1015" t="str">
        <f>IF(Biodata!E11="","",PROPER(VLOOKUP(E12,Biodata_Siswa,4,FALSE)))</f>
        <v>Aulia Rahmawati</v>
      </c>
      <c r="H12" s="1016"/>
      <c r="I12" s="249" t="str">
        <f>IF(Leger2!I12="","",IF(Leger2!I12&gt;=(Leger2!$C$4+2/3*(100-Leger2!$C$4)),"A",IF(Leger2!I12&gt;=(Leger2!$C$4+1/3*(100-Leger2!$C$4)),"B",IF(Leger2!I12&gt;=Leger2!$C$4,"C","D"))))</f>
        <v/>
      </c>
      <c r="J12" s="252" t="str">
        <f>IF(Leger2!J12="","",IF(Leger2!J12&gt;=(Leger2!$C$4+2/3*(100-Leger2!$C$4)),"A",IF(Leger2!J12&gt;=(Leger2!$C$4+1/3*(100-Leger2!$C$4)),"B",IF(Leger2!J12&gt;=Leger2!$C$4,"C","D"))))</f>
        <v/>
      </c>
      <c r="K12" s="249" t="str">
        <f>IF(Leger2!L12="","",IF(Leger2!L12&gt;=(Leger2!$C$4+2/3*(100-Leger2!$C$4)),"A",IF(Leger2!L12&gt;=(Leger2!$C$4+1/3*(100-Leger2!$C$4)),"B",IF(Leger2!L12&gt;=Leger2!$C$4,"C","D"))))</f>
        <v/>
      </c>
      <c r="L12" s="252" t="str">
        <f>IF(Leger2!M12="","",IF(Leger2!M12&gt;=(Leger2!$C$4+2/3*(100-Leger2!$C$4)),"A",IF(Leger2!M12&gt;=(Leger2!$C$4+1/3*(100-Leger2!$C$4)),"B",IF(Leger2!M12&gt;=Leger2!$C$4,"C","D"))))</f>
        <v/>
      </c>
      <c r="M12" s="249" t="str">
        <f>IF(Leger2!O12="","",IF(Leger2!O12&gt;=(Leger2!$C$4+2/3*(100-Leger2!$C$4)),"A",IF(Leger2!O12&gt;=(Leger2!$C$4+1/3*(100-Leger2!$C$4)),"B",IF(Leger2!O12&gt;=Leger2!$C$4,"C","D"))))</f>
        <v/>
      </c>
      <c r="N12" s="252" t="str">
        <f>IF(Leger2!P12="","",IF(Leger2!P12&gt;=(Leger2!$C$4+2/3*(100-Leger2!$C$4)),"A",IF(Leger2!P12&gt;=(Leger2!$C$4+1/3*(100-Leger2!$C$4)),"B",IF(Leger2!P12&gt;=Leger2!$C$4,"C","D"))))</f>
        <v/>
      </c>
      <c r="O12" s="249" t="str">
        <f>IF(Leger2!R12="","",IF(Leger2!R12&gt;=(Leger2!$C$4+2/3*(100-Leger2!$C$4)),"A",IF(Leger2!R12&gt;=(Leger2!$C$4+1/3*(100-Leger2!$C$4)),"B",IF(Leger2!R12&gt;=Leger2!$C$4,"C","D"))))</f>
        <v/>
      </c>
      <c r="P12" s="252" t="str">
        <f>IF(Leger2!S12="","",IF(Leger2!S12&gt;=(Leger2!$C$4+2/3*(100-Leger2!$C$4)),"A",IF(Leger2!S12&gt;=(Leger2!$C$4+1/3*(100-Leger2!$C$4)),"B",IF(Leger2!S12&gt;=Leger2!$C$4,"C","D"))))</f>
        <v/>
      </c>
      <c r="Q12" s="249" t="str">
        <f>IF(Leger2!U12="","",IF(Leger2!U12&gt;=(Leger2!$C$4+2/3*(100-Leger2!$C$4)),"A",IF(Leger2!U12&gt;=(Leger2!$C$4+1/3*(100-Leger2!$C$4)),"B",IF(Leger2!U12&gt;=Leger2!$C$4,"C","D"))))</f>
        <v/>
      </c>
      <c r="R12" s="252" t="str">
        <f>IF(Leger2!V12="","",IF(Leger2!V12&gt;=(Leger2!$C$4+2/3*(100-Leger2!$C$4)),"A",IF(Leger2!V12&gt;=(Leger2!$C$4+1/3*(100-Leger2!$C$4)),"B",IF(Leger2!V12&gt;=Leger2!$C$4,"C","D"))))</f>
        <v/>
      </c>
      <c r="S12" s="249" t="str">
        <f>IF(Leger2!X12="","",IF(Leger2!X12&gt;=(Leger2!$C$4+2/3*(100-Leger2!$C$4)),"A",IF(Leger2!X12&gt;=(Leger2!$C$4+1/3*(100-Leger2!$C$4)),"B",IF(Leger2!X12&gt;=Leger2!$C$4,"C","D"))))</f>
        <v/>
      </c>
      <c r="T12" s="252" t="str">
        <f>IF(Leger2!Y12="","",IF(Leger2!Y12&gt;=(Leger2!$C$4+2/3*(100-Leger2!$C$4)),"A",IF(Leger2!Y12&gt;=(Leger2!$C$4+1/3*(100-Leger2!$C$4)),"B",IF(Leger2!Y12&gt;=Leger2!$C$4,"C","D"))))</f>
        <v/>
      </c>
      <c r="U12" s="249" t="str">
        <f>IF(Leger2!AA12="","",IF(Leger2!AA12&gt;=(Leger2!$C$4+2/3*(100-Leger2!$C$4)),"A",IF(Leger2!AA12&gt;=(Leger2!$C$4+1/3*(100-Leger2!$C$4)),"B",IF(Leger2!AA12&gt;=Leger2!$C$4,"C","D"))))</f>
        <v/>
      </c>
      <c r="V12" s="252" t="str">
        <f>IF(Leger2!AB12="","",IF(Leger2!AB12&gt;=(Leger2!$C$4+2/3*(100-Leger2!$C$4)),"A",IF(Leger2!AB12&gt;=(Leger2!$C$4+1/3*(100-Leger2!$C$4)),"B",IF(Leger2!AB12&gt;=Leger2!$C$4,"C","D"))))</f>
        <v/>
      </c>
      <c r="W12" s="249" t="str">
        <f>IF(Leger2!AD12="","",IF(Leger2!AD12&gt;=(Leger2!$C$4+2/3*(100-Leger2!$C$4)),"A",IF(Leger2!AD12&gt;=(Leger2!$C$4+1/3*(100-Leger2!$C$4)),"B",IF(Leger2!AD12&gt;=Leger2!$C$4,"C","D"))))</f>
        <v/>
      </c>
      <c r="X12" s="252" t="str">
        <f>IF(Leger2!AE12="","",IF(Leger2!AE12&gt;=(Leger2!$C$4+2/3*(100-Leger2!$C$4)),"A",IF(Leger2!AE12&gt;=(Leger2!$C$4+1/3*(100-Leger2!$C$4)),"B",IF(Leger2!AE12&gt;=Leger2!$C$4,"C","D"))))</f>
        <v/>
      </c>
      <c r="Y12" s="249" t="str">
        <f>IF(Leger2!AG12="","",IF(Leger2!AG12&gt;=(Leger2!$C$4+2/3*(100-Leger2!$C$4)),"A",IF(Leger2!AG12&gt;=(Leger2!$C$4+1/3*(100-Leger2!$C$4)),"B",IF(Leger2!AG12&gt;=Leger2!$C$4,"C","D"))))</f>
        <v/>
      </c>
      <c r="Z12" s="252" t="str">
        <f>IF(Leger2!AH12="","",IF(Leger2!AH12&gt;=(Leger2!$C$4+2/3*(100-Leger2!$C$4)),"A",IF(Leger2!AH12&gt;=(Leger2!$C$4+1/3*(100-Leger2!$C$4)),"B",IF(Leger2!AH12&gt;=Leger2!$C$4,"C","D"))))</f>
        <v/>
      </c>
      <c r="AA12" s="249" t="str">
        <f>IF(Leger2!AJ12="","",IF(Leger2!AJ12&gt;=(Leger2!$C$4+2/3*(100-Leger2!$C$4)),"A",IF(Leger2!AJ12&gt;=(Leger2!$C$4+1/3*(100-Leger2!$C$4)),"B",IF(Leger2!AJ12&gt;=Leger2!$C$4,"C","D"))))</f>
        <v/>
      </c>
      <c r="AB12" s="252" t="str">
        <f>IF(Leger2!AK12="","",IF(Leger2!AK12&gt;=(Leger2!$C$4+2/3*(100-Leger2!$C$4)),"A",IF(Leger2!AK12&gt;=(Leger2!$C$4+1/3*(100-Leger2!$C$4)),"B",IF(Leger2!AK12&gt;=Leger2!$C$4,"C","D"))))</f>
        <v/>
      </c>
      <c r="AC12" s="249" t="str">
        <f>IF(Leger2!AM12="","",IF(Leger2!AM12&gt;=(Leger2!$C$4+2/3*(100-Leger2!$C$4)),"A",IF(Leger2!AM12&gt;=(Leger2!$C$4+1/3*(100-Leger2!$C$4)),"B",IF(Leger2!AM12&gt;=Leger2!$C$4,"C","D"))))</f>
        <v/>
      </c>
      <c r="AD12" s="252" t="str">
        <f>IF(Leger2!AN12="","",IF(Leger2!AN12&gt;=(Leger2!$C$4+2/3*(100-Leger2!$C$4)),"A",IF(Leger2!AN12&gt;=(Leger2!$C$4+1/3*(100-Leger2!$C$4)),"B",IF(Leger2!AN12&gt;=Leger2!$C$4,"C","D"))))</f>
        <v/>
      </c>
      <c r="AE12" s="249" t="str">
        <f>IF(Leger2!AP12="","",IF(Leger2!AP12&gt;=(Leger2!$C$4+2/3*(100-Leger2!$C$4)),"A",IF(Leger2!AP12&gt;=(Leger2!$C$4+1/3*(100-Leger2!$C$4)),"B",IF(Leger2!AP12&gt;=Leger2!$C$4,"C","D"))))</f>
        <v/>
      </c>
      <c r="AF12" s="252" t="str">
        <f>IF(Leger2!AQ12="","",IF(Leger2!AQ12&gt;=(Leger2!$C$4+2/3*(100-Leger2!$C$4)),"A",IF(Leger2!AQ12&gt;=(Leger2!$C$4+1/3*(100-Leger2!$C$4)),"B",IF(Leger2!AQ12&gt;=Leger2!$C$4,"C","D"))))</f>
        <v/>
      </c>
      <c r="AG12" s="249" t="str">
        <f>IF(Leger2!AS12="","",IF(Leger2!AS12&gt;=(Leger2!$C$4+2/3*(100-Leger2!$C$4)),"A",IF(Leger2!AS12&gt;=(Leger2!$C$4+1/3*(100-Leger2!$C$4)),"B",IF(Leger2!AS12&gt;=Leger2!$C$4,"C","D"))))</f>
        <v/>
      </c>
      <c r="AH12" s="252" t="str">
        <f>IF(Leger2!AT12="","",IF(Leger2!AT12&gt;=(Leger2!$C$4+2/3*(100-Leger2!$C$4)),"A",IF(Leger2!AT12&gt;=(Leger2!$C$4+1/3*(100-Leger2!$C$4)),"B",IF(Leger2!AT12&gt;=Leger2!$C$4,"C","D"))))</f>
        <v/>
      </c>
      <c r="AI12" s="249" t="str">
        <f>IF(Leger2!AV12="","",IF(Leger2!AV12&gt;=(Leger2!$C$4+2/3*(100-Leger2!$C$4)),"A",IF(Leger2!AV12&gt;=(Leger2!$C$4+1/3*(100-Leger2!$C$4)),"B",IF(Leger2!AV12&gt;=Leger2!$C$4,"C","D"))))</f>
        <v/>
      </c>
      <c r="AJ12" s="252" t="str">
        <f>IF(Leger2!AW12="","",IF(Leger2!AW12&gt;=(Leger2!$C$4+2/3*(100-Leger2!$C$4)),"A",IF(Leger2!AW12&gt;=(Leger2!$C$4+1/3*(100-Leger2!$C$4)),"B",IF(Leger2!AW12&gt;=Leger2!$C$4,"C","D"))))</f>
        <v/>
      </c>
      <c r="AK12" s="249" t="str">
        <f>IF(Leger2!AY12="","",IF(Leger2!AY12&gt;=(Leger2!$C$4+2/3*(100-Leger2!$C$4)),"A",IF(Leger2!AY12&gt;=(Leger2!$C$4+1/3*(100-Leger2!$C$4)),"B",IF(Leger2!AY12&gt;=Leger2!$C$4,"C","D"))))</f>
        <v/>
      </c>
      <c r="AL12" s="252" t="str">
        <f>IF(Leger2!AZ12="","",IF(Leger2!AZ12&gt;=(Leger2!$C$4+2/3*(100-Leger2!$C$4)),"A",IF(Leger2!AZ12&gt;=(Leger2!$C$4+1/3*(100-Leger2!$C$4)),"B",IF(Leger2!AZ12&gt;=Leger2!$C$4,"C","D"))))</f>
        <v/>
      </c>
    </row>
    <row r="13" spans="2:38" ht="15.75">
      <c r="B13" s="637" t="s">
        <v>124</v>
      </c>
      <c r="C13" s="637" t="s">
        <v>82</v>
      </c>
      <c r="E13" s="211">
        <f>Biodata!B12</f>
        <v>7</v>
      </c>
      <c r="F13" s="212">
        <f>IF(Biodata!C12="","",VLOOKUP(E13,Biodata_Siswa,2,FALSE))</f>
        <v>7066</v>
      </c>
      <c r="G13" s="1015" t="str">
        <f>IF(Biodata!E12="","",PROPER(VLOOKUP(E13,Biodata_Siswa,4,FALSE)))</f>
        <v>Ayu Chumaira</v>
      </c>
      <c r="H13" s="1016"/>
      <c r="I13" s="249" t="str">
        <f>IF(Leger2!I13="","",IF(Leger2!I13&gt;=(Leger2!$C$4+2/3*(100-Leger2!$C$4)),"A",IF(Leger2!I13&gt;=(Leger2!$C$4+1/3*(100-Leger2!$C$4)),"B",IF(Leger2!I13&gt;=Leger2!$C$4,"C","D"))))</f>
        <v/>
      </c>
      <c r="J13" s="252" t="str">
        <f>IF(Leger2!J13="","",IF(Leger2!J13&gt;=(Leger2!$C$4+2/3*(100-Leger2!$C$4)),"A",IF(Leger2!J13&gt;=(Leger2!$C$4+1/3*(100-Leger2!$C$4)),"B",IF(Leger2!J13&gt;=Leger2!$C$4,"C","D"))))</f>
        <v/>
      </c>
      <c r="K13" s="249" t="str">
        <f>IF(Leger2!L13="","",IF(Leger2!L13&gt;=(Leger2!$C$4+2/3*(100-Leger2!$C$4)),"A",IF(Leger2!L13&gt;=(Leger2!$C$4+1/3*(100-Leger2!$C$4)),"B",IF(Leger2!L13&gt;=Leger2!$C$4,"C","D"))))</f>
        <v/>
      </c>
      <c r="L13" s="252" t="str">
        <f>IF(Leger2!M13="","",IF(Leger2!M13&gt;=(Leger2!$C$4+2/3*(100-Leger2!$C$4)),"A",IF(Leger2!M13&gt;=(Leger2!$C$4+1/3*(100-Leger2!$C$4)),"B",IF(Leger2!M13&gt;=Leger2!$C$4,"C","D"))))</f>
        <v/>
      </c>
      <c r="M13" s="249" t="str">
        <f>IF(Leger2!O13="","",IF(Leger2!O13&gt;=(Leger2!$C$4+2/3*(100-Leger2!$C$4)),"A",IF(Leger2!O13&gt;=(Leger2!$C$4+1/3*(100-Leger2!$C$4)),"B",IF(Leger2!O13&gt;=Leger2!$C$4,"C","D"))))</f>
        <v/>
      </c>
      <c r="N13" s="252" t="str">
        <f>IF(Leger2!P13="","",IF(Leger2!P13&gt;=(Leger2!$C$4+2/3*(100-Leger2!$C$4)),"A",IF(Leger2!P13&gt;=(Leger2!$C$4+1/3*(100-Leger2!$C$4)),"B",IF(Leger2!P13&gt;=Leger2!$C$4,"C","D"))))</f>
        <v/>
      </c>
      <c r="O13" s="249" t="str">
        <f>IF(Leger2!R13="","",IF(Leger2!R13&gt;=(Leger2!$C$4+2/3*(100-Leger2!$C$4)),"A",IF(Leger2!R13&gt;=(Leger2!$C$4+1/3*(100-Leger2!$C$4)),"B",IF(Leger2!R13&gt;=Leger2!$C$4,"C","D"))))</f>
        <v/>
      </c>
      <c r="P13" s="252" t="str">
        <f>IF(Leger2!S13="","",IF(Leger2!S13&gt;=(Leger2!$C$4+2/3*(100-Leger2!$C$4)),"A",IF(Leger2!S13&gt;=(Leger2!$C$4+1/3*(100-Leger2!$C$4)),"B",IF(Leger2!S13&gt;=Leger2!$C$4,"C","D"))))</f>
        <v/>
      </c>
      <c r="Q13" s="249" t="str">
        <f>IF(Leger2!U13="","",IF(Leger2!U13&gt;=(Leger2!$C$4+2/3*(100-Leger2!$C$4)),"A",IF(Leger2!U13&gt;=(Leger2!$C$4+1/3*(100-Leger2!$C$4)),"B",IF(Leger2!U13&gt;=Leger2!$C$4,"C","D"))))</f>
        <v/>
      </c>
      <c r="R13" s="252" t="str">
        <f>IF(Leger2!V13="","",IF(Leger2!V13&gt;=(Leger2!$C$4+2/3*(100-Leger2!$C$4)),"A",IF(Leger2!V13&gt;=(Leger2!$C$4+1/3*(100-Leger2!$C$4)),"B",IF(Leger2!V13&gt;=Leger2!$C$4,"C","D"))))</f>
        <v/>
      </c>
      <c r="S13" s="249" t="str">
        <f>IF(Leger2!X13="","",IF(Leger2!X13&gt;=(Leger2!$C$4+2/3*(100-Leger2!$C$4)),"A",IF(Leger2!X13&gt;=(Leger2!$C$4+1/3*(100-Leger2!$C$4)),"B",IF(Leger2!X13&gt;=Leger2!$C$4,"C","D"))))</f>
        <v/>
      </c>
      <c r="T13" s="252" t="str">
        <f>IF(Leger2!Y13="","",IF(Leger2!Y13&gt;=(Leger2!$C$4+2/3*(100-Leger2!$C$4)),"A",IF(Leger2!Y13&gt;=(Leger2!$C$4+1/3*(100-Leger2!$C$4)),"B",IF(Leger2!Y13&gt;=Leger2!$C$4,"C","D"))))</f>
        <v/>
      </c>
      <c r="U13" s="249" t="str">
        <f>IF(Leger2!AA13="","",IF(Leger2!AA13&gt;=(Leger2!$C$4+2/3*(100-Leger2!$C$4)),"A",IF(Leger2!AA13&gt;=(Leger2!$C$4+1/3*(100-Leger2!$C$4)),"B",IF(Leger2!AA13&gt;=Leger2!$C$4,"C","D"))))</f>
        <v/>
      </c>
      <c r="V13" s="252" t="str">
        <f>IF(Leger2!AB13="","",IF(Leger2!AB13&gt;=(Leger2!$C$4+2/3*(100-Leger2!$C$4)),"A",IF(Leger2!AB13&gt;=(Leger2!$C$4+1/3*(100-Leger2!$C$4)),"B",IF(Leger2!AB13&gt;=Leger2!$C$4,"C","D"))))</f>
        <v/>
      </c>
      <c r="W13" s="249" t="str">
        <f>IF(Leger2!AD13="","",IF(Leger2!AD13&gt;=(Leger2!$C$4+2/3*(100-Leger2!$C$4)),"A",IF(Leger2!AD13&gt;=(Leger2!$C$4+1/3*(100-Leger2!$C$4)),"B",IF(Leger2!AD13&gt;=Leger2!$C$4,"C","D"))))</f>
        <v/>
      </c>
      <c r="X13" s="252" t="str">
        <f>IF(Leger2!AE13="","",IF(Leger2!AE13&gt;=(Leger2!$C$4+2/3*(100-Leger2!$C$4)),"A",IF(Leger2!AE13&gt;=(Leger2!$C$4+1/3*(100-Leger2!$C$4)),"B",IF(Leger2!AE13&gt;=Leger2!$C$4,"C","D"))))</f>
        <v/>
      </c>
      <c r="Y13" s="249" t="str">
        <f>IF(Leger2!AG13="","",IF(Leger2!AG13&gt;=(Leger2!$C$4+2/3*(100-Leger2!$C$4)),"A",IF(Leger2!AG13&gt;=(Leger2!$C$4+1/3*(100-Leger2!$C$4)),"B",IF(Leger2!AG13&gt;=Leger2!$C$4,"C","D"))))</f>
        <v/>
      </c>
      <c r="Z13" s="252" t="str">
        <f>IF(Leger2!AH13="","",IF(Leger2!AH13&gt;=(Leger2!$C$4+2/3*(100-Leger2!$C$4)),"A",IF(Leger2!AH13&gt;=(Leger2!$C$4+1/3*(100-Leger2!$C$4)),"B",IF(Leger2!AH13&gt;=Leger2!$C$4,"C","D"))))</f>
        <v/>
      </c>
      <c r="AA13" s="249" t="str">
        <f>IF(Leger2!AJ13="","",IF(Leger2!AJ13&gt;=(Leger2!$C$4+2/3*(100-Leger2!$C$4)),"A",IF(Leger2!AJ13&gt;=(Leger2!$C$4+1/3*(100-Leger2!$C$4)),"B",IF(Leger2!AJ13&gt;=Leger2!$C$4,"C","D"))))</f>
        <v/>
      </c>
      <c r="AB13" s="252" t="str">
        <f>IF(Leger2!AK13="","",IF(Leger2!AK13&gt;=(Leger2!$C$4+2/3*(100-Leger2!$C$4)),"A",IF(Leger2!AK13&gt;=(Leger2!$C$4+1/3*(100-Leger2!$C$4)),"B",IF(Leger2!AK13&gt;=Leger2!$C$4,"C","D"))))</f>
        <v/>
      </c>
      <c r="AC13" s="249" t="str">
        <f>IF(Leger2!AM13="","",IF(Leger2!AM13&gt;=(Leger2!$C$4+2/3*(100-Leger2!$C$4)),"A",IF(Leger2!AM13&gt;=(Leger2!$C$4+1/3*(100-Leger2!$C$4)),"B",IF(Leger2!AM13&gt;=Leger2!$C$4,"C","D"))))</f>
        <v/>
      </c>
      <c r="AD13" s="252" t="str">
        <f>IF(Leger2!AN13="","",IF(Leger2!AN13&gt;=(Leger2!$C$4+2/3*(100-Leger2!$C$4)),"A",IF(Leger2!AN13&gt;=(Leger2!$C$4+1/3*(100-Leger2!$C$4)),"B",IF(Leger2!AN13&gt;=Leger2!$C$4,"C","D"))))</f>
        <v/>
      </c>
      <c r="AE13" s="249" t="str">
        <f>IF(Leger2!AP13="","",IF(Leger2!AP13&gt;=(Leger2!$C$4+2/3*(100-Leger2!$C$4)),"A",IF(Leger2!AP13&gt;=(Leger2!$C$4+1/3*(100-Leger2!$C$4)),"B",IF(Leger2!AP13&gt;=Leger2!$C$4,"C","D"))))</f>
        <v/>
      </c>
      <c r="AF13" s="252" t="str">
        <f>IF(Leger2!AQ13="","",IF(Leger2!AQ13&gt;=(Leger2!$C$4+2/3*(100-Leger2!$C$4)),"A",IF(Leger2!AQ13&gt;=(Leger2!$C$4+1/3*(100-Leger2!$C$4)),"B",IF(Leger2!AQ13&gt;=Leger2!$C$4,"C","D"))))</f>
        <v/>
      </c>
      <c r="AG13" s="249" t="str">
        <f>IF(Leger2!AS13="","",IF(Leger2!AS13&gt;=(Leger2!$C$4+2/3*(100-Leger2!$C$4)),"A",IF(Leger2!AS13&gt;=(Leger2!$C$4+1/3*(100-Leger2!$C$4)),"B",IF(Leger2!AS13&gt;=Leger2!$C$4,"C","D"))))</f>
        <v/>
      </c>
      <c r="AH13" s="252" t="str">
        <f>IF(Leger2!AT13="","",IF(Leger2!AT13&gt;=(Leger2!$C$4+2/3*(100-Leger2!$C$4)),"A",IF(Leger2!AT13&gt;=(Leger2!$C$4+1/3*(100-Leger2!$C$4)),"B",IF(Leger2!AT13&gt;=Leger2!$C$4,"C","D"))))</f>
        <v/>
      </c>
      <c r="AI13" s="249" t="str">
        <f>IF(Leger2!AV13="","",IF(Leger2!AV13&gt;=(Leger2!$C$4+2/3*(100-Leger2!$C$4)),"A",IF(Leger2!AV13&gt;=(Leger2!$C$4+1/3*(100-Leger2!$C$4)),"B",IF(Leger2!AV13&gt;=Leger2!$C$4,"C","D"))))</f>
        <v/>
      </c>
      <c r="AJ13" s="252" t="str">
        <f>IF(Leger2!AW13="","",IF(Leger2!AW13&gt;=(Leger2!$C$4+2/3*(100-Leger2!$C$4)),"A",IF(Leger2!AW13&gt;=(Leger2!$C$4+1/3*(100-Leger2!$C$4)),"B",IF(Leger2!AW13&gt;=Leger2!$C$4,"C","D"))))</f>
        <v/>
      </c>
      <c r="AK13" s="249" t="str">
        <f>IF(Leger2!AY13="","",IF(Leger2!AY13&gt;=(Leger2!$C$4+2/3*(100-Leger2!$C$4)),"A",IF(Leger2!AY13&gt;=(Leger2!$C$4+1/3*(100-Leger2!$C$4)),"B",IF(Leger2!AY13&gt;=Leger2!$C$4,"C","D"))))</f>
        <v/>
      </c>
      <c r="AL13" s="252" t="str">
        <f>IF(Leger2!AZ13="","",IF(Leger2!AZ13&gt;=(Leger2!$C$4+2/3*(100-Leger2!$C$4)),"A",IF(Leger2!AZ13&gt;=(Leger2!$C$4+1/3*(100-Leger2!$C$4)),"B",IF(Leger2!AZ13&gt;=Leger2!$C$4,"C","D"))))</f>
        <v/>
      </c>
    </row>
    <row r="14" spans="2:38" ht="15.75">
      <c r="B14" s="637" t="s">
        <v>123</v>
      </c>
      <c r="C14" s="637" t="s">
        <v>81</v>
      </c>
      <c r="E14" s="211">
        <f>Biodata!B13</f>
        <v>8</v>
      </c>
      <c r="F14" s="212">
        <f>IF(Biodata!C13="","",VLOOKUP(E14,Biodata_Siswa,2,FALSE))</f>
        <v>7067</v>
      </c>
      <c r="G14" s="1015" t="str">
        <f>IF(Biodata!E13="","",PROPER(VLOOKUP(E14,Biodata_Siswa,4,FALSE)))</f>
        <v>Ayu Emelia Putri</v>
      </c>
      <c r="H14" s="1016"/>
      <c r="I14" s="249" t="str">
        <f>IF(Leger2!I14="","",IF(Leger2!I14&gt;=(Leger2!$C$4+2/3*(100-Leger2!$C$4)),"A",IF(Leger2!I14&gt;=(Leger2!$C$4+1/3*(100-Leger2!$C$4)),"B",IF(Leger2!I14&gt;=Leger2!$C$4,"C","D"))))</f>
        <v/>
      </c>
      <c r="J14" s="252" t="str">
        <f>IF(Leger2!J14="","",IF(Leger2!J14&gt;=(Leger2!$C$4+2/3*(100-Leger2!$C$4)),"A",IF(Leger2!J14&gt;=(Leger2!$C$4+1/3*(100-Leger2!$C$4)),"B",IF(Leger2!J14&gt;=Leger2!$C$4,"C","D"))))</f>
        <v/>
      </c>
      <c r="K14" s="249" t="str">
        <f>IF(Leger2!L14="","",IF(Leger2!L14&gt;=(Leger2!$C$4+2/3*(100-Leger2!$C$4)),"A",IF(Leger2!L14&gt;=(Leger2!$C$4+1/3*(100-Leger2!$C$4)),"B",IF(Leger2!L14&gt;=Leger2!$C$4,"C","D"))))</f>
        <v/>
      </c>
      <c r="L14" s="252" t="str">
        <f>IF(Leger2!M14="","",IF(Leger2!M14&gt;=(Leger2!$C$4+2/3*(100-Leger2!$C$4)),"A",IF(Leger2!M14&gt;=(Leger2!$C$4+1/3*(100-Leger2!$C$4)),"B",IF(Leger2!M14&gt;=Leger2!$C$4,"C","D"))))</f>
        <v/>
      </c>
      <c r="M14" s="249" t="str">
        <f>IF(Leger2!O14="","",IF(Leger2!O14&gt;=(Leger2!$C$4+2/3*(100-Leger2!$C$4)),"A",IF(Leger2!O14&gt;=(Leger2!$C$4+1/3*(100-Leger2!$C$4)),"B",IF(Leger2!O14&gt;=Leger2!$C$4,"C","D"))))</f>
        <v/>
      </c>
      <c r="N14" s="252" t="str">
        <f>IF(Leger2!P14="","",IF(Leger2!P14&gt;=(Leger2!$C$4+2/3*(100-Leger2!$C$4)),"A",IF(Leger2!P14&gt;=(Leger2!$C$4+1/3*(100-Leger2!$C$4)),"B",IF(Leger2!P14&gt;=Leger2!$C$4,"C","D"))))</f>
        <v/>
      </c>
      <c r="O14" s="249" t="str">
        <f>IF(Leger2!R14="","",IF(Leger2!R14&gt;=(Leger2!$C$4+2/3*(100-Leger2!$C$4)),"A",IF(Leger2!R14&gt;=(Leger2!$C$4+1/3*(100-Leger2!$C$4)),"B",IF(Leger2!R14&gt;=Leger2!$C$4,"C","D"))))</f>
        <v/>
      </c>
      <c r="P14" s="252" t="str">
        <f>IF(Leger2!S14="","",IF(Leger2!S14&gt;=(Leger2!$C$4+2/3*(100-Leger2!$C$4)),"A",IF(Leger2!S14&gt;=(Leger2!$C$4+1/3*(100-Leger2!$C$4)),"B",IF(Leger2!S14&gt;=Leger2!$C$4,"C","D"))))</f>
        <v/>
      </c>
      <c r="Q14" s="249" t="str">
        <f>IF(Leger2!U14="","",IF(Leger2!U14&gt;=(Leger2!$C$4+2/3*(100-Leger2!$C$4)),"A",IF(Leger2!U14&gt;=(Leger2!$C$4+1/3*(100-Leger2!$C$4)),"B",IF(Leger2!U14&gt;=Leger2!$C$4,"C","D"))))</f>
        <v/>
      </c>
      <c r="R14" s="252" t="str">
        <f>IF(Leger2!V14="","",IF(Leger2!V14&gt;=(Leger2!$C$4+2/3*(100-Leger2!$C$4)),"A",IF(Leger2!V14&gt;=(Leger2!$C$4+1/3*(100-Leger2!$C$4)),"B",IF(Leger2!V14&gt;=Leger2!$C$4,"C","D"))))</f>
        <v/>
      </c>
      <c r="S14" s="249" t="str">
        <f>IF(Leger2!X14="","",IF(Leger2!X14&gt;=(Leger2!$C$4+2/3*(100-Leger2!$C$4)),"A",IF(Leger2!X14&gt;=(Leger2!$C$4+1/3*(100-Leger2!$C$4)),"B",IF(Leger2!X14&gt;=Leger2!$C$4,"C","D"))))</f>
        <v/>
      </c>
      <c r="T14" s="252" t="str">
        <f>IF(Leger2!Y14="","",IF(Leger2!Y14&gt;=(Leger2!$C$4+2/3*(100-Leger2!$C$4)),"A",IF(Leger2!Y14&gt;=(Leger2!$C$4+1/3*(100-Leger2!$C$4)),"B",IF(Leger2!Y14&gt;=Leger2!$C$4,"C","D"))))</f>
        <v/>
      </c>
      <c r="U14" s="249" t="str">
        <f>IF(Leger2!AA14="","",IF(Leger2!AA14&gt;=(Leger2!$C$4+2/3*(100-Leger2!$C$4)),"A",IF(Leger2!AA14&gt;=(Leger2!$C$4+1/3*(100-Leger2!$C$4)),"B",IF(Leger2!AA14&gt;=Leger2!$C$4,"C","D"))))</f>
        <v/>
      </c>
      <c r="V14" s="252" t="str">
        <f>IF(Leger2!AB14="","",IF(Leger2!AB14&gt;=(Leger2!$C$4+2/3*(100-Leger2!$C$4)),"A",IF(Leger2!AB14&gt;=(Leger2!$C$4+1/3*(100-Leger2!$C$4)),"B",IF(Leger2!AB14&gt;=Leger2!$C$4,"C","D"))))</f>
        <v/>
      </c>
      <c r="W14" s="249" t="str">
        <f>IF(Leger2!AD14="","",IF(Leger2!AD14&gt;=(Leger2!$C$4+2/3*(100-Leger2!$C$4)),"A",IF(Leger2!AD14&gt;=(Leger2!$C$4+1/3*(100-Leger2!$C$4)),"B",IF(Leger2!AD14&gt;=Leger2!$C$4,"C","D"))))</f>
        <v/>
      </c>
      <c r="X14" s="252" t="str">
        <f>IF(Leger2!AE14="","",IF(Leger2!AE14&gt;=(Leger2!$C$4+2/3*(100-Leger2!$C$4)),"A",IF(Leger2!AE14&gt;=(Leger2!$C$4+1/3*(100-Leger2!$C$4)),"B",IF(Leger2!AE14&gt;=Leger2!$C$4,"C","D"))))</f>
        <v/>
      </c>
      <c r="Y14" s="249" t="str">
        <f>IF(Leger2!AG14="","",IF(Leger2!AG14&gt;=(Leger2!$C$4+2/3*(100-Leger2!$C$4)),"A",IF(Leger2!AG14&gt;=(Leger2!$C$4+1/3*(100-Leger2!$C$4)),"B",IF(Leger2!AG14&gt;=Leger2!$C$4,"C","D"))))</f>
        <v/>
      </c>
      <c r="Z14" s="252" t="str">
        <f>IF(Leger2!AH14="","",IF(Leger2!AH14&gt;=(Leger2!$C$4+2/3*(100-Leger2!$C$4)),"A",IF(Leger2!AH14&gt;=(Leger2!$C$4+1/3*(100-Leger2!$C$4)),"B",IF(Leger2!AH14&gt;=Leger2!$C$4,"C","D"))))</f>
        <v/>
      </c>
      <c r="AA14" s="249" t="str">
        <f>IF(Leger2!AJ14="","",IF(Leger2!AJ14&gt;=(Leger2!$C$4+2/3*(100-Leger2!$C$4)),"A",IF(Leger2!AJ14&gt;=(Leger2!$C$4+1/3*(100-Leger2!$C$4)),"B",IF(Leger2!AJ14&gt;=Leger2!$C$4,"C","D"))))</f>
        <v/>
      </c>
      <c r="AB14" s="252" t="str">
        <f>IF(Leger2!AK14="","",IF(Leger2!AK14&gt;=(Leger2!$C$4+2/3*(100-Leger2!$C$4)),"A",IF(Leger2!AK14&gt;=(Leger2!$C$4+1/3*(100-Leger2!$C$4)),"B",IF(Leger2!AK14&gt;=Leger2!$C$4,"C","D"))))</f>
        <v/>
      </c>
      <c r="AC14" s="249" t="str">
        <f>IF(Leger2!AM14="","",IF(Leger2!AM14&gt;=(Leger2!$C$4+2/3*(100-Leger2!$C$4)),"A",IF(Leger2!AM14&gt;=(Leger2!$C$4+1/3*(100-Leger2!$C$4)),"B",IF(Leger2!AM14&gt;=Leger2!$C$4,"C","D"))))</f>
        <v/>
      </c>
      <c r="AD14" s="252" t="str">
        <f>IF(Leger2!AN14="","",IF(Leger2!AN14&gt;=(Leger2!$C$4+2/3*(100-Leger2!$C$4)),"A",IF(Leger2!AN14&gt;=(Leger2!$C$4+1/3*(100-Leger2!$C$4)),"B",IF(Leger2!AN14&gt;=Leger2!$C$4,"C","D"))))</f>
        <v/>
      </c>
      <c r="AE14" s="249" t="str">
        <f>IF(Leger2!AP14="","",IF(Leger2!AP14&gt;=(Leger2!$C$4+2/3*(100-Leger2!$C$4)),"A",IF(Leger2!AP14&gt;=(Leger2!$C$4+1/3*(100-Leger2!$C$4)),"B",IF(Leger2!AP14&gt;=Leger2!$C$4,"C","D"))))</f>
        <v/>
      </c>
      <c r="AF14" s="252" t="str">
        <f>IF(Leger2!AQ14="","",IF(Leger2!AQ14&gt;=(Leger2!$C$4+2/3*(100-Leger2!$C$4)),"A",IF(Leger2!AQ14&gt;=(Leger2!$C$4+1/3*(100-Leger2!$C$4)),"B",IF(Leger2!AQ14&gt;=Leger2!$C$4,"C","D"))))</f>
        <v/>
      </c>
      <c r="AG14" s="249" t="str">
        <f>IF(Leger2!AS14="","",IF(Leger2!AS14&gt;=(Leger2!$C$4+2/3*(100-Leger2!$C$4)),"A",IF(Leger2!AS14&gt;=(Leger2!$C$4+1/3*(100-Leger2!$C$4)),"B",IF(Leger2!AS14&gt;=Leger2!$C$4,"C","D"))))</f>
        <v/>
      </c>
      <c r="AH14" s="252" t="str">
        <f>IF(Leger2!AT14="","",IF(Leger2!AT14&gt;=(Leger2!$C$4+2/3*(100-Leger2!$C$4)),"A",IF(Leger2!AT14&gt;=(Leger2!$C$4+1/3*(100-Leger2!$C$4)),"B",IF(Leger2!AT14&gt;=Leger2!$C$4,"C","D"))))</f>
        <v/>
      </c>
      <c r="AI14" s="249" t="str">
        <f>IF(Leger2!AV14="","",IF(Leger2!AV14&gt;=(Leger2!$C$4+2/3*(100-Leger2!$C$4)),"A",IF(Leger2!AV14&gt;=(Leger2!$C$4+1/3*(100-Leger2!$C$4)),"B",IF(Leger2!AV14&gt;=Leger2!$C$4,"C","D"))))</f>
        <v/>
      </c>
      <c r="AJ14" s="252" t="str">
        <f>IF(Leger2!AW14="","",IF(Leger2!AW14&gt;=(Leger2!$C$4+2/3*(100-Leger2!$C$4)),"A",IF(Leger2!AW14&gt;=(Leger2!$C$4+1/3*(100-Leger2!$C$4)),"B",IF(Leger2!AW14&gt;=Leger2!$C$4,"C","D"))))</f>
        <v/>
      </c>
      <c r="AK14" s="249" t="str">
        <f>IF(Leger2!AY14="","",IF(Leger2!AY14&gt;=(Leger2!$C$4+2/3*(100-Leger2!$C$4)),"A",IF(Leger2!AY14&gt;=(Leger2!$C$4+1/3*(100-Leger2!$C$4)),"B",IF(Leger2!AY14&gt;=Leger2!$C$4,"C","D"))))</f>
        <v/>
      </c>
      <c r="AL14" s="252" t="str">
        <f>IF(Leger2!AZ14="","",IF(Leger2!AZ14&gt;=(Leger2!$C$4+2/3*(100-Leger2!$C$4)),"A",IF(Leger2!AZ14&gt;=(Leger2!$C$4+1/3*(100-Leger2!$C$4)),"B",IF(Leger2!AZ14&gt;=Leger2!$C$4,"C","D"))))</f>
        <v/>
      </c>
    </row>
    <row r="15" spans="2:38">
      <c r="E15" s="211">
        <f>Biodata!B14</f>
        <v>9</v>
      </c>
      <c r="F15" s="212">
        <f>IF(Biodata!C14="","",VLOOKUP(E15,Biodata_Siswa,2,FALSE))</f>
        <v>7068</v>
      </c>
      <c r="G15" s="1015" t="str">
        <f>IF(Biodata!E14="","",PROPER(VLOOKUP(E15,Biodata_Siswa,4,FALSE)))</f>
        <v>Bayu Anggoro</v>
      </c>
      <c r="H15" s="1016"/>
      <c r="I15" s="249" t="str">
        <f>IF(Leger2!I15="","",IF(Leger2!I15&gt;=(Leger2!$C$4+2/3*(100-Leger2!$C$4)),"A",IF(Leger2!I15&gt;=(Leger2!$C$4+1/3*(100-Leger2!$C$4)),"B",IF(Leger2!I15&gt;=Leger2!$C$4,"C","D"))))</f>
        <v/>
      </c>
      <c r="J15" s="252" t="str">
        <f>IF(Leger2!J15="","",IF(Leger2!J15&gt;=(Leger2!$C$4+2/3*(100-Leger2!$C$4)),"A",IF(Leger2!J15&gt;=(Leger2!$C$4+1/3*(100-Leger2!$C$4)),"B",IF(Leger2!J15&gt;=Leger2!$C$4,"C","D"))))</f>
        <v/>
      </c>
      <c r="K15" s="249" t="str">
        <f>IF(Leger2!L15="","",IF(Leger2!L15&gt;=(Leger2!$C$4+2/3*(100-Leger2!$C$4)),"A",IF(Leger2!L15&gt;=(Leger2!$C$4+1/3*(100-Leger2!$C$4)),"B",IF(Leger2!L15&gt;=Leger2!$C$4,"C","D"))))</f>
        <v/>
      </c>
      <c r="L15" s="252" t="str">
        <f>IF(Leger2!M15="","",IF(Leger2!M15&gt;=(Leger2!$C$4+2/3*(100-Leger2!$C$4)),"A",IF(Leger2!M15&gt;=(Leger2!$C$4+1/3*(100-Leger2!$C$4)),"B",IF(Leger2!M15&gt;=Leger2!$C$4,"C","D"))))</f>
        <v/>
      </c>
      <c r="M15" s="249" t="str">
        <f>IF(Leger2!O15="","",IF(Leger2!O15&gt;=(Leger2!$C$4+2/3*(100-Leger2!$C$4)),"A",IF(Leger2!O15&gt;=(Leger2!$C$4+1/3*(100-Leger2!$C$4)),"B",IF(Leger2!O15&gt;=Leger2!$C$4,"C","D"))))</f>
        <v/>
      </c>
      <c r="N15" s="252" t="str">
        <f>IF(Leger2!P15="","",IF(Leger2!P15&gt;=(Leger2!$C$4+2/3*(100-Leger2!$C$4)),"A",IF(Leger2!P15&gt;=(Leger2!$C$4+1/3*(100-Leger2!$C$4)),"B",IF(Leger2!P15&gt;=Leger2!$C$4,"C","D"))))</f>
        <v/>
      </c>
      <c r="O15" s="249" t="str">
        <f>IF(Leger2!R15="","",IF(Leger2!R15&gt;=(Leger2!$C$4+2/3*(100-Leger2!$C$4)),"A",IF(Leger2!R15&gt;=(Leger2!$C$4+1/3*(100-Leger2!$C$4)),"B",IF(Leger2!R15&gt;=Leger2!$C$4,"C","D"))))</f>
        <v/>
      </c>
      <c r="P15" s="252" t="str">
        <f>IF(Leger2!S15="","",IF(Leger2!S15&gt;=(Leger2!$C$4+2/3*(100-Leger2!$C$4)),"A",IF(Leger2!S15&gt;=(Leger2!$C$4+1/3*(100-Leger2!$C$4)),"B",IF(Leger2!S15&gt;=Leger2!$C$4,"C","D"))))</f>
        <v/>
      </c>
      <c r="Q15" s="249" t="str">
        <f>IF(Leger2!U15="","",IF(Leger2!U15&gt;=(Leger2!$C$4+2/3*(100-Leger2!$C$4)),"A",IF(Leger2!U15&gt;=(Leger2!$C$4+1/3*(100-Leger2!$C$4)),"B",IF(Leger2!U15&gt;=Leger2!$C$4,"C","D"))))</f>
        <v/>
      </c>
      <c r="R15" s="252" t="str">
        <f>IF(Leger2!V15="","",IF(Leger2!V15&gt;=(Leger2!$C$4+2/3*(100-Leger2!$C$4)),"A",IF(Leger2!V15&gt;=(Leger2!$C$4+1/3*(100-Leger2!$C$4)),"B",IF(Leger2!V15&gt;=Leger2!$C$4,"C","D"))))</f>
        <v/>
      </c>
      <c r="S15" s="249" t="str">
        <f>IF(Leger2!X15="","",IF(Leger2!X15&gt;=(Leger2!$C$4+2/3*(100-Leger2!$C$4)),"A",IF(Leger2!X15&gt;=(Leger2!$C$4+1/3*(100-Leger2!$C$4)),"B",IF(Leger2!X15&gt;=Leger2!$C$4,"C","D"))))</f>
        <v/>
      </c>
      <c r="T15" s="252" t="str">
        <f>IF(Leger2!Y15="","",IF(Leger2!Y15&gt;=(Leger2!$C$4+2/3*(100-Leger2!$C$4)),"A",IF(Leger2!Y15&gt;=(Leger2!$C$4+1/3*(100-Leger2!$C$4)),"B",IF(Leger2!Y15&gt;=Leger2!$C$4,"C","D"))))</f>
        <v/>
      </c>
      <c r="U15" s="249" t="str">
        <f>IF(Leger2!AA15="","",IF(Leger2!AA15&gt;=(Leger2!$C$4+2/3*(100-Leger2!$C$4)),"A",IF(Leger2!AA15&gt;=(Leger2!$C$4+1/3*(100-Leger2!$C$4)),"B",IF(Leger2!AA15&gt;=Leger2!$C$4,"C","D"))))</f>
        <v/>
      </c>
      <c r="V15" s="252" t="str">
        <f>IF(Leger2!AB15="","",IF(Leger2!AB15&gt;=(Leger2!$C$4+2/3*(100-Leger2!$C$4)),"A",IF(Leger2!AB15&gt;=(Leger2!$C$4+1/3*(100-Leger2!$C$4)),"B",IF(Leger2!AB15&gt;=Leger2!$C$4,"C","D"))))</f>
        <v/>
      </c>
      <c r="W15" s="249" t="str">
        <f>IF(Leger2!AD15="","",IF(Leger2!AD15&gt;=(Leger2!$C$4+2/3*(100-Leger2!$C$4)),"A",IF(Leger2!AD15&gt;=(Leger2!$C$4+1/3*(100-Leger2!$C$4)),"B",IF(Leger2!AD15&gt;=Leger2!$C$4,"C","D"))))</f>
        <v/>
      </c>
      <c r="X15" s="252" t="str">
        <f>IF(Leger2!AE15="","",IF(Leger2!AE15&gt;=(Leger2!$C$4+2/3*(100-Leger2!$C$4)),"A",IF(Leger2!AE15&gt;=(Leger2!$C$4+1/3*(100-Leger2!$C$4)),"B",IF(Leger2!AE15&gt;=Leger2!$C$4,"C","D"))))</f>
        <v/>
      </c>
      <c r="Y15" s="249" t="str">
        <f>IF(Leger2!AG15="","",IF(Leger2!AG15&gt;=(Leger2!$C$4+2/3*(100-Leger2!$C$4)),"A",IF(Leger2!AG15&gt;=(Leger2!$C$4+1/3*(100-Leger2!$C$4)),"B",IF(Leger2!AG15&gt;=Leger2!$C$4,"C","D"))))</f>
        <v/>
      </c>
      <c r="Z15" s="252" t="str">
        <f>IF(Leger2!AH15="","",IF(Leger2!AH15&gt;=(Leger2!$C$4+2/3*(100-Leger2!$C$4)),"A",IF(Leger2!AH15&gt;=(Leger2!$C$4+1/3*(100-Leger2!$C$4)),"B",IF(Leger2!AH15&gt;=Leger2!$C$4,"C","D"))))</f>
        <v/>
      </c>
      <c r="AA15" s="249" t="str">
        <f>IF(Leger2!AJ15="","",IF(Leger2!AJ15&gt;=(Leger2!$C$4+2/3*(100-Leger2!$C$4)),"A",IF(Leger2!AJ15&gt;=(Leger2!$C$4+1/3*(100-Leger2!$C$4)),"B",IF(Leger2!AJ15&gt;=Leger2!$C$4,"C","D"))))</f>
        <v/>
      </c>
      <c r="AB15" s="252" t="str">
        <f>IF(Leger2!AK15="","",IF(Leger2!AK15&gt;=(Leger2!$C$4+2/3*(100-Leger2!$C$4)),"A",IF(Leger2!AK15&gt;=(Leger2!$C$4+1/3*(100-Leger2!$C$4)),"B",IF(Leger2!AK15&gt;=Leger2!$C$4,"C","D"))))</f>
        <v/>
      </c>
      <c r="AC15" s="249" t="str">
        <f>IF(Leger2!AM15="","",IF(Leger2!AM15&gt;=(Leger2!$C$4+2/3*(100-Leger2!$C$4)),"A",IF(Leger2!AM15&gt;=(Leger2!$C$4+1/3*(100-Leger2!$C$4)),"B",IF(Leger2!AM15&gt;=Leger2!$C$4,"C","D"))))</f>
        <v/>
      </c>
      <c r="AD15" s="252" t="str">
        <f>IF(Leger2!AN15="","",IF(Leger2!AN15&gt;=(Leger2!$C$4+2/3*(100-Leger2!$C$4)),"A",IF(Leger2!AN15&gt;=(Leger2!$C$4+1/3*(100-Leger2!$C$4)),"B",IF(Leger2!AN15&gt;=Leger2!$C$4,"C","D"))))</f>
        <v/>
      </c>
      <c r="AE15" s="249" t="str">
        <f>IF(Leger2!AP15="","",IF(Leger2!AP15&gt;=(Leger2!$C$4+2/3*(100-Leger2!$C$4)),"A",IF(Leger2!AP15&gt;=(Leger2!$C$4+1/3*(100-Leger2!$C$4)),"B",IF(Leger2!AP15&gt;=Leger2!$C$4,"C","D"))))</f>
        <v/>
      </c>
      <c r="AF15" s="252" t="str">
        <f>IF(Leger2!AQ15="","",IF(Leger2!AQ15&gt;=(Leger2!$C$4+2/3*(100-Leger2!$C$4)),"A",IF(Leger2!AQ15&gt;=(Leger2!$C$4+1/3*(100-Leger2!$C$4)),"B",IF(Leger2!AQ15&gt;=Leger2!$C$4,"C","D"))))</f>
        <v/>
      </c>
      <c r="AG15" s="249" t="str">
        <f>IF(Leger2!AS15="","",IF(Leger2!AS15&gt;=(Leger2!$C$4+2/3*(100-Leger2!$C$4)),"A",IF(Leger2!AS15&gt;=(Leger2!$C$4+1/3*(100-Leger2!$C$4)),"B",IF(Leger2!AS15&gt;=Leger2!$C$4,"C","D"))))</f>
        <v/>
      </c>
      <c r="AH15" s="252" t="str">
        <f>IF(Leger2!AT15="","",IF(Leger2!AT15&gt;=(Leger2!$C$4+2/3*(100-Leger2!$C$4)),"A",IF(Leger2!AT15&gt;=(Leger2!$C$4+1/3*(100-Leger2!$C$4)),"B",IF(Leger2!AT15&gt;=Leger2!$C$4,"C","D"))))</f>
        <v/>
      </c>
      <c r="AI15" s="249" t="str">
        <f>IF(Leger2!AV15="","",IF(Leger2!AV15&gt;=(Leger2!$C$4+2/3*(100-Leger2!$C$4)),"A",IF(Leger2!AV15&gt;=(Leger2!$C$4+1/3*(100-Leger2!$C$4)),"B",IF(Leger2!AV15&gt;=Leger2!$C$4,"C","D"))))</f>
        <v/>
      </c>
      <c r="AJ15" s="252" t="str">
        <f>IF(Leger2!AW15="","",IF(Leger2!AW15&gt;=(Leger2!$C$4+2/3*(100-Leger2!$C$4)),"A",IF(Leger2!AW15&gt;=(Leger2!$C$4+1/3*(100-Leger2!$C$4)),"B",IF(Leger2!AW15&gt;=Leger2!$C$4,"C","D"))))</f>
        <v/>
      </c>
      <c r="AK15" s="249" t="str">
        <f>IF(Leger2!AY15="","",IF(Leger2!AY15&gt;=(Leger2!$C$4+2/3*(100-Leger2!$C$4)),"A",IF(Leger2!AY15&gt;=(Leger2!$C$4+1/3*(100-Leger2!$C$4)),"B",IF(Leger2!AY15&gt;=Leger2!$C$4,"C","D"))))</f>
        <v/>
      </c>
      <c r="AL15" s="252" t="str">
        <f>IF(Leger2!AZ15="","",IF(Leger2!AZ15&gt;=(Leger2!$C$4+2/3*(100-Leger2!$C$4)),"A",IF(Leger2!AZ15&gt;=(Leger2!$C$4+1/3*(100-Leger2!$C$4)),"B",IF(Leger2!AZ15&gt;=Leger2!$C$4,"C","D"))))</f>
        <v/>
      </c>
    </row>
    <row r="16" spans="2:38">
      <c r="E16" s="211">
        <f>Biodata!B15</f>
        <v>10</v>
      </c>
      <c r="F16" s="212">
        <f>IF(Biodata!C15="","",VLOOKUP(E16,Biodata_Siswa,2,FALSE))</f>
        <v>7069</v>
      </c>
      <c r="G16" s="1015" t="str">
        <f>IF(Biodata!E15="","",PROPER(VLOOKUP(E16,Biodata_Siswa,4,FALSE)))</f>
        <v>Calissta Sabrina Salwa Aurelia</v>
      </c>
      <c r="H16" s="1016"/>
      <c r="I16" s="249" t="str">
        <f>IF(Leger2!I16="","",IF(Leger2!I16&gt;=(Leger2!$C$4+2/3*(100-Leger2!$C$4)),"A",IF(Leger2!I16&gt;=(Leger2!$C$4+1/3*(100-Leger2!$C$4)),"B",IF(Leger2!I16&gt;=Leger2!$C$4,"C","D"))))</f>
        <v/>
      </c>
      <c r="J16" s="252" t="str">
        <f>IF(Leger2!J16="","",IF(Leger2!J16&gt;=(Leger2!$C$4+2/3*(100-Leger2!$C$4)),"A",IF(Leger2!J16&gt;=(Leger2!$C$4+1/3*(100-Leger2!$C$4)),"B",IF(Leger2!J16&gt;=Leger2!$C$4,"C","D"))))</f>
        <v/>
      </c>
      <c r="K16" s="249" t="str">
        <f>IF(Leger2!L16="","",IF(Leger2!L16&gt;=(Leger2!$C$4+2/3*(100-Leger2!$C$4)),"A",IF(Leger2!L16&gt;=(Leger2!$C$4+1/3*(100-Leger2!$C$4)),"B",IF(Leger2!L16&gt;=Leger2!$C$4,"C","D"))))</f>
        <v/>
      </c>
      <c r="L16" s="252" t="str">
        <f>IF(Leger2!M16="","",IF(Leger2!M16&gt;=(Leger2!$C$4+2/3*(100-Leger2!$C$4)),"A",IF(Leger2!M16&gt;=(Leger2!$C$4+1/3*(100-Leger2!$C$4)),"B",IF(Leger2!M16&gt;=Leger2!$C$4,"C","D"))))</f>
        <v/>
      </c>
      <c r="M16" s="249" t="str">
        <f>IF(Leger2!O16="","",IF(Leger2!O16&gt;=(Leger2!$C$4+2/3*(100-Leger2!$C$4)),"A",IF(Leger2!O16&gt;=(Leger2!$C$4+1/3*(100-Leger2!$C$4)),"B",IF(Leger2!O16&gt;=Leger2!$C$4,"C","D"))))</f>
        <v/>
      </c>
      <c r="N16" s="252" t="str">
        <f>IF(Leger2!P16="","",IF(Leger2!P16&gt;=(Leger2!$C$4+2/3*(100-Leger2!$C$4)),"A",IF(Leger2!P16&gt;=(Leger2!$C$4+1/3*(100-Leger2!$C$4)),"B",IF(Leger2!P16&gt;=Leger2!$C$4,"C","D"))))</f>
        <v/>
      </c>
      <c r="O16" s="249" t="str">
        <f>IF(Leger2!R16="","",IF(Leger2!R16&gt;=(Leger2!$C$4+2/3*(100-Leger2!$C$4)),"A",IF(Leger2!R16&gt;=(Leger2!$C$4+1/3*(100-Leger2!$C$4)),"B",IF(Leger2!R16&gt;=Leger2!$C$4,"C","D"))))</f>
        <v/>
      </c>
      <c r="P16" s="252" t="str">
        <f>IF(Leger2!S16="","",IF(Leger2!S16&gt;=(Leger2!$C$4+2/3*(100-Leger2!$C$4)),"A",IF(Leger2!S16&gt;=(Leger2!$C$4+1/3*(100-Leger2!$C$4)),"B",IF(Leger2!S16&gt;=Leger2!$C$4,"C","D"))))</f>
        <v/>
      </c>
      <c r="Q16" s="249" t="str">
        <f>IF(Leger2!U16="","",IF(Leger2!U16&gt;=(Leger2!$C$4+2/3*(100-Leger2!$C$4)),"A",IF(Leger2!U16&gt;=(Leger2!$C$4+1/3*(100-Leger2!$C$4)),"B",IF(Leger2!U16&gt;=Leger2!$C$4,"C","D"))))</f>
        <v/>
      </c>
      <c r="R16" s="252" t="str">
        <f>IF(Leger2!V16="","",IF(Leger2!V16&gt;=(Leger2!$C$4+2/3*(100-Leger2!$C$4)),"A",IF(Leger2!V16&gt;=(Leger2!$C$4+1/3*(100-Leger2!$C$4)),"B",IF(Leger2!V16&gt;=Leger2!$C$4,"C","D"))))</f>
        <v/>
      </c>
      <c r="S16" s="249" t="str">
        <f>IF(Leger2!X16="","",IF(Leger2!X16&gt;=(Leger2!$C$4+2/3*(100-Leger2!$C$4)),"A",IF(Leger2!X16&gt;=(Leger2!$C$4+1/3*(100-Leger2!$C$4)),"B",IF(Leger2!X16&gt;=Leger2!$C$4,"C","D"))))</f>
        <v/>
      </c>
      <c r="T16" s="252" t="str">
        <f>IF(Leger2!Y16="","",IF(Leger2!Y16&gt;=(Leger2!$C$4+2/3*(100-Leger2!$C$4)),"A",IF(Leger2!Y16&gt;=(Leger2!$C$4+1/3*(100-Leger2!$C$4)),"B",IF(Leger2!Y16&gt;=Leger2!$C$4,"C","D"))))</f>
        <v/>
      </c>
      <c r="U16" s="249" t="str">
        <f>IF(Leger2!AA16="","",IF(Leger2!AA16&gt;=(Leger2!$C$4+2/3*(100-Leger2!$C$4)),"A",IF(Leger2!AA16&gt;=(Leger2!$C$4+1/3*(100-Leger2!$C$4)),"B",IF(Leger2!AA16&gt;=Leger2!$C$4,"C","D"))))</f>
        <v/>
      </c>
      <c r="V16" s="252" t="str">
        <f>IF(Leger2!AB16="","",IF(Leger2!AB16&gt;=(Leger2!$C$4+2/3*(100-Leger2!$C$4)),"A",IF(Leger2!AB16&gt;=(Leger2!$C$4+1/3*(100-Leger2!$C$4)),"B",IF(Leger2!AB16&gt;=Leger2!$C$4,"C","D"))))</f>
        <v/>
      </c>
      <c r="W16" s="249" t="str">
        <f>IF(Leger2!AD16="","",IF(Leger2!AD16&gt;=(Leger2!$C$4+2/3*(100-Leger2!$C$4)),"A",IF(Leger2!AD16&gt;=(Leger2!$C$4+1/3*(100-Leger2!$C$4)),"B",IF(Leger2!AD16&gt;=Leger2!$C$4,"C","D"))))</f>
        <v/>
      </c>
      <c r="X16" s="252" t="str">
        <f>IF(Leger2!AE16="","",IF(Leger2!AE16&gt;=(Leger2!$C$4+2/3*(100-Leger2!$C$4)),"A",IF(Leger2!AE16&gt;=(Leger2!$C$4+1/3*(100-Leger2!$C$4)),"B",IF(Leger2!AE16&gt;=Leger2!$C$4,"C","D"))))</f>
        <v/>
      </c>
      <c r="Y16" s="249" t="str">
        <f>IF(Leger2!AG16="","",IF(Leger2!AG16&gt;=(Leger2!$C$4+2/3*(100-Leger2!$C$4)),"A",IF(Leger2!AG16&gt;=(Leger2!$C$4+1/3*(100-Leger2!$C$4)),"B",IF(Leger2!AG16&gt;=Leger2!$C$4,"C","D"))))</f>
        <v/>
      </c>
      <c r="Z16" s="252" t="str">
        <f>IF(Leger2!AH16="","",IF(Leger2!AH16&gt;=(Leger2!$C$4+2/3*(100-Leger2!$C$4)),"A",IF(Leger2!AH16&gt;=(Leger2!$C$4+1/3*(100-Leger2!$C$4)),"B",IF(Leger2!AH16&gt;=Leger2!$C$4,"C","D"))))</f>
        <v/>
      </c>
      <c r="AA16" s="249" t="str">
        <f>IF(Leger2!AJ16="","",IF(Leger2!AJ16&gt;=(Leger2!$C$4+2/3*(100-Leger2!$C$4)),"A",IF(Leger2!AJ16&gt;=(Leger2!$C$4+1/3*(100-Leger2!$C$4)),"B",IF(Leger2!AJ16&gt;=Leger2!$C$4,"C","D"))))</f>
        <v/>
      </c>
      <c r="AB16" s="252" t="str">
        <f>IF(Leger2!AK16="","",IF(Leger2!AK16&gt;=(Leger2!$C$4+2/3*(100-Leger2!$C$4)),"A",IF(Leger2!AK16&gt;=(Leger2!$C$4+1/3*(100-Leger2!$C$4)),"B",IF(Leger2!AK16&gt;=Leger2!$C$4,"C","D"))))</f>
        <v/>
      </c>
      <c r="AC16" s="249" t="str">
        <f>IF(Leger2!AM16="","",IF(Leger2!AM16&gt;=(Leger2!$C$4+2/3*(100-Leger2!$C$4)),"A",IF(Leger2!AM16&gt;=(Leger2!$C$4+1/3*(100-Leger2!$C$4)),"B",IF(Leger2!AM16&gt;=Leger2!$C$4,"C","D"))))</f>
        <v/>
      </c>
      <c r="AD16" s="252" t="str">
        <f>IF(Leger2!AN16="","",IF(Leger2!AN16&gt;=(Leger2!$C$4+2/3*(100-Leger2!$C$4)),"A",IF(Leger2!AN16&gt;=(Leger2!$C$4+1/3*(100-Leger2!$C$4)),"B",IF(Leger2!AN16&gt;=Leger2!$C$4,"C","D"))))</f>
        <v/>
      </c>
      <c r="AE16" s="249" t="str">
        <f>IF(Leger2!AP16="","",IF(Leger2!AP16&gt;=(Leger2!$C$4+2/3*(100-Leger2!$C$4)),"A",IF(Leger2!AP16&gt;=(Leger2!$C$4+1/3*(100-Leger2!$C$4)),"B",IF(Leger2!AP16&gt;=Leger2!$C$4,"C","D"))))</f>
        <v/>
      </c>
      <c r="AF16" s="252" t="str">
        <f>IF(Leger2!AQ16="","",IF(Leger2!AQ16&gt;=(Leger2!$C$4+2/3*(100-Leger2!$C$4)),"A",IF(Leger2!AQ16&gt;=(Leger2!$C$4+1/3*(100-Leger2!$C$4)),"B",IF(Leger2!AQ16&gt;=Leger2!$C$4,"C","D"))))</f>
        <v/>
      </c>
      <c r="AG16" s="249" t="str">
        <f>IF(Leger2!AS16="","",IF(Leger2!AS16&gt;=(Leger2!$C$4+2/3*(100-Leger2!$C$4)),"A",IF(Leger2!AS16&gt;=(Leger2!$C$4+1/3*(100-Leger2!$C$4)),"B",IF(Leger2!AS16&gt;=Leger2!$C$4,"C","D"))))</f>
        <v/>
      </c>
      <c r="AH16" s="252" t="str">
        <f>IF(Leger2!AT16="","",IF(Leger2!AT16&gt;=(Leger2!$C$4+2/3*(100-Leger2!$C$4)),"A",IF(Leger2!AT16&gt;=(Leger2!$C$4+1/3*(100-Leger2!$C$4)),"B",IF(Leger2!AT16&gt;=Leger2!$C$4,"C","D"))))</f>
        <v/>
      </c>
      <c r="AI16" s="249" t="str">
        <f>IF(Leger2!AV16="","",IF(Leger2!AV16&gt;=(Leger2!$C$4+2/3*(100-Leger2!$C$4)),"A",IF(Leger2!AV16&gt;=(Leger2!$C$4+1/3*(100-Leger2!$C$4)),"B",IF(Leger2!AV16&gt;=Leger2!$C$4,"C","D"))))</f>
        <v/>
      </c>
      <c r="AJ16" s="252" t="str">
        <f>IF(Leger2!AW16="","",IF(Leger2!AW16&gt;=(Leger2!$C$4+2/3*(100-Leger2!$C$4)),"A",IF(Leger2!AW16&gt;=(Leger2!$C$4+1/3*(100-Leger2!$C$4)),"B",IF(Leger2!AW16&gt;=Leger2!$C$4,"C","D"))))</f>
        <v/>
      </c>
      <c r="AK16" s="249" t="str">
        <f>IF(Leger2!AY16="","",IF(Leger2!AY16&gt;=(Leger2!$C$4+2/3*(100-Leger2!$C$4)),"A",IF(Leger2!AY16&gt;=(Leger2!$C$4+1/3*(100-Leger2!$C$4)),"B",IF(Leger2!AY16&gt;=Leger2!$C$4,"C","D"))))</f>
        <v/>
      </c>
      <c r="AL16" s="252" t="str">
        <f>IF(Leger2!AZ16="","",IF(Leger2!AZ16&gt;=(Leger2!$C$4+2/3*(100-Leger2!$C$4)),"A",IF(Leger2!AZ16&gt;=(Leger2!$C$4+1/3*(100-Leger2!$C$4)),"B",IF(Leger2!AZ16&gt;=Leger2!$C$4,"C","D"))))</f>
        <v/>
      </c>
    </row>
    <row r="17" spans="2:38">
      <c r="E17" s="211">
        <f>Biodata!B16</f>
        <v>11</v>
      </c>
      <c r="F17" s="212">
        <f>IF(Biodata!C16="","",VLOOKUP(E17,Biodata_Siswa,2,FALSE))</f>
        <v>7074</v>
      </c>
      <c r="G17" s="1015" t="str">
        <f>IF(Biodata!E16="","",PROPER(VLOOKUP(E17,Biodata_Siswa,4,FALSE)))</f>
        <v>Dea Safitri</v>
      </c>
      <c r="H17" s="1016"/>
      <c r="I17" s="249" t="str">
        <f>IF(Leger2!I17="","",IF(Leger2!I17&gt;=(Leger2!$C$4+2/3*(100-Leger2!$C$4)),"A",IF(Leger2!I17&gt;=(Leger2!$C$4+1/3*(100-Leger2!$C$4)),"B",IF(Leger2!I17&gt;=Leger2!$C$4,"C","D"))))</f>
        <v/>
      </c>
      <c r="J17" s="252" t="str">
        <f>IF(Leger2!J17="","",IF(Leger2!J17&gt;=(Leger2!$C$4+2/3*(100-Leger2!$C$4)),"A",IF(Leger2!J17&gt;=(Leger2!$C$4+1/3*(100-Leger2!$C$4)),"B",IF(Leger2!J17&gt;=Leger2!$C$4,"C","D"))))</f>
        <v/>
      </c>
      <c r="K17" s="249" t="str">
        <f>IF(Leger2!L17="","",IF(Leger2!L17&gt;=(Leger2!$C$4+2/3*(100-Leger2!$C$4)),"A",IF(Leger2!L17&gt;=(Leger2!$C$4+1/3*(100-Leger2!$C$4)),"B",IF(Leger2!L17&gt;=Leger2!$C$4,"C","D"))))</f>
        <v/>
      </c>
      <c r="L17" s="252" t="str">
        <f>IF(Leger2!M17="","",IF(Leger2!M17&gt;=(Leger2!$C$4+2/3*(100-Leger2!$C$4)),"A",IF(Leger2!M17&gt;=(Leger2!$C$4+1/3*(100-Leger2!$C$4)),"B",IF(Leger2!M17&gt;=Leger2!$C$4,"C","D"))))</f>
        <v/>
      </c>
      <c r="M17" s="249" t="str">
        <f>IF(Leger2!O17="","",IF(Leger2!O17&gt;=(Leger2!$C$4+2/3*(100-Leger2!$C$4)),"A",IF(Leger2!O17&gt;=(Leger2!$C$4+1/3*(100-Leger2!$C$4)),"B",IF(Leger2!O17&gt;=Leger2!$C$4,"C","D"))))</f>
        <v/>
      </c>
      <c r="N17" s="252" t="str">
        <f>IF(Leger2!P17="","",IF(Leger2!P17&gt;=(Leger2!$C$4+2/3*(100-Leger2!$C$4)),"A",IF(Leger2!P17&gt;=(Leger2!$C$4+1/3*(100-Leger2!$C$4)),"B",IF(Leger2!P17&gt;=Leger2!$C$4,"C","D"))))</f>
        <v/>
      </c>
      <c r="O17" s="249" t="str">
        <f>IF(Leger2!R17="","",IF(Leger2!R17&gt;=(Leger2!$C$4+2/3*(100-Leger2!$C$4)),"A",IF(Leger2!R17&gt;=(Leger2!$C$4+1/3*(100-Leger2!$C$4)),"B",IF(Leger2!R17&gt;=Leger2!$C$4,"C","D"))))</f>
        <v/>
      </c>
      <c r="P17" s="252" t="str">
        <f>IF(Leger2!S17="","",IF(Leger2!S17&gt;=(Leger2!$C$4+2/3*(100-Leger2!$C$4)),"A",IF(Leger2!S17&gt;=(Leger2!$C$4+1/3*(100-Leger2!$C$4)),"B",IF(Leger2!S17&gt;=Leger2!$C$4,"C","D"))))</f>
        <v/>
      </c>
      <c r="Q17" s="249" t="str">
        <f>IF(Leger2!U17="","",IF(Leger2!U17&gt;=(Leger2!$C$4+2/3*(100-Leger2!$C$4)),"A",IF(Leger2!U17&gt;=(Leger2!$C$4+1/3*(100-Leger2!$C$4)),"B",IF(Leger2!U17&gt;=Leger2!$C$4,"C","D"))))</f>
        <v/>
      </c>
      <c r="R17" s="252" t="str">
        <f>IF(Leger2!V17="","",IF(Leger2!V17&gt;=(Leger2!$C$4+2/3*(100-Leger2!$C$4)),"A",IF(Leger2!V17&gt;=(Leger2!$C$4+1/3*(100-Leger2!$C$4)),"B",IF(Leger2!V17&gt;=Leger2!$C$4,"C","D"))))</f>
        <v/>
      </c>
      <c r="S17" s="249" t="str">
        <f>IF(Leger2!X17="","",IF(Leger2!X17&gt;=(Leger2!$C$4+2/3*(100-Leger2!$C$4)),"A",IF(Leger2!X17&gt;=(Leger2!$C$4+1/3*(100-Leger2!$C$4)),"B",IF(Leger2!X17&gt;=Leger2!$C$4,"C","D"))))</f>
        <v/>
      </c>
      <c r="T17" s="252" t="str">
        <f>IF(Leger2!Y17="","",IF(Leger2!Y17&gt;=(Leger2!$C$4+2/3*(100-Leger2!$C$4)),"A",IF(Leger2!Y17&gt;=(Leger2!$C$4+1/3*(100-Leger2!$C$4)),"B",IF(Leger2!Y17&gt;=Leger2!$C$4,"C","D"))))</f>
        <v/>
      </c>
      <c r="U17" s="249" t="str">
        <f>IF(Leger2!AA17="","",IF(Leger2!AA17&gt;=(Leger2!$C$4+2/3*(100-Leger2!$C$4)),"A",IF(Leger2!AA17&gt;=(Leger2!$C$4+1/3*(100-Leger2!$C$4)),"B",IF(Leger2!AA17&gt;=Leger2!$C$4,"C","D"))))</f>
        <v/>
      </c>
      <c r="V17" s="252" t="str">
        <f>IF(Leger2!AB17="","",IF(Leger2!AB17&gt;=(Leger2!$C$4+2/3*(100-Leger2!$C$4)),"A",IF(Leger2!AB17&gt;=(Leger2!$C$4+1/3*(100-Leger2!$C$4)),"B",IF(Leger2!AB17&gt;=Leger2!$C$4,"C","D"))))</f>
        <v/>
      </c>
      <c r="W17" s="249" t="str">
        <f>IF(Leger2!AD17="","",IF(Leger2!AD17&gt;=(Leger2!$C$4+2/3*(100-Leger2!$C$4)),"A",IF(Leger2!AD17&gt;=(Leger2!$C$4+1/3*(100-Leger2!$C$4)),"B",IF(Leger2!AD17&gt;=Leger2!$C$4,"C","D"))))</f>
        <v/>
      </c>
      <c r="X17" s="252" t="str">
        <f>IF(Leger2!AE17="","",IF(Leger2!AE17&gt;=(Leger2!$C$4+2/3*(100-Leger2!$C$4)),"A",IF(Leger2!AE17&gt;=(Leger2!$C$4+1/3*(100-Leger2!$C$4)),"B",IF(Leger2!AE17&gt;=Leger2!$C$4,"C","D"))))</f>
        <v/>
      </c>
      <c r="Y17" s="249" t="str">
        <f>IF(Leger2!AG17="","",IF(Leger2!AG17&gt;=(Leger2!$C$4+2/3*(100-Leger2!$C$4)),"A",IF(Leger2!AG17&gt;=(Leger2!$C$4+1/3*(100-Leger2!$C$4)),"B",IF(Leger2!AG17&gt;=Leger2!$C$4,"C","D"))))</f>
        <v/>
      </c>
      <c r="Z17" s="252" t="str">
        <f>IF(Leger2!AH17="","",IF(Leger2!AH17&gt;=(Leger2!$C$4+2/3*(100-Leger2!$C$4)),"A",IF(Leger2!AH17&gt;=(Leger2!$C$4+1/3*(100-Leger2!$C$4)),"B",IF(Leger2!AH17&gt;=Leger2!$C$4,"C","D"))))</f>
        <v/>
      </c>
      <c r="AA17" s="249" t="str">
        <f>IF(Leger2!AJ17="","",IF(Leger2!AJ17&gt;=(Leger2!$C$4+2/3*(100-Leger2!$C$4)),"A",IF(Leger2!AJ17&gt;=(Leger2!$C$4+1/3*(100-Leger2!$C$4)),"B",IF(Leger2!AJ17&gt;=Leger2!$C$4,"C","D"))))</f>
        <v/>
      </c>
      <c r="AB17" s="252" t="str">
        <f>IF(Leger2!AK17="","",IF(Leger2!AK17&gt;=(Leger2!$C$4+2/3*(100-Leger2!$C$4)),"A",IF(Leger2!AK17&gt;=(Leger2!$C$4+1/3*(100-Leger2!$C$4)),"B",IF(Leger2!AK17&gt;=Leger2!$C$4,"C","D"))))</f>
        <v/>
      </c>
      <c r="AC17" s="249" t="str">
        <f>IF(Leger2!AM17="","",IF(Leger2!AM17&gt;=(Leger2!$C$4+2/3*(100-Leger2!$C$4)),"A",IF(Leger2!AM17&gt;=(Leger2!$C$4+1/3*(100-Leger2!$C$4)),"B",IF(Leger2!AM17&gt;=Leger2!$C$4,"C","D"))))</f>
        <v/>
      </c>
      <c r="AD17" s="252" t="str">
        <f>IF(Leger2!AN17="","",IF(Leger2!AN17&gt;=(Leger2!$C$4+2/3*(100-Leger2!$C$4)),"A",IF(Leger2!AN17&gt;=(Leger2!$C$4+1/3*(100-Leger2!$C$4)),"B",IF(Leger2!AN17&gt;=Leger2!$C$4,"C","D"))))</f>
        <v/>
      </c>
      <c r="AE17" s="249" t="str">
        <f>IF(Leger2!AP17="","",IF(Leger2!AP17&gt;=(Leger2!$C$4+2/3*(100-Leger2!$C$4)),"A",IF(Leger2!AP17&gt;=(Leger2!$C$4+1/3*(100-Leger2!$C$4)),"B",IF(Leger2!AP17&gt;=Leger2!$C$4,"C","D"))))</f>
        <v/>
      </c>
      <c r="AF17" s="252" t="str">
        <f>IF(Leger2!AQ17="","",IF(Leger2!AQ17&gt;=(Leger2!$C$4+2/3*(100-Leger2!$C$4)),"A",IF(Leger2!AQ17&gt;=(Leger2!$C$4+1/3*(100-Leger2!$C$4)),"B",IF(Leger2!AQ17&gt;=Leger2!$C$4,"C","D"))))</f>
        <v/>
      </c>
      <c r="AG17" s="249" t="str">
        <f>IF(Leger2!AS17="","",IF(Leger2!AS17&gt;=(Leger2!$C$4+2/3*(100-Leger2!$C$4)),"A",IF(Leger2!AS17&gt;=(Leger2!$C$4+1/3*(100-Leger2!$C$4)),"B",IF(Leger2!AS17&gt;=Leger2!$C$4,"C","D"))))</f>
        <v/>
      </c>
      <c r="AH17" s="252" t="str">
        <f>IF(Leger2!AT17="","",IF(Leger2!AT17&gt;=(Leger2!$C$4+2/3*(100-Leger2!$C$4)),"A",IF(Leger2!AT17&gt;=(Leger2!$C$4+1/3*(100-Leger2!$C$4)),"B",IF(Leger2!AT17&gt;=Leger2!$C$4,"C","D"))))</f>
        <v/>
      </c>
      <c r="AI17" s="249" t="str">
        <f>IF(Leger2!AV17="","",IF(Leger2!AV17&gt;=(Leger2!$C$4+2/3*(100-Leger2!$C$4)),"A",IF(Leger2!AV17&gt;=(Leger2!$C$4+1/3*(100-Leger2!$C$4)),"B",IF(Leger2!AV17&gt;=Leger2!$C$4,"C","D"))))</f>
        <v/>
      </c>
      <c r="AJ17" s="252" t="str">
        <f>IF(Leger2!AW17="","",IF(Leger2!AW17&gt;=(Leger2!$C$4+2/3*(100-Leger2!$C$4)),"A",IF(Leger2!AW17&gt;=(Leger2!$C$4+1/3*(100-Leger2!$C$4)),"B",IF(Leger2!AW17&gt;=Leger2!$C$4,"C","D"))))</f>
        <v/>
      </c>
      <c r="AK17" s="249" t="str">
        <f>IF(Leger2!AY17="","",IF(Leger2!AY17&gt;=(Leger2!$C$4+2/3*(100-Leger2!$C$4)),"A",IF(Leger2!AY17&gt;=(Leger2!$C$4+1/3*(100-Leger2!$C$4)),"B",IF(Leger2!AY17&gt;=Leger2!$C$4,"C","D"))))</f>
        <v/>
      </c>
      <c r="AL17" s="252" t="str">
        <f>IF(Leger2!AZ17="","",IF(Leger2!AZ17&gt;=(Leger2!$C$4+2/3*(100-Leger2!$C$4)),"A",IF(Leger2!AZ17&gt;=(Leger2!$C$4+1/3*(100-Leger2!$C$4)),"B",IF(Leger2!AZ17&gt;=Leger2!$C$4,"C","D"))))</f>
        <v/>
      </c>
    </row>
    <row r="18" spans="2:38">
      <c r="E18" s="211">
        <f>Biodata!B17</f>
        <v>12</v>
      </c>
      <c r="F18" s="212">
        <f>IF(Biodata!C17="","",VLOOKUP(E18,Biodata_Siswa,2,FALSE))</f>
        <v>7080</v>
      </c>
      <c r="G18" s="1015" t="str">
        <f>IF(Biodata!E17="","",PROPER(VLOOKUP(E18,Biodata_Siswa,4,FALSE)))</f>
        <v>Dewi Wulandari</v>
      </c>
      <c r="H18" s="1016"/>
      <c r="I18" s="249" t="str">
        <f>IF(Leger2!I18="","",IF(Leger2!I18&gt;=(Leger2!$C$4+2/3*(100-Leger2!$C$4)),"A",IF(Leger2!I18&gt;=(Leger2!$C$4+1/3*(100-Leger2!$C$4)),"B",IF(Leger2!I18&gt;=Leger2!$C$4,"C","D"))))</f>
        <v/>
      </c>
      <c r="J18" s="252" t="str">
        <f>IF(Leger2!J18="","",IF(Leger2!J18&gt;=(Leger2!$C$4+2/3*(100-Leger2!$C$4)),"A",IF(Leger2!J18&gt;=(Leger2!$C$4+1/3*(100-Leger2!$C$4)),"B",IF(Leger2!J18&gt;=Leger2!$C$4,"C","D"))))</f>
        <v/>
      </c>
      <c r="K18" s="249" t="str">
        <f>IF(Leger2!L18="","",IF(Leger2!L18&gt;=(Leger2!$C$4+2/3*(100-Leger2!$C$4)),"A",IF(Leger2!L18&gt;=(Leger2!$C$4+1/3*(100-Leger2!$C$4)),"B",IF(Leger2!L18&gt;=Leger2!$C$4,"C","D"))))</f>
        <v/>
      </c>
      <c r="L18" s="252" t="str">
        <f>IF(Leger2!M18="","",IF(Leger2!M18&gt;=(Leger2!$C$4+2/3*(100-Leger2!$C$4)),"A",IF(Leger2!M18&gt;=(Leger2!$C$4+1/3*(100-Leger2!$C$4)),"B",IF(Leger2!M18&gt;=Leger2!$C$4,"C","D"))))</f>
        <v/>
      </c>
      <c r="M18" s="249" t="str">
        <f>IF(Leger2!O18="","",IF(Leger2!O18&gt;=(Leger2!$C$4+2/3*(100-Leger2!$C$4)),"A",IF(Leger2!O18&gt;=(Leger2!$C$4+1/3*(100-Leger2!$C$4)),"B",IF(Leger2!O18&gt;=Leger2!$C$4,"C","D"))))</f>
        <v/>
      </c>
      <c r="N18" s="252" t="str">
        <f>IF(Leger2!P18="","",IF(Leger2!P18&gt;=(Leger2!$C$4+2/3*(100-Leger2!$C$4)),"A",IF(Leger2!P18&gt;=(Leger2!$C$4+1/3*(100-Leger2!$C$4)),"B",IF(Leger2!P18&gt;=Leger2!$C$4,"C","D"))))</f>
        <v/>
      </c>
      <c r="O18" s="249" t="str">
        <f>IF(Leger2!R18="","",IF(Leger2!R18&gt;=(Leger2!$C$4+2/3*(100-Leger2!$C$4)),"A",IF(Leger2!R18&gt;=(Leger2!$C$4+1/3*(100-Leger2!$C$4)),"B",IF(Leger2!R18&gt;=Leger2!$C$4,"C","D"))))</f>
        <v/>
      </c>
      <c r="P18" s="252" t="str">
        <f>IF(Leger2!S18="","",IF(Leger2!S18&gt;=(Leger2!$C$4+2/3*(100-Leger2!$C$4)),"A",IF(Leger2!S18&gt;=(Leger2!$C$4+1/3*(100-Leger2!$C$4)),"B",IF(Leger2!S18&gt;=Leger2!$C$4,"C","D"))))</f>
        <v/>
      </c>
      <c r="Q18" s="249" t="str">
        <f>IF(Leger2!U18="","",IF(Leger2!U18&gt;=(Leger2!$C$4+2/3*(100-Leger2!$C$4)),"A",IF(Leger2!U18&gt;=(Leger2!$C$4+1/3*(100-Leger2!$C$4)),"B",IF(Leger2!U18&gt;=Leger2!$C$4,"C","D"))))</f>
        <v/>
      </c>
      <c r="R18" s="252" t="str">
        <f>IF(Leger2!V18="","",IF(Leger2!V18&gt;=(Leger2!$C$4+2/3*(100-Leger2!$C$4)),"A",IF(Leger2!V18&gt;=(Leger2!$C$4+1/3*(100-Leger2!$C$4)),"B",IF(Leger2!V18&gt;=Leger2!$C$4,"C","D"))))</f>
        <v/>
      </c>
      <c r="S18" s="249" t="str">
        <f>IF(Leger2!X18="","",IF(Leger2!X18&gt;=(Leger2!$C$4+2/3*(100-Leger2!$C$4)),"A",IF(Leger2!X18&gt;=(Leger2!$C$4+1/3*(100-Leger2!$C$4)),"B",IF(Leger2!X18&gt;=Leger2!$C$4,"C","D"))))</f>
        <v/>
      </c>
      <c r="T18" s="252" t="str">
        <f>IF(Leger2!Y18="","",IF(Leger2!Y18&gt;=(Leger2!$C$4+2/3*(100-Leger2!$C$4)),"A",IF(Leger2!Y18&gt;=(Leger2!$C$4+1/3*(100-Leger2!$C$4)),"B",IF(Leger2!Y18&gt;=Leger2!$C$4,"C","D"))))</f>
        <v/>
      </c>
      <c r="U18" s="249" t="str">
        <f>IF(Leger2!AA18="","",IF(Leger2!AA18&gt;=(Leger2!$C$4+2/3*(100-Leger2!$C$4)),"A",IF(Leger2!AA18&gt;=(Leger2!$C$4+1/3*(100-Leger2!$C$4)),"B",IF(Leger2!AA18&gt;=Leger2!$C$4,"C","D"))))</f>
        <v/>
      </c>
      <c r="V18" s="252" t="str">
        <f>IF(Leger2!AB18="","",IF(Leger2!AB18&gt;=(Leger2!$C$4+2/3*(100-Leger2!$C$4)),"A",IF(Leger2!AB18&gt;=(Leger2!$C$4+1/3*(100-Leger2!$C$4)),"B",IF(Leger2!AB18&gt;=Leger2!$C$4,"C","D"))))</f>
        <v/>
      </c>
      <c r="W18" s="249" t="str">
        <f>IF(Leger2!AD18="","",IF(Leger2!AD18&gt;=(Leger2!$C$4+2/3*(100-Leger2!$C$4)),"A",IF(Leger2!AD18&gt;=(Leger2!$C$4+1/3*(100-Leger2!$C$4)),"B",IF(Leger2!AD18&gt;=Leger2!$C$4,"C","D"))))</f>
        <v/>
      </c>
      <c r="X18" s="252" t="str">
        <f>IF(Leger2!AE18="","",IF(Leger2!AE18&gt;=(Leger2!$C$4+2/3*(100-Leger2!$C$4)),"A",IF(Leger2!AE18&gt;=(Leger2!$C$4+1/3*(100-Leger2!$C$4)),"B",IF(Leger2!AE18&gt;=Leger2!$C$4,"C","D"))))</f>
        <v/>
      </c>
      <c r="Y18" s="249" t="str">
        <f>IF(Leger2!AG18="","",IF(Leger2!AG18&gt;=(Leger2!$C$4+2/3*(100-Leger2!$C$4)),"A",IF(Leger2!AG18&gt;=(Leger2!$C$4+1/3*(100-Leger2!$C$4)),"B",IF(Leger2!AG18&gt;=Leger2!$C$4,"C","D"))))</f>
        <v/>
      </c>
      <c r="Z18" s="252" t="str">
        <f>IF(Leger2!AH18="","",IF(Leger2!AH18&gt;=(Leger2!$C$4+2/3*(100-Leger2!$C$4)),"A",IF(Leger2!AH18&gt;=(Leger2!$C$4+1/3*(100-Leger2!$C$4)),"B",IF(Leger2!AH18&gt;=Leger2!$C$4,"C","D"))))</f>
        <v/>
      </c>
      <c r="AA18" s="249" t="str">
        <f>IF(Leger2!AJ18="","",IF(Leger2!AJ18&gt;=(Leger2!$C$4+2/3*(100-Leger2!$C$4)),"A",IF(Leger2!AJ18&gt;=(Leger2!$C$4+1/3*(100-Leger2!$C$4)),"B",IF(Leger2!AJ18&gt;=Leger2!$C$4,"C","D"))))</f>
        <v/>
      </c>
      <c r="AB18" s="252" t="str">
        <f>IF(Leger2!AK18="","",IF(Leger2!AK18&gt;=(Leger2!$C$4+2/3*(100-Leger2!$C$4)),"A",IF(Leger2!AK18&gt;=(Leger2!$C$4+1/3*(100-Leger2!$C$4)),"B",IF(Leger2!AK18&gt;=Leger2!$C$4,"C","D"))))</f>
        <v/>
      </c>
      <c r="AC18" s="249" t="str">
        <f>IF(Leger2!AM18="","",IF(Leger2!AM18&gt;=(Leger2!$C$4+2/3*(100-Leger2!$C$4)),"A",IF(Leger2!AM18&gt;=(Leger2!$C$4+1/3*(100-Leger2!$C$4)),"B",IF(Leger2!AM18&gt;=Leger2!$C$4,"C","D"))))</f>
        <v/>
      </c>
      <c r="AD18" s="252" t="str">
        <f>IF(Leger2!AN18="","",IF(Leger2!AN18&gt;=(Leger2!$C$4+2/3*(100-Leger2!$C$4)),"A",IF(Leger2!AN18&gt;=(Leger2!$C$4+1/3*(100-Leger2!$C$4)),"B",IF(Leger2!AN18&gt;=Leger2!$C$4,"C","D"))))</f>
        <v/>
      </c>
      <c r="AE18" s="249" t="str">
        <f>IF(Leger2!AP18="","",IF(Leger2!AP18&gt;=(Leger2!$C$4+2/3*(100-Leger2!$C$4)),"A",IF(Leger2!AP18&gt;=(Leger2!$C$4+1/3*(100-Leger2!$C$4)),"B",IF(Leger2!AP18&gt;=Leger2!$C$4,"C","D"))))</f>
        <v/>
      </c>
      <c r="AF18" s="252" t="str">
        <f>IF(Leger2!AQ18="","",IF(Leger2!AQ18&gt;=(Leger2!$C$4+2/3*(100-Leger2!$C$4)),"A",IF(Leger2!AQ18&gt;=(Leger2!$C$4+1/3*(100-Leger2!$C$4)),"B",IF(Leger2!AQ18&gt;=Leger2!$C$4,"C","D"))))</f>
        <v/>
      </c>
      <c r="AG18" s="249" t="str">
        <f>IF(Leger2!AS18="","",IF(Leger2!AS18&gt;=(Leger2!$C$4+2/3*(100-Leger2!$C$4)),"A",IF(Leger2!AS18&gt;=(Leger2!$C$4+1/3*(100-Leger2!$C$4)),"B",IF(Leger2!AS18&gt;=Leger2!$C$4,"C","D"))))</f>
        <v/>
      </c>
      <c r="AH18" s="252" t="str">
        <f>IF(Leger2!AT18="","",IF(Leger2!AT18&gt;=(Leger2!$C$4+2/3*(100-Leger2!$C$4)),"A",IF(Leger2!AT18&gt;=(Leger2!$C$4+1/3*(100-Leger2!$C$4)),"B",IF(Leger2!AT18&gt;=Leger2!$C$4,"C","D"))))</f>
        <v/>
      </c>
      <c r="AI18" s="249" t="str">
        <f>IF(Leger2!AV18="","",IF(Leger2!AV18&gt;=(Leger2!$C$4+2/3*(100-Leger2!$C$4)),"A",IF(Leger2!AV18&gt;=(Leger2!$C$4+1/3*(100-Leger2!$C$4)),"B",IF(Leger2!AV18&gt;=Leger2!$C$4,"C","D"))))</f>
        <v/>
      </c>
      <c r="AJ18" s="252" t="str">
        <f>IF(Leger2!AW18="","",IF(Leger2!AW18&gt;=(Leger2!$C$4+2/3*(100-Leger2!$C$4)),"A",IF(Leger2!AW18&gt;=(Leger2!$C$4+1/3*(100-Leger2!$C$4)),"B",IF(Leger2!AW18&gt;=Leger2!$C$4,"C","D"))))</f>
        <v/>
      </c>
      <c r="AK18" s="249" t="str">
        <f>IF(Leger2!AY18="","",IF(Leger2!AY18&gt;=(Leger2!$C$4+2/3*(100-Leger2!$C$4)),"A",IF(Leger2!AY18&gt;=(Leger2!$C$4+1/3*(100-Leger2!$C$4)),"B",IF(Leger2!AY18&gt;=Leger2!$C$4,"C","D"))))</f>
        <v/>
      </c>
      <c r="AL18" s="252" t="str">
        <f>IF(Leger2!AZ18="","",IF(Leger2!AZ18&gt;=(Leger2!$C$4+2/3*(100-Leger2!$C$4)),"A",IF(Leger2!AZ18&gt;=(Leger2!$C$4+1/3*(100-Leger2!$C$4)),"B",IF(Leger2!AZ18&gt;=Leger2!$C$4,"C","D"))))</f>
        <v/>
      </c>
    </row>
    <row r="19" spans="2:38">
      <c r="E19" s="211">
        <f>Biodata!B18</f>
        <v>13</v>
      </c>
      <c r="F19" s="212">
        <f>IF(Biodata!C18="","",VLOOKUP(E19,Biodata_Siswa,2,FALSE))</f>
        <v>7084</v>
      </c>
      <c r="G19" s="1015" t="str">
        <f>IF(Biodata!E18="","",PROPER(VLOOKUP(E19,Biodata_Siswa,4,FALSE)))</f>
        <v>Dony Pratama</v>
      </c>
      <c r="H19" s="1016"/>
      <c r="I19" s="249" t="str">
        <f>IF(Leger2!I19="","",IF(Leger2!I19&gt;=(Leger2!$C$4+2/3*(100-Leger2!$C$4)),"A",IF(Leger2!I19&gt;=(Leger2!$C$4+1/3*(100-Leger2!$C$4)),"B",IF(Leger2!I19&gt;=Leger2!$C$4,"C","D"))))</f>
        <v/>
      </c>
      <c r="J19" s="252" t="str">
        <f>IF(Leger2!J19="","",IF(Leger2!J19&gt;=(Leger2!$C$4+2/3*(100-Leger2!$C$4)),"A",IF(Leger2!J19&gt;=(Leger2!$C$4+1/3*(100-Leger2!$C$4)),"B",IF(Leger2!J19&gt;=Leger2!$C$4,"C","D"))))</f>
        <v/>
      </c>
      <c r="K19" s="249" t="str">
        <f>IF(Leger2!L19="","",IF(Leger2!L19&gt;=(Leger2!$C$4+2/3*(100-Leger2!$C$4)),"A",IF(Leger2!L19&gt;=(Leger2!$C$4+1/3*(100-Leger2!$C$4)),"B",IF(Leger2!L19&gt;=Leger2!$C$4,"C","D"))))</f>
        <v/>
      </c>
      <c r="L19" s="252" t="str">
        <f>IF(Leger2!M19="","",IF(Leger2!M19&gt;=(Leger2!$C$4+2/3*(100-Leger2!$C$4)),"A",IF(Leger2!M19&gt;=(Leger2!$C$4+1/3*(100-Leger2!$C$4)),"B",IF(Leger2!M19&gt;=Leger2!$C$4,"C","D"))))</f>
        <v/>
      </c>
      <c r="M19" s="249" t="str">
        <f>IF(Leger2!O19="","",IF(Leger2!O19&gt;=(Leger2!$C$4+2/3*(100-Leger2!$C$4)),"A",IF(Leger2!O19&gt;=(Leger2!$C$4+1/3*(100-Leger2!$C$4)),"B",IF(Leger2!O19&gt;=Leger2!$C$4,"C","D"))))</f>
        <v/>
      </c>
      <c r="N19" s="252" t="str">
        <f>IF(Leger2!P19="","",IF(Leger2!P19&gt;=(Leger2!$C$4+2/3*(100-Leger2!$C$4)),"A",IF(Leger2!P19&gt;=(Leger2!$C$4+1/3*(100-Leger2!$C$4)),"B",IF(Leger2!P19&gt;=Leger2!$C$4,"C","D"))))</f>
        <v/>
      </c>
      <c r="O19" s="249" t="str">
        <f>IF(Leger2!R19="","",IF(Leger2!R19&gt;=(Leger2!$C$4+2/3*(100-Leger2!$C$4)),"A",IF(Leger2!R19&gt;=(Leger2!$C$4+1/3*(100-Leger2!$C$4)),"B",IF(Leger2!R19&gt;=Leger2!$C$4,"C","D"))))</f>
        <v/>
      </c>
      <c r="P19" s="252" t="str">
        <f>IF(Leger2!S19="","",IF(Leger2!S19&gt;=(Leger2!$C$4+2/3*(100-Leger2!$C$4)),"A",IF(Leger2!S19&gt;=(Leger2!$C$4+1/3*(100-Leger2!$C$4)),"B",IF(Leger2!S19&gt;=Leger2!$C$4,"C","D"))))</f>
        <v/>
      </c>
      <c r="Q19" s="249" t="str">
        <f>IF(Leger2!U19="","",IF(Leger2!U19&gt;=(Leger2!$C$4+2/3*(100-Leger2!$C$4)),"A",IF(Leger2!U19&gt;=(Leger2!$C$4+1/3*(100-Leger2!$C$4)),"B",IF(Leger2!U19&gt;=Leger2!$C$4,"C","D"))))</f>
        <v/>
      </c>
      <c r="R19" s="252" t="str">
        <f>IF(Leger2!V19="","",IF(Leger2!V19&gt;=(Leger2!$C$4+2/3*(100-Leger2!$C$4)),"A",IF(Leger2!V19&gt;=(Leger2!$C$4+1/3*(100-Leger2!$C$4)),"B",IF(Leger2!V19&gt;=Leger2!$C$4,"C","D"))))</f>
        <v/>
      </c>
      <c r="S19" s="249" t="str">
        <f>IF(Leger2!X19="","",IF(Leger2!X19&gt;=(Leger2!$C$4+2/3*(100-Leger2!$C$4)),"A",IF(Leger2!X19&gt;=(Leger2!$C$4+1/3*(100-Leger2!$C$4)),"B",IF(Leger2!X19&gt;=Leger2!$C$4,"C","D"))))</f>
        <v/>
      </c>
      <c r="T19" s="252" t="str">
        <f>IF(Leger2!Y19="","",IF(Leger2!Y19&gt;=(Leger2!$C$4+2/3*(100-Leger2!$C$4)),"A",IF(Leger2!Y19&gt;=(Leger2!$C$4+1/3*(100-Leger2!$C$4)),"B",IF(Leger2!Y19&gt;=Leger2!$C$4,"C","D"))))</f>
        <v/>
      </c>
      <c r="U19" s="249" t="str">
        <f>IF(Leger2!AA19="","",IF(Leger2!AA19&gt;=(Leger2!$C$4+2/3*(100-Leger2!$C$4)),"A",IF(Leger2!AA19&gt;=(Leger2!$C$4+1/3*(100-Leger2!$C$4)),"B",IF(Leger2!AA19&gt;=Leger2!$C$4,"C","D"))))</f>
        <v/>
      </c>
      <c r="V19" s="252" t="str">
        <f>IF(Leger2!AB19="","",IF(Leger2!AB19&gt;=(Leger2!$C$4+2/3*(100-Leger2!$C$4)),"A",IF(Leger2!AB19&gt;=(Leger2!$C$4+1/3*(100-Leger2!$C$4)),"B",IF(Leger2!AB19&gt;=Leger2!$C$4,"C","D"))))</f>
        <v/>
      </c>
      <c r="W19" s="249" t="str">
        <f>IF(Leger2!AD19="","",IF(Leger2!AD19&gt;=(Leger2!$C$4+2/3*(100-Leger2!$C$4)),"A",IF(Leger2!AD19&gt;=(Leger2!$C$4+1/3*(100-Leger2!$C$4)),"B",IF(Leger2!AD19&gt;=Leger2!$C$4,"C","D"))))</f>
        <v/>
      </c>
      <c r="X19" s="252" t="str">
        <f>IF(Leger2!AE19="","",IF(Leger2!AE19&gt;=(Leger2!$C$4+2/3*(100-Leger2!$C$4)),"A",IF(Leger2!AE19&gt;=(Leger2!$C$4+1/3*(100-Leger2!$C$4)),"B",IF(Leger2!AE19&gt;=Leger2!$C$4,"C","D"))))</f>
        <v/>
      </c>
      <c r="Y19" s="249" t="str">
        <f>IF(Leger2!AG19="","",IF(Leger2!AG19&gt;=(Leger2!$C$4+2/3*(100-Leger2!$C$4)),"A",IF(Leger2!AG19&gt;=(Leger2!$C$4+1/3*(100-Leger2!$C$4)),"B",IF(Leger2!AG19&gt;=Leger2!$C$4,"C","D"))))</f>
        <v/>
      </c>
      <c r="Z19" s="252" t="str">
        <f>IF(Leger2!AH19="","",IF(Leger2!AH19&gt;=(Leger2!$C$4+2/3*(100-Leger2!$C$4)),"A",IF(Leger2!AH19&gt;=(Leger2!$C$4+1/3*(100-Leger2!$C$4)),"B",IF(Leger2!AH19&gt;=Leger2!$C$4,"C","D"))))</f>
        <v/>
      </c>
      <c r="AA19" s="249" t="str">
        <f>IF(Leger2!AJ19="","",IF(Leger2!AJ19&gt;=(Leger2!$C$4+2/3*(100-Leger2!$C$4)),"A",IF(Leger2!AJ19&gt;=(Leger2!$C$4+1/3*(100-Leger2!$C$4)),"B",IF(Leger2!AJ19&gt;=Leger2!$C$4,"C","D"))))</f>
        <v/>
      </c>
      <c r="AB19" s="252" t="str">
        <f>IF(Leger2!AK19="","",IF(Leger2!AK19&gt;=(Leger2!$C$4+2/3*(100-Leger2!$C$4)),"A",IF(Leger2!AK19&gt;=(Leger2!$C$4+1/3*(100-Leger2!$C$4)),"B",IF(Leger2!AK19&gt;=Leger2!$C$4,"C","D"))))</f>
        <v/>
      </c>
      <c r="AC19" s="249" t="str">
        <f>IF(Leger2!AM19="","",IF(Leger2!AM19&gt;=(Leger2!$C$4+2/3*(100-Leger2!$C$4)),"A",IF(Leger2!AM19&gt;=(Leger2!$C$4+1/3*(100-Leger2!$C$4)),"B",IF(Leger2!AM19&gt;=Leger2!$C$4,"C","D"))))</f>
        <v/>
      </c>
      <c r="AD19" s="252" t="str">
        <f>IF(Leger2!AN19="","",IF(Leger2!AN19&gt;=(Leger2!$C$4+2/3*(100-Leger2!$C$4)),"A",IF(Leger2!AN19&gt;=(Leger2!$C$4+1/3*(100-Leger2!$C$4)),"B",IF(Leger2!AN19&gt;=Leger2!$C$4,"C","D"))))</f>
        <v/>
      </c>
      <c r="AE19" s="249" t="str">
        <f>IF(Leger2!AP19="","",IF(Leger2!AP19&gt;=(Leger2!$C$4+2/3*(100-Leger2!$C$4)),"A",IF(Leger2!AP19&gt;=(Leger2!$C$4+1/3*(100-Leger2!$C$4)),"B",IF(Leger2!AP19&gt;=Leger2!$C$4,"C","D"))))</f>
        <v/>
      </c>
      <c r="AF19" s="252" t="str">
        <f>IF(Leger2!AQ19="","",IF(Leger2!AQ19&gt;=(Leger2!$C$4+2/3*(100-Leger2!$C$4)),"A",IF(Leger2!AQ19&gt;=(Leger2!$C$4+1/3*(100-Leger2!$C$4)),"B",IF(Leger2!AQ19&gt;=Leger2!$C$4,"C","D"))))</f>
        <v/>
      </c>
      <c r="AG19" s="249" t="str">
        <f>IF(Leger2!AS19="","",IF(Leger2!AS19&gt;=(Leger2!$C$4+2/3*(100-Leger2!$C$4)),"A",IF(Leger2!AS19&gt;=(Leger2!$C$4+1/3*(100-Leger2!$C$4)),"B",IF(Leger2!AS19&gt;=Leger2!$C$4,"C","D"))))</f>
        <v/>
      </c>
      <c r="AH19" s="252" t="str">
        <f>IF(Leger2!AT19="","",IF(Leger2!AT19&gt;=(Leger2!$C$4+2/3*(100-Leger2!$C$4)),"A",IF(Leger2!AT19&gt;=(Leger2!$C$4+1/3*(100-Leger2!$C$4)),"B",IF(Leger2!AT19&gt;=Leger2!$C$4,"C","D"))))</f>
        <v/>
      </c>
      <c r="AI19" s="249" t="str">
        <f>IF(Leger2!AV19="","",IF(Leger2!AV19&gt;=(Leger2!$C$4+2/3*(100-Leger2!$C$4)),"A",IF(Leger2!AV19&gt;=(Leger2!$C$4+1/3*(100-Leger2!$C$4)),"B",IF(Leger2!AV19&gt;=Leger2!$C$4,"C","D"))))</f>
        <v/>
      </c>
      <c r="AJ19" s="252" t="str">
        <f>IF(Leger2!AW19="","",IF(Leger2!AW19&gt;=(Leger2!$C$4+2/3*(100-Leger2!$C$4)),"A",IF(Leger2!AW19&gt;=(Leger2!$C$4+1/3*(100-Leger2!$C$4)),"B",IF(Leger2!AW19&gt;=Leger2!$C$4,"C","D"))))</f>
        <v/>
      </c>
      <c r="AK19" s="249" t="str">
        <f>IF(Leger2!AY19="","",IF(Leger2!AY19&gt;=(Leger2!$C$4+2/3*(100-Leger2!$C$4)),"A",IF(Leger2!AY19&gt;=(Leger2!$C$4+1/3*(100-Leger2!$C$4)),"B",IF(Leger2!AY19&gt;=Leger2!$C$4,"C","D"))))</f>
        <v/>
      </c>
      <c r="AL19" s="252" t="str">
        <f>IF(Leger2!AZ19="","",IF(Leger2!AZ19&gt;=(Leger2!$C$4+2/3*(100-Leger2!$C$4)),"A",IF(Leger2!AZ19&gt;=(Leger2!$C$4+1/3*(100-Leger2!$C$4)),"B",IF(Leger2!AZ19&gt;=Leger2!$C$4,"C","D"))))</f>
        <v/>
      </c>
    </row>
    <row r="20" spans="2:38">
      <c r="E20" s="211">
        <f>Biodata!B19</f>
        <v>14</v>
      </c>
      <c r="F20" s="212">
        <f>IF(Biodata!C19="","",VLOOKUP(E20,Biodata_Siswa,2,FALSE))</f>
        <v>7089</v>
      </c>
      <c r="G20" s="1015" t="str">
        <f>IF(Biodata!E19="","",PROPER(VLOOKUP(E20,Biodata_Siswa,4,FALSE)))</f>
        <v>Faris Febram</v>
      </c>
      <c r="H20" s="1016"/>
      <c r="I20" s="249" t="str">
        <f>IF(Leger2!I20="","",IF(Leger2!I20&gt;=(Leger2!$C$4+2/3*(100-Leger2!$C$4)),"A",IF(Leger2!I20&gt;=(Leger2!$C$4+1/3*(100-Leger2!$C$4)),"B",IF(Leger2!I20&gt;=Leger2!$C$4,"C","D"))))</f>
        <v/>
      </c>
      <c r="J20" s="252" t="str">
        <f>IF(Leger2!J20="","",IF(Leger2!J20&gt;=(Leger2!$C$4+2/3*(100-Leger2!$C$4)),"A",IF(Leger2!J20&gt;=(Leger2!$C$4+1/3*(100-Leger2!$C$4)),"B",IF(Leger2!J20&gt;=Leger2!$C$4,"C","D"))))</f>
        <v/>
      </c>
      <c r="K20" s="249" t="str">
        <f>IF(Leger2!L20="","",IF(Leger2!L20&gt;=(Leger2!$C$4+2/3*(100-Leger2!$C$4)),"A",IF(Leger2!L20&gt;=(Leger2!$C$4+1/3*(100-Leger2!$C$4)),"B",IF(Leger2!L20&gt;=Leger2!$C$4,"C","D"))))</f>
        <v/>
      </c>
      <c r="L20" s="252" t="str">
        <f>IF(Leger2!M20="","",IF(Leger2!M20&gt;=(Leger2!$C$4+2/3*(100-Leger2!$C$4)),"A",IF(Leger2!M20&gt;=(Leger2!$C$4+1/3*(100-Leger2!$C$4)),"B",IF(Leger2!M20&gt;=Leger2!$C$4,"C","D"))))</f>
        <v/>
      </c>
      <c r="M20" s="249" t="str">
        <f>IF(Leger2!O20="","",IF(Leger2!O20&gt;=(Leger2!$C$4+2/3*(100-Leger2!$C$4)),"A",IF(Leger2!O20&gt;=(Leger2!$C$4+1/3*(100-Leger2!$C$4)),"B",IF(Leger2!O20&gt;=Leger2!$C$4,"C","D"))))</f>
        <v/>
      </c>
      <c r="N20" s="252" t="str">
        <f>IF(Leger2!P20="","",IF(Leger2!P20&gt;=(Leger2!$C$4+2/3*(100-Leger2!$C$4)),"A",IF(Leger2!P20&gt;=(Leger2!$C$4+1/3*(100-Leger2!$C$4)),"B",IF(Leger2!P20&gt;=Leger2!$C$4,"C","D"))))</f>
        <v/>
      </c>
      <c r="O20" s="249" t="str">
        <f>IF(Leger2!R20="","",IF(Leger2!R20&gt;=(Leger2!$C$4+2/3*(100-Leger2!$C$4)),"A",IF(Leger2!R20&gt;=(Leger2!$C$4+1/3*(100-Leger2!$C$4)),"B",IF(Leger2!R20&gt;=Leger2!$C$4,"C","D"))))</f>
        <v/>
      </c>
      <c r="P20" s="252" t="str">
        <f>IF(Leger2!S20="","",IF(Leger2!S20&gt;=(Leger2!$C$4+2/3*(100-Leger2!$C$4)),"A",IF(Leger2!S20&gt;=(Leger2!$C$4+1/3*(100-Leger2!$C$4)),"B",IF(Leger2!S20&gt;=Leger2!$C$4,"C","D"))))</f>
        <v/>
      </c>
      <c r="Q20" s="249" t="str">
        <f>IF(Leger2!U20="","",IF(Leger2!U20&gt;=(Leger2!$C$4+2/3*(100-Leger2!$C$4)),"A",IF(Leger2!U20&gt;=(Leger2!$C$4+1/3*(100-Leger2!$C$4)),"B",IF(Leger2!U20&gt;=Leger2!$C$4,"C","D"))))</f>
        <v/>
      </c>
      <c r="R20" s="252" t="str">
        <f>IF(Leger2!V20="","",IF(Leger2!V20&gt;=(Leger2!$C$4+2/3*(100-Leger2!$C$4)),"A",IF(Leger2!V20&gt;=(Leger2!$C$4+1/3*(100-Leger2!$C$4)),"B",IF(Leger2!V20&gt;=Leger2!$C$4,"C","D"))))</f>
        <v/>
      </c>
      <c r="S20" s="249" t="str">
        <f>IF(Leger2!X20="","",IF(Leger2!X20&gt;=(Leger2!$C$4+2/3*(100-Leger2!$C$4)),"A",IF(Leger2!X20&gt;=(Leger2!$C$4+1/3*(100-Leger2!$C$4)),"B",IF(Leger2!X20&gt;=Leger2!$C$4,"C","D"))))</f>
        <v/>
      </c>
      <c r="T20" s="252" t="str">
        <f>IF(Leger2!Y20="","",IF(Leger2!Y20&gt;=(Leger2!$C$4+2/3*(100-Leger2!$C$4)),"A",IF(Leger2!Y20&gt;=(Leger2!$C$4+1/3*(100-Leger2!$C$4)),"B",IF(Leger2!Y20&gt;=Leger2!$C$4,"C","D"))))</f>
        <v/>
      </c>
      <c r="U20" s="249" t="str">
        <f>IF(Leger2!AA20="","",IF(Leger2!AA20&gt;=(Leger2!$C$4+2/3*(100-Leger2!$C$4)),"A",IF(Leger2!AA20&gt;=(Leger2!$C$4+1/3*(100-Leger2!$C$4)),"B",IF(Leger2!AA20&gt;=Leger2!$C$4,"C","D"))))</f>
        <v/>
      </c>
      <c r="V20" s="252" t="str">
        <f>IF(Leger2!AB20="","",IF(Leger2!AB20&gt;=(Leger2!$C$4+2/3*(100-Leger2!$C$4)),"A",IF(Leger2!AB20&gt;=(Leger2!$C$4+1/3*(100-Leger2!$C$4)),"B",IF(Leger2!AB20&gt;=Leger2!$C$4,"C","D"))))</f>
        <v/>
      </c>
      <c r="W20" s="249" t="str">
        <f>IF(Leger2!AD20="","",IF(Leger2!AD20&gt;=(Leger2!$C$4+2/3*(100-Leger2!$C$4)),"A",IF(Leger2!AD20&gt;=(Leger2!$C$4+1/3*(100-Leger2!$C$4)),"B",IF(Leger2!AD20&gt;=Leger2!$C$4,"C","D"))))</f>
        <v/>
      </c>
      <c r="X20" s="252" t="str">
        <f>IF(Leger2!AE20="","",IF(Leger2!AE20&gt;=(Leger2!$C$4+2/3*(100-Leger2!$C$4)),"A",IF(Leger2!AE20&gt;=(Leger2!$C$4+1/3*(100-Leger2!$C$4)),"B",IF(Leger2!AE20&gt;=Leger2!$C$4,"C","D"))))</f>
        <v/>
      </c>
      <c r="Y20" s="249" t="str">
        <f>IF(Leger2!AG20="","",IF(Leger2!AG20&gt;=(Leger2!$C$4+2/3*(100-Leger2!$C$4)),"A",IF(Leger2!AG20&gt;=(Leger2!$C$4+1/3*(100-Leger2!$C$4)),"B",IF(Leger2!AG20&gt;=Leger2!$C$4,"C","D"))))</f>
        <v/>
      </c>
      <c r="Z20" s="252" t="str">
        <f>IF(Leger2!AH20="","",IF(Leger2!AH20&gt;=(Leger2!$C$4+2/3*(100-Leger2!$C$4)),"A",IF(Leger2!AH20&gt;=(Leger2!$C$4+1/3*(100-Leger2!$C$4)),"B",IF(Leger2!AH20&gt;=Leger2!$C$4,"C","D"))))</f>
        <v/>
      </c>
      <c r="AA20" s="249" t="str">
        <f>IF(Leger2!AJ20="","",IF(Leger2!AJ20&gt;=(Leger2!$C$4+2/3*(100-Leger2!$C$4)),"A",IF(Leger2!AJ20&gt;=(Leger2!$C$4+1/3*(100-Leger2!$C$4)),"B",IF(Leger2!AJ20&gt;=Leger2!$C$4,"C","D"))))</f>
        <v/>
      </c>
      <c r="AB20" s="252" t="str">
        <f>IF(Leger2!AK20="","",IF(Leger2!AK20&gt;=(Leger2!$C$4+2/3*(100-Leger2!$C$4)),"A",IF(Leger2!AK20&gt;=(Leger2!$C$4+1/3*(100-Leger2!$C$4)),"B",IF(Leger2!AK20&gt;=Leger2!$C$4,"C","D"))))</f>
        <v/>
      </c>
      <c r="AC20" s="249" t="str">
        <f>IF(Leger2!AM20="","",IF(Leger2!AM20&gt;=(Leger2!$C$4+2/3*(100-Leger2!$C$4)),"A",IF(Leger2!AM20&gt;=(Leger2!$C$4+1/3*(100-Leger2!$C$4)),"B",IF(Leger2!AM20&gt;=Leger2!$C$4,"C","D"))))</f>
        <v/>
      </c>
      <c r="AD20" s="252" t="str">
        <f>IF(Leger2!AN20="","",IF(Leger2!AN20&gt;=(Leger2!$C$4+2/3*(100-Leger2!$C$4)),"A",IF(Leger2!AN20&gt;=(Leger2!$C$4+1/3*(100-Leger2!$C$4)),"B",IF(Leger2!AN20&gt;=Leger2!$C$4,"C","D"))))</f>
        <v/>
      </c>
      <c r="AE20" s="249" t="str">
        <f>IF(Leger2!AP20="","",IF(Leger2!AP20&gt;=(Leger2!$C$4+2/3*(100-Leger2!$C$4)),"A",IF(Leger2!AP20&gt;=(Leger2!$C$4+1/3*(100-Leger2!$C$4)),"B",IF(Leger2!AP20&gt;=Leger2!$C$4,"C","D"))))</f>
        <v/>
      </c>
      <c r="AF20" s="252" t="str">
        <f>IF(Leger2!AQ20="","",IF(Leger2!AQ20&gt;=(Leger2!$C$4+2/3*(100-Leger2!$C$4)),"A",IF(Leger2!AQ20&gt;=(Leger2!$C$4+1/3*(100-Leger2!$C$4)),"B",IF(Leger2!AQ20&gt;=Leger2!$C$4,"C","D"))))</f>
        <v/>
      </c>
      <c r="AG20" s="249" t="str">
        <f>IF(Leger2!AS20="","",IF(Leger2!AS20&gt;=(Leger2!$C$4+2/3*(100-Leger2!$C$4)),"A",IF(Leger2!AS20&gt;=(Leger2!$C$4+1/3*(100-Leger2!$C$4)),"B",IF(Leger2!AS20&gt;=Leger2!$C$4,"C","D"))))</f>
        <v/>
      </c>
      <c r="AH20" s="252" t="str">
        <f>IF(Leger2!AT20="","",IF(Leger2!AT20&gt;=(Leger2!$C$4+2/3*(100-Leger2!$C$4)),"A",IF(Leger2!AT20&gt;=(Leger2!$C$4+1/3*(100-Leger2!$C$4)),"B",IF(Leger2!AT20&gt;=Leger2!$C$4,"C","D"))))</f>
        <v/>
      </c>
      <c r="AI20" s="249" t="str">
        <f>IF(Leger2!AV20="","",IF(Leger2!AV20&gt;=(Leger2!$C$4+2/3*(100-Leger2!$C$4)),"A",IF(Leger2!AV20&gt;=(Leger2!$C$4+1/3*(100-Leger2!$C$4)),"B",IF(Leger2!AV20&gt;=Leger2!$C$4,"C","D"))))</f>
        <v/>
      </c>
      <c r="AJ20" s="252" t="str">
        <f>IF(Leger2!AW20="","",IF(Leger2!AW20&gt;=(Leger2!$C$4+2/3*(100-Leger2!$C$4)),"A",IF(Leger2!AW20&gt;=(Leger2!$C$4+1/3*(100-Leger2!$C$4)),"B",IF(Leger2!AW20&gt;=Leger2!$C$4,"C","D"))))</f>
        <v/>
      </c>
      <c r="AK20" s="249" t="str">
        <f>IF(Leger2!AY20="","",IF(Leger2!AY20&gt;=(Leger2!$C$4+2/3*(100-Leger2!$C$4)),"A",IF(Leger2!AY20&gt;=(Leger2!$C$4+1/3*(100-Leger2!$C$4)),"B",IF(Leger2!AY20&gt;=Leger2!$C$4,"C","D"))))</f>
        <v/>
      </c>
      <c r="AL20" s="252" t="str">
        <f>IF(Leger2!AZ20="","",IF(Leger2!AZ20&gt;=(Leger2!$C$4+2/3*(100-Leger2!$C$4)),"A",IF(Leger2!AZ20&gt;=(Leger2!$C$4+1/3*(100-Leger2!$C$4)),"B",IF(Leger2!AZ20&gt;=Leger2!$C$4,"C","D"))))</f>
        <v/>
      </c>
    </row>
    <row r="21" spans="2:38">
      <c r="E21" s="211">
        <f>Biodata!B20</f>
        <v>15</v>
      </c>
      <c r="F21" s="212">
        <f>IF(Biodata!C20="","",VLOOKUP(E21,Biodata_Siswa,2,FALSE))</f>
        <v>7095</v>
      </c>
      <c r="G21" s="1015" t="str">
        <f>IF(Biodata!E20="","",PROPER(VLOOKUP(E21,Biodata_Siswa,4,FALSE)))</f>
        <v>Hikmatullah Umar Malik Abdul Aziz</v>
      </c>
      <c r="H21" s="1016"/>
      <c r="I21" s="249" t="str">
        <f>IF(Leger2!I21="","",IF(Leger2!I21&gt;=(Leger2!$C$4+2/3*(100-Leger2!$C$4)),"A",IF(Leger2!I21&gt;=(Leger2!$C$4+1/3*(100-Leger2!$C$4)),"B",IF(Leger2!I21&gt;=Leger2!$C$4,"C","D"))))</f>
        <v/>
      </c>
      <c r="J21" s="252" t="str">
        <f>IF(Leger2!J21="","",IF(Leger2!J21&gt;=(Leger2!$C$4+2/3*(100-Leger2!$C$4)),"A",IF(Leger2!J21&gt;=(Leger2!$C$4+1/3*(100-Leger2!$C$4)),"B",IF(Leger2!J21&gt;=Leger2!$C$4,"C","D"))))</f>
        <v/>
      </c>
      <c r="K21" s="249" t="str">
        <f>IF(Leger2!L21="","",IF(Leger2!L21&gt;=(Leger2!$C$4+2/3*(100-Leger2!$C$4)),"A",IF(Leger2!L21&gt;=(Leger2!$C$4+1/3*(100-Leger2!$C$4)),"B",IF(Leger2!L21&gt;=Leger2!$C$4,"C","D"))))</f>
        <v/>
      </c>
      <c r="L21" s="252" t="str">
        <f>IF(Leger2!M21="","",IF(Leger2!M21&gt;=(Leger2!$C$4+2/3*(100-Leger2!$C$4)),"A",IF(Leger2!M21&gt;=(Leger2!$C$4+1/3*(100-Leger2!$C$4)),"B",IF(Leger2!M21&gt;=Leger2!$C$4,"C","D"))))</f>
        <v/>
      </c>
      <c r="M21" s="249" t="str">
        <f>IF(Leger2!O21="","",IF(Leger2!O21&gt;=(Leger2!$C$4+2/3*(100-Leger2!$C$4)),"A",IF(Leger2!O21&gt;=(Leger2!$C$4+1/3*(100-Leger2!$C$4)),"B",IF(Leger2!O21&gt;=Leger2!$C$4,"C","D"))))</f>
        <v/>
      </c>
      <c r="N21" s="252" t="str">
        <f>IF(Leger2!P21="","",IF(Leger2!P21&gt;=(Leger2!$C$4+2/3*(100-Leger2!$C$4)),"A",IF(Leger2!P21&gt;=(Leger2!$C$4+1/3*(100-Leger2!$C$4)),"B",IF(Leger2!P21&gt;=Leger2!$C$4,"C","D"))))</f>
        <v/>
      </c>
      <c r="O21" s="249" t="str">
        <f>IF(Leger2!R21="","",IF(Leger2!R21&gt;=(Leger2!$C$4+2/3*(100-Leger2!$C$4)),"A",IF(Leger2!R21&gt;=(Leger2!$C$4+1/3*(100-Leger2!$C$4)),"B",IF(Leger2!R21&gt;=Leger2!$C$4,"C","D"))))</f>
        <v/>
      </c>
      <c r="P21" s="252" t="str">
        <f>IF(Leger2!S21="","",IF(Leger2!S21&gt;=(Leger2!$C$4+2/3*(100-Leger2!$C$4)),"A",IF(Leger2!S21&gt;=(Leger2!$C$4+1/3*(100-Leger2!$C$4)),"B",IF(Leger2!S21&gt;=Leger2!$C$4,"C","D"))))</f>
        <v/>
      </c>
      <c r="Q21" s="249" t="str">
        <f>IF(Leger2!U21="","",IF(Leger2!U21&gt;=(Leger2!$C$4+2/3*(100-Leger2!$C$4)),"A",IF(Leger2!U21&gt;=(Leger2!$C$4+1/3*(100-Leger2!$C$4)),"B",IF(Leger2!U21&gt;=Leger2!$C$4,"C","D"))))</f>
        <v/>
      </c>
      <c r="R21" s="252" t="str">
        <f>IF(Leger2!V21="","",IF(Leger2!V21&gt;=(Leger2!$C$4+2/3*(100-Leger2!$C$4)),"A",IF(Leger2!V21&gt;=(Leger2!$C$4+1/3*(100-Leger2!$C$4)),"B",IF(Leger2!V21&gt;=Leger2!$C$4,"C","D"))))</f>
        <v/>
      </c>
      <c r="S21" s="249" t="str">
        <f>IF(Leger2!X21="","",IF(Leger2!X21&gt;=(Leger2!$C$4+2/3*(100-Leger2!$C$4)),"A",IF(Leger2!X21&gt;=(Leger2!$C$4+1/3*(100-Leger2!$C$4)),"B",IF(Leger2!X21&gt;=Leger2!$C$4,"C","D"))))</f>
        <v/>
      </c>
      <c r="T21" s="252" t="str">
        <f>IF(Leger2!Y21="","",IF(Leger2!Y21&gt;=(Leger2!$C$4+2/3*(100-Leger2!$C$4)),"A",IF(Leger2!Y21&gt;=(Leger2!$C$4+1/3*(100-Leger2!$C$4)),"B",IF(Leger2!Y21&gt;=Leger2!$C$4,"C","D"))))</f>
        <v/>
      </c>
      <c r="U21" s="249" t="str">
        <f>IF(Leger2!AA21="","",IF(Leger2!AA21&gt;=(Leger2!$C$4+2/3*(100-Leger2!$C$4)),"A",IF(Leger2!AA21&gt;=(Leger2!$C$4+1/3*(100-Leger2!$C$4)),"B",IF(Leger2!AA21&gt;=Leger2!$C$4,"C","D"))))</f>
        <v/>
      </c>
      <c r="V21" s="252" t="str">
        <f>IF(Leger2!AB21="","",IF(Leger2!AB21&gt;=(Leger2!$C$4+2/3*(100-Leger2!$C$4)),"A",IF(Leger2!AB21&gt;=(Leger2!$C$4+1/3*(100-Leger2!$C$4)),"B",IF(Leger2!AB21&gt;=Leger2!$C$4,"C","D"))))</f>
        <v/>
      </c>
      <c r="W21" s="249" t="str">
        <f>IF(Leger2!AD21="","",IF(Leger2!AD21&gt;=(Leger2!$C$4+2/3*(100-Leger2!$C$4)),"A",IF(Leger2!AD21&gt;=(Leger2!$C$4+1/3*(100-Leger2!$C$4)),"B",IF(Leger2!AD21&gt;=Leger2!$C$4,"C","D"))))</f>
        <v/>
      </c>
      <c r="X21" s="252" t="str">
        <f>IF(Leger2!AE21="","",IF(Leger2!AE21&gt;=(Leger2!$C$4+2/3*(100-Leger2!$C$4)),"A",IF(Leger2!AE21&gt;=(Leger2!$C$4+1/3*(100-Leger2!$C$4)),"B",IF(Leger2!AE21&gt;=Leger2!$C$4,"C","D"))))</f>
        <v/>
      </c>
      <c r="Y21" s="249" t="str">
        <f>IF(Leger2!AG21="","",IF(Leger2!AG21&gt;=(Leger2!$C$4+2/3*(100-Leger2!$C$4)),"A",IF(Leger2!AG21&gt;=(Leger2!$C$4+1/3*(100-Leger2!$C$4)),"B",IF(Leger2!AG21&gt;=Leger2!$C$4,"C","D"))))</f>
        <v/>
      </c>
      <c r="Z21" s="252" t="str">
        <f>IF(Leger2!AH21="","",IF(Leger2!AH21&gt;=(Leger2!$C$4+2/3*(100-Leger2!$C$4)),"A",IF(Leger2!AH21&gt;=(Leger2!$C$4+1/3*(100-Leger2!$C$4)),"B",IF(Leger2!AH21&gt;=Leger2!$C$4,"C","D"))))</f>
        <v/>
      </c>
      <c r="AA21" s="249" t="str">
        <f>IF(Leger2!AJ21="","",IF(Leger2!AJ21&gt;=(Leger2!$C$4+2/3*(100-Leger2!$C$4)),"A",IF(Leger2!AJ21&gt;=(Leger2!$C$4+1/3*(100-Leger2!$C$4)),"B",IF(Leger2!AJ21&gt;=Leger2!$C$4,"C","D"))))</f>
        <v/>
      </c>
      <c r="AB21" s="252" t="str">
        <f>IF(Leger2!AK21="","",IF(Leger2!AK21&gt;=(Leger2!$C$4+2/3*(100-Leger2!$C$4)),"A",IF(Leger2!AK21&gt;=(Leger2!$C$4+1/3*(100-Leger2!$C$4)),"B",IF(Leger2!AK21&gt;=Leger2!$C$4,"C","D"))))</f>
        <v/>
      </c>
      <c r="AC21" s="249" t="str">
        <f>IF(Leger2!AM21="","",IF(Leger2!AM21&gt;=(Leger2!$C$4+2/3*(100-Leger2!$C$4)),"A",IF(Leger2!AM21&gt;=(Leger2!$C$4+1/3*(100-Leger2!$C$4)),"B",IF(Leger2!AM21&gt;=Leger2!$C$4,"C","D"))))</f>
        <v/>
      </c>
      <c r="AD21" s="252" t="str">
        <f>IF(Leger2!AN21="","",IF(Leger2!AN21&gt;=(Leger2!$C$4+2/3*(100-Leger2!$C$4)),"A",IF(Leger2!AN21&gt;=(Leger2!$C$4+1/3*(100-Leger2!$C$4)),"B",IF(Leger2!AN21&gt;=Leger2!$C$4,"C","D"))))</f>
        <v/>
      </c>
      <c r="AE21" s="249" t="str">
        <f>IF(Leger2!AP21="","",IF(Leger2!AP21&gt;=(Leger2!$C$4+2/3*(100-Leger2!$C$4)),"A",IF(Leger2!AP21&gt;=(Leger2!$C$4+1/3*(100-Leger2!$C$4)),"B",IF(Leger2!AP21&gt;=Leger2!$C$4,"C","D"))))</f>
        <v/>
      </c>
      <c r="AF21" s="252" t="str">
        <f>IF(Leger2!AQ21="","",IF(Leger2!AQ21&gt;=(Leger2!$C$4+2/3*(100-Leger2!$C$4)),"A",IF(Leger2!AQ21&gt;=(Leger2!$C$4+1/3*(100-Leger2!$C$4)),"B",IF(Leger2!AQ21&gt;=Leger2!$C$4,"C","D"))))</f>
        <v/>
      </c>
      <c r="AG21" s="249" t="str">
        <f>IF(Leger2!AS21="","",IF(Leger2!AS21&gt;=(Leger2!$C$4+2/3*(100-Leger2!$C$4)),"A",IF(Leger2!AS21&gt;=(Leger2!$C$4+1/3*(100-Leger2!$C$4)),"B",IF(Leger2!AS21&gt;=Leger2!$C$4,"C","D"))))</f>
        <v/>
      </c>
      <c r="AH21" s="252" t="str">
        <f>IF(Leger2!AT21="","",IF(Leger2!AT21&gt;=(Leger2!$C$4+2/3*(100-Leger2!$C$4)),"A",IF(Leger2!AT21&gt;=(Leger2!$C$4+1/3*(100-Leger2!$C$4)),"B",IF(Leger2!AT21&gt;=Leger2!$C$4,"C","D"))))</f>
        <v/>
      </c>
      <c r="AI21" s="249" t="str">
        <f>IF(Leger2!AV21="","",IF(Leger2!AV21&gt;=(Leger2!$C$4+2/3*(100-Leger2!$C$4)),"A",IF(Leger2!AV21&gt;=(Leger2!$C$4+1/3*(100-Leger2!$C$4)),"B",IF(Leger2!AV21&gt;=Leger2!$C$4,"C","D"))))</f>
        <v/>
      </c>
      <c r="AJ21" s="252" t="str">
        <f>IF(Leger2!AW21="","",IF(Leger2!AW21&gt;=(Leger2!$C$4+2/3*(100-Leger2!$C$4)),"A",IF(Leger2!AW21&gt;=(Leger2!$C$4+1/3*(100-Leger2!$C$4)),"B",IF(Leger2!AW21&gt;=Leger2!$C$4,"C","D"))))</f>
        <v/>
      </c>
      <c r="AK21" s="249" t="str">
        <f>IF(Leger2!AY21="","",IF(Leger2!AY21&gt;=(Leger2!$C$4+2/3*(100-Leger2!$C$4)),"A",IF(Leger2!AY21&gt;=(Leger2!$C$4+1/3*(100-Leger2!$C$4)),"B",IF(Leger2!AY21&gt;=Leger2!$C$4,"C","D"))))</f>
        <v/>
      </c>
      <c r="AL21" s="252" t="str">
        <f>IF(Leger2!AZ21="","",IF(Leger2!AZ21&gt;=(Leger2!$C$4+2/3*(100-Leger2!$C$4)),"A",IF(Leger2!AZ21&gt;=(Leger2!$C$4+1/3*(100-Leger2!$C$4)),"B",IF(Leger2!AZ21&gt;=Leger2!$C$4,"C","D"))))</f>
        <v/>
      </c>
    </row>
    <row r="22" spans="2:38">
      <c r="E22" s="211">
        <f>Biodata!B21</f>
        <v>16</v>
      </c>
      <c r="F22" s="212">
        <f>IF(Biodata!C21="","",VLOOKUP(E22,Biodata_Siswa,2,FALSE))</f>
        <v>7096</v>
      </c>
      <c r="G22" s="1015" t="str">
        <f>IF(Biodata!E21="","",PROPER(VLOOKUP(E22,Biodata_Siswa,4,FALSE)))</f>
        <v>Indah Purnama Ningsih</v>
      </c>
      <c r="H22" s="1016"/>
      <c r="I22" s="249" t="str">
        <f>IF(Leger2!I22="","",IF(Leger2!I22&gt;=(Leger2!$C$4+2/3*(100-Leger2!$C$4)),"A",IF(Leger2!I22&gt;=(Leger2!$C$4+1/3*(100-Leger2!$C$4)),"B",IF(Leger2!I22&gt;=Leger2!$C$4,"C","D"))))</f>
        <v/>
      </c>
      <c r="J22" s="252" t="str">
        <f>IF(Leger2!J22="","",IF(Leger2!J22&gt;=(Leger2!$C$4+2/3*(100-Leger2!$C$4)),"A",IF(Leger2!J22&gt;=(Leger2!$C$4+1/3*(100-Leger2!$C$4)),"B",IF(Leger2!J22&gt;=Leger2!$C$4,"C","D"))))</f>
        <v/>
      </c>
      <c r="K22" s="249" t="str">
        <f>IF(Leger2!L22="","",IF(Leger2!L22&gt;=(Leger2!$C$4+2/3*(100-Leger2!$C$4)),"A",IF(Leger2!L22&gt;=(Leger2!$C$4+1/3*(100-Leger2!$C$4)),"B",IF(Leger2!L22&gt;=Leger2!$C$4,"C","D"))))</f>
        <v/>
      </c>
      <c r="L22" s="252" t="str">
        <f>IF(Leger2!M22="","",IF(Leger2!M22&gt;=(Leger2!$C$4+2/3*(100-Leger2!$C$4)),"A",IF(Leger2!M22&gt;=(Leger2!$C$4+1/3*(100-Leger2!$C$4)),"B",IF(Leger2!M22&gt;=Leger2!$C$4,"C","D"))))</f>
        <v/>
      </c>
      <c r="M22" s="249" t="str">
        <f>IF(Leger2!O22="","",IF(Leger2!O22&gt;=(Leger2!$C$4+2/3*(100-Leger2!$C$4)),"A",IF(Leger2!O22&gt;=(Leger2!$C$4+1/3*(100-Leger2!$C$4)),"B",IF(Leger2!O22&gt;=Leger2!$C$4,"C","D"))))</f>
        <v/>
      </c>
      <c r="N22" s="252" t="str">
        <f>IF(Leger2!P22="","",IF(Leger2!P22&gt;=(Leger2!$C$4+2/3*(100-Leger2!$C$4)),"A",IF(Leger2!P22&gt;=(Leger2!$C$4+1/3*(100-Leger2!$C$4)),"B",IF(Leger2!P22&gt;=Leger2!$C$4,"C","D"))))</f>
        <v/>
      </c>
      <c r="O22" s="249" t="str">
        <f>IF(Leger2!R22="","",IF(Leger2!R22&gt;=(Leger2!$C$4+2/3*(100-Leger2!$C$4)),"A",IF(Leger2!R22&gt;=(Leger2!$C$4+1/3*(100-Leger2!$C$4)),"B",IF(Leger2!R22&gt;=Leger2!$C$4,"C","D"))))</f>
        <v/>
      </c>
      <c r="P22" s="252" t="str">
        <f>IF(Leger2!S22="","",IF(Leger2!S22&gt;=(Leger2!$C$4+2/3*(100-Leger2!$C$4)),"A",IF(Leger2!S22&gt;=(Leger2!$C$4+1/3*(100-Leger2!$C$4)),"B",IF(Leger2!S22&gt;=Leger2!$C$4,"C","D"))))</f>
        <v/>
      </c>
      <c r="Q22" s="249" t="str">
        <f>IF(Leger2!U22="","",IF(Leger2!U22&gt;=(Leger2!$C$4+2/3*(100-Leger2!$C$4)),"A",IF(Leger2!U22&gt;=(Leger2!$C$4+1/3*(100-Leger2!$C$4)),"B",IF(Leger2!U22&gt;=Leger2!$C$4,"C","D"))))</f>
        <v/>
      </c>
      <c r="R22" s="252" t="str">
        <f>IF(Leger2!V22="","",IF(Leger2!V22&gt;=(Leger2!$C$4+2/3*(100-Leger2!$C$4)),"A",IF(Leger2!V22&gt;=(Leger2!$C$4+1/3*(100-Leger2!$C$4)),"B",IF(Leger2!V22&gt;=Leger2!$C$4,"C","D"))))</f>
        <v/>
      </c>
      <c r="S22" s="249" t="str">
        <f>IF(Leger2!X22="","",IF(Leger2!X22&gt;=(Leger2!$C$4+2/3*(100-Leger2!$C$4)),"A",IF(Leger2!X22&gt;=(Leger2!$C$4+1/3*(100-Leger2!$C$4)),"B",IF(Leger2!X22&gt;=Leger2!$C$4,"C","D"))))</f>
        <v/>
      </c>
      <c r="T22" s="252" t="str">
        <f>IF(Leger2!Y22="","",IF(Leger2!Y22&gt;=(Leger2!$C$4+2/3*(100-Leger2!$C$4)),"A",IF(Leger2!Y22&gt;=(Leger2!$C$4+1/3*(100-Leger2!$C$4)),"B",IF(Leger2!Y22&gt;=Leger2!$C$4,"C","D"))))</f>
        <v/>
      </c>
      <c r="U22" s="249" t="str">
        <f>IF(Leger2!AA22="","",IF(Leger2!AA22&gt;=(Leger2!$C$4+2/3*(100-Leger2!$C$4)),"A",IF(Leger2!AA22&gt;=(Leger2!$C$4+1/3*(100-Leger2!$C$4)),"B",IF(Leger2!AA22&gt;=Leger2!$C$4,"C","D"))))</f>
        <v/>
      </c>
      <c r="V22" s="252" t="str">
        <f>IF(Leger2!AB22="","",IF(Leger2!AB22&gt;=(Leger2!$C$4+2/3*(100-Leger2!$C$4)),"A",IF(Leger2!AB22&gt;=(Leger2!$C$4+1/3*(100-Leger2!$C$4)),"B",IF(Leger2!AB22&gt;=Leger2!$C$4,"C","D"))))</f>
        <v/>
      </c>
      <c r="W22" s="249" t="str">
        <f>IF(Leger2!AD22="","",IF(Leger2!AD22&gt;=(Leger2!$C$4+2/3*(100-Leger2!$C$4)),"A",IF(Leger2!AD22&gt;=(Leger2!$C$4+1/3*(100-Leger2!$C$4)),"B",IF(Leger2!AD22&gt;=Leger2!$C$4,"C","D"))))</f>
        <v/>
      </c>
      <c r="X22" s="252" t="str">
        <f>IF(Leger2!AE22="","",IF(Leger2!AE22&gt;=(Leger2!$C$4+2/3*(100-Leger2!$C$4)),"A",IF(Leger2!AE22&gt;=(Leger2!$C$4+1/3*(100-Leger2!$C$4)),"B",IF(Leger2!AE22&gt;=Leger2!$C$4,"C","D"))))</f>
        <v/>
      </c>
      <c r="Y22" s="249" t="str">
        <f>IF(Leger2!AG22="","",IF(Leger2!AG22&gt;=(Leger2!$C$4+2/3*(100-Leger2!$C$4)),"A",IF(Leger2!AG22&gt;=(Leger2!$C$4+1/3*(100-Leger2!$C$4)),"B",IF(Leger2!AG22&gt;=Leger2!$C$4,"C","D"))))</f>
        <v/>
      </c>
      <c r="Z22" s="252" t="str">
        <f>IF(Leger2!AH22="","",IF(Leger2!AH22&gt;=(Leger2!$C$4+2/3*(100-Leger2!$C$4)),"A",IF(Leger2!AH22&gt;=(Leger2!$C$4+1/3*(100-Leger2!$C$4)),"B",IF(Leger2!AH22&gt;=Leger2!$C$4,"C","D"))))</f>
        <v/>
      </c>
      <c r="AA22" s="249" t="str">
        <f>IF(Leger2!AJ22="","",IF(Leger2!AJ22&gt;=(Leger2!$C$4+2/3*(100-Leger2!$C$4)),"A",IF(Leger2!AJ22&gt;=(Leger2!$C$4+1/3*(100-Leger2!$C$4)),"B",IF(Leger2!AJ22&gt;=Leger2!$C$4,"C","D"))))</f>
        <v/>
      </c>
      <c r="AB22" s="252" t="str">
        <f>IF(Leger2!AK22="","",IF(Leger2!AK22&gt;=(Leger2!$C$4+2/3*(100-Leger2!$C$4)),"A",IF(Leger2!AK22&gt;=(Leger2!$C$4+1/3*(100-Leger2!$C$4)),"B",IF(Leger2!AK22&gt;=Leger2!$C$4,"C","D"))))</f>
        <v/>
      </c>
      <c r="AC22" s="249" t="str">
        <f>IF(Leger2!AM22="","",IF(Leger2!AM22&gt;=(Leger2!$C$4+2/3*(100-Leger2!$C$4)),"A",IF(Leger2!AM22&gt;=(Leger2!$C$4+1/3*(100-Leger2!$C$4)),"B",IF(Leger2!AM22&gt;=Leger2!$C$4,"C","D"))))</f>
        <v/>
      </c>
      <c r="AD22" s="252" t="str">
        <f>IF(Leger2!AN22="","",IF(Leger2!AN22&gt;=(Leger2!$C$4+2/3*(100-Leger2!$C$4)),"A",IF(Leger2!AN22&gt;=(Leger2!$C$4+1/3*(100-Leger2!$C$4)),"B",IF(Leger2!AN22&gt;=Leger2!$C$4,"C","D"))))</f>
        <v/>
      </c>
      <c r="AE22" s="249" t="str">
        <f>IF(Leger2!AP22="","",IF(Leger2!AP22&gt;=(Leger2!$C$4+2/3*(100-Leger2!$C$4)),"A",IF(Leger2!AP22&gt;=(Leger2!$C$4+1/3*(100-Leger2!$C$4)),"B",IF(Leger2!AP22&gt;=Leger2!$C$4,"C","D"))))</f>
        <v/>
      </c>
      <c r="AF22" s="252" t="str">
        <f>IF(Leger2!AQ22="","",IF(Leger2!AQ22&gt;=(Leger2!$C$4+2/3*(100-Leger2!$C$4)),"A",IF(Leger2!AQ22&gt;=(Leger2!$C$4+1/3*(100-Leger2!$C$4)),"B",IF(Leger2!AQ22&gt;=Leger2!$C$4,"C","D"))))</f>
        <v/>
      </c>
      <c r="AG22" s="249" t="str">
        <f>IF(Leger2!AS22="","",IF(Leger2!AS22&gt;=(Leger2!$C$4+2/3*(100-Leger2!$C$4)),"A",IF(Leger2!AS22&gt;=(Leger2!$C$4+1/3*(100-Leger2!$C$4)),"B",IF(Leger2!AS22&gt;=Leger2!$C$4,"C","D"))))</f>
        <v/>
      </c>
      <c r="AH22" s="252" t="str">
        <f>IF(Leger2!AT22="","",IF(Leger2!AT22&gt;=(Leger2!$C$4+2/3*(100-Leger2!$C$4)),"A",IF(Leger2!AT22&gt;=(Leger2!$C$4+1/3*(100-Leger2!$C$4)),"B",IF(Leger2!AT22&gt;=Leger2!$C$4,"C","D"))))</f>
        <v/>
      </c>
      <c r="AI22" s="249" t="str">
        <f>IF(Leger2!AV22="","",IF(Leger2!AV22&gt;=(Leger2!$C$4+2/3*(100-Leger2!$C$4)),"A",IF(Leger2!AV22&gt;=(Leger2!$C$4+1/3*(100-Leger2!$C$4)),"B",IF(Leger2!AV22&gt;=Leger2!$C$4,"C","D"))))</f>
        <v/>
      </c>
      <c r="AJ22" s="252" t="str">
        <f>IF(Leger2!AW22="","",IF(Leger2!AW22&gt;=(Leger2!$C$4+2/3*(100-Leger2!$C$4)),"A",IF(Leger2!AW22&gt;=(Leger2!$C$4+1/3*(100-Leger2!$C$4)),"B",IF(Leger2!AW22&gt;=Leger2!$C$4,"C","D"))))</f>
        <v/>
      </c>
      <c r="AK22" s="249" t="str">
        <f>IF(Leger2!AY22="","",IF(Leger2!AY22&gt;=(Leger2!$C$4+2/3*(100-Leger2!$C$4)),"A",IF(Leger2!AY22&gt;=(Leger2!$C$4+1/3*(100-Leger2!$C$4)),"B",IF(Leger2!AY22&gt;=Leger2!$C$4,"C","D"))))</f>
        <v/>
      </c>
      <c r="AL22" s="252" t="str">
        <f>IF(Leger2!AZ22="","",IF(Leger2!AZ22&gt;=(Leger2!$C$4+2/3*(100-Leger2!$C$4)),"A",IF(Leger2!AZ22&gt;=(Leger2!$C$4+1/3*(100-Leger2!$C$4)),"B",IF(Leger2!AZ22&gt;=Leger2!$C$4,"C","D"))))</f>
        <v/>
      </c>
    </row>
    <row r="23" spans="2:38">
      <c r="B23" s="1017"/>
      <c r="C23" s="1017"/>
      <c r="E23" s="211">
        <f>Biodata!B22</f>
        <v>17</v>
      </c>
      <c r="F23" s="212">
        <f>IF(Biodata!C22="","",VLOOKUP(E23,Biodata_Siswa,2,FALSE))</f>
        <v>7098</v>
      </c>
      <c r="G23" s="1015" t="str">
        <f>IF(Biodata!E22="","",PROPER(VLOOKUP(E23,Biodata_Siswa,4,FALSE)))</f>
        <v>Ladiva Nurrosa Laila</v>
      </c>
      <c r="H23" s="1016"/>
      <c r="I23" s="249" t="str">
        <f>IF(Leger2!I23="","",IF(Leger2!I23&gt;=(Leger2!$C$4+2/3*(100-Leger2!$C$4)),"A",IF(Leger2!I23&gt;=(Leger2!$C$4+1/3*(100-Leger2!$C$4)),"B",IF(Leger2!I23&gt;=Leger2!$C$4,"C","D"))))</f>
        <v/>
      </c>
      <c r="J23" s="252" t="str">
        <f>IF(Leger2!J23="","",IF(Leger2!J23&gt;=(Leger2!$C$4+2/3*(100-Leger2!$C$4)),"A",IF(Leger2!J23&gt;=(Leger2!$C$4+1/3*(100-Leger2!$C$4)),"B",IF(Leger2!J23&gt;=Leger2!$C$4,"C","D"))))</f>
        <v/>
      </c>
      <c r="K23" s="249" t="str">
        <f>IF(Leger2!L23="","",IF(Leger2!L23&gt;=(Leger2!$C$4+2/3*(100-Leger2!$C$4)),"A",IF(Leger2!L23&gt;=(Leger2!$C$4+1/3*(100-Leger2!$C$4)),"B",IF(Leger2!L23&gt;=Leger2!$C$4,"C","D"))))</f>
        <v/>
      </c>
      <c r="L23" s="252" t="str">
        <f>IF(Leger2!M23="","",IF(Leger2!M23&gt;=(Leger2!$C$4+2/3*(100-Leger2!$C$4)),"A",IF(Leger2!M23&gt;=(Leger2!$C$4+1/3*(100-Leger2!$C$4)),"B",IF(Leger2!M23&gt;=Leger2!$C$4,"C","D"))))</f>
        <v/>
      </c>
      <c r="M23" s="249" t="str">
        <f>IF(Leger2!O23="","",IF(Leger2!O23&gt;=(Leger2!$C$4+2/3*(100-Leger2!$C$4)),"A",IF(Leger2!O23&gt;=(Leger2!$C$4+1/3*(100-Leger2!$C$4)),"B",IF(Leger2!O23&gt;=Leger2!$C$4,"C","D"))))</f>
        <v/>
      </c>
      <c r="N23" s="252" t="str">
        <f>IF(Leger2!P23="","",IF(Leger2!P23&gt;=(Leger2!$C$4+2/3*(100-Leger2!$C$4)),"A",IF(Leger2!P23&gt;=(Leger2!$C$4+1/3*(100-Leger2!$C$4)),"B",IF(Leger2!P23&gt;=Leger2!$C$4,"C","D"))))</f>
        <v/>
      </c>
      <c r="O23" s="249" t="str">
        <f>IF(Leger2!R23="","",IF(Leger2!R23&gt;=(Leger2!$C$4+2/3*(100-Leger2!$C$4)),"A",IF(Leger2!R23&gt;=(Leger2!$C$4+1/3*(100-Leger2!$C$4)),"B",IF(Leger2!R23&gt;=Leger2!$C$4,"C","D"))))</f>
        <v/>
      </c>
      <c r="P23" s="252" t="str">
        <f>IF(Leger2!S23="","",IF(Leger2!S23&gt;=(Leger2!$C$4+2/3*(100-Leger2!$C$4)),"A",IF(Leger2!S23&gt;=(Leger2!$C$4+1/3*(100-Leger2!$C$4)),"B",IF(Leger2!S23&gt;=Leger2!$C$4,"C","D"))))</f>
        <v/>
      </c>
      <c r="Q23" s="249" t="str">
        <f>IF(Leger2!U23="","",IF(Leger2!U23&gt;=(Leger2!$C$4+2/3*(100-Leger2!$C$4)),"A",IF(Leger2!U23&gt;=(Leger2!$C$4+1/3*(100-Leger2!$C$4)),"B",IF(Leger2!U23&gt;=Leger2!$C$4,"C","D"))))</f>
        <v/>
      </c>
      <c r="R23" s="252" t="str">
        <f>IF(Leger2!V23="","",IF(Leger2!V23&gt;=(Leger2!$C$4+2/3*(100-Leger2!$C$4)),"A",IF(Leger2!V23&gt;=(Leger2!$C$4+1/3*(100-Leger2!$C$4)),"B",IF(Leger2!V23&gt;=Leger2!$C$4,"C","D"))))</f>
        <v/>
      </c>
      <c r="S23" s="249" t="str">
        <f>IF(Leger2!X23="","",IF(Leger2!X23&gt;=(Leger2!$C$4+2/3*(100-Leger2!$C$4)),"A",IF(Leger2!X23&gt;=(Leger2!$C$4+1/3*(100-Leger2!$C$4)),"B",IF(Leger2!X23&gt;=Leger2!$C$4,"C","D"))))</f>
        <v/>
      </c>
      <c r="T23" s="252" t="str">
        <f>IF(Leger2!Y23="","",IF(Leger2!Y23&gt;=(Leger2!$C$4+2/3*(100-Leger2!$C$4)),"A",IF(Leger2!Y23&gt;=(Leger2!$C$4+1/3*(100-Leger2!$C$4)),"B",IF(Leger2!Y23&gt;=Leger2!$C$4,"C","D"))))</f>
        <v/>
      </c>
      <c r="U23" s="249" t="str">
        <f>IF(Leger2!AA23="","",IF(Leger2!AA23&gt;=(Leger2!$C$4+2/3*(100-Leger2!$C$4)),"A",IF(Leger2!AA23&gt;=(Leger2!$C$4+1/3*(100-Leger2!$C$4)),"B",IF(Leger2!AA23&gt;=Leger2!$C$4,"C","D"))))</f>
        <v/>
      </c>
      <c r="V23" s="252" t="str">
        <f>IF(Leger2!AB23="","",IF(Leger2!AB23&gt;=(Leger2!$C$4+2/3*(100-Leger2!$C$4)),"A",IF(Leger2!AB23&gt;=(Leger2!$C$4+1/3*(100-Leger2!$C$4)),"B",IF(Leger2!AB23&gt;=Leger2!$C$4,"C","D"))))</f>
        <v/>
      </c>
      <c r="W23" s="249" t="str">
        <f>IF(Leger2!AD23="","",IF(Leger2!AD23&gt;=(Leger2!$C$4+2/3*(100-Leger2!$C$4)),"A",IF(Leger2!AD23&gt;=(Leger2!$C$4+1/3*(100-Leger2!$C$4)),"B",IF(Leger2!AD23&gt;=Leger2!$C$4,"C","D"))))</f>
        <v/>
      </c>
      <c r="X23" s="252" t="str">
        <f>IF(Leger2!AE23="","",IF(Leger2!AE23&gt;=(Leger2!$C$4+2/3*(100-Leger2!$C$4)),"A",IF(Leger2!AE23&gt;=(Leger2!$C$4+1/3*(100-Leger2!$C$4)),"B",IF(Leger2!AE23&gt;=Leger2!$C$4,"C","D"))))</f>
        <v/>
      </c>
      <c r="Y23" s="249" t="str">
        <f>IF(Leger2!AG23="","",IF(Leger2!AG23&gt;=(Leger2!$C$4+2/3*(100-Leger2!$C$4)),"A",IF(Leger2!AG23&gt;=(Leger2!$C$4+1/3*(100-Leger2!$C$4)),"B",IF(Leger2!AG23&gt;=Leger2!$C$4,"C","D"))))</f>
        <v/>
      </c>
      <c r="Z23" s="252" t="str">
        <f>IF(Leger2!AH23="","",IF(Leger2!AH23&gt;=(Leger2!$C$4+2/3*(100-Leger2!$C$4)),"A",IF(Leger2!AH23&gt;=(Leger2!$C$4+1/3*(100-Leger2!$C$4)),"B",IF(Leger2!AH23&gt;=Leger2!$C$4,"C","D"))))</f>
        <v/>
      </c>
      <c r="AA23" s="249" t="str">
        <f>IF(Leger2!AJ23="","",IF(Leger2!AJ23&gt;=(Leger2!$C$4+2/3*(100-Leger2!$C$4)),"A",IF(Leger2!AJ23&gt;=(Leger2!$C$4+1/3*(100-Leger2!$C$4)),"B",IF(Leger2!AJ23&gt;=Leger2!$C$4,"C","D"))))</f>
        <v/>
      </c>
      <c r="AB23" s="252" t="str">
        <f>IF(Leger2!AK23="","",IF(Leger2!AK23&gt;=(Leger2!$C$4+2/3*(100-Leger2!$C$4)),"A",IF(Leger2!AK23&gt;=(Leger2!$C$4+1/3*(100-Leger2!$C$4)),"B",IF(Leger2!AK23&gt;=Leger2!$C$4,"C","D"))))</f>
        <v/>
      </c>
      <c r="AC23" s="249" t="str">
        <f>IF(Leger2!AM23="","",IF(Leger2!AM23&gt;=(Leger2!$C$4+2/3*(100-Leger2!$C$4)),"A",IF(Leger2!AM23&gt;=(Leger2!$C$4+1/3*(100-Leger2!$C$4)),"B",IF(Leger2!AM23&gt;=Leger2!$C$4,"C","D"))))</f>
        <v/>
      </c>
      <c r="AD23" s="252" t="str">
        <f>IF(Leger2!AN23="","",IF(Leger2!AN23&gt;=(Leger2!$C$4+2/3*(100-Leger2!$C$4)),"A",IF(Leger2!AN23&gt;=(Leger2!$C$4+1/3*(100-Leger2!$C$4)),"B",IF(Leger2!AN23&gt;=Leger2!$C$4,"C","D"))))</f>
        <v/>
      </c>
      <c r="AE23" s="249" t="str">
        <f>IF(Leger2!AP23="","",IF(Leger2!AP23&gt;=(Leger2!$C$4+2/3*(100-Leger2!$C$4)),"A",IF(Leger2!AP23&gt;=(Leger2!$C$4+1/3*(100-Leger2!$C$4)),"B",IF(Leger2!AP23&gt;=Leger2!$C$4,"C","D"))))</f>
        <v/>
      </c>
      <c r="AF23" s="252" t="str">
        <f>IF(Leger2!AQ23="","",IF(Leger2!AQ23&gt;=(Leger2!$C$4+2/3*(100-Leger2!$C$4)),"A",IF(Leger2!AQ23&gt;=(Leger2!$C$4+1/3*(100-Leger2!$C$4)),"B",IF(Leger2!AQ23&gt;=Leger2!$C$4,"C","D"))))</f>
        <v/>
      </c>
      <c r="AG23" s="249" t="str">
        <f>IF(Leger2!AS23="","",IF(Leger2!AS23&gt;=(Leger2!$C$4+2/3*(100-Leger2!$C$4)),"A",IF(Leger2!AS23&gt;=(Leger2!$C$4+1/3*(100-Leger2!$C$4)),"B",IF(Leger2!AS23&gt;=Leger2!$C$4,"C","D"))))</f>
        <v/>
      </c>
      <c r="AH23" s="252" t="str">
        <f>IF(Leger2!AT23="","",IF(Leger2!AT23&gt;=(Leger2!$C$4+2/3*(100-Leger2!$C$4)),"A",IF(Leger2!AT23&gt;=(Leger2!$C$4+1/3*(100-Leger2!$C$4)),"B",IF(Leger2!AT23&gt;=Leger2!$C$4,"C","D"))))</f>
        <v/>
      </c>
      <c r="AI23" s="249" t="str">
        <f>IF(Leger2!AV23="","",IF(Leger2!AV23&gt;=(Leger2!$C$4+2/3*(100-Leger2!$C$4)),"A",IF(Leger2!AV23&gt;=(Leger2!$C$4+1/3*(100-Leger2!$C$4)),"B",IF(Leger2!AV23&gt;=Leger2!$C$4,"C","D"))))</f>
        <v/>
      </c>
      <c r="AJ23" s="252" t="str">
        <f>IF(Leger2!AW23="","",IF(Leger2!AW23&gt;=(Leger2!$C$4+2/3*(100-Leger2!$C$4)),"A",IF(Leger2!AW23&gt;=(Leger2!$C$4+1/3*(100-Leger2!$C$4)),"B",IF(Leger2!AW23&gt;=Leger2!$C$4,"C","D"))))</f>
        <v/>
      </c>
      <c r="AK23" s="249" t="str">
        <f>IF(Leger2!AY23="","",IF(Leger2!AY23&gt;=(Leger2!$C$4+2/3*(100-Leger2!$C$4)),"A",IF(Leger2!AY23&gt;=(Leger2!$C$4+1/3*(100-Leger2!$C$4)),"B",IF(Leger2!AY23&gt;=Leger2!$C$4,"C","D"))))</f>
        <v/>
      </c>
      <c r="AL23" s="252" t="str">
        <f>IF(Leger2!AZ23="","",IF(Leger2!AZ23&gt;=(Leger2!$C$4+2/3*(100-Leger2!$C$4)),"A",IF(Leger2!AZ23&gt;=(Leger2!$C$4+1/3*(100-Leger2!$C$4)),"B",IF(Leger2!AZ23&gt;=Leger2!$C$4,"C","D"))))</f>
        <v/>
      </c>
    </row>
    <row r="24" spans="2:38">
      <c r="E24" s="211">
        <f>Biodata!B23</f>
        <v>18</v>
      </c>
      <c r="F24" s="212">
        <f>IF(Biodata!C23="","",VLOOKUP(E24,Biodata_Siswa,2,FALSE))</f>
        <v>7101</v>
      </c>
      <c r="G24" s="1015" t="str">
        <f>IF(Biodata!E23="","",PROPER(VLOOKUP(E24,Biodata_Siswa,4,FALSE)))</f>
        <v>Mefa Novita Putri</v>
      </c>
      <c r="H24" s="1016"/>
      <c r="I24" s="249" t="str">
        <f>IF(Leger2!I24="","",IF(Leger2!I24&gt;=(Leger2!$C$4+2/3*(100-Leger2!$C$4)),"A",IF(Leger2!I24&gt;=(Leger2!$C$4+1/3*(100-Leger2!$C$4)),"B",IF(Leger2!I24&gt;=Leger2!$C$4,"C","D"))))</f>
        <v/>
      </c>
      <c r="J24" s="252" t="str">
        <f>IF(Leger2!J24="","",IF(Leger2!J24&gt;=(Leger2!$C$4+2/3*(100-Leger2!$C$4)),"A",IF(Leger2!J24&gt;=(Leger2!$C$4+1/3*(100-Leger2!$C$4)),"B",IF(Leger2!J24&gt;=Leger2!$C$4,"C","D"))))</f>
        <v/>
      </c>
      <c r="K24" s="249" t="str">
        <f>IF(Leger2!L24="","",IF(Leger2!L24&gt;=(Leger2!$C$4+2/3*(100-Leger2!$C$4)),"A",IF(Leger2!L24&gt;=(Leger2!$C$4+1/3*(100-Leger2!$C$4)),"B",IF(Leger2!L24&gt;=Leger2!$C$4,"C","D"))))</f>
        <v/>
      </c>
      <c r="L24" s="252" t="str">
        <f>IF(Leger2!M24="","",IF(Leger2!M24&gt;=(Leger2!$C$4+2/3*(100-Leger2!$C$4)),"A",IF(Leger2!M24&gt;=(Leger2!$C$4+1/3*(100-Leger2!$C$4)),"B",IF(Leger2!M24&gt;=Leger2!$C$4,"C","D"))))</f>
        <v/>
      </c>
      <c r="M24" s="249" t="str">
        <f>IF(Leger2!O24="","",IF(Leger2!O24&gt;=(Leger2!$C$4+2/3*(100-Leger2!$C$4)),"A",IF(Leger2!O24&gt;=(Leger2!$C$4+1/3*(100-Leger2!$C$4)),"B",IF(Leger2!O24&gt;=Leger2!$C$4,"C","D"))))</f>
        <v/>
      </c>
      <c r="N24" s="252" t="str">
        <f>IF(Leger2!P24="","",IF(Leger2!P24&gt;=(Leger2!$C$4+2/3*(100-Leger2!$C$4)),"A",IF(Leger2!P24&gt;=(Leger2!$C$4+1/3*(100-Leger2!$C$4)),"B",IF(Leger2!P24&gt;=Leger2!$C$4,"C","D"))))</f>
        <v/>
      </c>
      <c r="O24" s="249" t="str">
        <f>IF(Leger2!R24="","",IF(Leger2!R24&gt;=(Leger2!$C$4+2/3*(100-Leger2!$C$4)),"A",IF(Leger2!R24&gt;=(Leger2!$C$4+1/3*(100-Leger2!$C$4)),"B",IF(Leger2!R24&gt;=Leger2!$C$4,"C","D"))))</f>
        <v/>
      </c>
      <c r="P24" s="252" t="str">
        <f>IF(Leger2!S24="","",IF(Leger2!S24&gt;=(Leger2!$C$4+2/3*(100-Leger2!$C$4)),"A",IF(Leger2!S24&gt;=(Leger2!$C$4+1/3*(100-Leger2!$C$4)),"B",IF(Leger2!S24&gt;=Leger2!$C$4,"C","D"))))</f>
        <v/>
      </c>
      <c r="Q24" s="249" t="str">
        <f>IF(Leger2!U24="","",IF(Leger2!U24&gt;=(Leger2!$C$4+2/3*(100-Leger2!$C$4)),"A",IF(Leger2!U24&gt;=(Leger2!$C$4+1/3*(100-Leger2!$C$4)),"B",IF(Leger2!U24&gt;=Leger2!$C$4,"C","D"))))</f>
        <v/>
      </c>
      <c r="R24" s="252" t="str">
        <f>IF(Leger2!V24="","",IF(Leger2!V24&gt;=(Leger2!$C$4+2/3*(100-Leger2!$C$4)),"A",IF(Leger2!V24&gt;=(Leger2!$C$4+1/3*(100-Leger2!$C$4)),"B",IF(Leger2!V24&gt;=Leger2!$C$4,"C","D"))))</f>
        <v/>
      </c>
      <c r="S24" s="249" t="str">
        <f>IF(Leger2!X24="","",IF(Leger2!X24&gt;=(Leger2!$C$4+2/3*(100-Leger2!$C$4)),"A",IF(Leger2!X24&gt;=(Leger2!$C$4+1/3*(100-Leger2!$C$4)),"B",IF(Leger2!X24&gt;=Leger2!$C$4,"C","D"))))</f>
        <v/>
      </c>
      <c r="T24" s="252" t="str">
        <f>IF(Leger2!Y24="","",IF(Leger2!Y24&gt;=(Leger2!$C$4+2/3*(100-Leger2!$C$4)),"A",IF(Leger2!Y24&gt;=(Leger2!$C$4+1/3*(100-Leger2!$C$4)),"B",IF(Leger2!Y24&gt;=Leger2!$C$4,"C","D"))))</f>
        <v/>
      </c>
      <c r="U24" s="249" t="str">
        <f>IF(Leger2!AA24="","",IF(Leger2!AA24&gt;=(Leger2!$C$4+2/3*(100-Leger2!$C$4)),"A",IF(Leger2!AA24&gt;=(Leger2!$C$4+1/3*(100-Leger2!$C$4)),"B",IF(Leger2!AA24&gt;=Leger2!$C$4,"C","D"))))</f>
        <v/>
      </c>
      <c r="V24" s="252" t="str">
        <f>IF(Leger2!AB24="","",IF(Leger2!AB24&gt;=(Leger2!$C$4+2/3*(100-Leger2!$C$4)),"A",IF(Leger2!AB24&gt;=(Leger2!$C$4+1/3*(100-Leger2!$C$4)),"B",IF(Leger2!AB24&gt;=Leger2!$C$4,"C","D"))))</f>
        <v/>
      </c>
      <c r="W24" s="249" t="str">
        <f>IF(Leger2!AD24="","",IF(Leger2!AD24&gt;=(Leger2!$C$4+2/3*(100-Leger2!$C$4)),"A",IF(Leger2!AD24&gt;=(Leger2!$C$4+1/3*(100-Leger2!$C$4)),"B",IF(Leger2!AD24&gt;=Leger2!$C$4,"C","D"))))</f>
        <v/>
      </c>
      <c r="X24" s="252" t="str">
        <f>IF(Leger2!AE24="","",IF(Leger2!AE24&gt;=(Leger2!$C$4+2/3*(100-Leger2!$C$4)),"A",IF(Leger2!AE24&gt;=(Leger2!$C$4+1/3*(100-Leger2!$C$4)),"B",IF(Leger2!AE24&gt;=Leger2!$C$4,"C","D"))))</f>
        <v/>
      </c>
      <c r="Y24" s="249" t="str">
        <f>IF(Leger2!AG24="","",IF(Leger2!AG24&gt;=(Leger2!$C$4+2/3*(100-Leger2!$C$4)),"A",IF(Leger2!AG24&gt;=(Leger2!$C$4+1/3*(100-Leger2!$C$4)),"B",IF(Leger2!AG24&gt;=Leger2!$C$4,"C","D"))))</f>
        <v/>
      </c>
      <c r="Z24" s="252" t="str">
        <f>IF(Leger2!AH24="","",IF(Leger2!AH24&gt;=(Leger2!$C$4+2/3*(100-Leger2!$C$4)),"A",IF(Leger2!AH24&gt;=(Leger2!$C$4+1/3*(100-Leger2!$C$4)),"B",IF(Leger2!AH24&gt;=Leger2!$C$4,"C","D"))))</f>
        <v/>
      </c>
      <c r="AA24" s="249" t="str">
        <f>IF(Leger2!AJ24="","",IF(Leger2!AJ24&gt;=(Leger2!$C$4+2/3*(100-Leger2!$C$4)),"A",IF(Leger2!AJ24&gt;=(Leger2!$C$4+1/3*(100-Leger2!$C$4)),"B",IF(Leger2!AJ24&gt;=Leger2!$C$4,"C","D"))))</f>
        <v/>
      </c>
      <c r="AB24" s="252" t="str">
        <f>IF(Leger2!AK24="","",IF(Leger2!AK24&gt;=(Leger2!$C$4+2/3*(100-Leger2!$C$4)),"A",IF(Leger2!AK24&gt;=(Leger2!$C$4+1/3*(100-Leger2!$C$4)),"B",IF(Leger2!AK24&gt;=Leger2!$C$4,"C","D"))))</f>
        <v/>
      </c>
      <c r="AC24" s="249" t="str">
        <f>IF(Leger2!AM24="","",IF(Leger2!AM24&gt;=(Leger2!$C$4+2/3*(100-Leger2!$C$4)),"A",IF(Leger2!AM24&gt;=(Leger2!$C$4+1/3*(100-Leger2!$C$4)),"B",IF(Leger2!AM24&gt;=Leger2!$C$4,"C","D"))))</f>
        <v/>
      </c>
      <c r="AD24" s="252" t="str">
        <f>IF(Leger2!AN24="","",IF(Leger2!AN24&gt;=(Leger2!$C$4+2/3*(100-Leger2!$C$4)),"A",IF(Leger2!AN24&gt;=(Leger2!$C$4+1/3*(100-Leger2!$C$4)),"B",IF(Leger2!AN24&gt;=Leger2!$C$4,"C","D"))))</f>
        <v/>
      </c>
      <c r="AE24" s="249" t="str">
        <f>IF(Leger2!AP24="","",IF(Leger2!AP24&gt;=(Leger2!$C$4+2/3*(100-Leger2!$C$4)),"A",IF(Leger2!AP24&gt;=(Leger2!$C$4+1/3*(100-Leger2!$C$4)),"B",IF(Leger2!AP24&gt;=Leger2!$C$4,"C","D"))))</f>
        <v/>
      </c>
      <c r="AF24" s="252" t="str">
        <f>IF(Leger2!AQ24="","",IF(Leger2!AQ24&gt;=(Leger2!$C$4+2/3*(100-Leger2!$C$4)),"A",IF(Leger2!AQ24&gt;=(Leger2!$C$4+1/3*(100-Leger2!$C$4)),"B",IF(Leger2!AQ24&gt;=Leger2!$C$4,"C","D"))))</f>
        <v/>
      </c>
      <c r="AG24" s="249" t="str">
        <f>IF(Leger2!AS24="","",IF(Leger2!AS24&gt;=(Leger2!$C$4+2/3*(100-Leger2!$C$4)),"A",IF(Leger2!AS24&gt;=(Leger2!$C$4+1/3*(100-Leger2!$C$4)),"B",IF(Leger2!AS24&gt;=Leger2!$C$4,"C","D"))))</f>
        <v/>
      </c>
      <c r="AH24" s="252" t="str">
        <f>IF(Leger2!AT24="","",IF(Leger2!AT24&gt;=(Leger2!$C$4+2/3*(100-Leger2!$C$4)),"A",IF(Leger2!AT24&gt;=(Leger2!$C$4+1/3*(100-Leger2!$C$4)),"B",IF(Leger2!AT24&gt;=Leger2!$C$4,"C","D"))))</f>
        <v/>
      </c>
      <c r="AI24" s="249" t="str">
        <f>IF(Leger2!AV24="","",IF(Leger2!AV24&gt;=(Leger2!$C$4+2/3*(100-Leger2!$C$4)),"A",IF(Leger2!AV24&gt;=(Leger2!$C$4+1/3*(100-Leger2!$C$4)),"B",IF(Leger2!AV24&gt;=Leger2!$C$4,"C","D"))))</f>
        <v/>
      </c>
      <c r="AJ24" s="252" t="str">
        <f>IF(Leger2!AW24="","",IF(Leger2!AW24&gt;=(Leger2!$C$4+2/3*(100-Leger2!$C$4)),"A",IF(Leger2!AW24&gt;=(Leger2!$C$4+1/3*(100-Leger2!$C$4)),"B",IF(Leger2!AW24&gt;=Leger2!$C$4,"C","D"))))</f>
        <v/>
      </c>
      <c r="AK24" s="249" t="str">
        <f>IF(Leger2!AY24="","",IF(Leger2!AY24&gt;=(Leger2!$C$4+2/3*(100-Leger2!$C$4)),"A",IF(Leger2!AY24&gt;=(Leger2!$C$4+1/3*(100-Leger2!$C$4)),"B",IF(Leger2!AY24&gt;=Leger2!$C$4,"C","D"))))</f>
        <v/>
      </c>
      <c r="AL24" s="252" t="str">
        <f>IF(Leger2!AZ24="","",IF(Leger2!AZ24&gt;=(Leger2!$C$4+2/3*(100-Leger2!$C$4)),"A",IF(Leger2!AZ24&gt;=(Leger2!$C$4+1/3*(100-Leger2!$C$4)),"B",IF(Leger2!AZ24&gt;=Leger2!$C$4,"C","D"))))</f>
        <v/>
      </c>
    </row>
    <row r="25" spans="2:38">
      <c r="E25" s="211">
        <f>Biodata!B24</f>
        <v>19</v>
      </c>
      <c r="F25" s="212">
        <f>IF(Biodata!C24="","",VLOOKUP(E25,Biodata_Siswa,2,FALSE))</f>
        <v>7104</v>
      </c>
      <c r="G25" s="1015" t="str">
        <f>IF(Biodata!E24="","",PROPER(VLOOKUP(E25,Biodata_Siswa,4,FALSE)))</f>
        <v>Mellanie Bunga Aprilia</v>
      </c>
      <c r="H25" s="1016"/>
      <c r="I25" s="249" t="str">
        <f>IF(Leger2!I25="","",IF(Leger2!I25&gt;=(Leger2!$C$4+2/3*(100-Leger2!$C$4)),"A",IF(Leger2!I25&gt;=(Leger2!$C$4+1/3*(100-Leger2!$C$4)),"B",IF(Leger2!I25&gt;=Leger2!$C$4,"C","D"))))</f>
        <v/>
      </c>
      <c r="J25" s="252" t="str">
        <f>IF(Leger2!J25="","",IF(Leger2!J25&gt;=(Leger2!$C$4+2/3*(100-Leger2!$C$4)),"A",IF(Leger2!J25&gt;=(Leger2!$C$4+1/3*(100-Leger2!$C$4)),"B",IF(Leger2!J25&gt;=Leger2!$C$4,"C","D"))))</f>
        <v/>
      </c>
      <c r="K25" s="249" t="str">
        <f>IF(Leger2!L25="","",IF(Leger2!L25&gt;=(Leger2!$C$4+2/3*(100-Leger2!$C$4)),"A",IF(Leger2!L25&gt;=(Leger2!$C$4+1/3*(100-Leger2!$C$4)),"B",IF(Leger2!L25&gt;=Leger2!$C$4,"C","D"))))</f>
        <v/>
      </c>
      <c r="L25" s="252" t="str">
        <f>IF(Leger2!M25="","",IF(Leger2!M25&gt;=(Leger2!$C$4+2/3*(100-Leger2!$C$4)),"A",IF(Leger2!M25&gt;=(Leger2!$C$4+1/3*(100-Leger2!$C$4)),"B",IF(Leger2!M25&gt;=Leger2!$C$4,"C","D"))))</f>
        <v/>
      </c>
      <c r="M25" s="249" t="str">
        <f>IF(Leger2!O25="","",IF(Leger2!O25&gt;=(Leger2!$C$4+2/3*(100-Leger2!$C$4)),"A",IF(Leger2!O25&gt;=(Leger2!$C$4+1/3*(100-Leger2!$C$4)),"B",IF(Leger2!O25&gt;=Leger2!$C$4,"C","D"))))</f>
        <v/>
      </c>
      <c r="N25" s="252" t="str">
        <f>IF(Leger2!P25="","",IF(Leger2!P25&gt;=(Leger2!$C$4+2/3*(100-Leger2!$C$4)),"A",IF(Leger2!P25&gt;=(Leger2!$C$4+1/3*(100-Leger2!$C$4)),"B",IF(Leger2!P25&gt;=Leger2!$C$4,"C","D"))))</f>
        <v/>
      </c>
      <c r="O25" s="249" t="str">
        <f>IF(Leger2!R25="","",IF(Leger2!R25&gt;=(Leger2!$C$4+2/3*(100-Leger2!$C$4)),"A",IF(Leger2!R25&gt;=(Leger2!$C$4+1/3*(100-Leger2!$C$4)),"B",IF(Leger2!R25&gt;=Leger2!$C$4,"C","D"))))</f>
        <v/>
      </c>
      <c r="P25" s="252" t="str">
        <f>IF(Leger2!S25="","",IF(Leger2!S25&gt;=(Leger2!$C$4+2/3*(100-Leger2!$C$4)),"A",IF(Leger2!S25&gt;=(Leger2!$C$4+1/3*(100-Leger2!$C$4)),"B",IF(Leger2!S25&gt;=Leger2!$C$4,"C","D"))))</f>
        <v/>
      </c>
      <c r="Q25" s="249" t="str">
        <f>IF(Leger2!U25="","",IF(Leger2!U25&gt;=(Leger2!$C$4+2/3*(100-Leger2!$C$4)),"A",IF(Leger2!U25&gt;=(Leger2!$C$4+1/3*(100-Leger2!$C$4)),"B",IF(Leger2!U25&gt;=Leger2!$C$4,"C","D"))))</f>
        <v/>
      </c>
      <c r="R25" s="252" t="str">
        <f>IF(Leger2!V25="","",IF(Leger2!V25&gt;=(Leger2!$C$4+2/3*(100-Leger2!$C$4)),"A",IF(Leger2!V25&gt;=(Leger2!$C$4+1/3*(100-Leger2!$C$4)),"B",IF(Leger2!V25&gt;=Leger2!$C$4,"C","D"))))</f>
        <v/>
      </c>
      <c r="S25" s="249" t="str">
        <f>IF(Leger2!X25="","",IF(Leger2!X25&gt;=(Leger2!$C$4+2/3*(100-Leger2!$C$4)),"A",IF(Leger2!X25&gt;=(Leger2!$C$4+1/3*(100-Leger2!$C$4)),"B",IF(Leger2!X25&gt;=Leger2!$C$4,"C","D"))))</f>
        <v/>
      </c>
      <c r="T25" s="252" t="str">
        <f>IF(Leger2!Y25="","",IF(Leger2!Y25&gt;=(Leger2!$C$4+2/3*(100-Leger2!$C$4)),"A",IF(Leger2!Y25&gt;=(Leger2!$C$4+1/3*(100-Leger2!$C$4)),"B",IF(Leger2!Y25&gt;=Leger2!$C$4,"C","D"))))</f>
        <v/>
      </c>
      <c r="U25" s="249" t="str">
        <f>IF(Leger2!AA25="","",IF(Leger2!AA25&gt;=(Leger2!$C$4+2/3*(100-Leger2!$C$4)),"A",IF(Leger2!AA25&gt;=(Leger2!$C$4+1/3*(100-Leger2!$C$4)),"B",IF(Leger2!AA25&gt;=Leger2!$C$4,"C","D"))))</f>
        <v/>
      </c>
      <c r="V25" s="252" t="str">
        <f>IF(Leger2!AB25="","",IF(Leger2!AB25&gt;=(Leger2!$C$4+2/3*(100-Leger2!$C$4)),"A",IF(Leger2!AB25&gt;=(Leger2!$C$4+1/3*(100-Leger2!$C$4)),"B",IF(Leger2!AB25&gt;=Leger2!$C$4,"C","D"))))</f>
        <v/>
      </c>
      <c r="W25" s="249" t="str">
        <f>IF(Leger2!AD25="","",IF(Leger2!AD25&gt;=(Leger2!$C$4+2/3*(100-Leger2!$C$4)),"A",IF(Leger2!AD25&gt;=(Leger2!$C$4+1/3*(100-Leger2!$C$4)),"B",IF(Leger2!AD25&gt;=Leger2!$C$4,"C","D"))))</f>
        <v/>
      </c>
      <c r="X25" s="252" t="str">
        <f>IF(Leger2!AE25="","",IF(Leger2!AE25&gt;=(Leger2!$C$4+2/3*(100-Leger2!$C$4)),"A",IF(Leger2!AE25&gt;=(Leger2!$C$4+1/3*(100-Leger2!$C$4)),"B",IF(Leger2!AE25&gt;=Leger2!$C$4,"C","D"))))</f>
        <v/>
      </c>
      <c r="Y25" s="249" t="str">
        <f>IF(Leger2!AG25="","",IF(Leger2!AG25&gt;=(Leger2!$C$4+2/3*(100-Leger2!$C$4)),"A",IF(Leger2!AG25&gt;=(Leger2!$C$4+1/3*(100-Leger2!$C$4)),"B",IF(Leger2!AG25&gt;=Leger2!$C$4,"C","D"))))</f>
        <v/>
      </c>
      <c r="Z25" s="252" t="str">
        <f>IF(Leger2!AH25="","",IF(Leger2!AH25&gt;=(Leger2!$C$4+2/3*(100-Leger2!$C$4)),"A",IF(Leger2!AH25&gt;=(Leger2!$C$4+1/3*(100-Leger2!$C$4)),"B",IF(Leger2!AH25&gt;=Leger2!$C$4,"C","D"))))</f>
        <v/>
      </c>
      <c r="AA25" s="249" t="str">
        <f>IF(Leger2!AJ25="","",IF(Leger2!AJ25&gt;=(Leger2!$C$4+2/3*(100-Leger2!$C$4)),"A",IF(Leger2!AJ25&gt;=(Leger2!$C$4+1/3*(100-Leger2!$C$4)),"B",IF(Leger2!AJ25&gt;=Leger2!$C$4,"C","D"))))</f>
        <v/>
      </c>
      <c r="AB25" s="252" t="str">
        <f>IF(Leger2!AK25="","",IF(Leger2!AK25&gt;=(Leger2!$C$4+2/3*(100-Leger2!$C$4)),"A",IF(Leger2!AK25&gt;=(Leger2!$C$4+1/3*(100-Leger2!$C$4)),"B",IF(Leger2!AK25&gt;=Leger2!$C$4,"C","D"))))</f>
        <v/>
      </c>
      <c r="AC25" s="249" t="str">
        <f>IF(Leger2!AM25="","",IF(Leger2!AM25&gt;=(Leger2!$C$4+2/3*(100-Leger2!$C$4)),"A",IF(Leger2!AM25&gt;=(Leger2!$C$4+1/3*(100-Leger2!$C$4)),"B",IF(Leger2!AM25&gt;=Leger2!$C$4,"C","D"))))</f>
        <v/>
      </c>
      <c r="AD25" s="252" t="str">
        <f>IF(Leger2!AN25="","",IF(Leger2!AN25&gt;=(Leger2!$C$4+2/3*(100-Leger2!$C$4)),"A",IF(Leger2!AN25&gt;=(Leger2!$C$4+1/3*(100-Leger2!$C$4)),"B",IF(Leger2!AN25&gt;=Leger2!$C$4,"C","D"))))</f>
        <v/>
      </c>
      <c r="AE25" s="249" t="str">
        <f>IF(Leger2!AP25="","",IF(Leger2!AP25&gt;=(Leger2!$C$4+2/3*(100-Leger2!$C$4)),"A",IF(Leger2!AP25&gt;=(Leger2!$C$4+1/3*(100-Leger2!$C$4)),"B",IF(Leger2!AP25&gt;=Leger2!$C$4,"C","D"))))</f>
        <v/>
      </c>
      <c r="AF25" s="252" t="str">
        <f>IF(Leger2!AQ25="","",IF(Leger2!AQ25&gt;=(Leger2!$C$4+2/3*(100-Leger2!$C$4)),"A",IF(Leger2!AQ25&gt;=(Leger2!$C$4+1/3*(100-Leger2!$C$4)),"B",IF(Leger2!AQ25&gt;=Leger2!$C$4,"C","D"))))</f>
        <v/>
      </c>
      <c r="AG25" s="249" t="str">
        <f>IF(Leger2!AS25="","",IF(Leger2!AS25&gt;=(Leger2!$C$4+2/3*(100-Leger2!$C$4)),"A",IF(Leger2!AS25&gt;=(Leger2!$C$4+1/3*(100-Leger2!$C$4)),"B",IF(Leger2!AS25&gt;=Leger2!$C$4,"C","D"))))</f>
        <v/>
      </c>
      <c r="AH25" s="252" t="str">
        <f>IF(Leger2!AT25="","",IF(Leger2!AT25&gt;=(Leger2!$C$4+2/3*(100-Leger2!$C$4)),"A",IF(Leger2!AT25&gt;=(Leger2!$C$4+1/3*(100-Leger2!$C$4)),"B",IF(Leger2!AT25&gt;=Leger2!$C$4,"C","D"))))</f>
        <v/>
      </c>
      <c r="AI25" s="249" t="str">
        <f>IF(Leger2!AV25="","",IF(Leger2!AV25&gt;=(Leger2!$C$4+2/3*(100-Leger2!$C$4)),"A",IF(Leger2!AV25&gt;=(Leger2!$C$4+1/3*(100-Leger2!$C$4)),"B",IF(Leger2!AV25&gt;=Leger2!$C$4,"C","D"))))</f>
        <v/>
      </c>
      <c r="AJ25" s="252" t="str">
        <f>IF(Leger2!AW25="","",IF(Leger2!AW25&gt;=(Leger2!$C$4+2/3*(100-Leger2!$C$4)),"A",IF(Leger2!AW25&gt;=(Leger2!$C$4+1/3*(100-Leger2!$C$4)),"B",IF(Leger2!AW25&gt;=Leger2!$C$4,"C","D"))))</f>
        <v/>
      </c>
      <c r="AK25" s="249" t="str">
        <f>IF(Leger2!AY25="","",IF(Leger2!AY25&gt;=(Leger2!$C$4+2/3*(100-Leger2!$C$4)),"A",IF(Leger2!AY25&gt;=(Leger2!$C$4+1/3*(100-Leger2!$C$4)),"B",IF(Leger2!AY25&gt;=Leger2!$C$4,"C","D"))))</f>
        <v/>
      </c>
      <c r="AL25" s="252" t="str">
        <f>IF(Leger2!AZ25="","",IF(Leger2!AZ25&gt;=(Leger2!$C$4+2/3*(100-Leger2!$C$4)),"A",IF(Leger2!AZ25&gt;=(Leger2!$C$4+1/3*(100-Leger2!$C$4)),"B",IF(Leger2!AZ25&gt;=Leger2!$C$4,"C","D"))))</f>
        <v/>
      </c>
    </row>
    <row r="26" spans="2:38">
      <c r="E26" s="211">
        <f>Biodata!B25</f>
        <v>20</v>
      </c>
      <c r="F26" s="212">
        <f>IF(Biodata!C25="","",VLOOKUP(E26,Biodata_Siswa,2,FALSE))</f>
        <v>7105</v>
      </c>
      <c r="G26" s="1015" t="str">
        <f>IF(Biodata!E25="","",PROPER(VLOOKUP(E26,Biodata_Siswa,4,FALSE)))</f>
        <v>Mirra Tusolickak</v>
      </c>
      <c r="H26" s="1016"/>
      <c r="I26" s="249" t="str">
        <f>IF(Leger2!I26="","",IF(Leger2!I26&gt;=(Leger2!$C$4+2/3*(100-Leger2!$C$4)),"A",IF(Leger2!I26&gt;=(Leger2!$C$4+1/3*(100-Leger2!$C$4)),"B",IF(Leger2!I26&gt;=Leger2!$C$4,"C","D"))))</f>
        <v/>
      </c>
      <c r="J26" s="252" t="str">
        <f>IF(Leger2!J26="","",IF(Leger2!J26&gt;=(Leger2!$C$4+2/3*(100-Leger2!$C$4)),"A",IF(Leger2!J26&gt;=(Leger2!$C$4+1/3*(100-Leger2!$C$4)),"B",IF(Leger2!J26&gt;=Leger2!$C$4,"C","D"))))</f>
        <v/>
      </c>
      <c r="K26" s="249" t="str">
        <f>IF(Leger2!L26="","",IF(Leger2!L26&gt;=(Leger2!$C$4+2/3*(100-Leger2!$C$4)),"A",IF(Leger2!L26&gt;=(Leger2!$C$4+1/3*(100-Leger2!$C$4)),"B",IF(Leger2!L26&gt;=Leger2!$C$4,"C","D"))))</f>
        <v/>
      </c>
      <c r="L26" s="252" t="str">
        <f>IF(Leger2!M26="","",IF(Leger2!M26&gt;=(Leger2!$C$4+2/3*(100-Leger2!$C$4)),"A",IF(Leger2!M26&gt;=(Leger2!$C$4+1/3*(100-Leger2!$C$4)),"B",IF(Leger2!M26&gt;=Leger2!$C$4,"C","D"))))</f>
        <v/>
      </c>
      <c r="M26" s="249" t="str">
        <f>IF(Leger2!O26="","",IF(Leger2!O26&gt;=(Leger2!$C$4+2/3*(100-Leger2!$C$4)),"A",IF(Leger2!O26&gt;=(Leger2!$C$4+1/3*(100-Leger2!$C$4)),"B",IF(Leger2!O26&gt;=Leger2!$C$4,"C","D"))))</f>
        <v/>
      </c>
      <c r="N26" s="252" t="str">
        <f>IF(Leger2!P26="","",IF(Leger2!P26&gt;=(Leger2!$C$4+2/3*(100-Leger2!$C$4)),"A",IF(Leger2!P26&gt;=(Leger2!$C$4+1/3*(100-Leger2!$C$4)),"B",IF(Leger2!P26&gt;=Leger2!$C$4,"C","D"))))</f>
        <v/>
      </c>
      <c r="O26" s="249" t="str">
        <f>IF(Leger2!R26="","",IF(Leger2!R26&gt;=(Leger2!$C$4+2/3*(100-Leger2!$C$4)),"A",IF(Leger2!R26&gt;=(Leger2!$C$4+1/3*(100-Leger2!$C$4)),"B",IF(Leger2!R26&gt;=Leger2!$C$4,"C","D"))))</f>
        <v/>
      </c>
      <c r="P26" s="252" t="str">
        <f>IF(Leger2!S26="","",IF(Leger2!S26&gt;=(Leger2!$C$4+2/3*(100-Leger2!$C$4)),"A",IF(Leger2!S26&gt;=(Leger2!$C$4+1/3*(100-Leger2!$C$4)),"B",IF(Leger2!S26&gt;=Leger2!$C$4,"C","D"))))</f>
        <v/>
      </c>
      <c r="Q26" s="249" t="str">
        <f>IF(Leger2!U26="","",IF(Leger2!U26&gt;=(Leger2!$C$4+2/3*(100-Leger2!$C$4)),"A",IF(Leger2!U26&gt;=(Leger2!$C$4+1/3*(100-Leger2!$C$4)),"B",IF(Leger2!U26&gt;=Leger2!$C$4,"C","D"))))</f>
        <v/>
      </c>
      <c r="R26" s="252" t="str">
        <f>IF(Leger2!V26="","",IF(Leger2!V26&gt;=(Leger2!$C$4+2/3*(100-Leger2!$C$4)),"A",IF(Leger2!V26&gt;=(Leger2!$C$4+1/3*(100-Leger2!$C$4)),"B",IF(Leger2!V26&gt;=Leger2!$C$4,"C","D"))))</f>
        <v/>
      </c>
      <c r="S26" s="249" t="str">
        <f>IF(Leger2!X26="","",IF(Leger2!X26&gt;=(Leger2!$C$4+2/3*(100-Leger2!$C$4)),"A",IF(Leger2!X26&gt;=(Leger2!$C$4+1/3*(100-Leger2!$C$4)),"B",IF(Leger2!X26&gt;=Leger2!$C$4,"C","D"))))</f>
        <v/>
      </c>
      <c r="T26" s="252" t="str">
        <f>IF(Leger2!Y26="","",IF(Leger2!Y26&gt;=(Leger2!$C$4+2/3*(100-Leger2!$C$4)),"A",IF(Leger2!Y26&gt;=(Leger2!$C$4+1/3*(100-Leger2!$C$4)),"B",IF(Leger2!Y26&gt;=Leger2!$C$4,"C","D"))))</f>
        <v/>
      </c>
      <c r="U26" s="249" t="str">
        <f>IF(Leger2!AA26="","",IF(Leger2!AA26&gt;=(Leger2!$C$4+2/3*(100-Leger2!$C$4)),"A",IF(Leger2!AA26&gt;=(Leger2!$C$4+1/3*(100-Leger2!$C$4)),"B",IF(Leger2!AA26&gt;=Leger2!$C$4,"C","D"))))</f>
        <v/>
      </c>
      <c r="V26" s="252" t="str">
        <f>IF(Leger2!AB26="","",IF(Leger2!AB26&gt;=(Leger2!$C$4+2/3*(100-Leger2!$C$4)),"A",IF(Leger2!AB26&gt;=(Leger2!$C$4+1/3*(100-Leger2!$C$4)),"B",IF(Leger2!AB26&gt;=Leger2!$C$4,"C","D"))))</f>
        <v/>
      </c>
      <c r="W26" s="249" t="str">
        <f>IF(Leger2!AD26="","",IF(Leger2!AD26&gt;=(Leger2!$C$4+2/3*(100-Leger2!$C$4)),"A",IF(Leger2!AD26&gt;=(Leger2!$C$4+1/3*(100-Leger2!$C$4)),"B",IF(Leger2!AD26&gt;=Leger2!$C$4,"C","D"))))</f>
        <v/>
      </c>
      <c r="X26" s="252" t="str">
        <f>IF(Leger2!AE26="","",IF(Leger2!AE26&gt;=(Leger2!$C$4+2/3*(100-Leger2!$C$4)),"A",IF(Leger2!AE26&gt;=(Leger2!$C$4+1/3*(100-Leger2!$C$4)),"B",IF(Leger2!AE26&gt;=Leger2!$C$4,"C","D"))))</f>
        <v/>
      </c>
      <c r="Y26" s="249" t="str">
        <f>IF(Leger2!AG26="","",IF(Leger2!AG26&gt;=(Leger2!$C$4+2/3*(100-Leger2!$C$4)),"A",IF(Leger2!AG26&gt;=(Leger2!$C$4+1/3*(100-Leger2!$C$4)),"B",IF(Leger2!AG26&gt;=Leger2!$C$4,"C","D"))))</f>
        <v/>
      </c>
      <c r="Z26" s="252" t="str">
        <f>IF(Leger2!AH26="","",IF(Leger2!AH26&gt;=(Leger2!$C$4+2/3*(100-Leger2!$C$4)),"A",IF(Leger2!AH26&gt;=(Leger2!$C$4+1/3*(100-Leger2!$C$4)),"B",IF(Leger2!AH26&gt;=Leger2!$C$4,"C","D"))))</f>
        <v/>
      </c>
      <c r="AA26" s="249" t="str">
        <f>IF(Leger2!AJ26="","",IF(Leger2!AJ26&gt;=(Leger2!$C$4+2/3*(100-Leger2!$C$4)),"A",IF(Leger2!AJ26&gt;=(Leger2!$C$4+1/3*(100-Leger2!$C$4)),"B",IF(Leger2!AJ26&gt;=Leger2!$C$4,"C","D"))))</f>
        <v/>
      </c>
      <c r="AB26" s="252" t="str">
        <f>IF(Leger2!AK26="","",IF(Leger2!AK26&gt;=(Leger2!$C$4+2/3*(100-Leger2!$C$4)),"A",IF(Leger2!AK26&gt;=(Leger2!$C$4+1/3*(100-Leger2!$C$4)),"B",IF(Leger2!AK26&gt;=Leger2!$C$4,"C","D"))))</f>
        <v/>
      </c>
      <c r="AC26" s="249" t="str">
        <f>IF(Leger2!AM26="","",IF(Leger2!AM26&gt;=(Leger2!$C$4+2/3*(100-Leger2!$C$4)),"A",IF(Leger2!AM26&gt;=(Leger2!$C$4+1/3*(100-Leger2!$C$4)),"B",IF(Leger2!AM26&gt;=Leger2!$C$4,"C","D"))))</f>
        <v/>
      </c>
      <c r="AD26" s="252" t="str">
        <f>IF(Leger2!AN26="","",IF(Leger2!AN26&gt;=(Leger2!$C$4+2/3*(100-Leger2!$C$4)),"A",IF(Leger2!AN26&gt;=(Leger2!$C$4+1/3*(100-Leger2!$C$4)),"B",IF(Leger2!AN26&gt;=Leger2!$C$4,"C","D"))))</f>
        <v/>
      </c>
      <c r="AE26" s="249" t="str">
        <f>IF(Leger2!AP26="","",IF(Leger2!AP26&gt;=(Leger2!$C$4+2/3*(100-Leger2!$C$4)),"A",IF(Leger2!AP26&gt;=(Leger2!$C$4+1/3*(100-Leger2!$C$4)),"B",IF(Leger2!AP26&gt;=Leger2!$C$4,"C","D"))))</f>
        <v/>
      </c>
      <c r="AF26" s="252" t="str">
        <f>IF(Leger2!AQ26="","",IF(Leger2!AQ26&gt;=(Leger2!$C$4+2/3*(100-Leger2!$C$4)),"A",IF(Leger2!AQ26&gt;=(Leger2!$C$4+1/3*(100-Leger2!$C$4)),"B",IF(Leger2!AQ26&gt;=Leger2!$C$4,"C","D"))))</f>
        <v/>
      </c>
      <c r="AG26" s="249" t="str">
        <f>IF(Leger2!AS26="","",IF(Leger2!AS26&gt;=(Leger2!$C$4+2/3*(100-Leger2!$C$4)),"A",IF(Leger2!AS26&gt;=(Leger2!$C$4+1/3*(100-Leger2!$C$4)),"B",IF(Leger2!AS26&gt;=Leger2!$C$4,"C","D"))))</f>
        <v/>
      </c>
      <c r="AH26" s="252" t="str">
        <f>IF(Leger2!AT26="","",IF(Leger2!AT26&gt;=(Leger2!$C$4+2/3*(100-Leger2!$C$4)),"A",IF(Leger2!AT26&gt;=(Leger2!$C$4+1/3*(100-Leger2!$C$4)),"B",IF(Leger2!AT26&gt;=Leger2!$C$4,"C","D"))))</f>
        <v/>
      </c>
      <c r="AI26" s="249" t="str">
        <f>IF(Leger2!AV26="","",IF(Leger2!AV26&gt;=(Leger2!$C$4+2/3*(100-Leger2!$C$4)),"A",IF(Leger2!AV26&gt;=(Leger2!$C$4+1/3*(100-Leger2!$C$4)),"B",IF(Leger2!AV26&gt;=Leger2!$C$4,"C","D"))))</f>
        <v/>
      </c>
      <c r="AJ26" s="252" t="str">
        <f>IF(Leger2!AW26="","",IF(Leger2!AW26&gt;=(Leger2!$C$4+2/3*(100-Leger2!$C$4)),"A",IF(Leger2!AW26&gt;=(Leger2!$C$4+1/3*(100-Leger2!$C$4)),"B",IF(Leger2!AW26&gt;=Leger2!$C$4,"C","D"))))</f>
        <v/>
      </c>
      <c r="AK26" s="249" t="str">
        <f>IF(Leger2!AY26="","",IF(Leger2!AY26&gt;=(Leger2!$C$4+2/3*(100-Leger2!$C$4)),"A",IF(Leger2!AY26&gt;=(Leger2!$C$4+1/3*(100-Leger2!$C$4)),"B",IF(Leger2!AY26&gt;=Leger2!$C$4,"C","D"))))</f>
        <v/>
      </c>
      <c r="AL26" s="252" t="str">
        <f>IF(Leger2!AZ26="","",IF(Leger2!AZ26&gt;=(Leger2!$C$4+2/3*(100-Leger2!$C$4)),"A",IF(Leger2!AZ26&gt;=(Leger2!$C$4+1/3*(100-Leger2!$C$4)),"B",IF(Leger2!AZ26&gt;=Leger2!$C$4,"C","D"))))</f>
        <v/>
      </c>
    </row>
    <row r="27" spans="2:38">
      <c r="E27" s="211">
        <f>Biodata!B26</f>
        <v>21</v>
      </c>
      <c r="F27" s="212">
        <f>IF(Biodata!C26="","",VLOOKUP(E27,Biodata_Siswa,2,FALSE))</f>
        <v>7107</v>
      </c>
      <c r="G27" s="1015" t="str">
        <f>IF(Biodata!E26="","",PROPER(VLOOKUP(E27,Biodata_Siswa,4,FALSE)))</f>
        <v>Muhammad Daffa Rifa'I</v>
      </c>
      <c r="H27" s="1016"/>
      <c r="I27" s="249" t="str">
        <f>IF(Leger2!I27="","",IF(Leger2!I27&gt;=(Leger2!$C$4+2/3*(100-Leger2!$C$4)),"A",IF(Leger2!I27&gt;=(Leger2!$C$4+1/3*(100-Leger2!$C$4)),"B",IF(Leger2!I27&gt;=Leger2!$C$4,"C","D"))))</f>
        <v/>
      </c>
      <c r="J27" s="252" t="str">
        <f>IF(Leger2!J27="","",IF(Leger2!J27&gt;=(Leger2!$C$4+2/3*(100-Leger2!$C$4)),"A",IF(Leger2!J27&gt;=(Leger2!$C$4+1/3*(100-Leger2!$C$4)),"B",IF(Leger2!J27&gt;=Leger2!$C$4,"C","D"))))</f>
        <v/>
      </c>
      <c r="K27" s="249" t="str">
        <f>IF(Leger2!L27="","",IF(Leger2!L27&gt;=(Leger2!$C$4+2/3*(100-Leger2!$C$4)),"A",IF(Leger2!L27&gt;=(Leger2!$C$4+1/3*(100-Leger2!$C$4)),"B",IF(Leger2!L27&gt;=Leger2!$C$4,"C","D"))))</f>
        <v/>
      </c>
      <c r="L27" s="252" t="str">
        <f>IF(Leger2!M27="","",IF(Leger2!M27&gt;=(Leger2!$C$4+2/3*(100-Leger2!$C$4)),"A",IF(Leger2!M27&gt;=(Leger2!$C$4+1/3*(100-Leger2!$C$4)),"B",IF(Leger2!M27&gt;=Leger2!$C$4,"C","D"))))</f>
        <v/>
      </c>
      <c r="M27" s="249" t="str">
        <f>IF(Leger2!O27="","",IF(Leger2!O27&gt;=(Leger2!$C$4+2/3*(100-Leger2!$C$4)),"A",IF(Leger2!O27&gt;=(Leger2!$C$4+1/3*(100-Leger2!$C$4)),"B",IF(Leger2!O27&gt;=Leger2!$C$4,"C","D"))))</f>
        <v/>
      </c>
      <c r="N27" s="252" t="str">
        <f>IF(Leger2!P27="","",IF(Leger2!P27&gt;=(Leger2!$C$4+2/3*(100-Leger2!$C$4)),"A",IF(Leger2!P27&gt;=(Leger2!$C$4+1/3*(100-Leger2!$C$4)),"B",IF(Leger2!P27&gt;=Leger2!$C$4,"C","D"))))</f>
        <v/>
      </c>
      <c r="O27" s="249" t="str">
        <f>IF(Leger2!R27="","",IF(Leger2!R27&gt;=(Leger2!$C$4+2/3*(100-Leger2!$C$4)),"A",IF(Leger2!R27&gt;=(Leger2!$C$4+1/3*(100-Leger2!$C$4)),"B",IF(Leger2!R27&gt;=Leger2!$C$4,"C","D"))))</f>
        <v/>
      </c>
      <c r="P27" s="252" t="str">
        <f>IF(Leger2!S27="","",IF(Leger2!S27&gt;=(Leger2!$C$4+2/3*(100-Leger2!$C$4)),"A",IF(Leger2!S27&gt;=(Leger2!$C$4+1/3*(100-Leger2!$C$4)),"B",IF(Leger2!S27&gt;=Leger2!$C$4,"C","D"))))</f>
        <v/>
      </c>
      <c r="Q27" s="249" t="str">
        <f>IF(Leger2!U27="","",IF(Leger2!U27&gt;=(Leger2!$C$4+2/3*(100-Leger2!$C$4)),"A",IF(Leger2!U27&gt;=(Leger2!$C$4+1/3*(100-Leger2!$C$4)),"B",IF(Leger2!U27&gt;=Leger2!$C$4,"C","D"))))</f>
        <v/>
      </c>
      <c r="R27" s="252" t="str">
        <f>IF(Leger2!V27="","",IF(Leger2!V27&gt;=(Leger2!$C$4+2/3*(100-Leger2!$C$4)),"A",IF(Leger2!V27&gt;=(Leger2!$C$4+1/3*(100-Leger2!$C$4)),"B",IF(Leger2!V27&gt;=Leger2!$C$4,"C","D"))))</f>
        <v/>
      </c>
      <c r="S27" s="249" t="str">
        <f>IF(Leger2!X27="","",IF(Leger2!X27&gt;=(Leger2!$C$4+2/3*(100-Leger2!$C$4)),"A",IF(Leger2!X27&gt;=(Leger2!$C$4+1/3*(100-Leger2!$C$4)),"B",IF(Leger2!X27&gt;=Leger2!$C$4,"C","D"))))</f>
        <v/>
      </c>
      <c r="T27" s="252" t="str">
        <f>IF(Leger2!Y27="","",IF(Leger2!Y27&gt;=(Leger2!$C$4+2/3*(100-Leger2!$C$4)),"A",IF(Leger2!Y27&gt;=(Leger2!$C$4+1/3*(100-Leger2!$C$4)),"B",IF(Leger2!Y27&gt;=Leger2!$C$4,"C","D"))))</f>
        <v/>
      </c>
      <c r="U27" s="249" t="str">
        <f>IF(Leger2!AA27="","",IF(Leger2!AA27&gt;=(Leger2!$C$4+2/3*(100-Leger2!$C$4)),"A",IF(Leger2!AA27&gt;=(Leger2!$C$4+1/3*(100-Leger2!$C$4)),"B",IF(Leger2!AA27&gt;=Leger2!$C$4,"C","D"))))</f>
        <v/>
      </c>
      <c r="V27" s="252" t="str">
        <f>IF(Leger2!AB27="","",IF(Leger2!AB27&gt;=(Leger2!$C$4+2/3*(100-Leger2!$C$4)),"A",IF(Leger2!AB27&gt;=(Leger2!$C$4+1/3*(100-Leger2!$C$4)),"B",IF(Leger2!AB27&gt;=Leger2!$C$4,"C","D"))))</f>
        <v/>
      </c>
      <c r="W27" s="249" t="str">
        <f>IF(Leger2!AD27="","",IF(Leger2!AD27&gt;=(Leger2!$C$4+2/3*(100-Leger2!$C$4)),"A",IF(Leger2!AD27&gt;=(Leger2!$C$4+1/3*(100-Leger2!$C$4)),"B",IF(Leger2!AD27&gt;=Leger2!$C$4,"C","D"))))</f>
        <v/>
      </c>
      <c r="X27" s="252" t="str">
        <f>IF(Leger2!AE27="","",IF(Leger2!AE27&gt;=(Leger2!$C$4+2/3*(100-Leger2!$C$4)),"A",IF(Leger2!AE27&gt;=(Leger2!$C$4+1/3*(100-Leger2!$C$4)),"B",IF(Leger2!AE27&gt;=Leger2!$C$4,"C","D"))))</f>
        <v/>
      </c>
      <c r="Y27" s="249" t="str">
        <f>IF(Leger2!AG27="","",IF(Leger2!AG27&gt;=(Leger2!$C$4+2/3*(100-Leger2!$C$4)),"A",IF(Leger2!AG27&gt;=(Leger2!$C$4+1/3*(100-Leger2!$C$4)),"B",IF(Leger2!AG27&gt;=Leger2!$C$4,"C","D"))))</f>
        <v/>
      </c>
      <c r="Z27" s="252" t="str">
        <f>IF(Leger2!AH27="","",IF(Leger2!AH27&gt;=(Leger2!$C$4+2/3*(100-Leger2!$C$4)),"A",IF(Leger2!AH27&gt;=(Leger2!$C$4+1/3*(100-Leger2!$C$4)),"B",IF(Leger2!AH27&gt;=Leger2!$C$4,"C","D"))))</f>
        <v/>
      </c>
      <c r="AA27" s="249" t="str">
        <f>IF(Leger2!AJ27="","",IF(Leger2!AJ27&gt;=(Leger2!$C$4+2/3*(100-Leger2!$C$4)),"A",IF(Leger2!AJ27&gt;=(Leger2!$C$4+1/3*(100-Leger2!$C$4)),"B",IF(Leger2!AJ27&gt;=Leger2!$C$4,"C","D"))))</f>
        <v/>
      </c>
      <c r="AB27" s="252" t="str">
        <f>IF(Leger2!AK27="","",IF(Leger2!AK27&gt;=(Leger2!$C$4+2/3*(100-Leger2!$C$4)),"A",IF(Leger2!AK27&gt;=(Leger2!$C$4+1/3*(100-Leger2!$C$4)),"B",IF(Leger2!AK27&gt;=Leger2!$C$4,"C","D"))))</f>
        <v/>
      </c>
      <c r="AC27" s="249" t="str">
        <f>IF(Leger2!AM27="","",IF(Leger2!AM27&gt;=(Leger2!$C$4+2/3*(100-Leger2!$C$4)),"A",IF(Leger2!AM27&gt;=(Leger2!$C$4+1/3*(100-Leger2!$C$4)),"B",IF(Leger2!AM27&gt;=Leger2!$C$4,"C","D"))))</f>
        <v/>
      </c>
      <c r="AD27" s="252" t="str">
        <f>IF(Leger2!AN27="","",IF(Leger2!AN27&gt;=(Leger2!$C$4+2/3*(100-Leger2!$C$4)),"A",IF(Leger2!AN27&gt;=(Leger2!$C$4+1/3*(100-Leger2!$C$4)),"B",IF(Leger2!AN27&gt;=Leger2!$C$4,"C","D"))))</f>
        <v/>
      </c>
      <c r="AE27" s="249" t="str">
        <f>IF(Leger2!AP27="","",IF(Leger2!AP27&gt;=(Leger2!$C$4+2/3*(100-Leger2!$C$4)),"A",IF(Leger2!AP27&gt;=(Leger2!$C$4+1/3*(100-Leger2!$C$4)),"B",IF(Leger2!AP27&gt;=Leger2!$C$4,"C","D"))))</f>
        <v/>
      </c>
      <c r="AF27" s="252" t="str">
        <f>IF(Leger2!AQ27="","",IF(Leger2!AQ27&gt;=(Leger2!$C$4+2/3*(100-Leger2!$C$4)),"A",IF(Leger2!AQ27&gt;=(Leger2!$C$4+1/3*(100-Leger2!$C$4)),"B",IF(Leger2!AQ27&gt;=Leger2!$C$4,"C","D"))))</f>
        <v/>
      </c>
      <c r="AG27" s="249" t="str">
        <f>IF(Leger2!AS27="","",IF(Leger2!AS27&gt;=(Leger2!$C$4+2/3*(100-Leger2!$C$4)),"A",IF(Leger2!AS27&gt;=(Leger2!$C$4+1/3*(100-Leger2!$C$4)),"B",IF(Leger2!AS27&gt;=Leger2!$C$4,"C","D"))))</f>
        <v/>
      </c>
      <c r="AH27" s="252" t="str">
        <f>IF(Leger2!AT27="","",IF(Leger2!AT27&gt;=(Leger2!$C$4+2/3*(100-Leger2!$C$4)),"A",IF(Leger2!AT27&gt;=(Leger2!$C$4+1/3*(100-Leger2!$C$4)),"B",IF(Leger2!AT27&gt;=Leger2!$C$4,"C","D"))))</f>
        <v/>
      </c>
      <c r="AI27" s="249" t="str">
        <f>IF(Leger2!AV27="","",IF(Leger2!AV27&gt;=(Leger2!$C$4+2/3*(100-Leger2!$C$4)),"A",IF(Leger2!AV27&gt;=(Leger2!$C$4+1/3*(100-Leger2!$C$4)),"B",IF(Leger2!AV27&gt;=Leger2!$C$4,"C","D"))))</f>
        <v/>
      </c>
      <c r="AJ27" s="252" t="str">
        <f>IF(Leger2!AW27="","",IF(Leger2!AW27&gt;=(Leger2!$C$4+2/3*(100-Leger2!$C$4)),"A",IF(Leger2!AW27&gt;=(Leger2!$C$4+1/3*(100-Leger2!$C$4)),"B",IF(Leger2!AW27&gt;=Leger2!$C$4,"C","D"))))</f>
        <v/>
      </c>
      <c r="AK27" s="249" t="str">
        <f>IF(Leger2!AY27="","",IF(Leger2!AY27&gt;=(Leger2!$C$4+2/3*(100-Leger2!$C$4)),"A",IF(Leger2!AY27&gt;=(Leger2!$C$4+1/3*(100-Leger2!$C$4)),"B",IF(Leger2!AY27&gt;=Leger2!$C$4,"C","D"))))</f>
        <v/>
      </c>
      <c r="AL27" s="252" t="str">
        <f>IF(Leger2!AZ27="","",IF(Leger2!AZ27&gt;=(Leger2!$C$4+2/3*(100-Leger2!$C$4)),"A",IF(Leger2!AZ27&gt;=(Leger2!$C$4+1/3*(100-Leger2!$C$4)),"B",IF(Leger2!AZ27&gt;=Leger2!$C$4,"C","D"))))</f>
        <v/>
      </c>
    </row>
    <row r="28" spans="2:38">
      <c r="E28" s="211">
        <f>Biodata!B27</f>
        <v>22</v>
      </c>
      <c r="F28" s="212">
        <f>IF(Biodata!C27="","",VLOOKUP(E28,Biodata_Siswa,2,FALSE))</f>
        <v>7108</v>
      </c>
      <c r="G28" s="1015" t="str">
        <f>IF(Biodata!E27="","",PROPER(VLOOKUP(E28,Biodata_Siswa,4,FALSE)))</f>
        <v>Muhammad Jaupanto</v>
      </c>
      <c r="H28" s="1016"/>
      <c r="I28" s="249" t="str">
        <f>IF(Leger2!I28="","",IF(Leger2!I28&gt;=(Leger2!$C$4+2/3*(100-Leger2!$C$4)),"A",IF(Leger2!I28&gt;=(Leger2!$C$4+1/3*(100-Leger2!$C$4)),"B",IF(Leger2!I28&gt;=Leger2!$C$4,"C","D"))))</f>
        <v/>
      </c>
      <c r="J28" s="252" t="str">
        <f>IF(Leger2!J28="","",IF(Leger2!J28&gt;=(Leger2!$C$4+2/3*(100-Leger2!$C$4)),"A",IF(Leger2!J28&gt;=(Leger2!$C$4+1/3*(100-Leger2!$C$4)),"B",IF(Leger2!J28&gt;=Leger2!$C$4,"C","D"))))</f>
        <v/>
      </c>
      <c r="K28" s="249" t="str">
        <f>IF(Leger2!L28="","",IF(Leger2!L28&gt;=(Leger2!$C$4+2/3*(100-Leger2!$C$4)),"A",IF(Leger2!L28&gt;=(Leger2!$C$4+1/3*(100-Leger2!$C$4)),"B",IF(Leger2!L28&gt;=Leger2!$C$4,"C","D"))))</f>
        <v/>
      </c>
      <c r="L28" s="252" t="str">
        <f>IF(Leger2!M28="","",IF(Leger2!M28&gt;=(Leger2!$C$4+2/3*(100-Leger2!$C$4)),"A",IF(Leger2!M28&gt;=(Leger2!$C$4+1/3*(100-Leger2!$C$4)),"B",IF(Leger2!M28&gt;=Leger2!$C$4,"C","D"))))</f>
        <v/>
      </c>
      <c r="M28" s="249" t="str">
        <f>IF(Leger2!O28="","",IF(Leger2!O28&gt;=(Leger2!$C$4+2/3*(100-Leger2!$C$4)),"A",IF(Leger2!O28&gt;=(Leger2!$C$4+1/3*(100-Leger2!$C$4)),"B",IF(Leger2!O28&gt;=Leger2!$C$4,"C","D"))))</f>
        <v/>
      </c>
      <c r="N28" s="252" t="str">
        <f>IF(Leger2!P28="","",IF(Leger2!P28&gt;=(Leger2!$C$4+2/3*(100-Leger2!$C$4)),"A",IF(Leger2!P28&gt;=(Leger2!$C$4+1/3*(100-Leger2!$C$4)),"B",IF(Leger2!P28&gt;=Leger2!$C$4,"C","D"))))</f>
        <v/>
      </c>
      <c r="O28" s="249" t="str">
        <f>IF(Leger2!R28="","",IF(Leger2!R28&gt;=(Leger2!$C$4+2/3*(100-Leger2!$C$4)),"A",IF(Leger2!R28&gt;=(Leger2!$C$4+1/3*(100-Leger2!$C$4)),"B",IF(Leger2!R28&gt;=Leger2!$C$4,"C","D"))))</f>
        <v/>
      </c>
      <c r="P28" s="252" t="str">
        <f>IF(Leger2!S28="","",IF(Leger2!S28&gt;=(Leger2!$C$4+2/3*(100-Leger2!$C$4)),"A",IF(Leger2!S28&gt;=(Leger2!$C$4+1/3*(100-Leger2!$C$4)),"B",IF(Leger2!S28&gt;=Leger2!$C$4,"C","D"))))</f>
        <v/>
      </c>
      <c r="Q28" s="249" t="str">
        <f>IF(Leger2!U28="","",IF(Leger2!U28&gt;=(Leger2!$C$4+2/3*(100-Leger2!$C$4)),"A",IF(Leger2!U28&gt;=(Leger2!$C$4+1/3*(100-Leger2!$C$4)),"B",IF(Leger2!U28&gt;=Leger2!$C$4,"C","D"))))</f>
        <v/>
      </c>
      <c r="R28" s="252" t="str">
        <f>IF(Leger2!V28="","",IF(Leger2!V28&gt;=(Leger2!$C$4+2/3*(100-Leger2!$C$4)),"A",IF(Leger2!V28&gt;=(Leger2!$C$4+1/3*(100-Leger2!$C$4)),"B",IF(Leger2!V28&gt;=Leger2!$C$4,"C","D"))))</f>
        <v/>
      </c>
      <c r="S28" s="249" t="str">
        <f>IF(Leger2!X28="","",IF(Leger2!X28&gt;=(Leger2!$C$4+2/3*(100-Leger2!$C$4)),"A",IF(Leger2!X28&gt;=(Leger2!$C$4+1/3*(100-Leger2!$C$4)),"B",IF(Leger2!X28&gt;=Leger2!$C$4,"C","D"))))</f>
        <v/>
      </c>
      <c r="T28" s="252" t="str">
        <f>IF(Leger2!Y28="","",IF(Leger2!Y28&gt;=(Leger2!$C$4+2/3*(100-Leger2!$C$4)),"A",IF(Leger2!Y28&gt;=(Leger2!$C$4+1/3*(100-Leger2!$C$4)),"B",IF(Leger2!Y28&gt;=Leger2!$C$4,"C","D"))))</f>
        <v/>
      </c>
      <c r="U28" s="249" t="str">
        <f>IF(Leger2!AA28="","",IF(Leger2!AA28&gt;=(Leger2!$C$4+2/3*(100-Leger2!$C$4)),"A",IF(Leger2!AA28&gt;=(Leger2!$C$4+1/3*(100-Leger2!$C$4)),"B",IF(Leger2!AA28&gt;=Leger2!$C$4,"C","D"))))</f>
        <v/>
      </c>
      <c r="V28" s="252" t="str">
        <f>IF(Leger2!AB28="","",IF(Leger2!AB28&gt;=(Leger2!$C$4+2/3*(100-Leger2!$C$4)),"A",IF(Leger2!AB28&gt;=(Leger2!$C$4+1/3*(100-Leger2!$C$4)),"B",IF(Leger2!AB28&gt;=Leger2!$C$4,"C","D"))))</f>
        <v/>
      </c>
      <c r="W28" s="249" t="str">
        <f>IF(Leger2!AD28="","",IF(Leger2!AD28&gt;=(Leger2!$C$4+2/3*(100-Leger2!$C$4)),"A",IF(Leger2!AD28&gt;=(Leger2!$C$4+1/3*(100-Leger2!$C$4)),"B",IF(Leger2!AD28&gt;=Leger2!$C$4,"C","D"))))</f>
        <v/>
      </c>
      <c r="X28" s="252" t="str">
        <f>IF(Leger2!AE28="","",IF(Leger2!AE28&gt;=(Leger2!$C$4+2/3*(100-Leger2!$C$4)),"A",IF(Leger2!AE28&gt;=(Leger2!$C$4+1/3*(100-Leger2!$C$4)),"B",IF(Leger2!AE28&gt;=Leger2!$C$4,"C","D"))))</f>
        <v/>
      </c>
      <c r="Y28" s="249" t="str">
        <f>IF(Leger2!AG28="","",IF(Leger2!AG28&gt;=(Leger2!$C$4+2/3*(100-Leger2!$C$4)),"A",IF(Leger2!AG28&gt;=(Leger2!$C$4+1/3*(100-Leger2!$C$4)),"B",IF(Leger2!AG28&gt;=Leger2!$C$4,"C","D"))))</f>
        <v/>
      </c>
      <c r="Z28" s="252" t="str">
        <f>IF(Leger2!AH28="","",IF(Leger2!AH28&gt;=(Leger2!$C$4+2/3*(100-Leger2!$C$4)),"A",IF(Leger2!AH28&gt;=(Leger2!$C$4+1/3*(100-Leger2!$C$4)),"B",IF(Leger2!AH28&gt;=Leger2!$C$4,"C","D"))))</f>
        <v/>
      </c>
      <c r="AA28" s="249" t="str">
        <f>IF(Leger2!AJ28="","",IF(Leger2!AJ28&gt;=(Leger2!$C$4+2/3*(100-Leger2!$C$4)),"A",IF(Leger2!AJ28&gt;=(Leger2!$C$4+1/3*(100-Leger2!$C$4)),"B",IF(Leger2!AJ28&gt;=Leger2!$C$4,"C","D"))))</f>
        <v/>
      </c>
      <c r="AB28" s="252" t="str">
        <f>IF(Leger2!AK28="","",IF(Leger2!AK28&gt;=(Leger2!$C$4+2/3*(100-Leger2!$C$4)),"A",IF(Leger2!AK28&gt;=(Leger2!$C$4+1/3*(100-Leger2!$C$4)),"B",IF(Leger2!AK28&gt;=Leger2!$C$4,"C","D"))))</f>
        <v/>
      </c>
      <c r="AC28" s="249" t="str">
        <f>IF(Leger2!AM28="","",IF(Leger2!AM28&gt;=(Leger2!$C$4+2/3*(100-Leger2!$C$4)),"A",IF(Leger2!AM28&gt;=(Leger2!$C$4+1/3*(100-Leger2!$C$4)),"B",IF(Leger2!AM28&gt;=Leger2!$C$4,"C","D"))))</f>
        <v/>
      </c>
      <c r="AD28" s="252" t="str">
        <f>IF(Leger2!AN28="","",IF(Leger2!AN28&gt;=(Leger2!$C$4+2/3*(100-Leger2!$C$4)),"A",IF(Leger2!AN28&gt;=(Leger2!$C$4+1/3*(100-Leger2!$C$4)),"B",IF(Leger2!AN28&gt;=Leger2!$C$4,"C","D"))))</f>
        <v/>
      </c>
      <c r="AE28" s="249" t="str">
        <f>IF(Leger2!AP28="","",IF(Leger2!AP28&gt;=(Leger2!$C$4+2/3*(100-Leger2!$C$4)),"A",IF(Leger2!AP28&gt;=(Leger2!$C$4+1/3*(100-Leger2!$C$4)),"B",IF(Leger2!AP28&gt;=Leger2!$C$4,"C","D"))))</f>
        <v/>
      </c>
      <c r="AF28" s="252" t="str">
        <f>IF(Leger2!AQ28="","",IF(Leger2!AQ28&gt;=(Leger2!$C$4+2/3*(100-Leger2!$C$4)),"A",IF(Leger2!AQ28&gt;=(Leger2!$C$4+1/3*(100-Leger2!$C$4)),"B",IF(Leger2!AQ28&gt;=Leger2!$C$4,"C","D"))))</f>
        <v/>
      </c>
      <c r="AG28" s="249" t="str">
        <f>IF(Leger2!AS28="","",IF(Leger2!AS28&gt;=(Leger2!$C$4+2/3*(100-Leger2!$C$4)),"A",IF(Leger2!AS28&gt;=(Leger2!$C$4+1/3*(100-Leger2!$C$4)),"B",IF(Leger2!AS28&gt;=Leger2!$C$4,"C","D"))))</f>
        <v/>
      </c>
      <c r="AH28" s="252" t="str">
        <f>IF(Leger2!AT28="","",IF(Leger2!AT28&gt;=(Leger2!$C$4+2/3*(100-Leger2!$C$4)),"A",IF(Leger2!AT28&gt;=(Leger2!$C$4+1/3*(100-Leger2!$C$4)),"B",IF(Leger2!AT28&gt;=Leger2!$C$4,"C","D"))))</f>
        <v/>
      </c>
      <c r="AI28" s="249" t="str">
        <f>IF(Leger2!AV28="","",IF(Leger2!AV28&gt;=(Leger2!$C$4+2/3*(100-Leger2!$C$4)),"A",IF(Leger2!AV28&gt;=(Leger2!$C$4+1/3*(100-Leger2!$C$4)),"B",IF(Leger2!AV28&gt;=Leger2!$C$4,"C","D"))))</f>
        <v/>
      </c>
      <c r="AJ28" s="252" t="str">
        <f>IF(Leger2!AW28="","",IF(Leger2!AW28&gt;=(Leger2!$C$4+2/3*(100-Leger2!$C$4)),"A",IF(Leger2!AW28&gt;=(Leger2!$C$4+1/3*(100-Leger2!$C$4)),"B",IF(Leger2!AW28&gt;=Leger2!$C$4,"C","D"))))</f>
        <v/>
      </c>
      <c r="AK28" s="249" t="str">
        <f>IF(Leger2!AY28="","",IF(Leger2!AY28&gt;=(Leger2!$C$4+2/3*(100-Leger2!$C$4)),"A",IF(Leger2!AY28&gt;=(Leger2!$C$4+1/3*(100-Leger2!$C$4)),"B",IF(Leger2!AY28&gt;=Leger2!$C$4,"C","D"))))</f>
        <v/>
      </c>
      <c r="AL28" s="252" t="str">
        <f>IF(Leger2!AZ28="","",IF(Leger2!AZ28&gt;=(Leger2!$C$4+2/3*(100-Leger2!$C$4)),"A",IF(Leger2!AZ28&gt;=(Leger2!$C$4+1/3*(100-Leger2!$C$4)),"B",IF(Leger2!AZ28&gt;=Leger2!$C$4,"C","D"))))</f>
        <v/>
      </c>
    </row>
    <row r="29" spans="2:38">
      <c r="E29" s="211">
        <f>Biodata!B28</f>
        <v>23</v>
      </c>
      <c r="F29" s="212">
        <f>IF(Biodata!C28="","",VLOOKUP(E29,Biodata_Siswa,2,FALSE))</f>
        <v>7111</v>
      </c>
      <c r="G29" s="1015" t="str">
        <f>IF(Biodata!E28="","",PROPER(VLOOKUP(E29,Biodata_Siswa,4,FALSE)))</f>
        <v>Nova Laila Khusna</v>
      </c>
      <c r="H29" s="1016"/>
      <c r="I29" s="249" t="str">
        <f>IF(Leger2!I29="","",IF(Leger2!I29&gt;=(Leger2!$C$4+2/3*(100-Leger2!$C$4)),"A",IF(Leger2!I29&gt;=(Leger2!$C$4+1/3*(100-Leger2!$C$4)),"B",IF(Leger2!I29&gt;=Leger2!$C$4,"C","D"))))</f>
        <v/>
      </c>
      <c r="J29" s="252" t="str">
        <f>IF(Leger2!J29="","",IF(Leger2!J29&gt;=(Leger2!$C$4+2/3*(100-Leger2!$C$4)),"A",IF(Leger2!J29&gt;=(Leger2!$C$4+1/3*(100-Leger2!$C$4)),"B",IF(Leger2!J29&gt;=Leger2!$C$4,"C","D"))))</f>
        <v/>
      </c>
      <c r="K29" s="249" t="str">
        <f>IF(Leger2!L29="","",IF(Leger2!L29&gt;=(Leger2!$C$4+2/3*(100-Leger2!$C$4)),"A",IF(Leger2!L29&gt;=(Leger2!$C$4+1/3*(100-Leger2!$C$4)),"B",IF(Leger2!L29&gt;=Leger2!$C$4,"C","D"))))</f>
        <v/>
      </c>
      <c r="L29" s="252" t="str">
        <f>IF(Leger2!M29="","",IF(Leger2!M29&gt;=(Leger2!$C$4+2/3*(100-Leger2!$C$4)),"A",IF(Leger2!M29&gt;=(Leger2!$C$4+1/3*(100-Leger2!$C$4)),"B",IF(Leger2!M29&gt;=Leger2!$C$4,"C","D"))))</f>
        <v/>
      </c>
      <c r="M29" s="249" t="str">
        <f>IF(Leger2!O29="","",IF(Leger2!O29&gt;=(Leger2!$C$4+2/3*(100-Leger2!$C$4)),"A",IF(Leger2!O29&gt;=(Leger2!$C$4+1/3*(100-Leger2!$C$4)),"B",IF(Leger2!O29&gt;=Leger2!$C$4,"C","D"))))</f>
        <v/>
      </c>
      <c r="N29" s="252" t="str">
        <f>IF(Leger2!P29="","",IF(Leger2!P29&gt;=(Leger2!$C$4+2/3*(100-Leger2!$C$4)),"A",IF(Leger2!P29&gt;=(Leger2!$C$4+1/3*(100-Leger2!$C$4)),"B",IF(Leger2!P29&gt;=Leger2!$C$4,"C","D"))))</f>
        <v/>
      </c>
      <c r="O29" s="249" t="str">
        <f>IF(Leger2!R29="","",IF(Leger2!R29&gt;=(Leger2!$C$4+2/3*(100-Leger2!$C$4)),"A",IF(Leger2!R29&gt;=(Leger2!$C$4+1/3*(100-Leger2!$C$4)),"B",IF(Leger2!R29&gt;=Leger2!$C$4,"C","D"))))</f>
        <v/>
      </c>
      <c r="P29" s="252" t="str">
        <f>IF(Leger2!S29="","",IF(Leger2!S29&gt;=(Leger2!$C$4+2/3*(100-Leger2!$C$4)),"A",IF(Leger2!S29&gt;=(Leger2!$C$4+1/3*(100-Leger2!$C$4)),"B",IF(Leger2!S29&gt;=Leger2!$C$4,"C","D"))))</f>
        <v/>
      </c>
      <c r="Q29" s="249" t="str">
        <f>IF(Leger2!U29="","",IF(Leger2!U29&gt;=(Leger2!$C$4+2/3*(100-Leger2!$C$4)),"A",IF(Leger2!U29&gt;=(Leger2!$C$4+1/3*(100-Leger2!$C$4)),"B",IF(Leger2!U29&gt;=Leger2!$C$4,"C","D"))))</f>
        <v/>
      </c>
      <c r="R29" s="252" t="str">
        <f>IF(Leger2!V29="","",IF(Leger2!V29&gt;=(Leger2!$C$4+2/3*(100-Leger2!$C$4)),"A",IF(Leger2!V29&gt;=(Leger2!$C$4+1/3*(100-Leger2!$C$4)),"B",IF(Leger2!V29&gt;=Leger2!$C$4,"C","D"))))</f>
        <v/>
      </c>
      <c r="S29" s="249" t="str">
        <f>IF(Leger2!X29="","",IF(Leger2!X29&gt;=(Leger2!$C$4+2/3*(100-Leger2!$C$4)),"A",IF(Leger2!X29&gt;=(Leger2!$C$4+1/3*(100-Leger2!$C$4)),"B",IF(Leger2!X29&gt;=Leger2!$C$4,"C","D"))))</f>
        <v/>
      </c>
      <c r="T29" s="252" t="str">
        <f>IF(Leger2!Y29="","",IF(Leger2!Y29&gt;=(Leger2!$C$4+2/3*(100-Leger2!$C$4)),"A",IF(Leger2!Y29&gt;=(Leger2!$C$4+1/3*(100-Leger2!$C$4)),"B",IF(Leger2!Y29&gt;=Leger2!$C$4,"C","D"))))</f>
        <v/>
      </c>
      <c r="U29" s="249" t="str">
        <f>IF(Leger2!AA29="","",IF(Leger2!AA29&gt;=(Leger2!$C$4+2/3*(100-Leger2!$C$4)),"A",IF(Leger2!AA29&gt;=(Leger2!$C$4+1/3*(100-Leger2!$C$4)),"B",IF(Leger2!AA29&gt;=Leger2!$C$4,"C","D"))))</f>
        <v/>
      </c>
      <c r="V29" s="252" t="str">
        <f>IF(Leger2!AB29="","",IF(Leger2!AB29&gt;=(Leger2!$C$4+2/3*(100-Leger2!$C$4)),"A",IF(Leger2!AB29&gt;=(Leger2!$C$4+1/3*(100-Leger2!$C$4)),"B",IF(Leger2!AB29&gt;=Leger2!$C$4,"C","D"))))</f>
        <v/>
      </c>
      <c r="W29" s="249" t="str">
        <f>IF(Leger2!AD29="","",IF(Leger2!AD29&gt;=(Leger2!$C$4+2/3*(100-Leger2!$C$4)),"A",IF(Leger2!AD29&gt;=(Leger2!$C$4+1/3*(100-Leger2!$C$4)),"B",IF(Leger2!AD29&gt;=Leger2!$C$4,"C","D"))))</f>
        <v/>
      </c>
      <c r="X29" s="252" t="str">
        <f>IF(Leger2!AE29="","",IF(Leger2!AE29&gt;=(Leger2!$C$4+2/3*(100-Leger2!$C$4)),"A",IF(Leger2!AE29&gt;=(Leger2!$C$4+1/3*(100-Leger2!$C$4)),"B",IF(Leger2!AE29&gt;=Leger2!$C$4,"C","D"))))</f>
        <v/>
      </c>
      <c r="Y29" s="249" t="str">
        <f>IF(Leger2!AG29="","",IF(Leger2!AG29&gt;=(Leger2!$C$4+2/3*(100-Leger2!$C$4)),"A",IF(Leger2!AG29&gt;=(Leger2!$C$4+1/3*(100-Leger2!$C$4)),"B",IF(Leger2!AG29&gt;=Leger2!$C$4,"C","D"))))</f>
        <v/>
      </c>
      <c r="Z29" s="252" t="str">
        <f>IF(Leger2!AH29="","",IF(Leger2!AH29&gt;=(Leger2!$C$4+2/3*(100-Leger2!$C$4)),"A",IF(Leger2!AH29&gt;=(Leger2!$C$4+1/3*(100-Leger2!$C$4)),"B",IF(Leger2!AH29&gt;=Leger2!$C$4,"C","D"))))</f>
        <v/>
      </c>
      <c r="AA29" s="249" t="str">
        <f>IF(Leger2!AJ29="","",IF(Leger2!AJ29&gt;=(Leger2!$C$4+2/3*(100-Leger2!$C$4)),"A",IF(Leger2!AJ29&gt;=(Leger2!$C$4+1/3*(100-Leger2!$C$4)),"B",IF(Leger2!AJ29&gt;=Leger2!$C$4,"C","D"))))</f>
        <v/>
      </c>
      <c r="AB29" s="252" t="str">
        <f>IF(Leger2!AK29="","",IF(Leger2!AK29&gt;=(Leger2!$C$4+2/3*(100-Leger2!$C$4)),"A",IF(Leger2!AK29&gt;=(Leger2!$C$4+1/3*(100-Leger2!$C$4)),"B",IF(Leger2!AK29&gt;=Leger2!$C$4,"C","D"))))</f>
        <v/>
      </c>
      <c r="AC29" s="249" t="str">
        <f>IF(Leger2!AM29="","",IF(Leger2!AM29&gt;=(Leger2!$C$4+2/3*(100-Leger2!$C$4)),"A",IF(Leger2!AM29&gt;=(Leger2!$C$4+1/3*(100-Leger2!$C$4)),"B",IF(Leger2!AM29&gt;=Leger2!$C$4,"C","D"))))</f>
        <v/>
      </c>
      <c r="AD29" s="252" t="str">
        <f>IF(Leger2!AN29="","",IF(Leger2!AN29&gt;=(Leger2!$C$4+2/3*(100-Leger2!$C$4)),"A",IF(Leger2!AN29&gt;=(Leger2!$C$4+1/3*(100-Leger2!$C$4)),"B",IF(Leger2!AN29&gt;=Leger2!$C$4,"C","D"))))</f>
        <v/>
      </c>
      <c r="AE29" s="249" t="str">
        <f>IF(Leger2!AP29="","",IF(Leger2!AP29&gt;=(Leger2!$C$4+2/3*(100-Leger2!$C$4)),"A",IF(Leger2!AP29&gt;=(Leger2!$C$4+1/3*(100-Leger2!$C$4)),"B",IF(Leger2!AP29&gt;=Leger2!$C$4,"C","D"))))</f>
        <v/>
      </c>
      <c r="AF29" s="252" t="str">
        <f>IF(Leger2!AQ29="","",IF(Leger2!AQ29&gt;=(Leger2!$C$4+2/3*(100-Leger2!$C$4)),"A",IF(Leger2!AQ29&gt;=(Leger2!$C$4+1/3*(100-Leger2!$C$4)),"B",IF(Leger2!AQ29&gt;=Leger2!$C$4,"C","D"))))</f>
        <v/>
      </c>
      <c r="AG29" s="249" t="str">
        <f>IF(Leger2!AS29="","",IF(Leger2!AS29&gt;=(Leger2!$C$4+2/3*(100-Leger2!$C$4)),"A",IF(Leger2!AS29&gt;=(Leger2!$C$4+1/3*(100-Leger2!$C$4)),"B",IF(Leger2!AS29&gt;=Leger2!$C$4,"C","D"))))</f>
        <v/>
      </c>
      <c r="AH29" s="252" t="str">
        <f>IF(Leger2!AT29="","",IF(Leger2!AT29&gt;=(Leger2!$C$4+2/3*(100-Leger2!$C$4)),"A",IF(Leger2!AT29&gt;=(Leger2!$C$4+1/3*(100-Leger2!$C$4)),"B",IF(Leger2!AT29&gt;=Leger2!$C$4,"C","D"))))</f>
        <v/>
      </c>
      <c r="AI29" s="249" t="str">
        <f>IF(Leger2!AV29="","",IF(Leger2!AV29&gt;=(Leger2!$C$4+2/3*(100-Leger2!$C$4)),"A",IF(Leger2!AV29&gt;=(Leger2!$C$4+1/3*(100-Leger2!$C$4)),"B",IF(Leger2!AV29&gt;=Leger2!$C$4,"C","D"))))</f>
        <v/>
      </c>
      <c r="AJ29" s="252" t="str">
        <f>IF(Leger2!AW29="","",IF(Leger2!AW29&gt;=(Leger2!$C$4+2/3*(100-Leger2!$C$4)),"A",IF(Leger2!AW29&gt;=(Leger2!$C$4+1/3*(100-Leger2!$C$4)),"B",IF(Leger2!AW29&gt;=Leger2!$C$4,"C","D"))))</f>
        <v/>
      </c>
      <c r="AK29" s="249" t="str">
        <f>IF(Leger2!AY29="","",IF(Leger2!AY29&gt;=(Leger2!$C$4+2/3*(100-Leger2!$C$4)),"A",IF(Leger2!AY29&gt;=(Leger2!$C$4+1/3*(100-Leger2!$C$4)),"B",IF(Leger2!AY29&gt;=Leger2!$C$4,"C","D"))))</f>
        <v/>
      </c>
      <c r="AL29" s="252" t="str">
        <f>IF(Leger2!AZ29="","",IF(Leger2!AZ29&gt;=(Leger2!$C$4+2/3*(100-Leger2!$C$4)),"A",IF(Leger2!AZ29&gt;=(Leger2!$C$4+1/3*(100-Leger2!$C$4)),"B",IF(Leger2!AZ29&gt;=Leger2!$C$4,"C","D"))))</f>
        <v/>
      </c>
    </row>
    <row r="30" spans="2:38">
      <c r="E30" s="211">
        <f>Biodata!B29</f>
        <v>24</v>
      </c>
      <c r="F30" s="212">
        <f>IF(Biodata!C29="","",VLOOKUP(E30,Biodata_Siswa,2,FALSE))</f>
        <v>7126</v>
      </c>
      <c r="G30" s="1015" t="str">
        <f>IF(Biodata!E29="","",PROPER(VLOOKUP(E30,Biodata_Siswa,4,FALSE)))</f>
        <v>Sawal Ramadian</v>
      </c>
      <c r="H30" s="1016"/>
      <c r="I30" s="249" t="str">
        <f>IF(Leger2!I30="","",IF(Leger2!I30&gt;=(Leger2!$C$4+2/3*(100-Leger2!$C$4)),"A",IF(Leger2!I30&gt;=(Leger2!$C$4+1/3*(100-Leger2!$C$4)),"B",IF(Leger2!I30&gt;=Leger2!$C$4,"C","D"))))</f>
        <v/>
      </c>
      <c r="J30" s="252" t="str">
        <f>IF(Leger2!J30="","",IF(Leger2!J30&gt;=(Leger2!$C$4+2/3*(100-Leger2!$C$4)),"A",IF(Leger2!J30&gt;=(Leger2!$C$4+1/3*(100-Leger2!$C$4)),"B",IF(Leger2!J30&gt;=Leger2!$C$4,"C","D"))))</f>
        <v/>
      </c>
      <c r="K30" s="249" t="str">
        <f>IF(Leger2!L30="","",IF(Leger2!L30&gt;=(Leger2!$C$4+2/3*(100-Leger2!$C$4)),"A",IF(Leger2!L30&gt;=(Leger2!$C$4+1/3*(100-Leger2!$C$4)),"B",IF(Leger2!L30&gt;=Leger2!$C$4,"C","D"))))</f>
        <v/>
      </c>
      <c r="L30" s="252" t="str">
        <f>IF(Leger2!M30="","",IF(Leger2!M30&gt;=(Leger2!$C$4+2/3*(100-Leger2!$C$4)),"A",IF(Leger2!M30&gt;=(Leger2!$C$4+1/3*(100-Leger2!$C$4)),"B",IF(Leger2!M30&gt;=Leger2!$C$4,"C","D"))))</f>
        <v/>
      </c>
      <c r="M30" s="249" t="str">
        <f>IF(Leger2!O30="","",IF(Leger2!O30&gt;=(Leger2!$C$4+2/3*(100-Leger2!$C$4)),"A",IF(Leger2!O30&gt;=(Leger2!$C$4+1/3*(100-Leger2!$C$4)),"B",IF(Leger2!O30&gt;=Leger2!$C$4,"C","D"))))</f>
        <v/>
      </c>
      <c r="N30" s="252" t="str">
        <f>IF(Leger2!P30="","",IF(Leger2!P30&gt;=(Leger2!$C$4+2/3*(100-Leger2!$C$4)),"A",IF(Leger2!P30&gt;=(Leger2!$C$4+1/3*(100-Leger2!$C$4)),"B",IF(Leger2!P30&gt;=Leger2!$C$4,"C","D"))))</f>
        <v/>
      </c>
      <c r="O30" s="249" t="str">
        <f>IF(Leger2!R30="","",IF(Leger2!R30&gt;=(Leger2!$C$4+2/3*(100-Leger2!$C$4)),"A",IF(Leger2!R30&gt;=(Leger2!$C$4+1/3*(100-Leger2!$C$4)),"B",IF(Leger2!R30&gt;=Leger2!$C$4,"C","D"))))</f>
        <v/>
      </c>
      <c r="P30" s="252" t="str">
        <f>IF(Leger2!S30="","",IF(Leger2!S30&gt;=(Leger2!$C$4+2/3*(100-Leger2!$C$4)),"A",IF(Leger2!S30&gt;=(Leger2!$C$4+1/3*(100-Leger2!$C$4)),"B",IF(Leger2!S30&gt;=Leger2!$C$4,"C","D"))))</f>
        <v/>
      </c>
      <c r="Q30" s="249" t="str">
        <f>IF(Leger2!U30="","",IF(Leger2!U30&gt;=(Leger2!$C$4+2/3*(100-Leger2!$C$4)),"A",IF(Leger2!U30&gt;=(Leger2!$C$4+1/3*(100-Leger2!$C$4)),"B",IF(Leger2!U30&gt;=Leger2!$C$4,"C","D"))))</f>
        <v/>
      </c>
      <c r="R30" s="252" t="str">
        <f>IF(Leger2!V30="","",IF(Leger2!V30&gt;=(Leger2!$C$4+2/3*(100-Leger2!$C$4)),"A",IF(Leger2!V30&gt;=(Leger2!$C$4+1/3*(100-Leger2!$C$4)),"B",IF(Leger2!V30&gt;=Leger2!$C$4,"C","D"))))</f>
        <v/>
      </c>
      <c r="S30" s="249" t="str">
        <f>IF(Leger2!X30="","",IF(Leger2!X30&gt;=(Leger2!$C$4+2/3*(100-Leger2!$C$4)),"A",IF(Leger2!X30&gt;=(Leger2!$C$4+1/3*(100-Leger2!$C$4)),"B",IF(Leger2!X30&gt;=Leger2!$C$4,"C","D"))))</f>
        <v/>
      </c>
      <c r="T30" s="252" t="str">
        <f>IF(Leger2!Y30="","",IF(Leger2!Y30&gt;=(Leger2!$C$4+2/3*(100-Leger2!$C$4)),"A",IF(Leger2!Y30&gt;=(Leger2!$C$4+1/3*(100-Leger2!$C$4)),"B",IF(Leger2!Y30&gt;=Leger2!$C$4,"C","D"))))</f>
        <v/>
      </c>
      <c r="U30" s="249" t="str">
        <f>IF(Leger2!AA30="","",IF(Leger2!AA30&gt;=(Leger2!$C$4+2/3*(100-Leger2!$C$4)),"A",IF(Leger2!AA30&gt;=(Leger2!$C$4+1/3*(100-Leger2!$C$4)),"B",IF(Leger2!AA30&gt;=Leger2!$C$4,"C","D"))))</f>
        <v/>
      </c>
      <c r="V30" s="252" t="str">
        <f>IF(Leger2!AB30="","",IF(Leger2!AB30&gt;=(Leger2!$C$4+2/3*(100-Leger2!$C$4)),"A",IF(Leger2!AB30&gt;=(Leger2!$C$4+1/3*(100-Leger2!$C$4)),"B",IF(Leger2!AB30&gt;=Leger2!$C$4,"C","D"))))</f>
        <v/>
      </c>
      <c r="W30" s="249" t="str">
        <f>IF(Leger2!AD30="","",IF(Leger2!AD30&gt;=(Leger2!$C$4+2/3*(100-Leger2!$C$4)),"A",IF(Leger2!AD30&gt;=(Leger2!$C$4+1/3*(100-Leger2!$C$4)),"B",IF(Leger2!AD30&gt;=Leger2!$C$4,"C","D"))))</f>
        <v/>
      </c>
      <c r="X30" s="252" t="str">
        <f>IF(Leger2!AE30="","",IF(Leger2!AE30&gt;=(Leger2!$C$4+2/3*(100-Leger2!$C$4)),"A",IF(Leger2!AE30&gt;=(Leger2!$C$4+1/3*(100-Leger2!$C$4)),"B",IF(Leger2!AE30&gt;=Leger2!$C$4,"C","D"))))</f>
        <v/>
      </c>
      <c r="Y30" s="249" t="str">
        <f>IF(Leger2!AG30="","",IF(Leger2!AG30&gt;=(Leger2!$C$4+2/3*(100-Leger2!$C$4)),"A",IF(Leger2!AG30&gt;=(Leger2!$C$4+1/3*(100-Leger2!$C$4)),"B",IF(Leger2!AG30&gt;=Leger2!$C$4,"C","D"))))</f>
        <v/>
      </c>
      <c r="Z30" s="252" t="str">
        <f>IF(Leger2!AH30="","",IF(Leger2!AH30&gt;=(Leger2!$C$4+2/3*(100-Leger2!$C$4)),"A",IF(Leger2!AH30&gt;=(Leger2!$C$4+1/3*(100-Leger2!$C$4)),"B",IF(Leger2!AH30&gt;=Leger2!$C$4,"C","D"))))</f>
        <v/>
      </c>
      <c r="AA30" s="249" t="str">
        <f>IF(Leger2!AJ30="","",IF(Leger2!AJ30&gt;=(Leger2!$C$4+2/3*(100-Leger2!$C$4)),"A",IF(Leger2!AJ30&gt;=(Leger2!$C$4+1/3*(100-Leger2!$C$4)),"B",IF(Leger2!AJ30&gt;=Leger2!$C$4,"C","D"))))</f>
        <v/>
      </c>
      <c r="AB30" s="252" t="str">
        <f>IF(Leger2!AK30="","",IF(Leger2!AK30&gt;=(Leger2!$C$4+2/3*(100-Leger2!$C$4)),"A",IF(Leger2!AK30&gt;=(Leger2!$C$4+1/3*(100-Leger2!$C$4)),"B",IF(Leger2!AK30&gt;=Leger2!$C$4,"C","D"))))</f>
        <v/>
      </c>
      <c r="AC30" s="249" t="str">
        <f>IF(Leger2!AM30="","",IF(Leger2!AM30&gt;=(Leger2!$C$4+2/3*(100-Leger2!$C$4)),"A",IF(Leger2!AM30&gt;=(Leger2!$C$4+1/3*(100-Leger2!$C$4)),"B",IF(Leger2!AM30&gt;=Leger2!$C$4,"C","D"))))</f>
        <v/>
      </c>
      <c r="AD30" s="252" t="str">
        <f>IF(Leger2!AN30="","",IF(Leger2!AN30&gt;=(Leger2!$C$4+2/3*(100-Leger2!$C$4)),"A",IF(Leger2!AN30&gt;=(Leger2!$C$4+1/3*(100-Leger2!$C$4)),"B",IF(Leger2!AN30&gt;=Leger2!$C$4,"C","D"))))</f>
        <v/>
      </c>
      <c r="AE30" s="249" t="str">
        <f>IF(Leger2!AP30="","",IF(Leger2!AP30&gt;=(Leger2!$C$4+2/3*(100-Leger2!$C$4)),"A",IF(Leger2!AP30&gt;=(Leger2!$C$4+1/3*(100-Leger2!$C$4)),"B",IF(Leger2!AP30&gt;=Leger2!$C$4,"C","D"))))</f>
        <v/>
      </c>
      <c r="AF30" s="252" t="str">
        <f>IF(Leger2!AQ30="","",IF(Leger2!AQ30&gt;=(Leger2!$C$4+2/3*(100-Leger2!$C$4)),"A",IF(Leger2!AQ30&gt;=(Leger2!$C$4+1/3*(100-Leger2!$C$4)),"B",IF(Leger2!AQ30&gt;=Leger2!$C$4,"C","D"))))</f>
        <v/>
      </c>
      <c r="AG30" s="249" t="str">
        <f>IF(Leger2!AS30="","",IF(Leger2!AS30&gt;=(Leger2!$C$4+2/3*(100-Leger2!$C$4)),"A",IF(Leger2!AS30&gt;=(Leger2!$C$4+1/3*(100-Leger2!$C$4)),"B",IF(Leger2!AS30&gt;=Leger2!$C$4,"C","D"))))</f>
        <v/>
      </c>
      <c r="AH30" s="252" t="str">
        <f>IF(Leger2!AT30="","",IF(Leger2!AT30&gt;=(Leger2!$C$4+2/3*(100-Leger2!$C$4)),"A",IF(Leger2!AT30&gt;=(Leger2!$C$4+1/3*(100-Leger2!$C$4)),"B",IF(Leger2!AT30&gt;=Leger2!$C$4,"C","D"))))</f>
        <v/>
      </c>
      <c r="AI30" s="249" t="str">
        <f>IF(Leger2!AV30="","",IF(Leger2!AV30&gt;=(Leger2!$C$4+2/3*(100-Leger2!$C$4)),"A",IF(Leger2!AV30&gt;=(Leger2!$C$4+1/3*(100-Leger2!$C$4)),"B",IF(Leger2!AV30&gt;=Leger2!$C$4,"C","D"))))</f>
        <v/>
      </c>
      <c r="AJ30" s="252" t="str">
        <f>IF(Leger2!AW30="","",IF(Leger2!AW30&gt;=(Leger2!$C$4+2/3*(100-Leger2!$C$4)),"A",IF(Leger2!AW30&gt;=(Leger2!$C$4+1/3*(100-Leger2!$C$4)),"B",IF(Leger2!AW30&gt;=Leger2!$C$4,"C","D"))))</f>
        <v/>
      </c>
      <c r="AK30" s="249" t="str">
        <f>IF(Leger2!AY30="","",IF(Leger2!AY30&gt;=(Leger2!$C$4+2/3*(100-Leger2!$C$4)),"A",IF(Leger2!AY30&gt;=(Leger2!$C$4+1/3*(100-Leger2!$C$4)),"B",IF(Leger2!AY30&gt;=Leger2!$C$4,"C","D"))))</f>
        <v/>
      </c>
      <c r="AL30" s="252" t="str">
        <f>IF(Leger2!AZ30="","",IF(Leger2!AZ30&gt;=(Leger2!$C$4+2/3*(100-Leger2!$C$4)),"A",IF(Leger2!AZ30&gt;=(Leger2!$C$4+1/3*(100-Leger2!$C$4)),"B",IF(Leger2!AZ30&gt;=Leger2!$C$4,"C","D"))))</f>
        <v/>
      </c>
    </row>
    <row r="31" spans="2:38">
      <c r="E31" s="211">
        <f>Biodata!B30</f>
        <v>25</v>
      </c>
      <c r="F31" s="212">
        <f>IF(Biodata!C30="","",VLOOKUP(E31,Biodata_Siswa,2,FALSE))</f>
        <v>7130</v>
      </c>
      <c r="G31" s="1015" t="str">
        <f>IF(Biodata!E30="","",PROPER(VLOOKUP(E31,Biodata_Siswa,4,FALSE)))</f>
        <v>Sofyan Romansyah</v>
      </c>
      <c r="H31" s="1016"/>
      <c r="I31" s="249" t="str">
        <f>IF(Leger2!I31="","",IF(Leger2!I31&gt;=(Leger2!$C$4+2/3*(100-Leger2!$C$4)),"A",IF(Leger2!I31&gt;=(Leger2!$C$4+1/3*(100-Leger2!$C$4)),"B",IF(Leger2!I31&gt;=Leger2!$C$4,"C","D"))))</f>
        <v/>
      </c>
      <c r="J31" s="252" t="str">
        <f>IF(Leger2!J31="","",IF(Leger2!J31&gt;=(Leger2!$C$4+2/3*(100-Leger2!$C$4)),"A",IF(Leger2!J31&gt;=(Leger2!$C$4+1/3*(100-Leger2!$C$4)),"B",IF(Leger2!J31&gt;=Leger2!$C$4,"C","D"))))</f>
        <v/>
      </c>
      <c r="K31" s="249" t="str">
        <f>IF(Leger2!L31="","",IF(Leger2!L31&gt;=(Leger2!$C$4+2/3*(100-Leger2!$C$4)),"A",IF(Leger2!L31&gt;=(Leger2!$C$4+1/3*(100-Leger2!$C$4)),"B",IF(Leger2!L31&gt;=Leger2!$C$4,"C","D"))))</f>
        <v/>
      </c>
      <c r="L31" s="252" t="str">
        <f>IF(Leger2!M31="","",IF(Leger2!M31&gt;=(Leger2!$C$4+2/3*(100-Leger2!$C$4)),"A",IF(Leger2!M31&gt;=(Leger2!$C$4+1/3*(100-Leger2!$C$4)),"B",IF(Leger2!M31&gt;=Leger2!$C$4,"C","D"))))</f>
        <v/>
      </c>
      <c r="M31" s="249" t="str">
        <f>IF(Leger2!O31="","",IF(Leger2!O31&gt;=(Leger2!$C$4+2/3*(100-Leger2!$C$4)),"A",IF(Leger2!O31&gt;=(Leger2!$C$4+1/3*(100-Leger2!$C$4)),"B",IF(Leger2!O31&gt;=Leger2!$C$4,"C","D"))))</f>
        <v/>
      </c>
      <c r="N31" s="252" t="str">
        <f>IF(Leger2!P31="","",IF(Leger2!P31&gt;=(Leger2!$C$4+2/3*(100-Leger2!$C$4)),"A",IF(Leger2!P31&gt;=(Leger2!$C$4+1/3*(100-Leger2!$C$4)),"B",IF(Leger2!P31&gt;=Leger2!$C$4,"C","D"))))</f>
        <v/>
      </c>
      <c r="O31" s="249" t="str">
        <f>IF(Leger2!R31="","",IF(Leger2!R31&gt;=(Leger2!$C$4+2/3*(100-Leger2!$C$4)),"A",IF(Leger2!R31&gt;=(Leger2!$C$4+1/3*(100-Leger2!$C$4)),"B",IF(Leger2!R31&gt;=Leger2!$C$4,"C","D"))))</f>
        <v/>
      </c>
      <c r="P31" s="252" t="str">
        <f>IF(Leger2!S31="","",IF(Leger2!S31&gt;=(Leger2!$C$4+2/3*(100-Leger2!$C$4)),"A",IF(Leger2!S31&gt;=(Leger2!$C$4+1/3*(100-Leger2!$C$4)),"B",IF(Leger2!S31&gt;=Leger2!$C$4,"C","D"))))</f>
        <v/>
      </c>
      <c r="Q31" s="249" t="str">
        <f>IF(Leger2!U31="","",IF(Leger2!U31&gt;=(Leger2!$C$4+2/3*(100-Leger2!$C$4)),"A",IF(Leger2!U31&gt;=(Leger2!$C$4+1/3*(100-Leger2!$C$4)),"B",IF(Leger2!U31&gt;=Leger2!$C$4,"C","D"))))</f>
        <v/>
      </c>
      <c r="R31" s="252" t="str">
        <f>IF(Leger2!V31="","",IF(Leger2!V31&gt;=(Leger2!$C$4+2/3*(100-Leger2!$C$4)),"A",IF(Leger2!V31&gt;=(Leger2!$C$4+1/3*(100-Leger2!$C$4)),"B",IF(Leger2!V31&gt;=Leger2!$C$4,"C","D"))))</f>
        <v/>
      </c>
      <c r="S31" s="249" t="str">
        <f>IF(Leger2!X31="","",IF(Leger2!X31&gt;=(Leger2!$C$4+2/3*(100-Leger2!$C$4)),"A",IF(Leger2!X31&gt;=(Leger2!$C$4+1/3*(100-Leger2!$C$4)),"B",IF(Leger2!X31&gt;=Leger2!$C$4,"C","D"))))</f>
        <v/>
      </c>
      <c r="T31" s="252" t="str">
        <f>IF(Leger2!Y31="","",IF(Leger2!Y31&gt;=(Leger2!$C$4+2/3*(100-Leger2!$C$4)),"A",IF(Leger2!Y31&gt;=(Leger2!$C$4+1/3*(100-Leger2!$C$4)),"B",IF(Leger2!Y31&gt;=Leger2!$C$4,"C","D"))))</f>
        <v/>
      </c>
      <c r="U31" s="249" t="str">
        <f>IF(Leger2!AA31="","",IF(Leger2!AA31&gt;=(Leger2!$C$4+2/3*(100-Leger2!$C$4)),"A",IF(Leger2!AA31&gt;=(Leger2!$C$4+1/3*(100-Leger2!$C$4)),"B",IF(Leger2!AA31&gt;=Leger2!$C$4,"C","D"))))</f>
        <v/>
      </c>
      <c r="V31" s="252" t="str">
        <f>IF(Leger2!AB31="","",IF(Leger2!AB31&gt;=(Leger2!$C$4+2/3*(100-Leger2!$C$4)),"A",IF(Leger2!AB31&gt;=(Leger2!$C$4+1/3*(100-Leger2!$C$4)),"B",IF(Leger2!AB31&gt;=Leger2!$C$4,"C","D"))))</f>
        <v/>
      </c>
      <c r="W31" s="249" t="str">
        <f>IF(Leger2!AD31="","",IF(Leger2!AD31&gt;=(Leger2!$C$4+2/3*(100-Leger2!$C$4)),"A",IF(Leger2!AD31&gt;=(Leger2!$C$4+1/3*(100-Leger2!$C$4)),"B",IF(Leger2!AD31&gt;=Leger2!$C$4,"C","D"))))</f>
        <v/>
      </c>
      <c r="X31" s="252" t="str">
        <f>IF(Leger2!AE31="","",IF(Leger2!AE31&gt;=(Leger2!$C$4+2/3*(100-Leger2!$C$4)),"A",IF(Leger2!AE31&gt;=(Leger2!$C$4+1/3*(100-Leger2!$C$4)),"B",IF(Leger2!AE31&gt;=Leger2!$C$4,"C","D"))))</f>
        <v/>
      </c>
      <c r="Y31" s="249" t="str">
        <f>IF(Leger2!AG31="","",IF(Leger2!AG31&gt;=(Leger2!$C$4+2/3*(100-Leger2!$C$4)),"A",IF(Leger2!AG31&gt;=(Leger2!$C$4+1/3*(100-Leger2!$C$4)),"B",IF(Leger2!AG31&gt;=Leger2!$C$4,"C","D"))))</f>
        <v/>
      </c>
      <c r="Z31" s="252" t="str">
        <f>IF(Leger2!AH31="","",IF(Leger2!AH31&gt;=(Leger2!$C$4+2/3*(100-Leger2!$C$4)),"A",IF(Leger2!AH31&gt;=(Leger2!$C$4+1/3*(100-Leger2!$C$4)),"B",IF(Leger2!AH31&gt;=Leger2!$C$4,"C","D"))))</f>
        <v/>
      </c>
      <c r="AA31" s="249" t="str">
        <f>IF(Leger2!AJ31="","",IF(Leger2!AJ31&gt;=(Leger2!$C$4+2/3*(100-Leger2!$C$4)),"A",IF(Leger2!AJ31&gt;=(Leger2!$C$4+1/3*(100-Leger2!$C$4)),"B",IF(Leger2!AJ31&gt;=Leger2!$C$4,"C","D"))))</f>
        <v/>
      </c>
      <c r="AB31" s="252" t="str">
        <f>IF(Leger2!AK31="","",IF(Leger2!AK31&gt;=(Leger2!$C$4+2/3*(100-Leger2!$C$4)),"A",IF(Leger2!AK31&gt;=(Leger2!$C$4+1/3*(100-Leger2!$C$4)),"B",IF(Leger2!AK31&gt;=Leger2!$C$4,"C","D"))))</f>
        <v/>
      </c>
      <c r="AC31" s="249" t="str">
        <f>IF(Leger2!AM31="","",IF(Leger2!AM31&gt;=(Leger2!$C$4+2/3*(100-Leger2!$C$4)),"A",IF(Leger2!AM31&gt;=(Leger2!$C$4+1/3*(100-Leger2!$C$4)),"B",IF(Leger2!AM31&gt;=Leger2!$C$4,"C","D"))))</f>
        <v/>
      </c>
      <c r="AD31" s="252" t="str">
        <f>IF(Leger2!AN31="","",IF(Leger2!AN31&gt;=(Leger2!$C$4+2/3*(100-Leger2!$C$4)),"A",IF(Leger2!AN31&gt;=(Leger2!$C$4+1/3*(100-Leger2!$C$4)),"B",IF(Leger2!AN31&gt;=Leger2!$C$4,"C","D"))))</f>
        <v/>
      </c>
      <c r="AE31" s="249" t="str">
        <f>IF(Leger2!AP31="","",IF(Leger2!AP31&gt;=(Leger2!$C$4+2/3*(100-Leger2!$C$4)),"A",IF(Leger2!AP31&gt;=(Leger2!$C$4+1/3*(100-Leger2!$C$4)),"B",IF(Leger2!AP31&gt;=Leger2!$C$4,"C","D"))))</f>
        <v/>
      </c>
      <c r="AF31" s="252" t="str">
        <f>IF(Leger2!AQ31="","",IF(Leger2!AQ31&gt;=(Leger2!$C$4+2/3*(100-Leger2!$C$4)),"A",IF(Leger2!AQ31&gt;=(Leger2!$C$4+1/3*(100-Leger2!$C$4)),"B",IF(Leger2!AQ31&gt;=Leger2!$C$4,"C","D"))))</f>
        <v/>
      </c>
      <c r="AG31" s="249" t="str">
        <f>IF(Leger2!AS31="","",IF(Leger2!AS31&gt;=(Leger2!$C$4+2/3*(100-Leger2!$C$4)),"A",IF(Leger2!AS31&gt;=(Leger2!$C$4+1/3*(100-Leger2!$C$4)),"B",IF(Leger2!AS31&gt;=Leger2!$C$4,"C","D"))))</f>
        <v/>
      </c>
      <c r="AH31" s="252" t="str">
        <f>IF(Leger2!AT31="","",IF(Leger2!AT31&gt;=(Leger2!$C$4+2/3*(100-Leger2!$C$4)),"A",IF(Leger2!AT31&gt;=(Leger2!$C$4+1/3*(100-Leger2!$C$4)),"B",IF(Leger2!AT31&gt;=Leger2!$C$4,"C","D"))))</f>
        <v/>
      </c>
      <c r="AI31" s="249" t="str">
        <f>IF(Leger2!AV31="","",IF(Leger2!AV31&gt;=(Leger2!$C$4+2/3*(100-Leger2!$C$4)),"A",IF(Leger2!AV31&gt;=(Leger2!$C$4+1/3*(100-Leger2!$C$4)),"B",IF(Leger2!AV31&gt;=Leger2!$C$4,"C","D"))))</f>
        <v/>
      </c>
      <c r="AJ31" s="252" t="str">
        <f>IF(Leger2!AW31="","",IF(Leger2!AW31&gt;=(Leger2!$C$4+2/3*(100-Leger2!$C$4)),"A",IF(Leger2!AW31&gt;=(Leger2!$C$4+1/3*(100-Leger2!$C$4)),"B",IF(Leger2!AW31&gt;=Leger2!$C$4,"C","D"))))</f>
        <v/>
      </c>
      <c r="AK31" s="249" t="str">
        <f>IF(Leger2!AY31="","",IF(Leger2!AY31&gt;=(Leger2!$C$4+2/3*(100-Leger2!$C$4)),"A",IF(Leger2!AY31&gt;=(Leger2!$C$4+1/3*(100-Leger2!$C$4)),"B",IF(Leger2!AY31&gt;=Leger2!$C$4,"C","D"))))</f>
        <v/>
      </c>
      <c r="AL31" s="252" t="str">
        <f>IF(Leger2!AZ31="","",IF(Leger2!AZ31&gt;=(Leger2!$C$4+2/3*(100-Leger2!$C$4)),"A",IF(Leger2!AZ31&gt;=(Leger2!$C$4+1/3*(100-Leger2!$C$4)),"B",IF(Leger2!AZ31&gt;=Leger2!$C$4,"C","D"))))</f>
        <v/>
      </c>
    </row>
    <row r="32" spans="2:38">
      <c r="E32" s="211">
        <f>Biodata!B31</f>
        <v>26</v>
      </c>
      <c r="F32" s="212">
        <f>IF(Biodata!C31="","",VLOOKUP(E32,Biodata_Siswa,2,FALSE))</f>
        <v>7132</v>
      </c>
      <c r="G32" s="1015" t="str">
        <f>IF(Biodata!E31="","",PROPER(VLOOKUP(E32,Biodata_Siswa,4,FALSE)))</f>
        <v>Tio Ardinata</v>
      </c>
      <c r="H32" s="1016"/>
      <c r="I32" s="249" t="str">
        <f>IF(Leger2!I32="","",IF(Leger2!I32&gt;=(Leger2!$C$4+2/3*(100-Leger2!$C$4)),"A",IF(Leger2!I32&gt;=(Leger2!$C$4+1/3*(100-Leger2!$C$4)),"B",IF(Leger2!I32&gt;=Leger2!$C$4,"C","D"))))</f>
        <v/>
      </c>
      <c r="J32" s="252" t="str">
        <f>IF(Leger2!J32="","",IF(Leger2!J32&gt;=(Leger2!$C$4+2/3*(100-Leger2!$C$4)),"A",IF(Leger2!J32&gt;=(Leger2!$C$4+1/3*(100-Leger2!$C$4)),"B",IF(Leger2!J32&gt;=Leger2!$C$4,"C","D"))))</f>
        <v/>
      </c>
      <c r="K32" s="249" t="str">
        <f>IF(Leger2!L32="","",IF(Leger2!L32&gt;=(Leger2!$C$4+2/3*(100-Leger2!$C$4)),"A",IF(Leger2!L32&gt;=(Leger2!$C$4+1/3*(100-Leger2!$C$4)),"B",IF(Leger2!L32&gt;=Leger2!$C$4,"C","D"))))</f>
        <v/>
      </c>
      <c r="L32" s="252" t="str">
        <f>IF(Leger2!M32="","",IF(Leger2!M32&gt;=(Leger2!$C$4+2/3*(100-Leger2!$C$4)),"A",IF(Leger2!M32&gt;=(Leger2!$C$4+1/3*(100-Leger2!$C$4)),"B",IF(Leger2!M32&gt;=Leger2!$C$4,"C","D"))))</f>
        <v/>
      </c>
      <c r="M32" s="249" t="str">
        <f>IF(Leger2!O32="","",IF(Leger2!O32&gt;=(Leger2!$C$4+2/3*(100-Leger2!$C$4)),"A",IF(Leger2!O32&gt;=(Leger2!$C$4+1/3*(100-Leger2!$C$4)),"B",IF(Leger2!O32&gt;=Leger2!$C$4,"C","D"))))</f>
        <v/>
      </c>
      <c r="N32" s="252" t="str">
        <f>IF(Leger2!P32="","",IF(Leger2!P32&gt;=(Leger2!$C$4+2/3*(100-Leger2!$C$4)),"A",IF(Leger2!P32&gt;=(Leger2!$C$4+1/3*(100-Leger2!$C$4)),"B",IF(Leger2!P32&gt;=Leger2!$C$4,"C","D"))))</f>
        <v/>
      </c>
      <c r="O32" s="249" t="str">
        <f>IF(Leger2!R32="","",IF(Leger2!R32&gt;=(Leger2!$C$4+2/3*(100-Leger2!$C$4)),"A",IF(Leger2!R32&gt;=(Leger2!$C$4+1/3*(100-Leger2!$C$4)),"B",IF(Leger2!R32&gt;=Leger2!$C$4,"C","D"))))</f>
        <v/>
      </c>
      <c r="P32" s="252" t="str">
        <f>IF(Leger2!S32="","",IF(Leger2!S32&gt;=(Leger2!$C$4+2/3*(100-Leger2!$C$4)),"A",IF(Leger2!S32&gt;=(Leger2!$C$4+1/3*(100-Leger2!$C$4)),"B",IF(Leger2!S32&gt;=Leger2!$C$4,"C","D"))))</f>
        <v/>
      </c>
      <c r="Q32" s="249" t="str">
        <f>IF(Leger2!U32="","",IF(Leger2!U32&gt;=(Leger2!$C$4+2/3*(100-Leger2!$C$4)),"A",IF(Leger2!U32&gt;=(Leger2!$C$4+1/3*(100-Leger2!$C$4)),"B",IF(Leger2!U32&gt;=Leger2!$C$4,"C","D"))))</f>
        <v/>
      </c>
      <c r="R32" s="252" t="str">
        <f>IF(Leger2!V32="","",IF(Leger2!V32&gt;=(Leger2!$C$4+2/3*(100-Leger2!$C$4)),"A",IF(Leger2!V32&gt;=(Leger2!$C$4+1/3*(100-Leger2!$C$4)),"B",IF(Leger2!V32&gt;=Leger2!$C$4,"C","D"))))</f>
        <v/>
      </c>
      <c r="S32" s="249" t="str">
        <f>IF(Leger2!X32="","",IF(Leger2!X32&gt;=(Leger2!$C$4+2/3*(100-Leger2!$C$4)),"A",IF(Leger2!X32&gt;=(Leger2!$C$4+1/3*(100-Leger2!$C$4)),"B",IF(Leger2!X32&gt;=Leger2!$C$4,"C","D"))))</f>
        <v/>
      </c>
      <c r="T32" s="252" t="str">
        <f>IF(Leger2!Y32="","",IF(Leger2!Y32&gt;=(Leger2!$C$4+2/3*(100-Leger2!$C$4)),"A",IF(Leger2!Y32&gt;=(Leger2!$C$4+1/3*(100-Leger2!$C$4)),"B",IF(Leger2!Y32&gt;=Leger2!$C$4,"C","D"))))</f>
        <v/>
      </c>
      <c r="U32" s="249" t="str">
        <f>IF(Leger2!AA32="","",IF(Leger2!AA32&gt;=(Leger2!$C$4+2/3*(100-Leger2!$C$4)),"A",IF(Leger2!AA32&gt;=(Leger2!$C$4+1/3*(100-Leger2!$C$4)),"B",IF(Leger2!AA32&gt;=Leger2!$C$4,"C","D"))))</f>
        <v/>
      </c>
      <c r="V32" s="252" t="str">
        <f>IF(Leger2!AB32="","",IF(Leger2!AB32&gt;=(Leger2!$C$4+2/3*(100-Leger2!$C$4)),"A",IF(Leger2!AB32&gt;=(Leger2!$C$4+1/3*(100-Leger2!$C$4)),"B",IF(Leger2!AB32&gt;=Leger2!$C$4,"C","D"))))</f>
        <v/>
      </c>
      <c r="W32" s="249" t="str">
        <f>IF(Leger2!AD32="","",IF(Leger2!AD32&gt;=(Leger2!$C$4+2/3*(100-Leger2!$C$4)),"A",IF(Leger2!AD32&gt;=(Leger2!$C$4+1/3*(100-Leger2!$C$4)),"B",IF(Leger2!AD32&gt;=Leger2!$C$4,"C","D"))))</f>
        <v/>
      </c>
      <c r="X32" s="252" t="str">
        <f>IF(Leger2!AE32="","",IF(Leger2!AE32&gt;=(Leger2!$C$4+2/3*(100-Leger2!$C$4)),"A",IF(Leger2!AE32&gt;=(Leger2!$C$4+1/3*(100-Leger2!$C$4)),"B",IF(Leger2!AE32&gt;=Leger2!$C$4,"C","D"))))</f>
        <v/>
      </c>
      <c r="Y32" s="249" t="str">
        <f>IF(Leger2!AG32="","",IF(Leger2!AG32&gt;=(Leger2!$C$4+2/3*(100-Leger2!$C$4)),"A",IF(Leger2!AG32&gt;=(Leger2!$C$4+1/3*(100-Leger2!$C$4)),"B",IF(Leger2!AG32&gt;=Leger2!$C$4,"C","D"))))</f>
        <v/>
      </c>
      <c r="Z32" s="252" t="str">
        <f>IF(Leger2!AH32="","",IF(Leger2!AH32&gt;=(Leger2!$C$4+2/3*(100-Leger2!$C$4)),"A",IF(Leger2!AH32&gt;=(Leger2!$C$4+1/3*(100-Leger2!$C$4)),"B",IF(Leger2!AH32&gt;=Leger2!$C$4,"C","D"))))</f>
        <v/>
      </c>
      <c r="AA32" s="249" t="str">
        <f>IF(Leger2!AJ32="","",IF(Leger2!AJ32&gt;=(Leger2!$C$4+2/3*(100-Leger2!$C$4)),"A",IF(Leger2!AJ32&gt;=(Leger2!$C$4+1/3*(100-Leger2!$C$4)),"B",IF(Leger2!AJ32&gt;=Leger2!$C$4,"C","D"))))</f>
        <v/>
      </c>
      <c r="AB32" s="252" t="str">
        <f>IF(Leger2!AK32="","",IF(Leger2!AK32&gt;=(Leger2!$C$4+2/3*(100-Leger2!$C$4)),"A",IF(Leger2!AK32&gt;=(Leger2!$C$4+1/3*(100-Leger2!$C$4)),"B",IF(Leger2!AK32&gt;=Leger2!$C$4,"C","D"))))</f>
        <v/>
      </c>
      <c r="AC32" s="249" t="str">
        <f>IF(Leger2!AM32="","",IF(Leger2!AM32&gt;=(Leger2!$C$4+2/3*(100-Leger2!$C$4)),"A",IF(Leger2!AM32&gt;=(Leger2!$C$4+1/3*(100-Leger2!$C$4)),"B",IF(Leger2!AM32&gt;=Leger2!$C$4,"C","D"))))</f>
        <v/>
      </c>
      <c r="AD32" s="252" t="str">
        <f>IF(Leger2!AN32="","",IF(Leger2!AN32&gt;=(Leger2!$C$4+2/3*(100-Leger2!$C$4)),"A",IF(Leger2!AN32&gt;=(Leger2!$C$4+1/3*(100-Leger2!$C$4)),"B",IF(Leger2!AN32&gt;=Leger2!$C$4,"C","D"))))</f>
        <v/>
      </c>
      <c r="AE32" s="249" t="str">
        <f>IF(Leger2!AP32="","",IF(Leger2!AP32&gt;=(Leger2!$C$4+2/3*(100-Leger2!$C$4)),"A",IF(Leger2!AP32&gt;=(Leger2!$C$4+1/3*(100-Leger2!$C$4)),"B",IF(Leger2!AP32&gt;=Leger2!$C$4,"C","D"))))</f>
        <v/>
      </c>
      <c r="AF32" s="252" t="str">
        <f>IF(Leger2!AQ32="","",IF(Leger2!AQ32&gt;=(Leger2!$C$4+2/3*(100-Leger2!$C$4)),"A",IF(Leger2!AQ32&gt;=(Leger2!$C$4+1/3*(100-Leger2!$C$4)),"B",IF(Leger2!AQ32&gt;=Leger2!$C$4,"C","D"))))</f>
        <v/>
      </c>
      <c r="AG32" s="249" t="str">
        <f>IF(Leger2!AS32="","",IF(Leger2!AS32&gt;=(Leger2!$C$4+2/3*(100-Leger2!$C$4)),"A",IF(Leger2!AS32&gt;=(Leger2!$C$4+1/3*(100-Leger2!$C$4)),"B",IF(Leger2!AS32&gt;=Leger2!$C$4,"C","D"))))</f>
        <v/>
      </c>
      <c r="AH32" s="252" t="str">
        <f>IF(Leger2!AT32="","",IF(Leger2!AT32&gt;=(Leger2!$C$4+2/3*(100-Leger2!$C$4)),"A",IF(Leger2!AT32&gt;=(Leger2!$C$4+1/3*(100-Leger2!$C$4)),"B",IF(Leger2!AT32&gt;=Leger2!$C$4,"C","D"))))</f>
        <v/>
      </c>
      <c r="AI32" s="249" t="str">
        <f>IF(Leger2!AV32="","",IF(Leger2!AV32&gt;=(Leger2!$C$4+2/3*(100-Leger2!$C$4)),"A",IF(Leger2!AV32&gt;=(Leger2!$C$4+1/3*(100-Leger2!$C$4)),"B",IF(Leger2!AV32&gt;=Leger2!$C$4,"C","D"))))</f>
        <v/>
      </c>
      <c r="AJ32" s="252" t="str">
        <f>IF(Leger2!AW32="","",IF(Leger2!AW32&gt;=(Leger2!$C$4+2/3*(100-Leger2!$C$4)),"A",IF(Leger2!AW32&gt;=(Leger2!$C$4+1/3*(100-Leger2!$C$4)),"B",IF(Leger2!AW32&gt;=Leger2!$C$4,"C","D"))))</f>
        <v/>
      </c>
      <c r="AK32" s="249" t="str">
        <f>IF(Leger2!AY32="","",IF(Leger2!AY32&gt;=(Leger2!$C$4+2/3*(100-Leger2!$C$4)),"A",IF(Leger2!AY32&gt;=(Leger2!$C$4+1/3*(100-Leger2!$C$4)),"B",IF(Leger2!AY32&gt;=Leger2!$C$4,"C","D"))))</f>
        <v/>
      </c>
      <c r="AL32" s="252" t="str">
        <f>IF(Leger2!AZ32="","",IF(Leger2!AZ32&gt;=(Leger2!$C$4+2/3*(100-Leger2!$C$4)),"A",IF(Leger2!AZ32&gt;=(Leger2!$C$4+1/3*(100-Leger2!$C$4)),"B",IF(Leger2!AZ32&gt;=Leger2!$C$4,"C","D"))))</f>
        <v/>
      </c>
    </row>
    <row r="33" spans="5:38">
      <c r="E33" s="211">
        <f>Biodata!B32</f>
        <v>27</v>
      </c>
      <c r="F33" s="212">
        <f>IF(Biodata!C32="","",VLOOKUP(E33,Biodata_Siswa,2,FALSE))</f>
        <v>7133</v>
      </c>
      <c r="G33" s="1015" t="str">
        <f>IF(Biodata!E32="","",PROPER(VLOOKUP(E33,Biodata_Siswa,4,FALSE)))</f>
        <v>Tutik Dillayanti</v>
      </c>
      <c r="H33" s="1016"/>
      <c r="I33" s="249" t="str">
        <f>IF(Leger2!I33="","",IF(Leger2!I33&gt;=(Leger2!$C$4+2/3*(100-Leger2!$C$4)),"A",IF(Leger2!I33&gt;=(Leger2!$C$4+1/3*(100-Leger2!$C$4)),"B",IF(Leger2!I33&gt;=Leger2!$C$4,"C","D"))))</f>
        <v/>
      </c>
      <c r="J33" s="252" t="str">
        <f>IF(Leger2!J33="","",IF(Leger2!J33&gt;=(Leger2!$C$4+2/3*(100-Leger2!$C$4)),"A",IF(Leger2!J33&gt;=(Leger2!$C$4+1/3*(100-Leger2!$C$4)),"B",IF(Leger2!J33&gt;=Leger2!$C$4,"C","D"))))</f>
        <v/>
      </c>
      <c r="K33" s="249" t="str">
        <f>IF(Leger2!L33="","",IF(Leger2!L33&gt;=(Leger2!$C$4+2/3*(100-Leger2!$C$4)),"A",IF(Leger2!L33&gt;=(Leger2!$C$4+1/3*(100-Leger2!$C$4)),"B",IF(Leger2!L33&gt;=Leger2!$C$4,"C","D"))))</f>
        <v/>
      </c>
      <c r="L33" s="252" t="str">
        <f>IF(Leger2!M33="","",IF(Leger2!M33&gt;=(Leger2!$C$4+2/3*(100-Leger2!$C$4)),"A",IF(Leger2!M33&gt;=(Leger2!$C$4+1/3*(100-Leger2!$C$4)),"B",IF(Leger2!M33&gt;=Leger2!$C$4,"C","D"))))</f>
        <v/>
      </c>
      <c r="M33" s="249" t="str">
        <f>IF(Leger2!O33="","",IF(Leger2!O33&gt;=(Leger2!$C$4+2/3*(100-Leger2!$C$4)),"A",IF(Leger2!O33&gt;=(Leger2!$C$4+1/3*(100-Leger2!$C$4)),"B",IF(Leger2!O33&gt;=Leger2!$C$4,"C","D"))))</f>
        <v/>
      </c>
      <c r="N33" s="252" t="str">
        <f>IF(Leger2!P33="","",IF(Leger2!P33&gt;=(Leger2!$C$4+2/3*(100-Leger2!$C$4)),"A",IF(Leger2!P33&gt;=(Leger2!$C$4+1/3*(100-Leger2!$C$4)),"B",IF(Leger2!P33&gt;=Leger2!$C$4,"C","D"))))</f>
        <v/>
      </c>
      <c r="O33" s="249" t="str">
        <f>IF(Leger2!R33="","",IF(Leger2!R33&gt;=(Leger2!$C$4+2/3*(100-Leger2!$C$4)),"A",IF(Leger2!R33&gt;=(Leger2!$C$4+1/3*(100-Leger2!$C$4)),"B",IF(Leger2!R33&gt;=Leger2!$C$4,"C","D"))))</f>
        <v/>
      </c>
      <c r="P33" s="252" t="str">
        <f>IF(Leger2!S33="","",IF(Leger2!S33&gt;=(Leger2!$C$4+2/3*(100-Leger2!$C$4)),"A",IF(Leger2!S33&gt;=(Leger2!$C$4+1/3*(100-Leger2!$C$4)),"B",IF(Leger2!S33&gt;=Leger2!$C$4,"C","D"))))</f>
        <v/>
      </c>
      <c r="Q33" s="249" t="str">
        <f>IF(Leger2!U33="","",IF(Leger2!U33&gt;=(Leger2!$C$4+2/3*(100-Leger2!$C$4)),"A",IF(Leger2!U33&gt;=(Leger2!$C$4+1/3*(100-Leger2!$C$4)),"B",IF(Leger2!U33&gt;=Leger2!$C$4,"C","D"))))</f>
        <v/>
      </c>
      <c r="R33" s="252" t="str">
        <f>IF(Leger2!V33="","",IF(Leger2!V33&gt;=(Leger2!$C$4+2/3*(100-Leger2!$C$4)),"A",IF(Leger2!V33&gt;=(Leger2!$C$4+1/3*(100-Leger2!$C$4)),"B",IF(Leger2!V33&gt;=Leger2!$C$4,"C","D"))))</f>
        <v/>
      </c>
      <c r="S33" s="249" t="str">
        <f>IF(Leger2!X33="","",IF(Leger2!X33&gt;=(Leger2!$C$4+2/3*(100-Leger2!$C$4)),"A",IF(Leger2!X33&gt;=(Leger2!$C$4+1/3*(100-Leger2!$C$4)),"B",IF(Leger2!X33&gt;=Leger2!$C$4,"C","D"))))</f>
        <v/>
      </c>
      <c r="T33" s="252" t="str">
        <f>IF(Leger2!Y33="","",IF(Leger2!Y33&gt;=(Leger2!$C$4+2/3*(100-Leger2!$C$4)),"A",IF(Leger2!Y33&gt;=(Leger2!$C$4+1/3*(100-Leger2!$C$4)),"B",IF(Leger2!Y33&gt;=Leger2!$C$4,"C","D"))))</f>
        <v/>
      </c>
      <c r="U33" s="249" t="str">
        <f>IF(Leger2!AA33="","",IF(Leger2!AA33&gt;=(Leger2!$C$4+2/3*(100-Leger2!$C$4)),"A",IF(Leger2!AA33&gt;=(Leger2!$C$4+1/3*(100-Leger2!$C$4)),"B",IF(Leger2!AA33&gt;=Leger2!$C$4,"C","D"))))</f>
        <v/>
      </c>
      <c r="V33" s="252" t="str">
        <f>IF(Leger2!AB33="","",IF(Leger2!AB33&gt;=(Leger2!$C$4+2/3*(100-Leger2!$C$4)),"A",IF(Leger2!AB33&gt;=(Leger2!$C$4+1/3*(100-Leger2!$C$4)),"B",IF(Leger2!AB33&gt;=Leger2!$C$4,"C","D"))))</f>
        <v/>
      </c>
      <c r="W33" s="249" t="str">
        <f>IF(Leger2!AD33="","",IF(Leger2!AD33&gt;=(Leger2!$C$4+2/3*(100-Leger2!$C$4)),"A",IF(Leger2!AD33&gt;=(Leger2!$C$4+1/3*(100-Leger2!$C$4)),"B",IF(Leger2!AD33&gt;=Leger2!$C$4,"C","D"))))</f>
        <v/>
      </c>
      <c r="X33" s="252" t="str">
        <f>IF(Leger2!AE33="","",IF(Leger2!AE33&gt;=(Leger2!$C$4+2/3*(100-Leger2!$C$4)),"A",IF(Leger2!AE33&gt;=(Leger2!$C$4+1/3*(100-Leger2!$C$4)),"B",IF(Leger2!AE33&gt;=Leger2!$C$4,"C","D"))))</f>
        <v/>
      </c>
      <c r="Y33" s="249" t="str">
        <f>IF(Leger2!AG33="","",IF(Leger2!AG33&gt;=(Leger2!$C$4+2/3*(100-Leger2!$C$4)),"A",IF(Leger2!AG33&gt;=(Leger2!$C$4+1/3*(100-Leger2!$C$4)),"B",IF(Leger2!AG33&gt;=Leger2!$C$4,"C","D"))))</f>
        <v/>
      </c>
      <c r="Z33" s="252" t="str">
        <f>IF(Leger2!AH33="","",IF(Leger2!AH33&gt;=(Leger2!$C$4+2/3*(100-Leger2!$C$4)),"A",IF(Leger2!AH33&gt;=(Leger2!$C$4+1/3*(100-Leger2!$C$4)),"B",IF(Leger2!AH33&gt;=Leger2!$C$4,"C","D"))))</f>
        <v/>
      </c>
      <c r="AA33" s="249" t="str">
        <f>IF(Leger2!AJ33="","",IF(Leger2!AJ33&gt;=(Leger2!$C$4+2/3*(100-Leger2!$C$4)),"A",IF(Leger2!AJ33&gt;=(Leger2!$C$4+1/3*(100-Leger2!$C$4)),"B",IF(Leger2!AJ33&gt;=Leger2!$C$4,"C","D"))))</f>
        <v/>
      </c>
      <c r="AB33" s="252" t="str">
        <f>IF(Leger2!AK33="","",IF(Leger2!AK33&gt;=(Leger2!$C$4+2/3*(100-Leger2!$C$4)),"A",IF(Leger2!AK33&gt;=(Leger2!$C$4+1/3*(100-Leger2!$C$4)),"B",IF(Leger2!AK33&gt;=Leger2!$C$4,"C","D"))))</f>
        <v/>
      </c>
      <c r="AC33" s="249" t="str">
        <f>IF(Leger2!AM33="","",IF(Leger2!AM33&gt;=(Leger2!$C$4+2/3*(100-Leger2!$C$4)),"A",IF(Leger2!AM33&gt;=(Leger2!$C$4+1/3*(100-Leger2!$C$4)),"B",IF(Leger2!AM33&gt;=Leger2!$C$4,"C","D"))))</f>
        <v/>
      </c>
      <c r="AD33" s="252" t="str">
        <f>IF(Leger2!AN33="","",IF(Leger2!AN33&gt;=(Leger2!$C$4+2/3*(100-Leger2!$C$4)),"A",IF(Leger2!AN33&gt;=(Leger2!$C$4+1/3*(100-Leger2!$C$4)),"B",IF(Leger2!AN33&gt;=Leger2!$C$4,"C","D"))))</f>
        <v/>
      </c>
      <c r="AE33" s="249" t="str">
        <f>IF(Leger2!AP33="","",IF(Leger2!AP33&gt;=(Leger2!$C$4+2/3*(100-Leger2!$C$4)),"A",IF(Leger2!AP33&gt;=(Leger2!$C$4+1/3*(100-Leger2!$C$4)),"B",IF(Leger2!AP33&gt;=Leger2!$C$4,"C","D"))))</f>
        <v/>
      </c>
      <c r="AF33" s="252" t="str">
        <f>IF(Leger2!AQ33="","",IF(Leger2!AQ33&gt;=(Leger2!$C$4+2/3*(100-Leger2!$C$4)),"A",IF(Leger2!AQ33&gt;=(Leger2!$C$4+1/3*(100-Leger2!$C$4)),"B",IF(Leger2!AQ33&gt;=Leger2!$C$4,"C","D"))))</f>
        <v/>
      </c>
      <c r="AG33" s="249" t="str">
        <f>IF(Leger2!AS33="","",IF(Leger2!AS33&gt;=(Leger2!$C$4+2/3*(100-Leger2!$C$4)),"A",IF(Leger2!AS33&gt;=(Leger2!$C$4+1/3*(100-Leger2!$C$4)),"B",IF(Leger2!AS33&gt;=Leger2!$C$4,"C","D"))))</f>
        <v/>
      </c>
      <c r="AH33" s="252" t="str">
        <f>IF(Leger2!AT33="","",IF(Leger2!AT33&gt;=(Leger2!$C$4+2/3*(100-Leger2!$C$4)),"A",IF(Leger2!AT33&gt;=(Leger2!$C$4+1/3*(100-Leger2!$C$4)),"B",IF(Leger2!AT33&gt;=Leger2!$C$4,"C","D"))))</f>
        <v/>
      </c>
      <c r="AI33" s="249" t="str">
        <f>IF(Leger2!AV33="","",IF(Leger2!AV33&gt;=(Leger2!$C$4+2/3*(100-Leger2!$C$4)),"A",IF(Leger2!AV33&gt;=(Leger2!$C$4+1/3*(100-Leger2!$C$4)),"B",IF(Leger2!AV33&gt;=Leger2!$C$4,"C","D"))))</f>
        <v/>
      </c>
      <c r="AJ33" s="252" t="str">
        <f>IF(Leger2!AW33="","",IF(Leger2!AW33&gt;=(Leger2!$C$4+2/3*(100-Leger2!$C$4)),"A",IF(Leger2!AW33&gt;=(Leger2!$C$4+1/3*(100-Leger2!$C$4)),"B",IF(Leger2!AW33&gt;=Leger2!$C$4,"C","D"))))</f>
        <v/>
      </c>
      <c r="AK33" s="249" t="str">
        <f>IF(Leger2!AY33="","",IF(Leger2!AY33&gt;=(Leger2!$C$4+2/3*(100-Leger2!$C$4)),"A",IF(Leger2!AY33&gt;=(Leger2!$C$4+1/3*(100-Leger2!$C$4)),"B",IF(Leger2!AY33&gt;=Leger2!$C$4,"C","D"))))</f>
        <v/>
      </c>
      <c r="AL33" s="252" t="str">
        <f>IF(Leger2!AZ33="","",IF(Leger2!AZ33&gt;=(Leger2!$C$4+2/3*(100-Leger2!$C$4)),"A",IF(Leger2!AZ33&gt;=(Leger2!$C$4+1/3*(100-Leger2!$C$4)),"B",IF(Leger2!AZ33&gt;=Leger2!$C$4,"C","D"))))</f>
        <v/>
      </c>
    </row>
    <row r="34" spans="5:38">
      <c r="E34" s="211">
        <f>Biodata!B33</f>
        <v>28</v>
      </c>
      <c r="F34" s="212">
        <f>IF(Biodata!C33="","",VLOOKUP(E34,Biodata_Siswa,2,FALSE))</f>
        <v>7142</v>
      </c>
      <c r="G34" s="1015" t="str">
        <f>IF(Biodata!E33="","",PROPER(VLOOKUP(E34,Biodata_Siswa,4,FALSE)))</f>
        <v>I Gede Nyoman Bagiyasa</v>
      </c>
      <c r="H34" s="1016"/>
      <c r="I34" s="249" t="str">
        <f>IF(Leger2!I34="","",IF(Leger2!I34&gt;=(Leger2!$C$4+2/3*(100-Leger2!$C$4)),"A",IF(Leger2!I34&gt;=(Leger2!$C$4+1/3*(100-Leger2!$C$4)),"B",IF(Leger2!I34&gt;=Leger2!$C$4,"C","D"))))</f>
        <v/>
      </c>
      <c r="J34" s="252" t="str">
        <f>IF(Leger2!J34="","",IF(Leger2!J34&gt;=(Leger2!$C$4+2/3*(100-Leger2!$C$4)),"A",IF(Leger2!J34&gt;=(Leger2!$C$4+1/3*(100-Leger2!$C$4)),"B",IF(Leger2!J34&gt;=Leger2!$C$4,"C","D"))))</f>
        <v/>
      </c>
      <c r="K34" s="249" t="str">
        <f>IF(Leger2!L34="","",IF(Leger2!L34&gt;=(Leger2!$C$4+2/3*(100-Leger2!$C$4)),"A",IF(Leger2!L34&gt;=(Leger2!$C$4+1/3*(100-Leger2!$C$4)),"B",IF(Leger2!L34&gt;=Leger2!$C$4,"C","D"))))</f>
        <v/>
      </c>
      <c r="L34" s="252" t="str">
        <f>IF(Leger2!M34="","",IF(Leger2!M34&gt;=(Leger2!$C$4+2/3*(100-Leger2!$C$4)),"A",IF(Leger2!M34&gt;=(Leger2!$C$4+1/3*(100-Leger2!$C$4)),"B",IF(Leger2!M34&gt;=Leger2!$C$4,"C","D"))))</f>
        <v/>
      </c>
      <c r="M34" s="249" t="str">
        <f>IF(Leger2!O34="","",IF(Leger2!O34&gt;=(Leger2!$C$4+2/3*(100-Leger2!$C$4)),"A",IF(Leger2!O34&gt;=(Leger2!$C$4+1/3*(100-Leger2!$C$4)),"B",IF(Leger2!O34&gt;=Leger2!$C$4,"C","D"))))</f>
        <v/>
      </c>
      <c r="N34" s="252" t="str">
        <f>IF(Leger2!P34="","",IF(Leger2!P34&gt;=(Leger2!$C$4+2/3*(100-Leger2!$C$4)),"A",IF(Leger2!P34&gt;=(Leger2!$C$4+1/3*(100-Leger2!$C$4)),"B",IF(Leger2!P34&gt;=Leger2!$C$4,"C","D"))))</f>
        <v/>
      </c>
      <c r="O34" s="249" t="str">
        <f>IF(Leger2!R34="","",IF(Leger2!R34&gt;=(Leger2!$C$4+2/3*(100-Leger2!$C$4)),"A",IF(Leger2!R34&gt;=(Leger2!$C$4+1/3*(100-Leger2!$C$4)),"B",IF(Leger2!R34&gt;=Leger2!$C$4,"C","D"))))</f>
        <v/>
      </c>
      <c r="P34" s="252" t="str">
        <f>IF(Leger2!S34="","",IF(Leger2!S34&gt;=(Leger2!$C$4+2/3*(100-Leger2!$C$4)),"A",IF(Leger2!S34&gt;=(Leger2!$C$4+1/3*(100-Leger2!$C$4)),"B",IF(Leger2!S34&gt;=Leger2!$C$4,"C","D"))))</f>
        <v/>
      </c>
      <c r="Q34" s="249" t="str">
        <f>IF(Leger2!U34="","",IF(Leger2!U34&gt;=(Leger2!$C$4+2/3*(100-Leger2!$C$4)),"A",IF(Leger2!U34&gt;=(Leger2!$C$4+1/3*(100-Leger2!$C$4)),"B",IF(Leger2!U34&gt;=Leger2!$C$4,"C","D"))))</f>
        <v/>
      </c>
      <c r="R34" s="252" t="str">
        <f>IF(Leger2!V34="","",IF(Leger2!V34&gt;=(Leger2!$C$4+2/3*(100-Leger2!$C$4)),"A",IF(Leger2!V34&gt;=(Leger2!$C$4+1/3*(100-Leger2!$C$4)),"B",IF(Leger2!V34&gt;=Leger2!$C$4,"C","D"))))</f>
        <v/>
      </c>
      <c r="S34" s="249" t="str">
        <f>IF(Leger2!X34="","",IF(Leger2!X34&gt;=(Leger2!$C$4+2/3*(100-Leger2!$C$4)),"A",IF(Leger2!X34&gt;=(Leger2!$C$4+1/3*(100-Leger2!$C$4)),"B",IF(Leger2!X34&gt;=Leger2!$C$4,"C","D"))))</f>
        <v/>
      </c>
      <c r="T34" s="252" t="str">
        <f>IF(Leger2!Y34="","",IF(Leger2!Y34&gt;=(Leger2!$C$4+2/3*(100-Leger2!$C$4)),"A",IF(Leger2!Y34&gt;=(Leger2!$C$4+1/3*(100-Leger2!$C$4)),"B",IF(Leger2!Y34&gt;=Leger2!$C$4,"C","D"))))</f>
        <v/>
      </c>
      <c r="U34" s="249" t="str">
        <f>IF(Leger2!AA34="","",IF(Leger2!AA34&gt;=(Leger2!$C$4+2/3*(100-Leger2!$C$4)),"A",IF(Leger2!AA34&gt;=(Leger2!$C$4+1/3*(100-Leger2!$C$4)),"B",IF(Leger2!AA34&gt;=Leger2!$C$4,"C","D"))))</f>
        <v/>
      </c>
      <c r="V34" s="252" t="str">
        <f>IF(Leger2!AB34="","",IF(Leger2!AB34&gt;=(Leger2!$C$4+2/3*(100-Leger2!$C$4)),"A",IF(Leger2!AB34&gt;=(Leger2!$C$4+1/3*(100-Leger2!$C$4)),"B",IF(Leger2!AB34&gt;=Leger2!$C$4,"C","D"))))</f>
        <v/>
      </c>
      <c r="W34" s="249" t="str">
        <f>IF(Leger2!AD34="","",IF(Leger2!AD34&gt;=(Leger2!$C$4+2/3*(100-Leger2!$C$4)),"A",IF(Leger2!AD34&gt;=(Leger2!$C$4+1/3*(100-Leger2!$C$4)),"B",IF(Leger2!AD34&gt;=Leger2!$C$4,"C","D"))))</f>
        <v/>
      </c>
      <c r="X34" s="252" t="str">
        <f>IF(Leger2!AE34="","",IF(Leger2!AE34&gt;=(Leger2!$C$4+2/3*(100-Leger2!$C$4)),"A",IF(Leger2!AE34&gt;=(Leger2!$C$4+1/3*(100-Leger2!$C$4)),"B",IF(Leger2!AE34&gt;=Leger2!$C$4,"C","D"))))</f>
        <v/>
      </c>
      <c r="Y34" s="249" t="str">
        <f>IF(Leger2!AG34="","",IF(Leger2!AG34&gt;=(Leger2!$C$4+2/3*(100-Leger2!$C$4)),"A",IF(Leger2!AG34&gt;=(Leger2!$C$4+1/3*(100-Leger2!$C$4)),"B",IF(Leger2!AG34&gt;=Leger2!$C$4,"C","D"))))</f>
        <v/>
      </c>
      <c r="Z34" s="252" t="str">
        <f>IF(Leger2!AH34="","",IF(Leger2!AH34&gt;=(Leger2!$C$4+2/3*(100-Leger2!$C$4)),"A",IF(Leger2!AH34&gt;=(Leger2!$C$4+1/3*(100-Leger2!$C$4)),"B",IF(Leger2!AH34&gt;=Leger2!$C$4,"C","D"))))</f>
        <v/>
      </c>
      <c r="AA34" s="249" t="str">
        <f>IF(Leger2!AJ34="","",IF(Leger2!AJ34&gt;=(Leger2!$C$4+2/3*(100-Leger2!$C$4)),"A",IF(Leger2!AJ34&gt;=(Leger2!$C$4+1/3*(100-Leger2!$C$4)),"B",IF(Leger2!AJ34&gt;=Leger2!$C$4,"C","D"))))</f>
        <v/>
      </c>
      <c r="AB34" s="252" t="str">
        <f>IF(Leger2!AK34="","",IF(Leger2!AK34&gt;=(Leger2!$C$4+2/3*(100-Leger2!$C$4)),"A",IF(Leger2!AK34&gt;=(Leger2!$C$4+1/3*(100-Leger2!$C$4)),"B",IF(Leger2!AK34&gt;=Leger2!$C$4,"C","D"))))</f>
        <v/>
      </c>
      <c r="AC34" s="249" t="str">
        <f>IF(Leger2!AM34="","",IF(Leger2!AM34&gt;=(Leger2!$C$4+2/3*(100-Leger2!$C$4)),"A",IF(Leger2!AM34&gt;=(Leger2!$C$4+1/3*(100-Leger2!$C$4)),"B",IF(Leger2!AM34&gt;=Leger2!$C$4,"C","D"))))</f>
        <v/>
      </c>
      <c r="AD34" s="252" t="str">
        <f>IF(Leger2!AN34="","",IF(Leger2!AN34&gt;=(Leger2!$C$4+2/3*(100-Leger2!$C$4)),"A",IF(Leger2!AN34&gt;=(Leger2!$C$4+1/3*(100-Leger2!$C$4)),"B",IF(Leger2!AN34&gt;=Leger2!$C$4,"C","D"))))</f>
        <v/>
      </c>
      <c r="AE34" s="249" t="str">
        <f>IF(Leger2!AP34="","",IF(Leger2!AP34&gt;=(Leger2!$C$4+2/3*(100-Leger2!$C$4)),"A",IF(Leger2!AP34&gt;=(Leger2!$C$4+1/3*(100-Leger2!$C$4)),"B",IF(Leger2!AP34&gt;=Leger2!$C$4,"C","D"))))</f>
        <v/>
      </c>
      <c r="AF34" s="252" t="str">
        <f>IF(Leger2!AQ34="","",IF(Leger2!AQ34&gt;=(Leger2!$C$4+2/3*(100-Leger2!$C$4)),"A",IF(Leger2!AQ34&gt;=(Leger2!$C$4+1/3*(100-Leger2!$C$4)),"B",IF(Leger2!AQ34&gt;=Leger2!$C$4,"C","D"))))</f>
        <v/>
      </c>
      <c r="AG34" s="249" t="str">
        <f>IF(Leger2!AS34="","",IF(Leger2!AS34&gt;=(Leger2!$C$4+2/3*(100-Leger2!$C$4)),"A",IF(Leger2!AS34&gt;=(Leger2!$C$4+1/3*(100-Leger2!$C$4)),"B",IF(Leger2!AS34&gt;=Leger2!$C$4,"C","D"))))</f>
        <v/>
      </c>
      <c r="AH34" s="252" t="str">
        <f>IF(Leger2!AT34="","",IF(Leger2!AT34&gt;=(Leger2!$C$4+2/3*(100-Leger2!$C$4)),"A",IF(Leger2!AT34&gt;=(Leger2!$C$4+1/3*(100-Leger2!$C$4)),"B",IF(Leger2!AT34&gt;=Leger2!$C$4,"C","D"))))</f>
        <v/>
      </c>
      <c r="AI34" s="249" t="str">
        <f>IF(Leger2!AV34="","",IF(Leger2!AV34&gt;=(Leger2!$C$4+2/3*(100-Leger2!$C$4)),"A",IF(Leger2!AV34&gt;=(Leger2!$C$4+1/3*(100-Leger2!$C$4)),"B",IF(Leger2!AV34&gt;=Leger2!$C$4,"C","D"))))</f>
        <v/>
      </c>
      <c r="AJ34" s="252" t="str">
        <f>IF(Leger2!AW34="","",IF(Leger2!AW34&gt;=(Leger2!$C$4+2/3*(100-Leger2!$C$4)),"A",IF(Leger2!AW34&gt;=(Leger2!$C$4+1/3*(100-Leger2!$C$4)),"B",IF(Leger2!AW34&gt;=Leger2!$C$4,"C","D"))))</f>
        <v/>
      </c>
      <c r="AK34" s="249" t="str">
        <f>IF(Leger2!AY34="","",IF(Leger2!AY34&gt;=(Leger2!$C$4+2/3*(100-Leger2!$C$4)),"A",IF(Leger2!AY34&gt;=(Leger2!$C$4+1/3*(100-Leger2!$C$4)),"B",IF(Leger2!AY34&gt;=Leger2!$C$4,"C","D"))))</f>
        <v/>
      </c>
      <c r="AL34" s="252" t="str">
        <f>IF(Leger2!AZ34="","",IF(Leger2!AZ34&gt;=(Leger2!$C$4+2/3*(100-Leger2!$C$4)),"A",IF(Leger2!AZ34&gt;=(Leger2!$C$4+1/3*(100-Leger2!$C$4)),"B",IF(Leger2!AZ34&gt;=Leger2!$C$4,"C","D"))))</f>
        <v/>
      </c>
    </row>
    <row r="35" spans="5:38">
      <c r="E35" s="211">
        <f>Biodata!B34</f>
        <v>29</v>
      </c>
      <c r="F35" s="212" t="str">
        <f>IF(Biodata!C34="","",VLOOKUP(E35,Biodata_Siswa,2,FALSE))</f>
        <v/>
      </c>
      <c r="G35" s="1015" t="str">
        <f>IF(Biodata!E34="","",PROPER(VLOOKUP(E35,Biodata_Siswa,4,FALSE)))</f>
        <v>Melati Sabilla Rochmah</v>
      </c>
      <c r="H35" s="1016"/>
      <c r="I35" s="249" t="str">
        <f>IF(Leger2!I35="","",IF(Leger2!I35&gt;=(Leger2!$C$4+2/3*(100-Leger2!$C$4)),"A",IF(Leger2!I35&gt;=(Leger2!$C$4+1/3*(100-Leger2!$C$4)),"B",IF(Leger2!I35&gt;=Leger2!$C$4,"C","D"))))</f>
        <v/>
      </c>
      <c r="J35" s="252" t="str">
        <f>IF(Leger2!J35="","",IF(Leger2!J35&gt;=(Leger2!$C$4+2/3*(100-Leger2!$C$4)),"A",IF(Leger2!J35&gt;=(Leger2!$C$4+1/3*(100-Leger2!$C$4)),"B",IF(Leger2!J35&gt;=Leger2!$C$4,"C","D"))))</f>
        <v/>
      </c>
      <c r="K35" s="249" t="str">
        <f>IF(Leger2!L35="","",IF(Leger2!L35&gt;=(Leger2!$C$4+2/3*(100-Leger2!$C$4)),"A",IF(Leger2!L35&gt;=(Leger2!$C$4+1/3*(100-Leger2!$C$4)),"B",IF(Leger2!L35&gt;=Leger2!$C$4,"C","D"))))</f>
        <v/>
      </c>
      <c r="L35" s="252" t="str">
        <f>IF(Leger2!M35="","",IF(Leger2!M35&gt;=(Leger2!$C$4+2/3*(100-Leger2!$C$4)),"A",IF(Leger2!M35&gt;=(Leger2!$C$4+1/3*(100-Leger2!$C$4)),"B",IF(Leger2!M35&gt;=Leger2!$C$4,"C","D"))))</f>
        <v/>
      </c>
      <c r="M35" s="249" t="str">
        <f>IF(Leger2!O35="","",IF(Leger2!O35&gt;=(Leger2!$C$4+2/3*(100-Leger2!$C$4)),"A",IF(Leger2!O35&gt;=(Leger2!$C$4+1/3*(100-Leger2!$C$4)),"B",IF(Leger2!O35&gt;=Leger2!$C$4,"C","D"))))</f>
        <v/>
      </c>
      <c r="N35" s="252" t="str">
        <f>IF(Leger2!P35="","",IF(Leger2!P35&gt;=(Leger2!$C$4+2/3*(100-Leger2!$C$4)),"A",IF(Leger2!P35&gt;=(Leger2!$C$4+1/3*(100-Leger2!$C$4)),"B",IF(Leger2!P35&gt;=Leger2!$C$4,"C","D"))))</f>
        <v/>
      </c>
      <c r="O35" s="249" t="str">
        <f>IF(Leger2!R35="","",IF(Leger2!R35&gt;=(Leger2!$C$4+2/3*(100-Leger2!$C$4)),"A",IF(Leger2!R35&gt;=(Leger2!$C$4+1/3*(100-Leger2!$C$4)),"B",IF(Leger2!R35&gt;=Leger2!$C$4,"C","D"))))</f>
        <v/>
      </c>
      <c r="P35" s="252" t="str">
        <f>IF(Leger2!S35="","",IF(Leger2!S35&gt;=(Leger2!$C$4+2/3*(100-Leger2!$C$4)),"A",IF(Leger2!S35&gt;=(Leger2!$C$4+1/3*(100-Leger2!$C$4)),"B",IF(Leger2!S35&gt;=Leger2!$C$4,"C","D"))))</f>
        <v/>
      </c>
      <c r="Q35" s="249" t="str">
        <f>IF(Leger2!U35="","",IF(Leger2!U35&gt;=(Leger2!$C$4+2/3*(100-Leger2!$C$4)),"A",IF(Leger2!U35&gt;=(Leger2!$C$4+1/3*(100-Leger2!$C$4)),"B",IF(Leger2!U35&gt;=Leger2!$C$4,"C","D"))))</f>
        <v/>
      </c>
      <c r="R35" s="252" t="str">
        <f>IF(Leger2!V35="","",IF(Leger2!V35&gt;=(Leger2!$C$4+2/3*(100-Leger2!$C$4)),"A",IF(Leger2!V35&gt;=(Leger2!$C$4+1/3*(100-Leger2!$C$4)),"B",IF(Leger2!V35&gt;=Leger2!$C$4,"C","D"))))</f>
        <v/>
      </c>
      <c r="S35" s="249" t="str">
        <f>IF(Leger2!X35="","",IF(Leger2!X35&gt;=(Leger2!$C$4+2/3*(100-Leger2!$C$4)),"A",IF(Leger2!X35&gt;=(Leger2!$C$4+1/3*(100-Leger2!$C$4)),"B",IF(Leger2!X35&gt;=Leger2!$C$4,"C","D"))))</f>
        <v/>
      </c>
      <c r="T35" s="252" t="str">
        <f>IF(Leger2!Y35="","",IF(Leger2!Y35&gt;=(Leger2!$C$4+2/3*(100-Leger2!$C$4)),"A",IF(Leger2!Y35&gt;=(Leger2!$C$4+1/3*(100-Leger2!$C$4)),"B",IF(Leger2!Y35&gt;=Leger2!$C$4,"C","D"))))</f>
        <v/>
      </c>
      <c r="U35" s="249" t="str">
        <f>IF(Leger2!AA35="","",IF(Leger2!AA35&gt;=(Leger2!$C$4+2/3*(100-Leger2!$C$4)),"A",IF(Leger2!AA35&gt;=(Leger2!$C$4+1/3*(100-Leger2!$C$4)),"B",IF(Leger2!AA35&gt;=Leger2!$C$4,"C","D"))))</f>
        <v/>
      </c>
      <c r="V35" s="252" t="str">
        <f>IF(Leger2!AB35="","",IF(Leger2!AB35&gt;=(Leger2!$C$4+2/3*(100-Leger2!$C$4)),"A",IF(Leger2!AB35&gt;=(Leger2!$C$4+1/3*(100-Leger2!$C$4)),"B",IF(Leger2!AB35&gt;=Leger2!$C$4,"C","D"))))</f>
        <v/>
      </c>
      <c r="W35" s="249" t="str">
        <f>IF(Leger2!AD35="","",IF(Leger2!AD35&gt;=(Leger2!$C$4+2/3*(100-Leger2!$C$4)),"A",IF(Leger2!AD35&gt;=(Leger2!$C$4+1/3*(100-Leger2!$C$4)),"B",IF(Leger2!AD35&gt;=Leger2!$C$4,"C","D"))))</f>
        <v/>
      </c>
      <c r="X35" s="252" t="str">
        <f>IF(Leger2!AE35="","",IF(Leger2!AE35&gt;=(Leger2!$C$4+2/3*(100-Leger2!$C$4)),"A",IF(Leger2!AE35&gt;=(Leger2!$C$4+1/3*(100-Leger2!$C$4)),"B",IF(Leger2!AE35&gt;=Leger2!$C$4,"C","D"))))</f>
        <v/>
      </c>
      <c r="Y35" s="249" t="str">
        <f>IF(Leger2!AG35="","",IF(Leger2!AG35&gt;=(Leger2!$C$4+2/3*(100-Leger2!$C$4)),"A",IF(Leger2!AG35&gt;=(Leger2!$C$4+1/3*(100-Leger2!$C$4)),"B",IF(Leger2!AG35&gt;=Leger2!$C$4,"C","D"))))</f>
        <v/>
      </c>
      <c r="Z35" s="252" t="str">
        <f>IF(Leger2!AH35="","",IF(Leger2!AH35&gt;=(Leger2!$C$4+2/3*(100-Leger2!$C$4)),"A",IF(Leger2!AH35&gt;=(Leger2!$C$4+1/3*(100-Leger2!$C$4)),"B",IF(Leger2!AH35&gt;=Leger2!$C$4,"C","D"))))</f>
        <v/>
      </c>
      <c r="AA35" s="249" t="str">
        <f>IF(Leger2!AJ35="","",IF(Leger2!AJ35&gt;=(Leger2!$C$4+2/3*(100-Leger2!$C$4)),"A",IF(Leger2!AJ35&gt;=(Leger2!$C$4+1/3*(100-Leger2!$C$4)),"B",IF(Leger2!AJ35&gt;=Leger2!$C$4,"C","D"))))</f>
        <v/>
      </c>
      <c r="AB35" s="252" t="str">
        <f>IF(Leger2!AK35="","",IF(Leger2!AK35&gt;=(Leger2!$C$4+2/3*(100-Leger2!$C$4)),"A",IF(Leger2!AK35&gt;=(Leger2!$C$4+1/3*(100-Leger2!$C$4)),"B",IF(Leger2!AK35&gt;=Leger2!$C$4,"C","D"))))</f>
        <v/>
      </c>
      <c r="AC35" s="249" t="str">
        <f>IF(Leger2!AM35="","",IF(Leger2!AM35&gt;=(Leger2!$C$4+2/3*(100-Leger2!$C$4)),"A",IF(Leger2!AM35&gt;=(Leger2!$C$4+1/3*(100-Leger2!$C$4)),"B",IF(Leger2!AM35&gt;=Leger2!$C$4,"C","D"))))</f>
        <v/>
      </c>
      <c r="AD35" s="252" t="str">
        <f>IF(Leger2!AN35="","",IF(Leger2!AN35&gt;=(Leger2!$C$4+2/3*(100-Leger2!$C$4)),"A",IF(Leger2!AN35&gt;=(Leger2!$C$4+1/3*(100-Leger2!$C$4)),"B",IF(Leger2!AN35&gt;=Leger2!$C$4,"C","D"))))</f>
        <v/>
      </c>
      <c r="AE35" s="249" t="str">
        <f>IF(Leger2!AP35="","",IF(Leger2!AP35&gt;=(Leger2!$C$4+2/3*(100-Leger2!$C$4)),"A",IF(Leger2!AP35&gt;=(Leger2!$C$4+1/3*(100-Leger2!$C$4)),"B",IF(Leger2!AP35&gt;=Leger2!$C$4,"C","D"))))</f>
        <v/>
      </c>
      <c r="AF35" s="252" t="str">
        <f>IF(Leger2!AQ35="","",IF(Leger2!AQ35&gt;=(Leger2!$C$4+2/3*(100-Leger2!$C$4)),"A",IF(Leger2!AQ35&gt;=(Leger2!$C$4+1/3*(100-Leger2!$C$4)),"B",IF(Leger2!AQ35&gt;=Leger2!$C$4,"C","D"))))</f>
        <v/>
      </c>
      <c r="AG35" s="249" t="str">
        <f>IF(Leger2!AS35="","",IF(Leger2!AS35&gt;=(Leger2!$C$4+2/3*(100-Leger2!$C$4)),"A",IF(Leger2!AS35&gt;=(Leger2!$C$4+1/3*(100-Leger2!$C$4)),"B",IF(Leger2!AS35&gt;=Leger2!$C$4,"C","D"))))</f>
        <v/>
      </c>
      <c r="AH35" s="252" t="str">
        <f>IF(Leger2!AT35="","",IF(Leger2!AT35&gt;=(Leger2!$C$4+2/3*(100-Leger2!$C$4)),"A",IF(Leger2!AT35&gt;=(Leger2!$C$4+1/3*(100-Leger2!$C$4)),"B",IF(Leger2!AT35&gt;=Leger2!$C$4,"C","D"))))</f>
        <v/>
      </c>
      <c r="AI35" s="249" t="str">
        <f>IF(Leger2!AV35="","",IF(Leger2!AV35&gt;=(Leger2!$C$4+2/3*(100-Leger2!$C$4)),"A",IF(Leger2!AV35&gt;=(Leger2!$C$4+1/3*(100-Leger2!$C$4)),"B",IF(Leger2!AV35&gt;=Leger2!$C$4,"C","D"))))</f>
        <v/>
      </c>
      <c r="AJ35" s="252" t="str">
        <f>IF(Leger2!AW35="","",IF(Leger2!AW35&gt;=(Leger2!$C$4+2/3*(100-Leger2!$C$4)),"A",IF(Leger2!AW35&gt;=(Leger2!$C$4+1/3*(100-Leger2!$C$4)),"B",IF(Leger2!AW35&gt;=Leger2!$C$4,"C","D"))))</f>
        <v/>
      </c>
      <c r="AK35" s="249" t="str">
        <f>IF(Leger2!AY35="","",IF(Leger2!AY35&gt;=(Leger2!$C$4+2/3*(100-Leger2!$C$4)),"A",IF(Leger2!AY35&gt;=(Leger2!$C$4+1/3*(100-Leger2!$C$4)),"B",IF(Leger2!AY35&gt;=Leger2!$C$4,"C","D"))))</f>
        <v/>
      </c>
      <c r="AL35" s="252" t="str">
        <f>IF(Leger2!AZ35="","",IF(Leger2!AZ35&gt;=(Leger2!$C$4+2/3*(100-Leger2!$C$4)),"A",IF(Leger2!AZ35&gt;=(Leger2!$C$4+1/3*(100-Leger2!$C$4)),"B",IF(Leger2!AZ35&gt;=Leger2!$C$4,"C","D"))))</f>
        <v/>
      </c>
    </row>
    <row r="36" spans="5:38">
      <c r="E36" s="211" t="str">
        <f>Biodata!B35</f>
        <v/>
      </c>
      <c r="F36" s="212" t="str">
        <f>IF(Biodata!C35="","",VLOOKUP(E36,Biodata_Siswa,2,FALSE))</f>
        <v/>
      </c>
      <c r="G36" s="1015" t="str">
        <f>IF(Biodata!E35="","",PROPER(VLOOKUP(E36,Biodata_Siswa,4,FALSE)))</f>
        <v/>
      </c>
      <c r="H36" s="1016"/>
      <c r="I36" s="249" t="str">
        <f>IF(Leger2!I36="","",IF(Leger2!I36&gt;=(Leger2!$C$4+2/3*(100-Leger2!$C$4)),"A",IF(Leger2!I36&gt;=(Leger2!$C$4+1/3*(100-Leger2!$C$4)),"B",IF(Leger2!I36&gt;=Leger2!$C$4,"C","D"))))</f>
        <v/>
      </c>
      <c r="J36" s="252" t="str">
        <f>IF(Leger2!J36="","",IF(Leger2!J36&gt;=(Leger2!$C$4+2/3*(100-Leger2!$C$4)),"A",IF(Leger2!J36&gt;=(Leger2!$C$4+1/3*(100-Leger2!$C$4)),"B",IF(Leger2!J36&gt;=Leger2!$C$4,"C","D"))))</f>
        <v/>
      </c>
      <c r="K36" s="249" t="str">
        <f>IF(Leger2!L36="","",IF(Leger2!L36&gt;=(Leger2!$C$4+2/3*(100-Leger2!$C$4)),"A",IF(Leger2!L36&gt;=(Leger2!$C$4+1/3*(100-Leger2!$C$4)),"B",IF(Leger2!L36&gt;=Leger2!$C$4,"C","D"))))</f>
        <v/>
      </c>
      <c r="L36" s="252" t="str">
        <f>IF(Leger2!M36="","",IF(Leger2!M36&gt;=(Leger2!$C$4+2/3*(100-Leger2!$C$4)),"A",IF(Leger2!M36&gt;=(Leger2!$C$4+1/3*(100-Leger2!$C$4)),"B",IF(Leger2!M36&gt;=Leger2!$C$4,"C","D"))))</f>
        <v/>
      </c>
      <c r="M36" s="249" t="str">
        <f>IF(Leger2!O36="","",IF(Leger2!O36&gt;=(Leger2!$C$4+2/3*(100-Leger2!$C$4)),"A",IF(Leger2!O36&gt;=(Leger2!$C$4+1/3*(100-Leger2!$C$4)),"B",IF(Leger2!O36&gt;=Leger2!$C$4,"C","D"))))</f>
        <v/>
      </c>
      <c r="N36" s="252" t="str">
        <f>IF(Leger2!P36="","",IF(Leger2!P36&gt;=(Leger2!$C$4+2/3*(100-Leger2!$C$4)),"A",IF(Leger2!P36&gt;=(Leger2!$C$4+1/3*(100-Leger2!$C$4)),"B",IF(Leger2!P36&gt;=Leger2!$C$4,"C","D"))))</f>
        <v/>
      </c>
      <c r="O36" s="249" t="str">
        <f>IF(Leger2!R36="","",IF(Leger2!R36&gt;=(Leger2!$C$4+2/3*(100-Leger2!$C$4)),"A",IF(Leger2!R36&gt;=(Leger2!$C$4+1/3*(100-Leger2!$C$4)),"B",IF(Leger2!R36&gt;=Leger2!$C$4,"C","D"))))</f>
        <v/>
      </c>
      <c r="P36" s="252" t="str">
        <f>IF(Leger2!S36="","",IF(Leger2!S36&gt;=(Leger2!$C$4+2/3*(100-Leger2!$C$4)),"A",IF(Leger2!S36&gt;=(Leger2!$C$4+1/3*(100-Leger2!$C$4)),"B",IF(Leger2!S36&gt;=Leger2!$C$4,"C","D"))))</f>
        <v/>
      </c>
      <c r="Q36" s="249" t="str">
        <f>IF(Leger2!U36="","",IF(Leger2!U36&gt;=(Leger2!$C$4+2/3*(100-Leger2!$C$4)),"A",IF(Leger2!U36&gt;=(Leger2!$C$4+1/3*(100-Leger2!$C$4)),"B",IF(Leger2!U36&gt;=Leger2!$C$4,"C","D"))))</f>
        <v/>
      </c>
      <c r="R36" s="252" t="str">
        <f>IF(Leger2!V36="","",IF(Leger2!V36&gt;=(Leger2!$C$4+2/3*(100-Leger2!$C$4)),"A",IF(Leger2!V36&gt;=(Leger2!$C$4+1/3*(100-Leger2!$C$4)),"B",IF(Leger2!V36&gt;=Leger2!$C$4,"C","D"))))</f>
        <v/>
      </c>
      <c r="S36" s="249" t="str">
        <f>IF(Leger2!X36="","",IF(Leger2!X36&gt;=(Leger2!$C$4+2/3*(100-Leger2!$C$4)),"A",IF(Leger2!X36&gt;=(Leger2!$C$4+1/3*(100-Leger2!$C$4)),"B",IF(Leger2!X36&gt;=Leger2!$C$4,"C","D"))))</f>
        <v/>
      </c>
      <c r="T36" s="252" t="str">
        <f>IF(Leger2!Y36="","",IF(Leger2!Y36&gt;=(Leger2!$C$4+2/3*(100-Leger2!$C$4)),"A",IF(Leger2!Y36&gt;=(Leger2!$C$4+1/3*(100-Leger2!$C$4)),"B",IF(Leger2!Y36&gt;=Leger2!$C$4,"C","D"))))</f>
        <v/>
      </c>
      <c r="U36" s="249" t="str">
        <f>IF(Leger2!AA36="","",IF(Leger2!AA36&gt;=(Leger2!$C$4+2/3*(100-Leger2!$C$4)),"A",IF(Leger2!AA36&gt;=(Leger2!$C$4+1/3*(100-Leger2!$C$4)),"B",IF(Leger2!AA36&gt;=Leger2!$C$4,"C","D"))))</f>
        <v/>
      </c>
      <c r="V36" s="252" t="str">
        <f>IF(Leger2!AB36="","",IF(Leger2!AB36&gt;=(Leger2!$C$4+2/3*(100-Leger2!$C$4)),"A",IF(Leger2!AB36&gt;=(Leger2!$C$4+1/3*(100-Leger2!$C$4)),"B",IF(Leger2!AB36&gt;=Leger2!$C$4,"C","D"))))</f>
        <v/>
      </c>
      <c r="W36" s="249" t="str">
        <f>IF(Leger2!AD36="","",IF(Leger2!AD36&gt;=(Leger2!$C$4+2/3*(100-Leger2!$C$4)),"A",IF(Leger2!AD36&gt;=(Leger2!$C$4+1/3*(100-Leger2!$C$4)),"B",IF(Leger2!AD36&gt;=Leger2!$C$4,"C","D"))))</f>
        <v/>
      </c>
      <c r="X36" s="252" t="str">
        <f>IF(Leger2!AE36="","",IF(Leger2!AE36&gt;=(Leger2!$C$4+2/3*(100-Leger2!$C$4)),"A",IF(Leger2!AE36&gt;=(Leger2!$C$4+1/3*(100-Leger2!$C$4)),"B",IF(Leger2!AE36&gt;=Leger2!$C$4,"C","D"))))</f>
        <v/>
      </c>
      <c r="Y36" s="249" t="str">
        <f>IF(Leger2!AG36="","",IF(Leger2!AG36&gt;=(Leger2!$C$4+2/3*(100-Leger2!$C$4)),"A",IF(Leger2!AG36&gt;=(Leger2!$C$4+1/3*(100-Leger2!$C$4)),"B",IF(Leger2!AG36&gt;=Leger2!$C$4,"C","D"))))</f>
        <v/>
      </c>
      <c r="Z36" s="252" t="str">
        <f>IF(Leger2!AH36="","",IF(Leger2!AH36&gt;=(Leger2!$C$4+2/3*(100-Leger2!$C$4)),"A",IF(Leger2!AH36&gt;=(Leger2!$C$4+1/3*(100-Leger2!$C$4)),"B",IF(Leger2!AH36&gt;=Leger2!$C$4,"C","D"))))</f>
        <v/>
      </c>
      <c r="AA36" s="249" t="str">
        <f>IF(Leger2!AJ36="","",IF(Leger2!AJ36&gt;=(Leger2!$C$4+2/3*(100-Leger2!$C$4)),"A",IF(Leger2!AJ36&gt;=(Leger2!$C$4+1/3*(100-Leger2!$C$4)),"B",IF(Leger2!AJ36&gt;=Leger2!$C$4,"C","D"))))</f>
        <v/>
      </c>
      <c r="AB36" s="252" t="str">
        <f>IF(Leger2!AK36="","",IF(Leger2!AK36&gt;=(Leger2!$C$4+2/3*(100-Leger2!$C$4)),"A",IF(Leger2!AK36&gt;=(Leger2!$C$4+1/3*(100-Leger2!$C$4)),"B",IF(Leger2!AK36&gt;=Leger2!$C$4,"C","D"))))</f>
        <v/>
      </c>
      <c r="AC36" s="249" t="str">
        <f>IF(Leger2!AM36="","",IF(Leger2!AM36&gt;=(Leger2!$C$4+2/3*(100-Leger2!$C$4)),"A",IF(Leger2!AM36&gt;=(Leger2!$C$4+1/3*(100-Leger2!$C$4)),"B",IF(Leger2!AM36&gt;=Leger2!$C$4,"C","D"))))</f>
        <v/>
      </c>
      <c r="AD36" s="252" t="str">
        <f>IF(Leger2!AN36="","",IF(Leger2!AN36&gt;=(Leger2!$C$4+2/3*(100-Leger2!$C$4)),"A",IF(Leger2!AN36&gt;=(Leger2!$C$4+1/3*(100-Leger2!$C$4)),"B",IF(Leger2!AN36&gt;=Leger2!$C$4,"C","D"))))</f>
        <v/>
      </c>
      <c r="AE36" s="249" t="str">
        <f>IF(Leger2!AP36="","",IF(Leger2!AP36&gt;=(Leger2!$C$4+2/3*(100-Leger2!$C$4)),"A",IF(Leger2!AP36&gt;=(Leger2!$C$4+1/3*(100-Leger2!$C$4)),"B",IF(Leger2!AP36&gt;=Leger2!$C$4,"C","D"))))</f>
        <v/>
      </c>
      <c r="AF36" s="252" t="str">
        <f>IF(Leger2!AQ36="","",IF(Leger2!AQ36&gt;=(Leger2!$C$4+2/3*(100-Leger2!$C$4)),"A",IF(Leger2!AQ36&gt;=(Leger2!$C$4+1/3*(100-Leger2!$C$4)),"B",IF(Leger2!AQ36&gt;=Leger2!$C$4,"C","D"))))</f>
        <v/>
      </c>
      <c r="AG36" s="249" t="str">
        <f>IF(Leger2!AS36="","",IF(Leger2!AS36&gt;=(Leger2!$C$4+2/3*(100-Leger2!$C$4)),"A",IF(Leger2!AS36&gt;=(Leger2!$C$4+1/3*(100-Leger2!$C$4)),"B",IF(Leger2!AS36&gt;=Leger2!$C$4,"C","D"))))</f>
        <v/>
      </c>
      <c r="AH36" s="252" t="str">
        <f>IF(Leger2!AT36="","",IF(Leger2!AT36&gt;=(Leger2!$C$4+2/3*(100-Leger2!$C$4)),"A",IF(Leger2!AT36&gt;=(Leger2!$C$4+1/3*(100-Leger2!$C$4)),"B",IF(Leger2!AT36&gt;=Leger2!$C$4,"C","D"))))</f>
        <v/>
      </c>
      <c r="AI36" s="249" t="str">
        <f>IF(Leger2!AV36="","",IF(Leger2!AV36&gt;=(Leger2!$C$4+2/3*(100-Leger2!$C$4)),"A",IF(Leger2!AV36&gt;=(Leger2!$C$4+1/3*(100-Leger2!$C$4)),"B",IF(Leger2!AV36&gt;=Leger2!$C$4,"C","D"))))</f>
        <v/>
      </c>
      <c r="AJ36" s="252" t="str">
        <f>IF(Leger2!AW36="","",IF(Leger2!AW36&gt;=(Leger2!$C$4+2/3*(100-Leger2!$C$4)),"A",IF(Leger2!AW36&gt;=(Leger2!$C$4+1/3*(100-Leger2!$C$4)),"B",IF(Leger2!AW36&gt;=Leger2!$C$4,"C","D"))))</f>
        <v/>
      </c>
      <c r="AK36" s="249" t="str">
        <f>IF(Leger2!AY36="","",IF(Leger2!AY36&gt;=(Leger2!$C$4+2/3*(100-Leger2!$C$4)),"A",IF(Leger2!AY36&gt;=(Leger2!$C$4+1/3*(100-Leger2!$C$4)),"B",IF(Leger2!AY36&gt;=Leger2!$C$4,"C","D"))))</f>
        <v/>
      </c>
      <c r="AL36" s="252" t="str">
        <f>IF(Leger2!AZ36="","",IF(Leger2!AZ36&gt;=(Leger2!$C$4+2/3*(100-Leger2!$C$4)),"A",IF(Leger2!AZ36&gt;=(Leger2!$C$4+1/3*(100-Leger2!$C$4)),"B",IF(Leger2!AZ36&gt;=Leger2!$C$4,"C","D"))))</f>
        <v/>
      </c>
    </row>
    <row r="37" spans="5:38">
      <c r="E37" s="211" t="str">
        <f>Biodata!B36</f>
        <v/>
      </c>
      <c r="F37" s="212" t="str">
        <f>IF(Biodata!C36="","",VLOOKUP(E37,Biodata_Siswa,2,FALSE))</f>
        <v/>
      </c>
      <c r="G37" s="1015" t="str">
        <f>IF(Biodata!E36="","",PROPER(VLOOKUP(E37,Biodata_Siswa,4,FALSE)))</f>
        <v/>
      </c>
      <c r="H37" s="1016"/>
      <c r="I37" s="249" t="str">
        <f>IF(Leger2!I37="","",IF(Leger2!I37&gt;=(Leger2!$C$4+2/3*(100-Leger2!$C$4)),"A",IF(Leger2!I37&gt;=(Leger2!$C$4+1/3*(100-Leger2!$C$4)),"B",IF(Leger2!I37&gt;=Leger2!$C$4,"C","D"))))</f>
        <v/>
      </c>
      <c r="J37" s="252" t="str">
        <f>IF(Leger2!J37="","",IF(Leger2!J37&gt;=(Leger2!$C$4+2/3*(100-Leger2!$C$4)),"A",IF(Leger2!J37&gt;=(Leger2!$C$4+1/3*(100-Leger2!$C$4)),"B",IF(Leger2!J37&gt;=Leger2!$C$4,"C","D"))))</f>
        <v/>
      </c>
      <c r="K37" s="249" t="str">
        <f>IF(Leger2!L37="","",IF(Leger2!L37&gt;=(Leger2!$C$4+2/3*(100-Leger2!$C$4)),"A",IF(Leger2!L37&gt;=(Leger2!$C$4+1/3*(100-Leger2!$C$4)),"B",IF(Leger2!L37&gt;=Leger2!$C$4,"C","D"))))</f>
        <v/>
      </c>
      <c r="L37" s="252" t="str">
        <f>IF(Leger2!M37="","",IF(Leger2!M37&gt;=(Leger2!$C$4+2/3*(100-Leger2!$C$4)),"A",IF(Leger2!M37&gt;=(Leger2!$C$4+1/3*(100-Leger2!$C$4)),"B",IF(Leger2!M37&gt;=Leger2!$C$4,"C","D"))))</f>
        <v/>
      </c>
      <c r="M37" s="249" t="str">
        <f>IF(Leger2!O37="","",IF(Leger2!O37&gt;=(Leger2!$C$4+2/3*(100-Leger2!$C$4)),"A",IF(Leger2!O37&gt;=(Leger2!$C$4+1/3*(100-Leger2!$C$4)),"B",IF(Leger2!O37&gt;=Leger2!$C$4,"C","D"))))</f>
        <v/>
      </c>
      <c r="N37" s="252" t="str">
        <f>IF(Leger2!P37="","",IF(Leger2!P37&gt;=(Leger2!$C$4+2/3*(100-Leger2!$C$4)),"A",IF(Leger2!P37&gt;=(Leger2!$C$4+1/3*(100-Leger2!$C$4)),"B",IF(Leger2!P37&gt;=Leger2!$C$4,"C","D"))))</f>
        <v/>
      </c>
      <c r="O37" s="249" t="str">
        <f>IF(Leger2!R37="","",IF(Leger2!R37&gt;=(Leger2!$C$4+2/3*(100-Leger2!$C$4)),"A",IF(Leger2!R37&gt;=(Leger2!$C$4+1/3*(100-Leger2!$C$4)),"B",IF(Leger2!R37&gt;=Leger2!$C$4,"C","D"))))</f>
        <v/>
      </c>
      <c r="P37" s="252" t="str">
        <f>IF(Leger2!S37="","",IF(Leger2!S37&gt;=(Leger2!$C$4+2/3*(100-Leger2!$C$4)),"A",IF(Leger2!S37&gt;=(Leger2!$C$4+1/3*(100-Leger2!$C$4)),"B",IF(Leger2!S37&gt;=Leger2!$C$4,"C","D"))))</f>
        <v/>
      </c>
      <c r="Q37" s="249" t="str">
        <f>IF(Leger2!U37="","",IF(Leger2!U37&gt;=(Leger2!$C$4+2/3*(100-Leger2!$C$4)),"A",IF(Leger2!U37&gt;=(Leger2!$C$4+1/3*(100-Leger2!$C$4)),"B",IF(Leger2!U37&gt;=Leger2!$C$4,"C","D"))))</f>
        <v/>
      </c>
      <c r="R37" s="252" t="str">
        <f>IF(Leger2!V37="","",IF(Leger2!V37&gt;=(Leger2!$C$4+2/3*(100-Leger2!$C$4)),"A",IF(Leger2!V37&gt;=(Leger2!$C$4+1/3*(100-Leger2!$C$4)),"B",IF(Leger2!V37&gt;=Leger2!$C$4,"C","D"))))</f>
        <v/>
      </c>
      <c r="S37" s="249" t="str">
        <f>IF(Leger2!X37="","",IF(Leger2!X37&gt;=(Leger2!$C$4+2/3*(100-Leger2!$C$4)),"A",IF(Leger2!X37&gt;=(Leger2!$C$4+1/3*(100-Leger2!$C$4)),"B",IF(Leger2!X37&gt;=Leger2!$C$4,"C","D"))))</f>
        <v/>
      </c>
      <c r="T37" s="252" t="str">
        <f>IF(Leger2!Y37="","",IF(Leger2!Y37&gt;=(Leger2!$C$4+2/3*(100-Leger2!$C$4)),"A",IF(Leger2!Y37&gt;=(Leger2!$C$4+1/3*(100-Leger2!$C$4)),"B",IF(Leger2!Y37&gt;=Leger2!$C$4,"C","D"))))</f>
        <v/>
      </c>
      <c r="U37" s="249" t="str">
        <f>IF(Leger2!AA37="","",IF(Leger2!AA37&gt;=(Leger2!$C$4+2/3*(100-Leger2!$C$4)),"A",IF(Leger2!AA37&gt;=(Leger2!$C$4+1/3*(100-Leger2!$C$4)),"B",IF(Leger2!AA37&gt;=Leger2!$C$4,"C","D"))))</f>
        <v/>
      </c>
      <c r="V37" s="252" t="str">
        <f>IF(Leger2!AB37="","",IF(Leger2!AB37&gt;=(Leger2!$C$4+2/3*(100-Leger2!$C$4)),"A",IF(Leger2!AB37&gt;=(Leger2!$C$4+1/3*(100-Leger2!$C$4)),"B",IF(Leger2!AB37&gt;=Leger2!$C$4,"C","D"))))</f>
        <v/>
      </c>
      <c r="W37" s="249" t="str">
        <f>IF(Leger2!AD37="","",IF(Leger2!AD37&gt;=(Leger2!$C$4+2/3*(100-Leger2!$C$4)),"A",IF(Leger2!AD37&gt;=(Leger2!$C$4+1/3*(100-Leger2!$C$4)),"B",IF(Leger2!AD37&gt;=Leger2!$C$4,"C","D"))))</f>
        <v/>
      </c>
      <c r="X37" s="252" t="str">
        <f>IF(Leger2!AE37="","",IF(Leger2!AE37&gt;=(Leger2!$C$4+2/3*(100-Leger2!$C$4)),"A",IF(Leger2!AE37&gt;=(Leger2!$C$4+1/3*(100-Leger2!$C$4)),"B",IF(Leger2!AE37&gt;=Leger2!$C$4,"C","D"))))</f>
        <v/>
      </c>
      <c r="Y37" s="249" t="str">
        <f>IF(Leger2!AG37="","",IF(Leger2!AG37&gt;=(Leger2!$C$4+2/3*(100-Leger2!$C$4)),"A",IF(Leger2!AG37&gt;=(Leger2!$C$4+1/3*(100-Leger2!$C$4)),"B",IF(Leger2!AG37&gt;=Leger2!$C$4,"C","D"))))</f>
        <v/>
      </c>
      <c r="Z37" s="252" t="str">
        <f>IF(Leger2!AH37="","",IF(Leger2!AH37&gt;=(Leger2!$C$4+2/3*(100-Leger2!$C$4)),"A",IF(Leger2!AH37&gt;=(Leger2!$C$4+1/3*(100-Leger2!$C$4)),"B",IF(Leger2!AH37&gt;=Leger2!$C$4,"C","D"))))</f>
        <v/>
      </c>
      <c r="AA37" s="249" t="str">
        <f>IF(Leger2!AJ37="","",IF(Leger2!AJ37&gt;=(Leger2!$C$4+2/3*(100-Leger2!$C$4)),"A",IF(Leger2!AJ37&gt;=(Leger2!$C$4+1/3*(100-Leger2!$C$4)),"B",IF(Leger2!AJ37&gt;=Leger2!$C$4,"C","D"))))</f>
        <v/>
      </c>
      <c r="AB37" s="252" t="str">
        <f>IF(Leger2!AK37="","",IF(Leger2!AK37&gt;=(Leger2!$C$4+2/3*(100-Leger2!$C$4)),"A",IF(Leger2!AK37&gt;=(Leger2!$C$4+1/3*(100-Leger2!$C$4)),"B",IF(Leger2!AK37&gt;=Leger2!$C$4,"C","D"))))</f>
        <v/>
      </c>
      <c r="AC37" s="249" t="str">
        <f>IF(Leger2!AM37="","",IF(Leger2!AM37&gt;=(Leger2!$C$4+2/3*(100-Leger2!$C$4)),"A",IF(Leger2!AM37&gt;=(Leger2!$C$4+1/3*(100-Leger2!$C$4)),"B",IF(Leger2!AM37&gt;=Leger2!$C$4,"C","D"))))</f>
        <v/>
      </c>
      <c r="AD37" s="252" t="str">
        <f>IF(Leger2!AN37="","",IF(Leger2!AN37&gt;=(Leger2!$C$4+2/3*(100-Leger2!$C$4)),"A",IF(Leger2!AN37&gt;=(Leger2!$C$4+1/3*(100-Leger2!$C$4)),"B",IF(Leger2!AN37&gt;=Leger2!$C$4,"C","D"))))</f>
        <v/>
      </c>
      <c r="AE37" s="249" t="str">
        <f>IF(Leger2!AP37="","",IF(Leger2!AP37&gt;=(Leger2!$C$4+2/3*(100-Leger2!$C$4)),"A",IF(Leger2!AP37&gt;=(Leger2!$C$4+1/3*(100-Leger2!$C$4)),"B",IF(Leger2!AP37&gt;=Leger2!$C$4,"C","D"))))</f>
        <v/>
      </c>
      <c r="AF37" s="252" t="str">
        <f>IF(Leger2!AQ37="","",IF(Leger2!AQ37&gt;=(Leger2!$C$4+2/3*(100-Leger2!$C$4)),"A",IF(Leger2!AQ37&gt;=(Leger2!$C$4+1/3*(100-Leger2!$C$4)),"B",IF(Leger2!AQ37&gt;=Leger2!$C$4,"C","D"))))</f>
        <v/>
      </c>
      <c r="AG37" s="249" t="str">
        <f>IF(Leger2!AS37="","",IF(Leger2!AS37&gt;=(Leger2!$C$4+2/3*(100-Leger2!$C$4)),"A",IF(Leger2!AS37&gt;=(Leger2!$C$4+1/3*(100-Leger2!$C$4)),"B",IF(Leger2!AS37&gt;=Leger2!$C$4,"C","D"))))</f>
        <v/>
      </c>
      <c r="AH37" s="252" t="str">
        <f>IF(Leger2!AT37="","",IF(Leger2!AT37&gt;=(Leger2!$C$4+2/3*(100-Leger2!$C$4)),"A",IF(Leger2!AT37&gt;=(Leger2!$C$4+1/3*(100-Leger2!$C$4)),"B",IF(Leger2!AT37&gt;=Leger2!$C$4,"C","D"))))</f>
        <v/>
      </c>
      <c r="AI37" s="249" t="str">
        <f>IF(Leger2!AV37="","",IF(Leger2!AV37&gt;=(Leger2!$C$4+2/3*(100-Leger2!$C$4)),"A",IF(Leger2!AV37&gt;=(Leger2!$C$4+1/3*(100-Leger2!$C$4)),"B",IF(Leger2!AV37&gt;=Leger2!$C$4,"C","D"))))</f>
        <v/>
      </c>
      <c r="AJ37" s="252" t="str">
        <f>IF(Leger2!AW37="","",IF(Leger2!AW37&gt;=(Leger2!$C$4+2/3*(100-Leger2!$C$4)),"A",IF(Leger2!AW37&gt;=(Leger2!$C$4+1/3*(100-Leger2!$C$4)),"B",IF(Leger2!AW37&gt;=Leger2!$C$4,"C","D"))))</f>
        <v/>
      </c>
      <c r="AK37" s="249" t="str">
        <f>IF(Leger2!AY37="","",IF(Leger2!AY37&gt;=(Leger2!$C$4+2/3*(100-Leger2!$C$4)),"A",IF(Leger2!AY37&gt;=(Leger2!$C$4+1/3*(100-Leger2!$C$4)),"B",IF(Leger2!AY37&gt;=Leger2!$C$4,"C","D"))))</f>
        <v/>
      </c>
      <c r="AL37" s="252" t="str">
        <f>IF(Leger2!AZ37="","",IF(Leger2!AZ37&gt;=(Leger2!$C$4+2/3*(100-Leger2!$C$4)),"A",IF(Leger2!AZ37&gt;=(Leger2!$C$4+1/3*(100-Leger2!$C$4)),"B",IF(Leger2!AZ37&gt;=Leger2!$C$4,"C","D"))))</f>
        <v/>
      </c>
    </row>
    <row r="38" spans="5:38">
      <c r="E38" s="211" t="str">
        <f>Biodata!B37</f>
        <v/>
      </c>
      <c r="F38" s="212" t="str">
        <f>IF(Biodata!C37="","",VLOOKUP(E38,Biodata_Siswa,2,FALSE))</f>
        <v/>
      </c>
      <c r="G38" s="1015" t="str">
        <f>IF(Biodata!E37="","",PROPER(VLOOKUP(E38,Biodata_Siswa,4,FALSE)))</f>
        <v/>
      </c>
      <c r="H38" s="1016"/>
      <c r="I38" s="249" t="str">
        <f>IF(Leger2!I38="","",IF(Leger2!I38&gt;=(Leger2!$C$4+2/3*(100-Leger2!$C$4)),"A",IF(Leger2!I38&gt;=(Leger2!$C$4+1/3*(100-Leger2!$C$4)),"B",IF(Leger2!I38&gt;=Leger2!$C$4,"C","D"))))</f>
        <v/>
      </c>
      <c r="J38" s="252" t="str">
        <f>IF(Leger2!J38="","",IF(Leger2!J38&gt;=(Leger2!$C$4+2/3*(100-Leger2!$C$4)),"A",IF(Leger2!J38&gt;=(Leger2!$C$4+1/3*(100-Leger2!$C$4)),"B",IF(Leger2!J38&gt;=Leger2!$C$4,"C","D"))))</f>
        <v/>
      </c>
      <c r="K38" s="249" t="str">
        <f>IF(Leger2!L38="","",IF(Leger2!L38&gt;=(Leger2!$C$4+2/3*(100-Leger2!$C$4)),"A",IF(Leger2!L38&gt;=(Leger2!$C$4+1/3*(100-Leger2!$C$4)),"B",IF(Leger2!L38&gt;=Leger2!$C$4,"C","D"))))</f>
        <v/>
      </c>
      <c r="L38" s="252" t="str">
        <f>IF(Leger2!M38="","",IF(Leger2!M38&gt;=(Leger2!$C$4+2/3*(100-Leger2!$C$4)),"A",IF(Leger2!M38&gt;=(Leger2!$C$4+1/3*(100-Leger2!$C$4)),"B",IF(Leger2!M38&gt;=Leger2!$C$4,"C","D"))))</f>
        <v/>
      </c>
      <c r="M38" s="249" t="str">
        <f>IF(Leger2!O38="","",IF(Leger2!O38&gt;=(Leger2!$C$4+2/3*(100-Leger2!$C$4)),"A",IF(Leger2!O38&gt;=(Leger2!$C$4+1/3*(100-Leger2!$C$4)),"B",IF(Leger2!O38&gt;=Leger2!$C$4,"C","D"))))</f>
        <v/>
      </c>
      <c r="N38" s="252" t="str">
        <f>IF(Leger2!P38="","",IF(Leger2!P38&gt;=(Leger2!$C$4+2/3*(100-Leger2!$C$4)),"A",IF(Leger2!P38&gt;=(Leger2!$C$4+1/3*(100-Leger2!$C$4)),"B",IF(Leger2!P38&gt;=Leger2!$C$4,"C","D"))))</f>
        <v/>
      </c>
      <c r="O38" s="249" t="str">
        <f>IF(Leger2!R38="","",IF(Leger2!R38&gt;=(Leger2!$C$4+2/3*(100-Leger2!$C$4)),"A",IF(Leger2!R38&gt;=(Leger2!$C$4+1/3*(100-Leger2!$C$4)),"B",IF(Leger2!R38&gt;=Leger2!$C$4,"C","D"))))</f>
        <v/>
      </c>
      <c r="P38" s="252" t="str">
        <f>IF(Leger2!S38="","",IF(Leger2!S38&gt;=(Leger2!$C$4+2/3*(100-Leger2!$C$4)),"A",IF(Leger2!S38&gt;=(Leger2!$C$4+1/3*(100-Leger2!$C$4)),"B",IF(Leger2!S38&gt;=Leger2!$C$4,"C","D"))))</f>
        <v/>
      </c>
      <c r="Q38" s="249" t="str">
        <f>IF(Leger2!U38="","",IF(Leger2!U38&gt;=(Leger2!$C$4+2/3*(100-Leger2!$C$4)),"A",IF(Leger2!U38&gt;=(Leger2!$C$4+1/3*(100-Leger2!$C$4)),"B",IF(Leger2!U38&gt;=Leger2!$C$4,"C","D"))))</f>
        <v/>
      </c>
      <c r="R38" s="252" t="str">
        <f>IF(Leger2!V38="","",IF(Leger2!V38&gt;=(Leger2!$C$4+2/3*(100-Leger2!$C$4)),"A",IF(Leger2!V38&gt;=(Leger2!$C$4+1/3*(100-Leger2!$C$4)),"B",IF(Leger2!V38&gt;=Leger2!$C$4,"C","D"))))</f>
        <v/>
      </c>
      <c r="S38" s="249" t="str">
        <f>IF(Leger2!X38="","",IF(Leger2!X38&gt;=(Leger2!$C$4+2/3*(100-Leger2!$C$4)),"A",IF(Leger2!X38&gt;=(Leger2!$C$4+1/3*(100-Leger2!$C$4)),"B",IF(Leger2!X38&gt;=Leger2!$C$4,"C","D"))))</f>
        <v/>
      </c>
      <c r="T38" s="252" t="str">
        <f>IF(Leger2!Y38="","",IF(Leger2!Y38&gt;=(Leger2!$C$4+2/3*(100-Leger2!$C$4)),"A",IF(Leger2!Y38&gt;=(Leger2!$C$4+1/3*(100-Leger2!$C$4)),"B",IF(Leger2!Y38&gt;=Leger2!$C$4,"C","D"))))</f>
        <v/>
      </c>
      <c r="U38" s="249" t="str">
        <f>IF(Leger2!AA38="","",IF(Leger2!AA38&gt;=(Leger2!$C$4+2/3*(100-Leger2!$C$4)),"A",IF(Leger2!AA38&gt;=(Leger2!$C$4+1/3*(100-Leger2!$C$4)),"B",IF(Leger2!AA38&gt;=Leger2!$C$4,"C","D"))))</f>
        <v/>
      </c>
      <c r="V38" s="252" t="str">
        <f>IF(Leger2!AB38="","",IF(Leger2!AB38&gt;=(Leger2!$C$4+2/3*(100-Leger2!$C$4)),"A",IF(Leger2!AB38&gt;=(Leger2!$C$4+1/3*(100-Leger2!$C$4)),"B",IF(Leger2!AB38&gt;=Leger2!$C$4,"C","D"))))</f>
        <v/>
      </c>
      <c r="W38" s="249" t="str">
        <f>IF(Leger2!AD38="","",IF(Leger2!AD38&gt;=(Leger2!$C$4+2/3*(100-Leger2!$C$4)),"A",IF(Leger2!AD38&gt;=(Leger2!$C$4+1/3*(100-Leger2!$C$4)),"B",IF(Leger2!AD38&gt;=Leger2!$C$4,"C","D"))))</f>
        <v/>
      </c>
      <c r="X38" s="252" t="str">
        <f>IF(Leger2!AE38="","",IF(Leger2!AE38&gt;=(Leger2!$C$4+2/3*(100-Leger2!$C$4)),"A",IF(Leger2!AE38&gt;=(Leger2!$C$4+1/3*(100-Leger2!$C$4)),"B",IF(Leger2!AE38&gt;=Leger2!$C$4,"C","D"))))</f>
        <v/>
      </c>
      <c r="Y38" s="249" t="str">
        <f>IF(Leger2!AG38="","",IF(Leger2!AG38&gt;=(Leger2!$C$4+2/3*(100-Leger2!$C$4)),"A",IF(Leger2!AG38&gt;=(Leger2!$C$4+1/3*(100-Leger2!$C$4)),"B",IF(Leger2!AG38&gt;=Leger2!$C$4,"C","D"))))</f>
        <v/>
      </c>
      <c r="Z38" s="252" t="str">
        <f>IF(Leger2!AH38="","",IF(Leger2!AH38&gt;=(Leger2!$C$4+2/3*(100-Leger2!$C$4)),"A",IF(Leger2!AH38&gt;=(Leger2!$C$4+1/3*(100-Leger2!$C$4)),"B",IF(Leger2!AH38&gt;=Leger2!$C$4,"C","D"))))</f>
        <v/>
      </c>
      <c r="AA38" s="249" t="str">
        <f>IF(Leger2!AJ38="","",IF(Leger2!AJ38&gt;=(Leger2!$C$4+2/3*(100-Leger2!$C$4)),"A",IF(Leger2!AJ38&gt;=(Leger2!$C$4+1/3*(100-Leger2!$C$4)),"B",IF(Leger2!AJ38&gt;=Leger2!$C$4,"C","D"))))</f>
        <v/>
      </c>
      <c r="AB38" s="252" t="str">
        <f>IF(Leger2!AK38="","",IF(Leger2!AK38&gt;=(Leger2!$C$4+2/3*(100-Leger2!$C$4)),"A",IF(Leger2!AK38&gt;=(Leger2!$C$4+1/3*(100-Leger2!$C$4)),"B",IF(Leger2!AK38&gt;=Leger2!$C$4,"C","D"))))</f>
        <v/>
      </c>
      <c r="AC38" s="249" t="str">
        <f>IF(Leger2!AM38="","",IF(Leger2!AM38&gt;=(Leger2!$C$4+2/3*(100-Leger2!$C$4)),"A",IF(Leger2!AM38&gt;=(Leger2!$C$4+1/3*(100-Leger2!$C$4)),"B",IF(Leger2!AM38&gt;=Leger2!$C$4,"C","D"))))</f>
        <v/>
      </c>
      <c r="AD38" s="252" t="str">
        <f>IF(Leger2!AN38="","",IF(Leger2!AN38&gt;=(Leger2!$C$4+2/3*(100-Leger2!$C$4)),"A",IF(Leger2!AN38&gt;=(Leger2!$C$4+1/3*(100-Leger2!$C$4)),"B",IF(Leger2!AN38&gt;=Leger2!$C$4,"C","D"))))</f>
        <v/>
      </c>
      <c r="AE38" s="249" t="str">
        <f>IF(Leger2!AP38="","",IF(Leger2!AP38&gt;=(Leger2!$C$4+2/3*(100-Leger2!$C$4)),"A",IF(Leger2!AP38&gt;=(Leger2!$C$4+1/3*(100-Leger2!$C$4)),"B",IF(Leger2!AP38&gt;=Leger2!$C$4,"C","D"))))</f>
        <v/>
      </c>
      <c r="AF38" s="252" t="str">
        <f>IF(Leger2!AQ38="","",IF(Leger2!AQ38&gt;=(Leger2!$C$4+2/3*(100-Leger2!$C$4)),"A",IF(Leger2!AQ38&gt;=(Leger2!$C$4+1/3*(100-Leger2!$C$4)),"B",IF(Leger2!AQ38&gt;=Leger2!$C$4,"C","D"))))</f>
        <v/>
      </c>
      <c r="AG38" s="249" t="str">
        <f>IF(Leger2!AS38="","",IF(Leger2!AS38&gt;=(Leger2!$C$4+2/3*(100-Leger2!$C$4)),"A",IF(Leger2!AS38&gt;=(Leger2!$C$4+1/3*(100-Leger2!$C$4)),"B",IF(Leger2!AS38&gt;=Leger2!$C$4,"C","D"))))</f>
        <v/>
      </c>
      <c r="AH38" s="252" t="str">
        <f>IF(Leger2!AT38="","",IF(Leger2!AT38&gt;=(Leger2!$C$4+2/3*(100-Leger2!$C$4)),"A",IF(Leger2!AT38&gt;=(Leger2!$C$4+1/3*(100-Leger2!$C$4)),"B",IF(Leger2!AT38&gt;=Leger2!$C$4,"C","D"))))</f>
        <v/>
      </c>
      <c r="AI38" s="249" t="str">
        <f>IF(Leger2!AV38="","",IF(Leger2!AV38&gt;=(Leger2!$C$4+2/3*(100-Leger2!$C$4)),"A",IF(Leger2!AV38&gt;=(Leger2!$C$4+1/3*(100-Leger2!$C$4)),"B",IF(Leger2!AV38&gt;=Leger2!$C$4,"C","D"))))</f>
        <v/>
      </c>
      <c r="AJ38" s="252" t="str">
        <f>IF(Leger2!AW38="","",IF(Leger2!AW38&gt;=(Leger2!$C$4+2/3*(100-Leger2!$C$4)),"A",IF(Leger2!AW38&gt;=(Leger2!$C$4+1/3*(100-Leger2!$C$4)),"B",IF(Leger2!AW38&gt;=Leger2!$C$4,"C","D"))))</f>
        <v/>
      </c>
      <c r="AK38" s="249" t="str">
        <f>IF(Leger2!AY38="","",IF(Leger2!AY38&gt;=(Leger2!$C$4+2/3*(100-Leger2!$C$4)),"A",IF(Leger2!AY38&gt;=(Leger2!$C$4+1/3*(100-Leger2!$C$4)),"B",IF(Leger2!AY38&gt;=Leger2!$C$4,"C","D"))))</f>
        <v/>
      </c>
      <c r="AL38" s="252" t="str">
        <f>IF(Leger2!AZ38="","",IF(Leger2!AZ38&gt;=(Leger2!$C$4+2/3*(100-Leger2!$C$4)),"A",IF(Leger2!AZ38&gt;=(Leger2!$C$4+1/3*(100-Leger2!$C$4)),"B",IF(Leger2!AZ38&gt;=Leger2!$C$4,"C","D"))))</f>
        <v/>
      </c>
    </row>
    <row r="39" spans="5:38">
      <c r="E39" s="211" t="str">
        <f>Biodata!B38</f>
        <v/>
      </c>
      <c r="F39" s="212" t="str">
        <f>IF(Biodata!C38="","",VLOOKUP(E39,Biodata_Siswa,2,FALSE))</f>
        <v/>
      </c>
      <c r="G39" s="1015" t="str">
        <f>IF(Biodata!E38="","",PROPER(VLOOKUP(E39,Biodata_Siswa,4,FALSE)))</f>
        <v/>
      </c>
      <c r="H39" s="1016"/>
      <c r="I39" s="249" t="str">
        <f>IF(Leger2!I39="","",IF(Leger2!I39&gt;=(Leger2!$C$4+2/3*(100-Leger2!$C$4)),"A",IF(Leger2!I39&gt;=(Leger2!$C$4+1/3*(100-Leger2!$C$4)),"B",IF(Leger2!I39&gt;=Leger2!$C$4,"C","D"))))</f>
        <v/>
      </c>
      <c r="J39" s="252" t="str">
        <f>IF(Leger2!J39="","",IF(Leger2!J39&gt;=(Leger2!$C$4+2/3*(100-Leger2!$C$4)),"A",IF(Leger2!J39&gt;=(Leger2!$C$4+1/3*(100-Leger2!$C$4)),"B",IF(Leger2!J39&gt;=Leger2!$C$4,"C","D"))))</f>
        <v/>
      </c>
      <c r="K39" s="249" t="str">
        <f>IF(Leger2!L39="","",IF(Leger2!L39&gt;=(Leger2!$C$4+2/3*(100-Leger2!$C$4)),"A",IF(Leger2!L39&gt;=(Leger2!$C$4+1/3*(100-Leger2!$C$4)),"B",IF(Leger2!L39&gt;=Leger2!$C$4,"C","D"))))</f>
        <v/>
      </c>
      <c r="L39" s="252" t="str">
        <f>IF(Leger2!M39="","",IF(Leger2!M39&gt;=(Leger2!$C$4+2/3*(100-Leger2!$C$4)),"A",IF(Leger2!M39&gt;=(Leger2!$C$4+1/3*(100-Leger2!$C$4)),"B",IF(Leger2!M39&gt;=Leger2!$C$4,"C","D"))))</f>
        <v/>
      </c>
      <c r="M39" s="249" t="str">
        <f>IF(Leger2!O39="","",IF(Leger2!O39&gt;=(Leger2!$C$4+2/3*(100-Leger2!$C$4)),"A",IF(Leger2!O39&gt;=(Leger2!$C$4+1/3*(100-Leger2!$C$4)),"B",IF(Leger2!O39&gt;=Leger2!$C$4,"C","D"))))</f>
        <v/>
      </c>
      <c r="N39" s="252" t="str">
        <f>IF(Leger2!P39="","",IF(Leger2!P39&gt;=(Leger2!$C$4+2/3*(100-Leger2!$C$4)),"A",IF(Leger2!P39&gt;=(Leger2!$C$4+1/3*(100-Leger2!$C$4)),"B",IF(Leger2!P39&gt;=Leger2!$C$4,"C","D"))))</f>
        <v/>
      </c>
      <c r="O39" s="249" t="str">
        <f>IF(Leger2!R39="","",IF(Leger2!R39&gt;=(Leger2!$C$4+2/3*(100-Leger2!$C$4)),"A",IF(Leger2!R39&gt;=(Leger2!$C$4+1/3*(100-Leger2!$C$4)),"B",IF(Leger2!R39&gt;=Leger2!$C$4,"C","D"))))</f>
        <v/>
      </c>
      <c r="P39" s="252" t="str">
        <f>IF(Leger2!S39="","",IF(Leger2!S39&gt;=(Leger2!$C$4+2/3*(100-Leger2!$C$4)),"A",IF(Leger2!S39&gt;=(Leger2!$C$4+1/3*(100-Leger2!$C$4)),"B",IF(Leger2!S39&gt;=Leger2!$C$4,"C","D"))))</f>
        <v/>
      </c>
      <c r="Q39" s="249" t="str">
        <f>IF(Leger2!U39="","",IF(Leger2!U39&gt;=(Leger2!$C$4+2/3*(100-Leger2!$C$4)),"A",IF(Leger2!U39&gt;=(Leger2!$C$4+1/3*(100-Leger2!$C$4)),"B",IF(Leger2!U39&gt;=Leger2!$C$4,"C","D"))))</f>
        <v/>
      </c>
      <c r="R39" s="252" t="str">
        <f>IF(Leger2!V39="","",IF(Leger2!V39&gt;=(Leger2!$C$4+2/3*(100-Leger2!$C$4)),"A",IF(Leger2!V39&gt;=(Leger2!$C$4+1/3*(100-Leger2!$C$4)),"B",IF(Leger2!V39&gt;=Leger2!$C$4,"C","D"))))</f>
        <v/>
      </c>
      <c r="S39" s="249" t="str">
        <f>IF(Leger2!X39="","",IF(Leger2!X39&gt;=(Leger2!$C$4+2/3*(100-Leger2!$C$4)),"A",IF(Leger2!X39&gt;=(Leger2!$C$4+1/3*(100-Leger2!$C$4)),"B",IF(Leger2!X39&gt;=Leger2!$C$4,"C","D"))))</f>
        <v/>
      </c>
      <c r="T39" s="252" t="str">
        <f>IF(Leger2!Y39="","",IF(Leger2!Y39&gt;=(Leger2!$C$4+2/3*(100-Leger2!$C$4)),"A",IF(Leger2!Y39&gt;=(Leger2!$C$4+1/3*(100-Leger2!$C$4)),"B",IF(Leger2!Y39&gt;=Leger2!$C$4,"C","D"))))</f>
        <v/>
      </c>
      <c r="U39" s="249" t="str">
        <f>IF(Leger2!AA39="","",IF(Leger2!AA39&gt;=(Leger2!$C$4+2/3*(100-Leger2!$C$4)),"A",IF(Leger2!AA39&gt;=(Leger2!$C$4+1/3*(100-Leger2!$C$4)),"B",IF(Leger2!AA39&gt;=Leger2!$C$4,"C","D"))))</f>
        <v/>
      </c>
      <c r="V39" s="252" t="str">
        <f>IF(Leger2!AB39="","",IF(Leger2!AB39&gt;=(Leger2!$C$4+2/3*(100-Leger2!$C$4)),"A",IF(Leger2!AB39&gt;=(Leger2!$C$4+1/3*(100-Leger2!$C$4)),"B",IF(Leger2!AB39&gt;=Leger2!$C$4,"C","D"))))</f>
        <v/>
      </c>
      <c r="W39" s="249" t="str">
        <f>IF(Leger2!AD39="","",IF(Leger2!AD39&gt;=(Leger2!$C$4+2/3*(100-Leger2!$C$4)),"A",IF(Leger2!AD39&gt;=(Leger2!$C$4+1/3*(100-Leger2!$C$4)),"B",IF(Leger2!AD39&gt;=Leger2!$C$4,"C","D"))))</f>
        <v/>
      </c>
      <c r="X39" s="252" t="str">
        <f>IF(Leger2!AE39="","",IF(Leger2!AE39&gt;=(Leger2!$C$4+2/3*(100-Leger2!$C$4)),"A",IF(Leger2!AE39&gt;=(Leger2!$C$4+1/3*(100-Leger2!$C$4)),"B",IF(Leger2!AE39&gt;=Leger2!$C$4,"C","D"))))</f>
        <v/>
      </c>
      <c r="Y39" s="249" t="str">
        <f>IF(Leger2!AG39="","",IF(Leger2!AG39&gt;=(Leger2!$C$4+2/3*(100-Leger2!$C$4)),"A",IF(Leger2!AG39&gt;=(Leger2!$C$4+1/3*(100-Leger2!$C$4)),"B",IF(Leger2!AG39&gt;=Leger2!$C$4,"C","D"))))</f>
        <v/>
      </c>
      <c r="Z39" s="252" t="str">
        <f>IF(Leger2!AH39="","",IF(Leger2!AH39&gt;=(Leger2!$C$4+2/3*(100-Leger2!$C$4)),"A",IF(Leger2!AH39&gt;=(Leger2!$C$4+1/3*(100-Leger2!$C$4)),"B",IF(Leger2!AH39&gt;=Leger2!$C$4,"C","D"))))</f>
        <v/>
      </c>
      <c r="AA39" s="249" t="str">
        <f>IF(Leger2!AJ39="","",IF(Leger2!AJ39&gt;=(Leger2!$C$4+2/3*(100-Leger2!$C$4)),"A",IF(Leger2!AJ39&gt;=(Leger2!$C$4+1/3*(100-Leger2!$C$4)),"B",IF(Leger2!AJ39&gt;=Leger2!$C$4,"C","D"))))</f>
        <v/>
      </c>
      <c r="AB39" s="252" t="str">
        <f>IF(Leger2!AK39="","",IF(Leger2!AK39&gt;=(Leger2!$C$4+2/3*(100-Leger2!$C$4)),"A",IF(Leger2!AK39&gt;=(Leger2!$C$4+1/3*(100-Leger2!$C$4)),"B",IF(Leger2!AK39&gt;=Leger2!$C$4,"C","D"))))</f>
        <v/>
      </c>
      <c r="AC39" s="249" t="str">
        <f>IF(Leger2!AM39="","",IF(Leger2!AM39&gt;=(Leger2!$C$4+2/3*(100-Leger2!$C$4)),"A",IF(Leger2!AM39&gt;=(Leger2!$C$4+1/3*(100-Leger2!$C$4)),"B",IF(Leger2!AM39&gt;=Leger2!$C$4,"C","D"))))</f>
        <v/>
      </c>
      <c r="AD39" s="252" t="str">
        <f>IF(Leger2!AN39="","",IF(Leger2!AN39&gt;=(Leger2!$C$4+2/3*(100-Leger2!$C$4)),"A",IF(Leger2!AN39&gt;=(Leger2!$C$4+1/3*(100-Leger2!$C$4)),"B",IF(Leger2!AN39&gt;=Leger2!$C$4,"C","D"))))</f>
        <v/>
      </c>
      <c r="AE39" s="249" t="str">
        <f>IF(Leger2!AP39="","",IF(Leger2!AP39&gt;=(Leger2!$C$4+2/3*(100-Leger2!$C$4)),"A",IF(Leger2!AP39&gt;=(Leger2!$C$4+1/3*(100-Leger2!$C$4)),"B",IF(Leger2!AP39&gt;=Leger2!$C$4,"C","D"))))</f>
        <v/>
      </c>
      <c r="AF39" s="252" t="str">
        <f>IF(Leger2!AQ39="","",IF(Leger2!AQ39&gt;=(Leger2!$C$4+2/3*(100-Leger2!$C$4)),"A",IF(Leger2!AQ39&gt;=(Leger2!$C$4+1/3*(100-Leger2!$C$4)),"B",IF(Leger2!AQ39&gt;=Leger2!$C$4,"C","D"))))</f>
        <v/>
      </c>
      <c r="AG39" s="249" t="str">
        <f>IF(Leger2!AS39="","",IF(Leger2!AS39&gt;=(Leger2!$C$4+2/3*(100-Leger2!$C$4)),"A",IF(Leger2!AS39&gt;=(Leger2!$C$4+1/3*(100-Leger2!$C$4)),"B",IF(Leger2!AS39&gt;=Leger2!$C$4,"C","D"))))</f>
        <v/>
      </c>
      <c r="AH39" s="252" t="str">
        <f>IF(Leger2!AT39="","",IF(Leger2!AT39&gt;=(Leger2!$C$4+2/3*(100-Leger2!$C$4)),"A",IF(Leger2!AT39&gt;=(Leger2!$C$4+1/3*(100-Leger2!$C$4)),"B",IF(Leger2!AT39&gt;=Leger2!$C$4,"C","D"))))</f>
        <v/>
      </c>
      <c r="AI39" s="249" t="str">
        <f>IF(Leger2!AV39="","",IF(Leger2!AV39&gt;=(Leger2!$C$4+2/3*(100-Leger2!$C$4)),"A",IF(Leger2!AV39&gt;=(Leger2!$C$4+1/3*(100-Leger2!$C$4)),"B",IF(Leger2!AV39&gt;=Leger2!$C$4,"C","D"))))</f>
        <v/>
      </c>
      <c r="AJ39" s="252" t="str">
        <f>IF(Leger2!AW39="","",IF(Leger2!AW39&gt;=(Leger2!$C$4+2/3*(100-Leger2!$C$4)),"A",IF(Leger2!AW39&gt;=(Leger2!$C$4+1/3*(100-Leger2!$C$4)),"B",IF(Leger2!AW39&gt;=Leger2!$C$4,"C","D"))))</f>
        <v/>
      </c>
      <c r="AK39" s="249" t="str">
        <f>IF(Leger2!AY39="","",IF(Leger2!AY39&gt;=(Leger2!$C$4+2/3*(100-Leger2!$C$4)),"A",IF(Leger2!AY39&gt;=(Leger2!$C$4+1/3*(100-Leger2!$C$4)),"B",IF(Leger2!AY39&gt;=Leger2!$C$4,"C","D"))))</f>
        <v/>
      </c>
      <c r="AL39" s="252" t="str">
        <f>IF(Leger2!AZ39="","",IF(Leger2!AZ39&gt;=(Leger2!$C$4+2/3*(100-Leger2!$C$4)),"A",IF(Leger2!AZ39&gt;=(Leger2!$C$4+1/3*(100-Leger2!$C$4)),"B",IF(Leger2!AZ39&gt;=Leger2!$C$4,"C","D"))))</f>
        <v/>
      </c>
    </row>
    <row r="40" spans="5:38">
      <c r="E40" s="211" t="str">
        <f>Biodata!B39</f>
        <v/>
      </c>
      <c r="F40" s="212" t="str">
        <f>IF(Biodata!C39="","",VLOOKUP(E40,Biodata_Siswa,2,FALSE))</f>
        <v/>
      </c>
      <c r="G40" s="1015" t="str">
        <f>IF(Biodata!E39="","",PROPER(VLOOKUP(E40,Biodata_Siswa,4,FALSE)))</f>
        <v/>
      </c>
      <c r="H40" s="1016"/>
      <c r="I40" s="249" t="str">
        <f>IF(Leger2!I40="","",IF(Leger2!I40&gt;=(Leger2!$C$4+2/3*(100-Leger2!$C$4)),"A",IF(Leger2!I40&gt;=(Leger2!$C$4+1/3*(100-Leger2!$C$4)),"B",IF(Leger2!I40&gt;=Leger2!$C$4,"C","D"))))</f>
        <v/>
      </c>
      <c r="J40" s="252" t="str">
        <f>IF(Leger2!J40="","",IF(Leger2!J40&gt;=(Leger2!$C$4+2/3*(100-Leger2!$C$4)),"A",IF(Leger2!J40&gt;=(Leger2!$C$4+1/3*(100-Leger2!$C$4)),"B",IF(Leger2!J40&gt;=Leger2!$C$4,"C","D"))))</f>
        <v/>
      </c>
      <c r="K40" s="249" t="str">
        <f>IF(Leger2!L40="","",IF(Leger2!L40&gt;=(Leger2!$C$4+2/3*(100-Leger2!$C$4)),"A",IF(Leger2!L40&gt;=(Leger2!$C$4+1/3*(100-Leger2!$C$4)),"B",IF(Leger2!L40&gt;=Leger2!$C$4,"C","D"))))</f>
        <v/>
      </c>
      <c r="L40" s="252" t="str">
        <f>IF(Leger2!M40="","",IF(Leger2!M40&gt;=(Leger2!$C$4+2/3*(100-Leger2!$C$4)),"A",IF(Leger2!M40&gt;=(Leger2!$C$4+1/3*(100-Leger2!$C$4)),"B",IF(Leger2!M40&gt;=Leger2!$C$4,"C","D"))))</f>
        <v/>
      </c>
      <c r="M40" s="249" t="str">
        <f>IF(Leger2!O40="","",IF(Leger2!O40&gt;=(Leger2!$C$4+2/3*(100-Leger2!$C$4)),"A",IF(Leger2!O40&gt;=(Leger2!$C$4+1/3*(100-Leger2!$C$4)),"B",IF(Leger2!O40&gt;=Leger2!$C$4,"C","D"))))</f>
        <v/>
      </c>
      <c r="N40" s="252" t="str">
        <f>IF(Leger2!P40="","",IF(Leger2!P40&gt;=(Leger2!$C$4+2/3*(100-Leger2!$C$4)),"A",IF(Leger2!P40&gt;=(Leger2!$C$4+1/3*(100-Leger2!$C$4)),"B",IF(Leger2!P40&gt;=Leger2!$C$4,"C","D"))))</f>
        <v/>
      </c>
      <c r="O40" s="249" t="str">
        <f>IF(Leger2!R40="","",IF(Leger2!R40&gt;=(Leger2!$C$4+2/3*(100-Leger2!$C$4)),"A",IF(Leger2!R40&gt;=(Leger2!$C$4+1/3*(100-Leger2!$C$4)),"B",IF(Leger2!R40&gt;=Leger2!$C$4,"C","D"))))</f>
        <v/>
      </c>
      <c r="P40" s="252" t="str">
        <f>IF(Leger2!S40="","",IF(Leger2!S40&gt;=(Leger2!$C$4+2/3*(100-Leger2!$C$4)),"A",IF(Leger2!S40&gt;=(Leger2!$C$4+1/3*(100-Leger2!$C$4)),"B",IF(Leger2!S40&gt;=Leger2!$C$4,"C","D"))))</f>
        <v/>
      </c>
      <c r="Q40" s="249" t="str">
        <f>IF(Leger2!U40="","",IF(Leger2!U40&gt;=(Leger2!$C$4+2/3*(100-Leger2!$C$4)),"A",IF(Leger2!U40&gt;=(Leger2!$C$4+1/3*(100-Leger2!$C$4)),"B",IF(Leger2!U40&gt;=Leger2!$C$4,"C","D"))))</f>
        <v/>
      </c>
      <c r="R40" s="252" t="str">
        <f>IF(Leger2!V40="","",IF(Leger2!V40&gt;=(Leger2!$C$4+2/3*(100-Leger2!$C$4)),"A",IF(Leger2!V40&gt;=(Leger2!$C$4+1/3*(100-Leger2!$C$4)),"B",IF(Leger2!V40&gt;=Leger2!$C$4,"C","D"))))</f>
        <v/>
      </c>
      <c r="S40" s="249" t="str">
        <f>IF(Leger2!X40="","",IF(Leger2!X40&gt;=(Leger2!$C$4+2/3*(100-Leger2!$C$4)),"A",IF(Leger2!X40&gt;=(Leger2!$C$4+1/3*(100-Leger2!$C$4)),"B",IF(Leger2!X40&gt;=Leger2!$C$4,"C","D"))))</f>
        <v/>
      </c>
      <c r="T40" s="252" t="str">
        <f>IF(Leger2!Y40="","",IF(Leger2!Y40&gt;=(Leger2!$C$4+2/3*(100-Leger2!$C$4)),"A",IF(Leger2!Y40&gt;=(Leger2!$C$4+1/3*(100-Leger2!$C$4)),"B",IF(Leger2!Y40&gt;=Leger2!$C$4,"C","D"))))</f>
        <v/>
      </c>
      <c r="U40" s="249" t="str">
        <f>IF(Leger2!AA40="","",IF(Leger2!AA40&gt;=(Leger2!$C$4+2/3*(100-Leger2!$C$4)),"A",IF(Leger2!AA40&gt;=(Leger2!$C$4+1/3*(100-Leger2!$C$4)),"B",IF(Leger2!AA40&gt;=Leger2!$C$4,"C","D"))))</f>
        <v/>
      </c>
      <c r="V40" s="252" t="str">
        <f>IF(Leger2!AB40="","",IF(Leger2!AB40&gt;=(Leger2!$C$4+2/3*(100-Leger2!$C$4)),"A",IF(Leger2!AB40&gt;=(Leger2!$C$4+1/3*(100-Leger2!$C$4)),"B",IF(Leger2!AB40&gt;=Leger2!$C$4,"C","D"))))</f>
        <v/>
      </c>
      <c r="W40" s="249" t="str">
        <f>IF(Leger2!AD40="","",IF(Leger2!AD40&gt;=(Leger2!$C$4+2/3*(100-Leger2!$C$4)),"A",IF(Leger2!AD40&gt;=(Leger2!$C$4+1/3*(100-Leger2!$C$4)),"B",IF(Leger2!AD40&gt;=Leger2!$C$4,"C","D"))))</f>
        <v/>
      </c>
      <c r="X40" s="252" t="str">
        <f>IF(Leger2!AE40="","",IF(Leger2!AE40&gt;=(Leger2!$C$4+2/3*(100-Leger2!$C$4)),"A",IF(Leger2!AE40&gt;=(Leger2!$C$4+1/3*(100-Leger2!$C$4)),"B",IF(Leger2!AE40&gt;=Leger2!$C$4,"C","D"))))</f>
        <v/>
      </c>
      <c r="Y40" s="249" t="str">
        <f>IF(Leger2!AG40="","",IF(Leger2!AG40&gt;=(Leger2!$C$4+2/3*(100-Leger2!$C$4)),"A",IF(Leger2!AG40&gt;=(Leger2!$C$4+1/3*(100-Leger2!$C$4)),"B",IF(Leger2!AG40&gt;=Leger2!$C$4,"C","D"))))</f>
        <v/>
      </c>
      <c r="Z40" s="252" t="str">
        <f>IF(Leger2!AH40="","",IF(Leger2!AH40&gt;=(Leger2!$C$4+2/3*(100-Leger2!$C$4)),"A",IF(Leger2!AH40&gt;=(Leger2!$C$4+1/3*(100-Leger2!$C$4)),"B",IF(Leger2!AH40&gt;=Leger2!$C$4,"C","D"))))</f>
        <v/>
      </c>
      <c r="AA40" s="249" t="str">
        <f>IF(Leger2!AJ40="","",IF(Leger2!AJ40&gt;=(Leger2!$C$4+2/3*(100-Leger2!$C$4)),"A",IF(Leger2!AJ40&gt;=(Leger2!$C$4+1/3*(100-Leger2!$C$4)),"B",IF(Leger2!AJ40&gt;=Leger2!$C$4,"C","D"))))</f>
        <v/>
      </c>
      <c r="AB40" s="252" t="str">
        <f>IF(Leger2!AK40="","",IF(Leger2!AK40&gt;=(Leger2!$C$4+2/3*(100-Leger2!$C$4)),"A",IF(Leger2!AK40&gt;=(Leger2!$C$4+1/3*(100-Leger2!$C$4)),"B",IF(Leger2!AK40&gt;=Leger2!$C$4,"C","D"))))</f>
        <v/>
      </c>
      <c r="AC40" s="249" t="str">
        <f>IF(Leger2!AM40="","",IF(Leger2!AM40&gt;=(Leger2!$C$4+2/3*(100-Leger2!$C$4)),"A",IF(Leger2!AM40&gt;=(Leger2!$C$4+1/3*(100-Leger2!$C$4)),"B",IF(Leger2!AM40&gt;=Leger2!$C$4,"C","D"))))</f>
        <v/>
      </c>
      <c r="AD40" s="252" t="str">
        <f>IF(Leger2!AN40="","",IF(Leger2!AN40&gt;=(Leger2!$C$4+2/3*(100-Leger2!$C$4)),"A",IF(Leger2!AN40&gt;=(Leger2!$C$4+1/3*(100-Leger2!$C$4)),"B",IF(Leger2!AN40&gt;=Leger2!$C$4,"C","D"))))</f>
        <v/>
      </c>
      <c r="AE40" s="249" t="str">
        <f>IF(Leger2!AP40="","",IF(Leger2!AP40&gt;=(Leger2!$C$4+2/3*(100-Leger2!$C$4)),"A",IF(Leger2!AP40&gt;=(Leger2!$C$4+1/3*(100-Leger2!$C$4)),"B",IF(Leger2!AP40&gt;=Leger2!$C$4,"C","D"))))</f>
        <v/>
      </c>
      <c r="AF40" s="252" t="str">
        <f>IF(Leger2!AQ40="","",IF(Leger2!AQ40&gt;=(Leger2!$C$4+2/3*(100-Leger2!$C$4)),"A",IF(Leger2!AQ40&gt;=(Leger2!$C$4+1/3*(100-Leger2!$C$4)),"B",IF(Leger2!AQ40&gt;=Leger2!$C$4,"C","D"))))</f>
        <v/>
      </c>
      <c r="AG40" s="249" t="str">
        <f>IF(Leger2!AS40="","",IF(Leger2!AS40&gt;=(Leger2!$C$4+2/3*(100-Leger2!$C$4)),"A",IF(Leger2!AS40&gt;=(Leger2!$C$4+1/3*(100-Leger2!$C$4)),"B",IF(Leger2!AS40&gt;=Leger2!$C$4,"C","D"))))</f>
        <v/>
      </c>
      <c r="AH40" s="252" t="str">
        <f>IF(Leger2!AT40="","",IF(Leger2!AT40&gt;=(Leger2!$C$4+2/3*(100-Leger2!$C$4)),"A",IF(Leger2!AT40&gt;=(Leger2!$C$4+1/3*(100-Leger2!$C$4)),"B",IF(Leger2!AT40&gt;=Leger2!$C$4,"C","D"))))</f>
        <v/>
      </c>
      <c r="AI40" s="249" t="str">
        <f>IF(Leger2!AV40="","",IF(Leger2!AV40&gt;=(Leger2!$C$4+2/3*(100-Leger2!$C$4)),"A",IF(Leger2!AV40&gt;=(Leger2!$C$4+1/3*(100-Leger2!$C$4)),"B",IF(Leger2!AV40&gt;=Leger2!$C$4,"C","D"))))</f>
        <v/>
      </c>
      <c r="AJ40" s="252" t="str">
        <f>IF(Leger2!AW40="","",IF(Leger2!AW40&gt;=(Leger2!$C$4+2/3*(100-Leger2!$C$4)),"A",IF(Leger2!AW40&gt;=(Leger2!$C$4+1/3*(100-Leger2!$C$4)),"B",IF(Leger2!AW40&gt;=Leger2!$C$4,"C","D"))))</f>
        <v/>
      </c>
      <c r="AK40" s="249" t="str">
        <f>IF(Leger2!AY40="","",IF(Leger2!AY40&gt;=(Leger2!$C$4+2/3*(100-Leger2!$C$4)),"A",IF(Leger2!AY40&gt;=(Leger2!$C$4+1/3*(100-Leger2!$C$4)),"B",IF(Leger2!AY40&gt;=Leger2!$C$4,"C","D"))))</f>
        <v/>
      </c>
      <c r="AL40" s="252" t="str">
        <f>IF(Leger2!AZ40="","",IF(Leger2!AZ40&gt;=(Leger2!$C$4+2/3*(100-Leger2!$C$4)),"A",IF(Leger2!AZ40&gt;=(Leger2!$C$4+1/3*(100-Leger2!$C$4)),"B",IF(Leger2!AZ40&gt;=Leger2!$C$4,"C","D"))))</f>
        <v/>
      </c>
    </row>
    <row r="41" spans="5:38">
      <c r="E41" s="211" t="str">
        <f>Biodata!B40</f>
        <v/>
      </c>
      <c r="F41" s="212" t="str">
        <f>IF(Biodata!C40="","",VLOOKUP(E41,Biodata_Siswa,2,FALSE))</f>
        <v/>
      </c>
      <c r="G41" s="1015" t="str">
        <f>IF(Biodata!E40="","",PROPER(VLOOKUP(E41,Biodata_Siswa,4,FALSE)))</f>
        <v/>
      </c>
      <c r="H41" s="1016"/>
      <c r="I41" s="249" t="str">
        <f>IF(Leger2!I41="","",IF(Leger2!I41&gt;=(Leger2!$C$4+2/3*(100-Leger2!$C$4)),"A",IF(Leger2!I41&gt;=(Leger2!$C$4+1/3*(100-Leger2!$C$4)),"B",IF(Leger2!I41&gt;=Leger2!$C$4,"C","D"))))</f>
        <v/>
      </c>
      <c r="J41" s="252" t="str">
        <f>IF(Leger2!J41="","",IF(Leger2!J41&gt;=(Leger2!$C$4+2/3*(100-Leger2!$C$4)),"A",IF(Leger2!J41&gt;=(Leger2!$C$4+1/3*(100-Leger2!$C$4)),"B",IF(Leger2!J41&gt;=Leger2!$C$4,"C","D"))))</f>
        <v/>
      </c>
      <c r="K41" s="249" t="str">
        <f>IF(Leger2!L41="","",IF(Leger2!L41&gt;=(Leger2!$C$4+2/3*(100-Leger2!$C$4)),"A",IF(Leger2!L41&gt;=(Leger2!$C$4+1/3*(100-Leger2!$C$4)),"B",IF(Leger2!L41&gt;=Leger2!$C$4,"C","D"))))</f>
        <v/>
      </c>
      <c r="L41" s="252" t="str">
        <f>IF(Leger2!M41="","",IF(Leger2!M41&gt;=(Leger2!$C$4+2/3*(100-Leger2!$C$4)),"A",IF(Leger2!M41&gt;=(Leger2!$C$4+1/3*(100-Leger2!$C$4)),"B",IF(Leger2!M41&gt;=Leger2!$C$4,"C","D"))))</f>
        <v/>
      </c>
      <c r="M41" s="249" t="str">
        <f>IF(Leger2!O41="","",IF(Leger2!O41&gt;=(Leger2!$C$4+2/3*(100-Leger2!$C$4)),"A",IF(Leger2!O41&gt;=(Leger2!$C$4+1/3*(100-Leger2!$C$4)),"B",IF(Leger2!O41&gt;=Leger2!$C$4,"C","D"))))</f>
        <v/>
      </c>
      <c r="N41" s="252" t="str">
        <f>IF(Leger2!P41="","",IF(Leger2!P41&gt;=(Leger2!$C$4+2/3*(100-Leger2!$C$4)),"A",IF(Leger2!P41&gt;=(Leger2!$C$4+1/3*(100-Leger2!$C$4)),"B",IF(Leger2!P41&gt;=Leger2!$C$4,"C","D"))))</f>
        <v/>
      </c>
      <c r="O41" s="249" t="str">
        <f>IF(Leger2!R41="","",IF(Leger2!R41&gt;=(Leger2!$C$4+2/3*(100-Leger2!$C$4)),"A",IF(Leger2!R41&gt;=(Leger2!$C$4+1/3*(100-Leger2!$C$4)),"B",IF(Leger2!R41&gt;=Leger2!$C$4,"C","D"))))</f>
        <v/>
      </c>
      <c r="P41" s="252" t="str">
        <f>IF(Leger2!S41="","",IF(Leger2!S41&gt;=(Leger2!$C$4+2/3*(100-Leger2!$C$4)),"A",IF(Leger2!S41&gt;=(Leger2!$C$4+1/3*(100-Leger2!$C$4)),"B",IF(Leger2!S41&gt;=Leger2!$C$4,"C","D"))))</f>
        <v/>
      </c>
      <c r="Q41" s="249" t="str">
        <f>IF(Leger2!U41="","",IF(Leger2!U41&gt;=(Leger2!$C$4+2/3*(100-Leger2!$C$4)),"A",IF(Leger2!U41&gt;=(Leger2!$C$4+1/3*(100-Leger2!$C$4)),"B",IF(Leger2!U41&gt;=Leger2!$C$4,"C","D"))))</f>
        <v/>
      </c>
      <c r="R41" s="252" t="str">
        <f>IF(Leger2!V41="","",IF(Leger2!V41&gt;=(Leger2!$C$4+2/3*(100-Leger2!$C$4)),"A",IF(Leger2!V41&gt;=(Leger2!$C$4+1/3*(100-Leger2!$C$4)),"B",IF(Leger2!V41&gt;=Leger2!$C$4,"C","D"))))</f>
        <v/>
      </c>
      <c r="S41" s="249" t="str">
        <f>IF(Leger2!X41="","",IF(Leger2!X41&gt;=(Leger2!$C$4+2/3*(100-Leger2!$C$4)),"A",IF(Leger2!X41&gt;=(Leger2!$C$4+1/3*(100-Leger2!$C$4)),"B",IF(Leger2!X41&gt;=Leger2!$C$4,"C","D"))))</f>
        <v/>
      </c>
      <c r="T41" s="252" t="str">
        <f>IF(Leger2!Y41="","",IF(Leger2!Y41&gt;=(Leger2!$C$4+2/3*(100-Leger2!$C$4)),"A",IF(Leger2!Y41&gt;=(Leger2!$C$4+1/3*(100-Leger2!$C$4)),"B",IF(Leger2!Y41&gt;=Leger2!$C$4,"C","D"))))</f>
        <v/>
      </c>
      <c r="U41" s="249" t="str">
        <f>IF(Leger2!AA41="","",IF(Leger2!AA41&gt;=(Leger2!$C$4+2/3*(100-Leger2!$C$4)),"A",IF(Leger2!AA41&gt;=(Leger2!$C$4+1/3*(100-Leger2!$C$4)),"B",IF(Leger2!AA41&gt;=Leger2!$C$4,"C","D"))))</f>
        <v/>
      </c>
      <c r="V41" s="252" t="str">
        <f>IF(Leger2!AB41="","",IF(Leger2!AB41&gt;=(Leger2!$C$4+2/3*(100-Leger2!$C$4)),"A",IF(Leger2!AB41&gt;=(Leger2!$C$4+1/3*(100-Leger2!$C$4)),"B",IF(Leger2!AB41&gt;=Leger2!$C$4,"C","D"))))</f>
        <v/>
      </c>
      <c r="W41" s="249" t="str">
        <f>IF(Leger2!AD41="","",IF(Leger2!AD41&gt;=(Leger2!$C$4+2/3*(100-Leger2!$C$4)),"A",IF(Leger2!AD41&gt;=(Leger2!$C$4+1/3*(100-Leger2!$C$4)),"B",IF(Leger2!AD41&gt;=Leger2!$C$4,"C","D"))))</f>
        <v/>
      </c>
      <c r="X41" s="252" t="str">
        <f>IF(Leger2!AE41="","",IF(Leger2!AE41&gt;=(Leger2!$C$4+2/3*(100-Leger2!$C$4)),"A",IF(Leger2!AE41&gt;=(Leger2!$C$4+1/3*(100-Leger2!$C$4)),"B",IF(Leger2!AE41&gt;=Leger2!$C$4,"C","D"))))</f>
        <v/>
      </c>
      <c r="Y41" s="249" t="str">
        <f>IF(Leger2!AG41="","",IF(Leger2!AG41&gt;=(Leger2!$C$4+2/3*(100-Leger2!$C$4)),"A",IF(Leger2!AG41&gt;=(Leger2!$C$4+1/3*(100-Leger2!$C$4)),"B",IF(Leger2!AG41&gt;=Leger2!$C$4,"C","D"))))</f>
        <v/>
      </c>
      <c r="Z41" s="252" t="str">
        <f>IF(Leger2!AH41="","",IF(Leger2!AH41&gt;=(Leger2!$C$4+2/3*(100-Leger2!$C$4)),"A",IF(Leger2!AH41&gt;=(Leger2!$C$4+1/3*(100-Leger2!$C$4)),"B",IF(Leger2!AH41&gt;=Leger2!$C$4,"C","D"))))</f>
        <v/>
      </c>
      <c r="AA41" s="249" t="str">
        <f>IF(Leger2!AJ41="","",IF(Leger2!AJ41&gt;=(Leger2!$C$4+2/3*(100-Leger2!$C$4)),"A",IF(Leger2!AJ41&gt;=(Leger2!$C$4+1/3*(100-Leger2!$C$4)),"B",IF(Leger2!AJ41&gt;=Leger2!$C$4,"C","D"))))</f>
        <v/>
      </c>
      <c r="AB41" s="252" t="str">
        <f>IF(Leger2!AK41="","",IF(Leger2!AK41&gt;=(Leger2!$C$4+2/3*(100-Leger2!$C$4)),"A",IF(Leger2!AK41&gt;=(Leger2!$C$4+1/3*(100-Leger2!$C$4)),"B",IF(Leger2!AK41&gt;=Leger2!$C$4,"C","D"))))</f>
        <v/>
      </c>
      <c r="AC41" s="249" t="str">
        <f>IF(Leger2!AM41="","",IF(Leger2!AM41&gt;=(Leger2!$C$4+2/3*(100-Leger2!$C$4)),"A",IF(Leger2!AM41&gt;=(Leger2!$C$4+1/3*(100-Leger2!$C$4)),"B",IF(Leger2!AM41&gt;=Leger2!$C$4,"C","D"))))</f>
        <v/>
      </c>
      <c r="AD41" s="252" t="str">
        <f>IF(Leger2!AN41="","",IF(Leger2!AN41&gt;=(Leger2!$C$4+2/3*(100-Leger2!$C$4)),"A",IF(Leger2!AN41&gt;=(Leger2!$C$4+1/3*(100-Leger2!$C$4)),"B",IF(Leger2!AN41&gt;=Leger2!$C$4,"C","D"))))</f>
        <v/>
      </c>
      <c r="AE41" s="249" t="str">
        <f>IF(Leger2!AP41="","",IF(Leger2!AP41&gt;=(Leger2!$C$4+2/3*(100-Leger2!$C$4)),"A",IF(Leger2!AP41&gt;=(Leger2!$C$4+1/3*(100-Leger2!$C$4)),"B",IF(Leger2!AP41&gt;=Leger2!$C$4,"C","D"))))</f>
        <v/>
      </c>
      <c r="AF41" s="252" t="str">
        <f>IF(Leger2!AQ41="","",IF(Leger2!AQ41&gt;=(Leger2!$C$4+2/3*(100-Leger2!$C$4)),"A",IF(Leger2!AQ41&gt;=(Leger2!$C$4+1/3*(100-Leger2!$C$4)),"B",IF(Leger2!AQ41&gt;=Leger2!$C$4,"C","D"))))</f>
        <v/>
      </c>
      <c r="AG41" s="249" t="str">
        <f>IF(Leger2!AS41="","",IF(Leger2!AS41&gt;=(Leger2!$C$4+2/3*(100-Leger2!$C$4)),"A",IF(Leger2!AS41&gt;=(Leger2!$C$4+1/3*(100-Leger2!$C$4)),"B",IF(Leger2!AS41&gt;=Leger2!$C$4,"C","D"))))</f>
        <v/>
      </c>
      <c r="AH41" s="252" t="str">
        <f>IF(Leger2!AT41="","",IF(Leger2!AT41&gt;=(Leger2!$C$4+2/3*(100-Leger2!$C$4)),"A",IF(Leger2!AT41&gt;=(Leger2!$C$4+1/3*(100-Leger2!$C$4)),"B",IF(Leger2!AT41&gt;=Leger2!$C$4,"C","D"))))</f>
        <v/>
      </c>
      <c r="AI41" s="249" t="str">
        <f>IF(Leger2!AV41="","",IF(Leger2!AV41&gt;=(Leger2!$C$4+2/3*(100-Leger2!$C$4)),"A",IF(Leger2!AV41&gt;=(Leger2!$C$4+1/3*(100-Leger2!$C$4)),"B",IF(Leger2!AV41&gt;=Leger2!$C$4,"C","D"))))</f>
        <v/>
      </c>
      <c r="AJ41" s="252" t="str">
        <f>IF(Leger2!AW41="","",IF(Leger2!AW41&gt;=(Leger2!$C$4+2/3*(100-Leger2!$C$4)),"A",IF(Leger2!AW41&gt;=(Leger2!$C$4+1/3*(100-Leger2!$C$4)),"B",IF(Leger2!AW41&gt;=Leger2!$C$4,"C","D"))))</f>
        <v/>
      </c>
      <c r="AK41" s="249" t="str">
        <f>IF(Leger2!AY41="","",IF(Leger2!AY41&gt;=(Leger2!$C$4+2/3*(100-Leger2!$C$4)),"A",IF(Leger2!AY41&gt;=(Leger2!$C$4+1/3*(100-Leger2!$C$4)),"B",IF(Leger2!AY41&gt;=Leger2!$C$4,"C","D"))))</f>
        <v/>
      </c>
      <c r="AL41" s="252" t="str">
        <f>IF(Leger2!AZ41="","",IF(Leger2!AZ41&gt;=(Leger2!$C$4+2/3*(100-Leger2!$C$4)),"A",IF(Leger2!AZ41&gt;=(Leger2!$C$4+1/3*(100-Leger2!$C$4)),"B",IF(Leger2!AZ41&gt;=Leger2!$C$4,"C","D"))))</f>
        <v/>
      </c>
    </row>
    <row r="42" spans="5:38">
      <c r="E42" s="211" t="str">
        <f>Biodata!B41</f>
        <v/>
      </c>
      <c r="F42" s="212" t="str">
        <f>IF(Biodata!C41="","",VLOOKUP(E42,Biodata_Siswa,2,FALSE))</f>
        <v/>
      </c>
      <c r="G42" s="1015" t="str">
        <f>IF(Biodata!E41="","",PROPER(VLOOKUP(E42,Biodata_Siswa,4,FALSE)))</f>
        <v/>
      </c>
      <c r="H42" s="1016"/>
      <c r="I42" s="249" t="str">
        <f>IF(Leger2!I42="","",IF(Leger2!I42&gt;=(Leger2!$C$4+2/3*(100-Leger2!$C$4)),"A",IF(Leger2!I42&gt;=(Leger2!$C$4+1/3*(100-Leger2!$C$4)),"B",IF(Leger2!I42&gt;=Leger2!$C$4,"C","D"))))</f>
        <v/>
      </c>
      <c r="J42" s="252" t="str">
        <f>IF(Leger2!J42="","",IF(Leger2!J42&gt;=(Leger2!$C$4+2/3*(100-Leger2!$C$4)),"A",IF(Leger2!J42&gt;=(Leger2!$C$4+1/3*(100-Leger2!$C$4)),"B",IF(Leger2!J42&gt;=Leger2!$C$4,"C","D"))))</f>
        <v/>
      </c>
      <c r="K42" s="249" t="str">
        <f>IF(Leger2!L42="","",IF(Leger2!L42&gt;=(Leger2!$C$4+2/3*(100-Leger2!$C$4)),"A",IF(Leger2!L42&gt;=(Leger2!$C$4+1/3*(100-Leger2!$C$4)),"B",IF(Leger2!L42&gt;=Leger2!$C$4,"C","D"))))</f>
        <v/>
      </c>
      <c r="L42" s="252" t="str">
        <f>IF(Leger2!M42="","",IF(Leger2!M42&gt;=(Leger2!$C$4+2/3*(100-Leger2!$C$4)),"A",IF(Leger2!M42&gt;=(Leger2!$C$4+1/3*(100-Leger2!$C$4)),"B",IF(Leger2!M42&gt;=Leger2!$C$4,"C","D"))))</f>
        <v/>
      </c>
      <c r="M42" s="249" t="str">
        <f>IF(Leger2!O42="","",IF(Leger2!O42&gt;=(Leger2!$C$4+2/3*(100-Leger2!$C$4)),"A",IF(Leger2!O42&gt;=(Leger2!$C$4+1/3*(100-Leger2!$C$4)),"B",IF(Leger2!O42&gt;=Leger2!$C$4,"C","D"))))</f>
        <v/>
      </c>
      <c r="N42" s="252" t="str">
        <f>IF(Leger2!P42="","",IF(Leger2!P42&gt;=(Leger2!$C$4+2/3*(100-Leger2!$C$4)),"A",IF(Leger2!P42&gt;=(Leger2!$C$4+1/3*(100-Leger2!$C$4)),"B",IF(Leger2!P42&gt;=Leger2!$C$4,"C","D"))))</f>
        <v/>
      </c>
      <c r="O42" s="249" t="str">
        <f>IF(Leger2!R42="","",IF(Leger2!R42&gt;=(Leger2!$C$4+2/3*(100-Leger2!$C$4)),"A",IF(Leger2!R42&gt;=(Leger2!$C$4+1/3*(100-Leger2!$C$4)),"B",IF(Leger2!R42&gt;=Leger2!$C$4,"C","D"))))</f>
        <v/>
      </c>
      <c r="P42" s="252" t="str">
        <f>IF(Leger2!S42="","",IF(Leger2!S42&gt;=(Leger2!$C$4+2/3*(100-Leger2!$C$4)),"A",IF(Leger2!S42&gt;=(Leger2!$C$4+1/3*(100-Leger2!$C$4)),"B",IF(Leger2!S42&gt;=Leger2!$C$4,"C","D"))))</f>
        <v/>
      </c>
      <c r="Q42" s="249" t="str">
        <f>IF(Leger2!U42="","",IF(Leger2!U42&gt;=(Leger2!$C$4+2/3*(100-Leger2!$C$4)),"A",IF(Leger2!U42&gt;=(Leger2!$C$4+1/3*(100-Leger2!$C$4)),"B",IF(Leger2!U42&gt;=Leger2!$C$4,"C","D"))))</f>
        <v/>
      </c>
      <c r="R42" s="252" t="str">
        <f>IF(Leger2!V42="","",IF(Leger2!V42&gt;=(Leger2!$C$4+2/3*(100-Leger2!$C$4)),"A",IF(Leger2!V42&gt;=(Leger2!$C$4+1/3*(100-Leger2!$C$4)),"B",IF(Leger2!V42&gt;=Leger2!$C$4,"C","D"))))</f>
        <v/>
      </c>
      <c r="S42" s="249" t="str">
        <f>IF(Leger2!X42="","",IF(Leger2!X42&gt;=(Leger2!$C$4+2/3*(100-Leger2!$C$4)),"A",IF(Leger2!X42&gt;=(Leger2!$C$4+1/3*(100-Leger2!$C$4)),"B",IF(Leger2!X42&gt;=Leger2!$C$4,"C","D"))))</f>
        <v/>
      </c>
      <c r="T42" s="252" t="str">
        <f>IF(Leger2!Y42="","",IF(Leger2!Y42&gt;=(Leger2!$C$4+2/3*(100-Leger2!$C$4)),"A",IF(Leger2!Y42&gt;=(Leger2!$C$4+1/3*(100-Leger2!$C$4)),"B",IF(Leger2!Y42&gt;=Leger2!$C$4,"C","D"))))</f>
        <v/>
      </c>
      <c r="U42" s="249" t="str">
        <f>IF(Leger2!AA42="","",IF(Leger2!AA42&gt;=(Leger2!$C$4+2/3*(100-Leger2!$C$4)),"A",IF(Leger2!AA42&gt;=(Leger2!$C$4+1/3*(100-Leger2!$C$4)),"B",IF(Leger2!AA42&gt;=Leger2!$C$4,"C","D"))))</f>
        <v/>
      </c>
      <c r="V42" s="252" t="str">
        <f>IF(Leger2!AB42="","",IF(Leger2!AB42&gt;=(Leger2!$C$4+2/3*(100-Leger2!$C$4)),"A",IF(Leger2!AB42&gt;=(Leger2!$C$4+1/3*(100-Leger2!$C$4)),"B",IF(Leger2!AB42&gt;=Leger2!$C$4,"C","D"))))</f>
        <v/>
      </c>
      <c r="W42" s="249" t="str">
        <f>IF(Leger2!AD42="","",IF(Leger2!AD42&gt;=(Leger2!$C$4+2/3*(100-Leger2!$C$4)),"A",IF(Leger2!AD42&gt;=(Leger2!$C$4+1/3*(100-Leger2!$C$4)),"B",IF(Leger2!AD42&gt;=Leger2!$C$4,"C","D"))))</f>
        <v/>
      </c>
      <c r="X42" s="252" t="str">
        <f>IF(Leger2!AE42="","",IF(Leger2!AE42&gt;=(Leger2!$C$4+2/3*(100-Leger2!$C$4)),"A",IF(Leger2!AE42&gt;=(Leger2!$C$4+1/3*(100-Leger2!$C$4)),"B",IF(Leger2!AE42&gt;=Leger2!$C$4,"C","D"))))</f>
        <v/>
      </c>
      <c r="Y42" s="249" t="str">
        <f>IF(Leger2!AG42="","",IF(Leger2!AG42&gt;=(Leger2!$C$4+2/3*(100-Leger2!$C$4)),"A",IF(Leger2!AG42&gt;=(Leger2!$C$4+1/3*(100-Leger2!$C$4)),"B",IF(Leger2!AG42&gt;=Leger2!$C$4,"C","D"))))</f>
        <v/>
      </c>
      <c r="Z42" s="252" t="str">
        <f>IF(Leger2!AH42="","",IF(Leger2!AH42&gt;=(Leger2!$C$4+2/3*(100-Leger2!$C$4)),"A",IF(Leger2!AH42&gt;=(Leger2!$C$4+1/3*(100-Leger2!$C$4)),"B",IF(Leger2!AH42&gt;=Leger2!$C$4,"C","D"))))</f>
        <v/>
      </c>
      <c r="AA42" s="249" t="str">
        <f>IF(Leger2!AJ42="","",IF(Leger2!AJ42&gt;=(Leger2!$C$4+2/3*(100-Leger2!$C$4)),"A",IF(Leger2!AJ42&gt;=(Leger2!$C$4+1/3*(100-Leger2!$C$4)),"B",IF(Leger2!AJ42&gt;=Leger2!$C$4,"C","D"))))</f>
        <v/>
      </c>
      <c r="AB42" s="252" t="str">
        <f>IF(Leger2!AK42="","",IF(Leger2!AK42&gt;=(Leger2!$C$4+2/3*(100-Leger2!$C$4)),"A",IF(Leger2!AK42&gt;=(Leger2!$C$4+1/3*(100-Leger2!$C$4)),"B",IF(Leger2!AK42&gt;=Leger2!$C$4,"C","D"))))</f>
        <v/>
      </c>
      <c r="AC42" s="249" t="str">
        <f>IF(Leger2!AM42="","",IF(Leger2!AM42&gt;=(Leger2!$C$4+2/3*(100-Leger2!$C$4)),"A",IF(Leger2!AM42&gt;=(Leger2!$C$4+1/3*(100-Leger2!$C$4)),"B",IF(Leger2!AM42&gt;=Leger2!$C$4,"C","D"))))</f>
        <v/>
      </c>
      <c r="AD42" s="252" t="str">
        <f>IF(Leger2!AN42="","",IF(Leger2!AN42&gt;=(Leger2!$C$4+2/3*(100-Leger2!$C$4)),"A",IF(Leger2!AN42&gt;=(Leger2!$C$4+1/3*(100-Leger2!$C$4)),"B",IF(Leger2!AN42&gt;=Leger2!$C$4,"C","D"))))</f>
        <v/>
      </c>
      <c r="AE42" s="249" t="str">
        <f>IF(Leger2!AP42="","",IF(Leger2!AP42&gt;=(Leger2!$C$4+2/3*(100-Leger2!$C$4)),"A",IF(Leger2!AP42&gt;=(Leger2!$C$4+1/3*(100-Leger2!$C$4)),"B",IF(Leger2!AP42&gt;=Leger2!$C$4,"C","D"))))</f>
        <v/>
      </c>
      <c r="AF42" s="252" t="str">
        <f>IF(Leger2!AQ42="","",IF(Leger2!AQ42&gt;=(Leger2!$C$4+2/3*(100-Leger2!$C$4)),"A",IF(Leger2!AQ42&gt;=(Leger2!$C$4+1/3*(100-Leger2!$C$4)),"B",IF(Leger2!AQ42&gt;=Leger2!$C$4,"C","D"))))</f>
        <v/>
      </c>
      <c r="AG42" s="249" t="str">
        <f>IF(Leger2!AS42="","",IF(Leger2!AS42&gt;=(Leger2!$C$4+2/3*(100-Leger2!$C$4)),"A",IF(Leger2!AS42&gt;=(Leger2!$C$4+1/3*(100-Leger2!$C$4)),"B",IF(Leger2!AS42&gt;=Leger2!$C$4,"C","D"))))</f>
        <v/>
      </c>
      <c r="AH42" s="252" t="str">
        <f>IF(Leger2!AT42="","",IF(Leger2!AT42&gt;=(Leger2!$C$4+2/3*(100-Leger2!$C$4)),"A",IF(Leger2!AT42&gt;=(Leger2!$C$4+1/3*(100-Leger2!$C$4)),"B",IF(Leger2!AT42&gt;=Leger2!$C$4,"C","D"))))</f>
        <v/>
      </c>
      <c r="AI42" s="249" t="str">
        <f>IF(Leger2!AV42="","",IF(Leger2!AV42&gt;=(Leger2!$C$4+2/3*(100-Leger2!$C$4)),"A",IF(Leger2!AV42&gt;=(Leger2!$C$4+1/3*(100-Leger2!$C$4)),"B",IF(Leger2!AV42&gt;=Leger2!$C$4,"C","D"))))</f>
        <v/>
      </c>
      <c r="AJ42" s="252" t="str">
        <f>IF(Leger2!AW42="","",IF(Leger2!AW42&gt;=(Leger2!$C$4+2/3*(100-Leger2!$C$4)),"A",IF(Leger2!AW42&gt;=(Leger2!$C$4+1/3*(100-Leger2!$C$4)),"B",IF(Leger2!AW42&gt;=Leger2!$C$4,"C","D"))))</f>
        <v/>
      </c>
      <c r="AK42" s="249" t="str">
        <f>IF(Leger2!AY42="","",IF(Leger2!AY42&gt;=(Leger2!$C$4+2/3*(100-Leger2!$C$4)),"A",IF(Leger2!AY42&gt;=(Leger2!$C$4+1/3*(100-Leger2!$C$4)),"B",IF(Leger2!AY42&gt;=Leger2!$C$4,"C","D"))))</f>
        <v/>
      </c>
      <c r="AL42" s="252" t="str">
        <f>IF(Leger2!AZ42="","",IF(Leger2!AZ42&gt;=(Leger2!$C$4+2/3*(100-Leger2!$C$4)),"A",IF(Leger2!AZ42&gt;=(Leger2!$C$4+1/3*(100-Leger2!$C$4)),"B",IF(Leger2!AZ42&gt;=Leger2!$C$4,"C","D"))))</f>
        <v/>
      </c>
    </row>
    <row r="43" spans="5:38">
      <c r="E43" s="211" t="str">
        <f>Biodata!B42</f>
        <v/>
      </c>
      <c r="F43" s="212" t="str">
        <f>IF(Biodata!C42="","",VLOOKUP(E43,Biodata_Siswa,2,FALSE))</f>
        <v/>
      </c>
      <c r="G43" s="1015" t="str">
        <f>IF(Biodata!E42="","",PROPER(VLOOKUP(E43,Biodata_Siswa,4,FALSE)))</f>
        <v/>
      </c>
      <c r="H43" s="1016"/>
      <c r="I43" s="249" t="str">
        <f>IF(Leger2!I43="","",IF(Leger2!I43&gt;=(Leger2!$C$4+2/3*(100-Leger2!$C$4)),"A",IF(Leger2!I43&gt;=(Leger2!$C$4+1/3*(100-Leger2!$C$4)),"B",IF(Leger2!I43&gt;=Leger2!$C$4,"C","D"))))</f>
        <v/>
      </c>
      <c r="J43" s="252" t="str">
        <f>IF(Leger2!J43="","",IF(Leger2!J43&gt;=(Leger2!$C$4+2/3*(100-Leger2!$C$4)),"A",IF(Leger2!J43&gt;=(Leger2!$C$4+1/3*(100-Leger2!$C$4)),"B",IF(Leger2!J43&gt;=Leger2!$C$4,"C","D"))))</f>
        <v/>
      </c>
      <c r="K43" s="249" t="str">
        <f>IF(Leger2!L43="","",IF(Leger2!L43&gt;=(Leger2!$C$4+2/3*(100-Leger2!$C$4)),"A",IF(Leger2!L43&gt;=(Leger2!$C$4+1/3*(100-Leger2!$C$4)),"B",IF(Leger2!L43&gt;=Leger2!$C$4,"C","D"))))</f>
        <v/>
      </c>
      <c r="L43" s="252" t="str">
        <f>IF(Leger2!M43="","",IF(Leger2!M43&gt;=(Leger2!$C$4+2/3*(100-Leger2!$C$4)),"A",IF(Leger2!M43&gt;=(Leger2!$C$4+1/3*(100-Leger2!$C$4)),"B",IF(Leger2!M43&gt;=Leger2!$C$4,"C","D"))))</f>
        <v/>
      </c>
      <c r="M43" s="249" t="str">
        <f>IF(Leger2!O43="","",IF(Leger2!O43&gt;=(Leger2!$C$4+2/3*(100-Leger2!$C$4)),"A",IF(Leger2!O43&gt;=(Leger2!$C$4+1/3*(100-Leger2!$C$4)),"B",IF(Leger2!O43&gt;=Leger2!$C$4,"C","D"))))</f>
        <v/>
      </c>
      <c r="N43" s="252" t="str">
        <f>IF(Leger2!P43="","",IF(Leger2!P43&gt;=(Leger2!$C$4+2/3*(100-Leger2!$C$4)),"A",IF(Leger2!P43&gt;=(Leger2!$C$4+1/3*(100-Leger2!$C$4)),"B",IF(Leger2!P43&gt;=Leger2!$C$4,"C","D"))))</f>
        <v/>
      </c>
      <c r="O43" s="249" t="str">
        <f>IF(Leger2!R43="","",IF(Leger2!R43&gt;=(Leger2!$C$4+2/3*(100-Leger2!$C$4)),"A",IF(Leger2!R43&gt;=(Leger2!$C$4+1/3*(100-Leger2!$C$4)),"B",IF(Leger2!R43&gt;=Leger2!$C$4,"C","D"))))</f>
        <v/>
      </c>
      <c r="P43" s="252" t="str">
        <f>IF(Leger2!S43="","",IF(Leger2!S43&gt;=(Leger2!$C$4+2/3*(100-Leger2!$C$4)),"A",IF(Leger2!S43&gt;=(Leger2!$C$4+1/3*(100-Leger2!$C$4)),"B",IF(Leger2!S43&gt;=Leger2!$C$4,"C","D"))))</f>
        <v/>
      </c>
      <c r="Q43" s="249" t="str">
        <f>IF(Leger2!U43="","",IF(Leger2!U43&gt;=(Leger2!$C$4+2/3*(100-Leger2!$C$4)),"A",IF(Leger2!U43&gt;=(Leger2!$C$4+1/3*(100-Leger2!$C$4)),"B",IF(Leger2!U43&gt;=Leger2!$C$4,"C","D"))))</f>
        <v/>
      </c>
      <c r="R43" s="252" t="str">
        <f>IF(Leger2!V43="","",IF(Leger2!V43&gt;=(Leger2!$C$4+2/3*(100-Leger2!$C$4)),"A",IF(Leger2!V43&gt;=(Leger2!$C$4+1/3*(100-Leger2!$C$4)),"B",IF(Leger2!V43&gt;=Leger2!$C$4,"C","D"))))</f>
        <v/>
      </c>
      <c r="S43" s="249" t="str">
        <f>IF(Leger2!X43="","",IF(Leger2!X43&gt;=(Leger2!$C$4+2/3*(100-Leger2!$C$4)),"A",IF(Leger2!X43&gt;=(Leger2!$C$4+1/3*(100-Leger2!$C$4)),"B",IF(Leger2!X43&gt;=Leger2!$C$4,"C","D"))))</f>
        <v/>
      </c>
      <c r="T43" s="252" t="str">
        <f>IF(Leger2!Y43="","",IF(Leger2!Y43&gt;=(Leger2!$C$4+2/3*(100-Leger2!$C$4)),"A",IF(Leger2!Y43&gt;=(Leger2!$C$4+1/3*(100-Leger2!$C$4)),"B",IF(Leger2!Y43&gt;=Leger2!$C$4,"C","D"))))</f>
        <v/>
      </c>
      <c r="U43" s="249" t="str">
        <f>IF(Leger2!AA43="","",IF(Leger2!AA43&gt;=(Leger2!$C$4+2/3*(100-Leger2!$C$4)),"A",IF(Leger2!AA43&gt;=(Leger2!$C$4+1/3*(100-Leger2!$C$4)),"B",IF(Leger2!AA43&gt;=Leger2!$C$4,"C","D"))))</f>
        <v/>
      </c>
      <c r="V43" s="252" t="str">
        <f>IF(Leger2!AB43="","",IF(Leger2!AB43&gt;=(Leger2!$C$4+2/3*(100-Leger2!$C$4)),"A",IF(Leger2!AB43&gt;=(Leger2!$C$4+1/3*(100-Leger2!$C$4)),"B",IF(Leger2!AB43&gt;=Leger2!$C$4,"C","D"))))</f>
        <v/>
      </c>
      <c r="W43" s="249" t="str">
        <f>IF(Leger2!AD43="","",IF(Leger2!AD43&gt;=(Leger2!$C$4+2/3*(100-Leger2!$C$4)),"A",IF(Leger2!AD43&gt;=(Leger2!$C$4+1/3*(100-Leger2!$C$4)),"B",IF(Leger2!AD43&gt;=Leger2!$C$4,"C","D"))))</f>
        <v/>
      </c>
      <c r="X43" s="252" t="str">
        <f>IF(Leger2!AE43="","",IF(Leger2!AE43&gt;=(Leger2!$C$4+2/3*(100-Leger2!$C$4)),"A",IF(Leger2!AE43&gt;=(Leger2!$C$4+1/3*(100-Leger2!$C$4)),"B",IF(Leger2!AE43&gt;=Leger2!$C$4,"C","D"))))</f>
        <v/>
      </c>
      <c r="Y43" s="249" t="str">
        <f>IF(Leger2!AG43="","",IF(Leger2!AG43&gt;=(Leger2!$C$4+2/3*(100-Leger2!$C$4)),"A",IF(Leger2!AG43&gt;=(Leger2!$C$4+1/3*(100-Leger2!$C$4)),"B",IF(Leger2!AG43&gt;=Leger2!$C$4,"C","D"))))</f>
        <v/>
      </c>
      <c r="Z43" s="252" t="str">
        <f>IF(Leger2!AH43="","",IF(Leger2!AH43&gt;=(Leger2!$C$4+2/3*(100-Leger2!$C$4)),"A",IF(Leger2!AH43&gt;=(Leger2!$C$4+1/3*(100-Leger2!$C$4)),"B",IF(Leger2!AH43&gt;=Leger2!$C$4,"C","D"))))</f>
        <v/>
      </c>
      <c r="AA43" s="249" t="str">
        <f>IF(Leger2!AJ43="","",IF(Leger2!AJ43&gt;=(Leger2!$C$4+2/3*(100-Leger2!$C$4)),"A",IF(Leger2!AJ43&gt;=(Leger2!$C$4+1/3*(100-Leger2!$C$4)),"B",IF(Leger2!AJ43&gt;=Leger2!$C$4,"C","D"))))</f>
        <v/>
      </c>
      <c r="AB43" s="252" t="str">
        <f>IF(Leger2!AK43="","",IF(Leger2!AK43&gt;=(Leger2!$C$4+2/3*(100-Leger2!$C$4)),"A",IF(Leger2!AK43&gt;=(Leger2!$C$4+1/3*(100-Leger2!$C$4)),"B",IF(Leger2!AK43&gt;=Leger2!$C$4,"C","D"))))</f>
        <v/>
      </c>
      <c r="AC43" s="249" t="str">
        <f>IF(Leger2!AM43="","",IF(Leger2!AM43&gt;=(Leger2!$C$4+2/3*(100-Leger2!$C$4)),"A",IF(Leger2!AM43&gt;=(Leger2!$C$4+1/3*(100-Leger2!$C$4)),"B",IF(Leger2!AM43&gt;=Leger2!$C$4,"C","D"))))</f>
        <v/>
      </c>
      <c r="AD43" s="252" t="str">
        <f>IF(Leger2!AN43="","",IF(Leger2!AN43&gt;=(Leger2!$C$4+2/3*(100-Leger2!$C$4)),"A",IF(Leger2!AN43&gt;=(Leger2!$C$4+1/3*(100-Leger2!$C$4)),"B",IF(Leger2!AN43&gt;=Leger2!$C$4,"C","D"))))</f>
        <v/>
      </c>
      <c r="AE43" s="249" t="str">
        <f>IF(Leger2!AP43="","",IF(Leger2!AP43&gt;=(Leger2!$C$4+2/3*(100-Leger2!$C$4)),"A",IF(Leger2!AP43&gt;=(Leger2!$C$4+1/3*(100-Leger2!$C$4)),"B",IF(Leger2!AP43&gt;=Leger2!$C$4,"C","D"))))</f>
        <v/>
      </c>
      <c r="AF43" s="252" t="str">
        <f>IF(Leger2!AQ43="","",IF(Leger2!AQ43&gt;=(Leger2!$C$4+2/3*(100-Leger2!$C$4)),"A",IF(Leger2!AQ43&gt;=(Leger2!$C$4+1/3*(100-Leger2!$C$4)),"B",IF(Leger2!AQ43&gt;=Leger2!$C$4,"C","D"))))</f>
        <v/>
      </c>
      <c r="AG43" s="249" t="str">
        <f>IF(Leger2!AS43="","",IF(Leger2!AS43&gt;=(Leger2!$C$4+2/3*(100-Leger2!$C$4)),"A",IF(Leger2!AS43&gt;=(Leger2!$C$4+1/3*(100-Leger2!$C$4)),"B",IF(Leger2!AS43&gt;=Leger2!$C$4,"C","D"))))</f>
        <v/>
      </c>
      <c r="AH43" s="252" t="str">
        <f>IF(Leger2!AT43="","",IF(Leger2!AT43&gt;=(Leger2!$C$4+2/3*(100-Leger2!$C$4)),"A",IF(Leger2!AT43&gt;=(Leger2!$C$4+1/3*(100-Leger2!$C$4)),"B",IF(Leger2!AT43&gt;=Leger2!$C$4,"C","D"))))</f>
        <v/>
      </c>
      <c r="AI43" s="249" t="str">
        <f>IF(Leger2!AV43="","",IF(Leger2!AV43&gt;=(Leger2!$C$4+2/3*(100-Leger2!$C$4)),"A",IF(Leger2!AV43&gt;=(Leger2!$C$4+1/3*(100-Leger2!$C$4)),"B",IF(Leger2!AV43&gt;=Leger2!$C$4,"C","D"))))</f>
        <v/>
      </c>
      <c r="AJ43" s="252" t="str">
        <f>IF(Leger2!AW43="","",IF(Leger2!AW43&gt;=(Leger2!$C$4+2/3*(100-Leger2!$C$4)),"A",IF(Leger2!AW43&gt;=(Leger2!$C$4+1/3*(100-Leger2!$C$4)),"B",IF(Leger2!AW43&gt;=Leger2!$C$4,"C","D"))))</f>
        <v/>
      </c>
      <c r="AK43" s="249" t="str">
        <f>IF(Leger2!AY43="","",IF(Leger2!AY43&gt;=(Leger2!$C$4+2/3*(100-Leger2!$C$4)),"A",IF(Leger2!AY43&gt;=(Leger2!$C$4+1/3*(100-Leger2!$C$4)),"B",IF(Leger2!AY43&gt;=Leger2!$C$4,"C","D"))))</f>
        <v/>
      </c>
      <c r="AL43" s="252" t="str">
        <f>IF(Leger2!AZ43="","",IF(Leger2!AZ43&gt;=(Leger2!$C$4+2/3*(100-Leger2!$C$4)),"A",IF(Leger2!AZ43&gt;=(Leger2!$C$4+1/3*(100-Leger2!$C$4)),"B",IF(Leger2!AZ43&gt;=Leger2!$C$4,"C","D"))))</f>
        <v/>
      </c>
    </row>
    <row r="44" spans="5:38">
      <c r="E44" s="211" t="str">
        <f>Biodata!B43</f>
        <v/>
      </c>
      <c r="F44" s="212" t="str">
        <f>IF(Biodata!C43="","",VLOOKUP(E44,Biodata_Siswa,2,FALSE))</f>
        <v/>
      </c>
      <c r="G44" s="1015" t="str">
        <f>IF(Biodata!E43="","",PROPER(VLOOKUP(E44,Biodata_Siswa,4,FALSE)))</f>
        <v/>
      </c>
      <c r="H44" s="1016"/>
      <c r="I44" s="249" t="str">
        <f>IF(Leger2!I44="","",IF(Leger2!I44&gt;=(Leger2!$C$4+2/3*(100-Leger2!$C$4)),"A",IF(Leger2!I44&gt;=(Leger2!$C$4+1/3*(100-Leger2!$C$4)),"B",IF(Leger2!I44&gt;=Leger2!$C$4,"C","D"))))</f>
        <v/>
      </c>
      <c r="J44" s="252" t="str">
        <f>IF(Leger2!J44="","",IF(Leger2!J44&gt;=(Leger2!$C$4+2/3*(100-Leger2!$C$4)),"A",IF(Leger2!J44&gt;=(Leger2!$C$4+1/3*(100-Leger2!$C$4)),"B",IF(Leger2!J44&gt;=Leger2!$C$4,"C","D"))))</f>
        <v/>
      </c>
      <c r="K44" s="249" t="str">
        <f>IF(Leger2!L44="","",IF(Leger2!L44&gt;=(Leger2!$C$4+2/3*(100-Leger2!$C$4)),"A",IF(Leger2!L44&gt;=(Leger2!$C$4+1/3*(100-Leger2!$C$4)),"B",IF(Leger2!L44&gt;=Leger2!$C$4,"C","D"))))</f>
        <v/>
      </c>
      <c r="L44" s="252" t="str">
        <f>IF(Leger2!M44="","",IF(Leger2!M44&gt;=(Leger2!$C$4+2/3*(100-Leger2!$C$4)),"A",IF(Leger2!M44&gt;=(Leger2!$C$4+1/3*(100-Leger2!$C$4)),"B",IF(Leger2!M44&gt;=Leger2!$C$4,"C","D"))))</f>
        <v/>
      </c>
      <c r="M44" s="249" t="str">
        <f>IF(Leger2!O44="","",IF(Leger2!O44&gt;=(Leger2!$C$4+2/3*(100-Leger2!$C$4)),"A",IF(Leger2!O44&gt;=(Leger2!$C$4+1/3*(100-Leger2!$C$4)),"B",IF(Leger2!O44&gt;=Leger2!$C$4,"C","D"))))</f>
        <v/>
      </c>
      <c r="N44" s="252" t="str">
        <f>IF(Leger2!P44="","",IF(Leger2!P44&gt;=(Leger2!$C$4+2/3*(100-Leger2!$C$4)),"A",IF(Leger2!P44&gt;=(Leger2!$C$4+1/3*(100-Leger2!$C$4)),"B",IF(Leger2!P44&gt;=Leger2!$C$4,"C","D"))))</f>
        <v/>
      </c>
      <c r="O44" s="249" t="str">
        <f>IF(Leger2!R44="","",IF(Leger2!R44&gt;=(Leger2!$C$4+2/3*(100-Leger2!$C$4)),"A",IF(Leger2!R44&gt;=(Leger2!$C$4+1/3*(100-Leger2!$C$4)),"B",IF(Leger2!R44&gt;=Leger2!$C$4,"C","D"))))</f>
        <v/>
      </c>
      <c r="P44" s="252" t="str">
        <f>IF(Leger2!S44="","",IF(Leger2!S44&gt;=(Leger2!$C$4+2/3*(100-Leger2!$C$4)),"A",IF(Leger2!S44&gt;=(Leger2!$C$4+1/3*(100-Leger2!$C$4)),"B",IF(Leger2!S44&gt;=Leger2!$C$4,"C","D"))))</f>
        <v/>
      </c>
      <c r="Q44" s="249" t="str">
        <f>IF(Leger2!U44="","",IF(Leger2!U44&gt;=(Leger2!$C$4+2/3*(100-Leger2!$C$4)),"A",IF(Leger2!U44&gt;=(Leger2!$C$4+1/3*(100-Leger2!$C$4)),"B",IF(Leger2!U44&gt;=Leger2!$C$4,"C","D"))))</f>
        <v/>
      </c>
      <c r="R44" s="252" t="str">
        <f>IF(Leger2!V44="","",IF(Leger2!V44&gt;=(Leger2!$C$4+2/3*(100-Leger2!$C$4)),"A",IF(Leger2!V44&gt;=(Leger2!$C$4+1/3*(100-Leger2!$C$4)),"B",IF(Leger2!V44&gt;=Leger2!$C$4,"C","D"))))</f>
        <v/>
      </c>
      <c r="S44" s="249" t="str">
        <f>IF(Leger2!X44="","",IF(Leger2!X44&gt;=(Leger2!$C$4+2/3*(100-Leger2!$C$4)),"A",IF(Leger2!X44&gt;=(Leger2!$C$4+1/3*(100-Leger2!$C$4)),"B",IF(Leger2!X44&gt;=Leger2!$C$4,"C","D"))))</f>
        <v/>
      </c>
      <c r="T44" s="252" t="str">
        <f>IF(Leger2!Y44="","",IF(Leger2!Y44&gt;=(Leger2!$C$4+2/3*(100-Leger2!$C$4)),"A",IF(Leger2!Y44&gt;=(Leger2!$C$4+1/3*(100-Leger2!$C$4)),"B",IF(Leger2!Y44&gt;=Leger2!$C$4,"C","D"))))</f>
        <v/>
      </c>
      <c r="U44" s="249" t="str">
        <f>IF(Leger2!AA44="","",IF(Leger2!AA44&gt;=(Leger2!$C$4+2/3*(100-Leger2!$C$4)),"A",IF(Leger2!AA44&gt;=(Leger2!$C$4+1/3*(100-Leger2!$C$4)),"B",IF(Leger2!AA44&gt;=Leger2!$C$4,"C","D"))))</f>
        <v/>
      </c>
      <c r="V44" s="252" t="str">
        <f>IF(Leger2!AB44="","",IF(Leger2!AB44&gt;=(Leger2!$C$4+2/3*(100-Leger2!$C$4)),"A",IF(Leger2!AB44&gt;=(Leger2!$C$4+1/3*(100-Leger2!$C$4)),"B",IF(Leger2!AB44&gt;=Leger2!$C$4,"C","D"))))</f>
        <v/>
      </c>
      <c r="W44" s="249" t="str">
        <f>IF(Leger2!AD44="","",IF(Leger2!AD44&gt;=(Leger2!$C$4+2/3*(100-Leger2!$C$4)),"A",IF(Leger2!AD44&gt;=(Leger2!$C$4+1/3*(100-Leger2!$C$4)),"B",IF(Leger2!AD44&gt;=Leger2!$C$4,"C","D"))))</f>
        <v/>
      </c>
      <c r="X44" s="252" t="str">
        <f>IF(Leger2!AE44="","",IF(Leger2!AE44&gt;=(Leger2!$C$4+2/3*(100-Leger2!$C$4)),"A",IF(Leger2!AE44&gt;=(Leger2!$C$4+1/3*(100-Leger2!$C$4)),"B",IF(Leger2!AE44&gt;=Leger2!$C$4,"C","D"))))</f>
        <v/>
      </c>
      <c r="Y44" s="249" t="str">
        <f>IF(Leger2!AG44="","",IF(Leger2!AG44&gt;=(Leger2!$C$4+2/3*(100-Leger2!$C$4)),"A",IF(Leger2!AG44&gt;=(Leger2!$C$4+1/3*(100-Leger2!$C$4)),"B",IF(Leger2!AG44&gt;=Leger2!$C$4,"C","D"))))</f>
        <v/>
      </c>
      <c r="Z44" s="252" t="str">
        <f>IF(Leger2!AH44="","",IF(Leger2!AH44&gt;=(Leger2!$C$4+2/3*(100-Leger2!$C$4)),"A",IF(Leger2!AH44&gt;=(Leger2!$C$4+1/3*(100-Leger2!$C$4)),"B",IF(Leger2!AH44&gt;=Leger2!$C$4,"C","D"))))</f>
        <v/>
      </c>
      <c r="AA44" s="249" t="str">
        <f>IF(Leger2!AJ44="","",IF(Leger2!AJ44&gt;=(Leger2!$C$4+2/3*(100-Leger2!$C$4)),"A",IF(Leger2!AJ44&gt;=(Leger2!$C$4+1/3*(100-Leger2!$C$4)),"B",IF(Leger2!AJ44&gt;=Leger2!$C$4,"C","D"))))</f>
        <v/>
      </c>
      <c r="AB44" s="252" t="str">
        <f>IF(Leger2!AK44="","",IF(Leger2!AK44&gt;=(Leger2!$C$4+2/3*(100-Leger2!$C$4)),"A",IF(Leger2!AK44&gt;=(Leger2!$C$4+1/3*(100-Leger2!$C$4)),"B",IF(Leger2!AK44&gt;=Leger2!$C$4,"C","D"))))</f>
        <v/>
      </c>
      <c r="AC44" s="249" t="str">
        <f>IF(Leger2!AM44="","",IF(Leger2!AM44&gt;=(Leger2!$C$4+2/3*(100-Leger2!$C$4)),"A",IF(Leger2!AM44&gt;=(Leger2!$C$4+1/3*(100-Leger2!$C$4)),"B",IF(Leger2!AM44&gt;=Leger2!$C$4,"C","D"))))</f>
        <v/>
      </c>
      <c r="AD44" s="252" t="str">
        <f>IF(Leger2!AN44="","",IF(Leger2!AN44&gt;=(Leger2!$C$4+2/3*(100-Leger2!$C$4)),"A",IF(Leger2!AN44&gt;=(Leger2!$C$4+1/3*(100-Leger2!$C$4)),"B",IF(Leger2!AN44&gt;=Leger2!$C$4,"C","D"))))</f>
        <v/>
      </c>
      <c r="AE44" s="249" t="str">
        <f>IF(Leger2!AP44="","",IF(Leger2!AP44&gt;=(Leger2!$C$4+2/3*(100-Leger2!$C$4)),"A",IF(Leger2!AP44&gt;=(Leger2!$C$4+1/3*(100-Leger2!$C$4)),"B",IF(Leger2!AP44&gt;=Leger2!$C$4,"C","D"))))</f>
        <v/>
      </c>
      <c r="AF44" s="252" t="str">
        <f>IF(Leger2!AQ44="","",IF(Leger2!AQ44&gt;=(Leger2!$C$4+2/3*(100-Leger2!$C$4)),"A",IF(Leger2!AQ44&gt;=(Leger2!$C$4+1/3*(100-Leger2!$C$4)),"B",IF(Leger2!AQ44&gt;=Leger2!$C$4,"C","D"))))</f>
        <v/>
      </c>
      <c r="AG44" s="249" t="str">
        <f>IF(Leger2!AS44="","",IF(Leger2!AS44&gt;=(Leger2!$C$4+2/3*(100-Leger2!$C$4)),"A",IF(Leger2!AS44&gt;=(Leger2!$C$4+1/3*(100-Leger2!$C$4)),"B",IF(Leger2!AS44&gt;=Leger2!$C$4,"C","D"))))</f>
        <v/>
      </c>
      <c r="AH44" s="252" t="str">
        <f>IF(Leger2!AT44="","",IF(Leger2!AT44&gt;=(Leger2!$C$4+2/3*(100-Leger2!$C$4)),"A",IF(Leger2!AT44&gt;=(Leger2!$C$4+1/3*(100-Leger2!$C$4)),"B",IF(Leger2!AT44&gt;=Leger2!$C$4,"C","D"))))</f>
        <v/>
      </c>
      <c r="AI44" s="249" t="str">
        <f>IF(Leger2!AV44="","",IF(Leger2!AV44&gt;=(Leger2!$C$4+2/3*(100-Leger2!$C$4)),"A",IF(Leger2!AV44&gt;=(Leger2!$C$4+1/3*(100-Leger2!$C$4)),"B",IF(Leger2!AV44&gt;=Leger2!$C$4,"C","D"))))</f>
        <v/>
      </c>
      <c r="AJ44" s="252" t="str">
        <f>IF(Leger2!AW44="","",IF(Leger2!AW44&gt;=(Leger2!$C$4+2/3*(100-Leger2!$C$4)),"A",IF(Leger2!AW44&gt;=(Leger2!$C$4+1/3*(100-Leger2!$C$4)),"B",IF(Leger2!AW44&gt;=Leger2!$C$4,"C","D"))))</f>
        <v/>
      </c>
      <c r="AK44" s="249" t="str">
        <f>IF(Leger2!AY44="","",IF(Leger2!AY44&gt;=(Leger2!$C$4+2/3*(100-Leger2!$C$4)),"A",IF(Leger2!AY44&gt;=(Leger2!$C$4+1/3*(100-Leger2!$C$4)),"B",IF(Leger2!AY44&gt;=Leger2!$C$4,"C","D"))))</f>
        <v/>
      </c>
      <c r="AL44" s="252" t="str">
        <f>IF(Leger2!AZ44="","",IF(Leger2!AZ44&gt;=(Leger2!$C$4+2/3*(100-Leger2!$C$4)),"A",IF(Leger2!AZ44&gt;=(Leger2!$C$4+1/3*(100-Leger2!$C$4)),"B",IF(Leger2!AZ44&gt;=Leger2!$C$4,"C","D"))))</f>
        <v/>
      </c>
    </row>
    <row r="45" spans="5:38">
      <c r="E45" s="211" t="str">
        <f>Biodata!B44</f>
        <v/>
      </c>
      <c r="F45" s="212" t="str">
        <f>IF(Biodata!C44="","",VLOOKUP(E45,Biodata_Siswa,2,FALSE))</f>
        <v/>
      </c>
      <c r="G45" s="1015" t="str">
        <f>IF(Biodata!E44="","",PROPER(VLOOKUP(E45,Biodata_Siswa,4,FALSE)))</f>
        <v/>
      </c>
      <c r="H45" s="1016"/>
      <c r="I45" s="249" t="str">
        <f>IF(Leger2!I45="","",IF(Leger2!I45&gt;=(Leger2!$C$4+2/3*(100-Leger2!$C$4)),"A",IF(Leger2!I45&gt;=(Leger2!$C$4+1/3*(100-Leger2!$C$4)),"B",IF(Leger2!I45&gt;=Leger2!$C$4,"C","D"))))</f>
        <v/>
      </c>
      <c r="J45" s="252" t="str">
        <f>IF(Leger2!J45="","",IF(Leger2!J45&gt;=(Leger2!$C$4+2/3*(100-Leger2!$C$4)),"A",IF(Leger2!J45&gt;=(Leger2!$C$4+1/3*(100-Leger2!$C$4)),"B",IF(Leger2!J45&gt;=Leger2!$C$4,"C","D"))))</f>
        <v/>
      </c>
      <c r="K45" s="249" t="str">
        <f>IF(Leger2!L45="","",IF(Leger2!L45&gt;=(Leger2!$C$4+2/3*(100-Leger2!$C$4)),"A",IF(Leger2!L45&gt;=(Leger2!$C$4+1/3*(100-Leger2!$C$4)),"B",IF(Leger2!L45&gt;=Leger2!$C$4,"C","D"))))</f>
        <v/>
      </c>
      <c r="L45" s="252" t="str">
        <f>IF(Leger2!M45="","",IF(Leger2!M45&gt;=(Leger2!$C$4+2/3*(100-Leger2!$C$4)),"A",IF(Leger2!M45&gt;=(Leger2!$C$4+1/3*(100-Leger2!$C$4)),"B",IF(Leger2!M45&gt;=Leger2!$C$4,"C","D"))))</f>
        <v/>
      </c>
      <c r="M45" s="249" t="str">
        <f>IF(Leger2!O45="","",IF(Leger2!O45&gt;=(Leger2!$C$4+2/3*(100-Leger2!$C$4)),"A",IF(Leger2!O45&gt;=(Leger2!$C$4+1/3*(100-Leger2!$C$4)),"B",IF(Leger2!O45&gt;=Leger2!$C$4,"C","D"))))</f>
        <v/>
      </c>
      <c r="N45" s="252" t="str">
        <f>IF(Leger2!P45="","",IF(Leger2!P45&gt;=(Leger2!$C$4+2/3*(100-Leger2!$C$4)),"A",IF(Leger2!P45&gt;=(Leger2!$C$4+1/3*(100-Leger2!$C$4)),"B",IF(Leger2!P45&gt;=Leger2!$C$4,"C","D"))))</f>
        <v/>
      </c>
      <c r="O45" s="249" t="str">
        <f>IF(Leger2!R45="","",IF(Leger2!R45&gt;=(Leger2!$C$4+2/3*(100-Leger2!$C$4)),"A",IF(Leger2!R45&gt;=(Leger2!$C$4+1/3*(100-Leger2!$C$4)),"B",IF(Leger2!R45&gt;=Leger2!$C$4,"C","D"))))</f>
        <v/>
      </c>
      <c r="P45" s="252" t="str">
        <f>IF(Leger2!S45="","",IF(Leger2!S45&gt;=(Leger2!$C$4+2/3*(100-Leger2!$C$4)),"A",IF(Leger2!S45&gt;=(Leger2!$C$4+1/3*(100-Leger2!$C$4)),"B",IF(Leger2!S45&gt;=Leger2!$C$4,"C","D"))))</f>
        <v/>
      </c>
      <c r="Q45" s="249" t="str">
        <f>IF(Leger2!U45="","",IF(Leger2!U45&gt;=(Leger2!$C$4+2/3*(100-Leger2!$C$4)),"A",IF(Leger2!U45&gt;=(Leger2!$C$4+1/3*(100-Leger2!$C$4)),"B",IF(Leger2!U45&gt;=Leger2!$C$4,"C","D"))))</f>
        <v/>
      </c>
      <c r="R45" s="252" t="str">
        <f>IF(Leger2!V45="","",IF(Leger2!V45&gt;=(Leger2!$C$4+2/3*(100-Leger2!$C$4)),"A",IF(Leger2!V45&gt;=(Leger2!$C$4+1/3*(100-Leger2!$C$4)),"B",IF(Leger2!V45&gt;=Leger2!$C$4,"C","D"))))</f>
        <v/>
      </c>
      <c r="S45" s="249" t="str">
        <f>IF(Leger2!X45="","",IF(Leger2!X45&gt;=(Leger2!$C$4+2/3*(100-Leger2!$C$4)),"A",IF(Leger2!X45&gt;=(Leger2!$C$4+1/3*(100-Leger2!$C$4)),"B",IF(Leger2!X45&gt;=Leger2!$C$4,"C","D"))))</f>
        <v/>
      </c>
      <c r="T45" s="252" t="str">
        <f>IF(Leger2!Y45="","",IF(Leger2!Y45&gt;=(Leger2!$C$4+2/3*(100-Leger2!$C$4)),"A",IF(Leger2!Y45&gt;=(Leger2!$C$4+1/3*(100-Leger2!$C$4)),"B",IF(Leger2!Y45&gt;=Leger2!$C$4,"C","D"))))</f>
        <v/>
      </c>
      <c r="U45" s="249" t="str">
        <f>IF(Leger2!AA45="","",IF(Leger2!AA45&gt;=(Leger2!$C$4+2/3*(100-Leger2!$C$4)),"A",IF(Leger2!AA45&gt;=(Leger2!$C$4+1/3*(100-Leger2!$C$4)),"B",IF(Leger2!AA45&gt;=Leger2!$C$4,"C","D"))))</f>
        <v/>
      </c>
      <c r="V45" s="252" t="str">
        <f>IF(Leger2!AB45="","",IF(Leger2!AB45&gt;=(Leger2!$C$4+2/3*(100-Leger2!$C$4)),"A",IF(Leger2!AB45&gt;=(Leger2!$C$4+1/3*(100-Leger2!$C$4)),"B",IF(Leger2!AB45&gt;=Leger2!$C$4,"C","D"))))</f>
        <v/>
      </c>
      <c r="W45" s="249" t="str">
        <f>IF(Leger2!AD45="","",IF(Leger2!AD45&gt;=(Leger2!$C$4+2/3*(100-Leger2!$C$4)),"A",IF(Leger2!AD45&gt;=(Leger2!$C$4+1/3*(100-Leger2!$C$4)),"B",IF(Leger2!AD45&gt;=Leger2!$C$4,"C","D"))))</f>
        <v/>
      </c>
      <c r="X45" s="252" t="str">
        <f>IF(Leger2!AE45="","",IF(Leger2!AE45&gt;=(Leger2!$C$4+2/3*(100-Leger2!$C$4)),"A",IF(Leger2!AE45&gt;=(Leger2!$C$4+1/3*(100-Leger2!$C$4)),"B",IF(Leger2!AE45&gt;=Leger2!$C$4,"C","D"))))</f>
        <v/>
      </c>
      <c r="Y45" s="249" t="str">
        <f>IF(Leger2!AG45="","",IF(Leger2!AG45&gt;=(Leger2!$C$4+2/3*(100-Leger2!$C$4)),"A",IF(Leger2!AG45&gt;=(Leger2!$C$4+1/3*(100-Leger2!$C$4)),"B",IF(Leger2!AG45&gt;=Leger2!$C$4,"C","D"))))</f>
        <v/>
      </c>
      <c r="Z45" s="252" t="str">
        <f>IF(Leger2!AH45="","",IF(Leger2!AH45&gt;=(Leger2!$C$4+2/3*(100-Leger2!$C$4)),"A",IF(Leger2!AH45&gt;=(Leger2!$C$4+1/3*(100-Leger2!$C$4)),"B",IF(Leger2!AH45&gt;=Leger2!$C$4,"C","D"))))</f>
        <v/>
      </c>
      <c r="AA45" s="249" t="str">
        <f>IF(Leger2!AJ45="","",IF(Leger2!AJ45&gt;=(Leger2!$C$4+2/3*(100-Leger2!$C$4)),"A",IF(Leger2!AJ45&gt;=(Leger2!$C$4+1/3*(100-Leger2!$C$4)),"B",IF(Leger2!AJ45&gt;=Leger2!$C$4,"C","D"))))</f>
        <v/>
      </c>
      <c r="AB45" s="252" t="str">
        <f>IF(Leger2!AK45="","",IF(Leger2!AK45&gt;=(Leger2!$C$4+2/3*(100-Leger2!$C$4)),"A",IF(Leger2!AK45&gt;=(Leger2!$C$4+1/3*(100-Leger2!$C$4)),"B",IF(Leger2!AK45&gt;=Leger2!$C$4,"C","D"))))</f>
        <v/>
      </c>
      <c r="AC45" s="249" t="str">
        <f>IF(Leger2!AM45="","",IF(Leger2!AM45&gt;=(Leger2!$C$4+2/3*(100-Leger2!$C$4)),"A",IF(Leger2!AM45&gt;=(Leger2!$C$4+1/3*(100-Leger2!$C$4)),"B",IF(Leger2!AM45&gt;=Leger2!$C$4,"C","D"))))</f>
        <v/>
      </c>
      <c r="AD45" s="252" t="str">
        <f>IF(Leger2!AN45="","",IF(Leger2!AN45&gt;=(Leger2!$C$4+2/3*(100-Leger2!$C$4)),"A",IF(Leger2!AN45&gt;=(Leger2!$C$4+1/3*(100-Leger2!$C$4)),"B",IF(Leger2!AN45&gt;=Leger2!$C$4,"C","D"))))</f>
        <v/>
      </c>
      <c r="AE45" s="249" t="str">
        <f>IF(Leger2!AP45="","",IF(Leger2!AP45&gt;=(Leger2!$C$4+2/3*(100-Leger2!$C$4)),"A",IF(Leger2!AP45&gt;=(Leger2!$C$4+1/3*(100-Leger2!$C$4)),"B",IF(Leger2!AP45&gt;=Leger2!$C$4,"C","D"))))</f>
        <v/>
      </c>
      <c r="AF45" s="252" t="str">
        <f>IF(Leger2!AQ45="","",IF(Leger2!AQ45&gt;=(Leger2!$C$4+2/3*(100-Leger2!$C$4)),"A",IF(Leger2!AQ45&gt;=(Leger2!$C$4+1/3*(100-Leger2!$C$4)),"B",IF(Leger2!AQ45&gt;=Leger2!$C$4,"C","D"))))</f>
        <v/>
      </c>
      <c r="AG45" s="249" t="str">
        <f>IF(Leger2!AS45="","",IF(Leger2!AS45&gt;=(Leger2!$C$4+2/3*(100-Leger2!$C$4)),"A",IF(Leger2!AS45&gt;=(Leger2!$C$4+1/3*(100-Leger2!$C$4)),"B",IF(Leger2!AS45&gt;=Leger2!$C$4,"C","D"))))</f>
        <v/>
      </c>
      <c r="AH45" s="252" t="str">
        <f>IF(Leger2!AT45="","",IF(Leger2!AT45&gt;=(Leger2!$C$4+2/3*(100-Leger2!$C$4)),"A",IF(Leger2!AT45&gt;=(Leger2!$C$4+1/3*(100-Leger2!$C$4)),"B",IF(Leger2!AT45&gt;=Leger2!$C$4,"C","D"))))</f>
        <v/>
      </c>
      <c r="AI45" s="249" t="str">
        <f>IF(Leger2!AV45="","",IF(Leger2!AV45&gt;=(Leger2!$C$4+2/3*(100-Leger2!$C$4)),"A",IF(Leger2!AV45&gt;=(Leger2!$C$4+1/3*(100-Leger2!$C$4)),"B",IF(Leger2!AV45&gt;=Leger2!$C$4,"C","D"))))</f>
        <v/>
      </c>
      <c r="AJ45" s="252" t="str">
        <f>IF(Leger2!AW45="","",IF(Leger2!AW45&gt;=(Leger2!$C$4+2/3*(100-Leger2!$C$4)),"A",IF(Leger2!AW45&gt;=(Leger2!$C$4+1/3*(100-Leger2!$C$4)),"B",IF(Leger2!AW45&gt;=Leger2!$C$4,"C","D"))))</f>
        <v/>
      </c>
      <c r="AK45" s="249" t="str">
        <f>IF(Leger2!AY45="","",IF(Leger2!AY45&gt;=(Leger2!$C$4+2/3*(100-Leger2!$C$4)),"A",IF(Leger2!AY45&gt;=(Leger2!$C$4+1/3*(100-Leger2!$C$4)),"B",IF(Leger2!AY45&gt;=Leger2!$C$4,"C","D"))))</f>
        <v/>
      </c>
      <c r="AL45" s="252" t="str">
        <f>IF(Leger2!AZ45="","",IF(Leger2!AZ45&gt;=(Leger2!$C$4+2/3*(100-Leger2!$C$4)),"A",IF(Leger2!AZ45&gt;=(Leger2!$C$4+1/3*(100-Leger2!$C$4)),"B",IF(Leger2!AZ45&gt;=Leger2!$C$4,"C","D"))))</f>
        <v/>
      </c>
    </row>
    <row r="46" spans="5:38" ht="17.25" thickBot="1">
      <c r="E46" s="218" t="str">
        <f>Biodata!B45</f>
        <v/>
      </c>
      <c r="F46" s="219" t="str">
        <f>IF(Biodata!C45="","",VLOOKUP(E46,Biodata_Siswa,2,FALSE))</f>
        <v/>
      </c>
      <c r="G46" s="899" t="str">
        <f>IF(Biodata!E45="","",PROPER(VLOOKUP(E46,Biodata_Siswa,4,FALSE)))</f>
        <v/>
      </c>
      <c r="H46" s="900"/>
      <c r="I46" s="253" t="str">
        <f>IF(Leger2!I46="","",IF(Leger2!I46&gt;=(Leger2!$C$4+2/3*(100-Leger2!$C$4)),"A",IF(Leger2!I46&gt;=(Leger2!$C$4+1/3*(100-Leger2!$C$4)),"B",IF(Leger2!I46&gt;=Leger2!$C$4,"C","D"))))</f>
        <v/>
      </c>
      <c r="J46" s="254" t="str">
        <f>IF(Leger2!J46="","",IF(Leger2!J46&gt;=(Leger2!$C$4+2/3*(100-Leger2!$C$4)),"A",IF(Leger2!J46&gt;=(Leger2!$C$4+1/3*(100-Leger2!$C$4)),"B",IF(Leger2!J46&gt;=Leger2!$C$4,"C","D"))))</f>
        <v/>
      </c>
      <c r="K46" s="253" t="str">
        <f>IF(Leger2!L46="","",IF(Leger2!L46&gt;=(Leger2!$C$4+2/3*(100-Leger2!$C$4)),"A",IF(Leger2!L46&gt;=(Leger2!$C$4+1/3*(100-Leger2!$C$4)),"B",IF(Leger2!L46&gt;=Leger2!$C$4,"C","D"))))</f>
        <v/>
      </c>
      <c r="L46" s="254" t="str">
        <f>IF(Leger2!M46="","",IF(Leger2!M46&gt;=(Leger2!$C$4+2/3*(100-Leger2!$C$4)),"A",IF(Leger2!M46&gt;=(Leger2!$C$4+1/3*(100-Leger2!$C$4)),"B",IF(Leger2!M46&gt;=Leger2!$C$4,"C","D"))))</f>
        <v/>
      </c>
      <c r="M46" s="253" t="str">
        <f>IF(Leger2!O46="","",IF(Leger2!O46&gt;=(Leger2!$C$4+2/3*(100-Leger2!$C$4)),"A",IF(Leger2!O46&gt;=(Leger2!$C$4+1/3*(100-Leger2!$C$4)),"B",IF(Leger2!O46&gt;=Leger2!$C$4,"C","D"))))</f>
        <v/>
      </c>
      <c r="N46" s="254" t="str">
        <f>IF(Leger2!P46="","",IF(Leger2!P46&gt;=(Leger2!$C$4+2/3*(100-Leger2!$C$4)),"A",IF(Leger2!P46&gt;=(Leger2!$C$4+1/3*(100-Leger2!$C$4)),"B",IF(Leger2!P46&gt;=Leger2!$C$4,"C","D"))))</f>
        <v/>
      </c>
      <c r="O46" s="253" t="str">
        <f>IF(Leger2!R46="","",IF(Leger2!R46&gt;=(Leger2!$C$4+2/3*(100-Leger2!$C$4)),"A",IF(Leger2!R46&gt;=(Leger2!$C$4+1/3*(100-Leger2!$C$4)),"B",IF(Leger2!R46&gt;=Leger2!$C$4,"C","D"))))</f>
        <v/>
      </c>
      <c r="P46" s="254" t="str">
        <f>IF(Leger2!S46="","",IF(Leger2!S46&gt;=(Leger2!$C$4+2/3*(100-Leger2!$C$4)),"A",IF(Leger2!S46&gt;=(Leger2!$C$4+1/3*(100-Leger2!$C$4)),"B",IF(Leger2!S46&gt;=Leger2!$C$4,"C","D"))))</f>
        <v/>
      </c>
      <c r="Q46" s="253" t="str">
        <f>IF(Leger2!U46="","",IF(Leger2!U46&gt;=(Leger2!$C$4+2/3*(100-Leger2!$C$4)),"A",IF(Leger2!U46&gt;=(Leger2!$C$4+1/3*(100-Leger2!$C$4)),"B",IF(Leger2!U46&gt;=Leger2!$C$4,"C","D"))))</f>
        <v/>
      </c>
      <c r="R46" s="254" t="str">
        <f>IF(Leger2!V46="","",IF(Leger2!V46&gt;=(Leger2!$C$4+2/3*(100-Leger2!$C$4)),"A",IF(Leger2!V46&gt;=(Leger2!$C$4+1/3*(100-Leger2!$C$4)),"B",IF(Leger2!V46&gt;=Leger2!$C$4,"C","D"))))</f>
        <v/>
      </c>
      <c r="S46" s="253" t="str">
        <f>IF(Leger2!X46="","",IF(Leger2!X46&gt;=(Leger2!$C$4+2/3*(100-Leger2!$C$4)),"A",IF(Leger2!X46&gt;=(Leger2!$C$4+1/3*(100-Leger2!$C$4)),"B",IF(Leger2!X46&gt;=Leger2!$C$4,"C","D"))))</f>
        <v/>
      </c>
      <c r="T46" s="254" t="str">
        <f>IF(Leger2!Y46="","",IF(Leger2!Y46&gt;=(Leger2!$C$4+2/3*(100-Leger2!$C$4)),"A",IF(Leger2!Y46&gt;=(Leger2!$C$4+1/3*(100-Leger2!$C$4)),"B",IF(Leger2!Y46&gt;=Leger2!$C$4,"C","D"))))</f>
        <v/>
      </c>
      <c r="U46" s="253" t="str">
        <f>IF(Leger2!AA46="","",IF(Leger2!AA46&gt;=(Leger2!$C$4+2/3*(100-Leger2!$C$4)),"A",IF(Leger2!AA46&gt;=(Leger2!$C$4+1/3*(100-Leger2!$C$4)),"B",IF(Leger2!AA46&gt;=Leger2!$C$4,"C","D"))))</f>
        <v/>
      </c>
      <c r="V46" s="254" t="str">
        <f>IF(Leger2!AB46="","",IF(Leger2!AB46&gt;=(Leger2!$C$4+2/3*(100-Leger2!$C$4)),"A",IF(Leger2!AB46&gt;=(Leger2!$C$4+1/3*(100-Leger2!$C$4)),"B",IF(Leger2!AB46&gt;=Leger2!$C$4,"C","D"))))</f>
        <v/>
      </c>
      <c r="W46" s="253" t="str">
        <f>IF(Leger2!AD46="","",IF(Leger2!AD46&gt;=(Leger2!$C$4+2/3*(100-Leger2!$C$4)),"A",IF(Leger2!AD46&gt;=(Leger2!$C$4+1/3*(100-Leger2!$C$4)),"B",IF(Leger2!AD46&gt;=Leger2!$C$4,"C","D"))))</f>
        <v/>
      </c>
      <c r="X46" s="254" t="str">
        <f>IF(Leger2!AE46="","",IF(Leger2!AE46&gt;=(Leger2!$C$4+2/3*(100-Leger2!$C$4)),"A",IF(Leger2!AE46&gt;=(Leger2!$C$4+1/3*(100-Leger2!$C$4)),"B",IF(Leger2!AE46&gt;=Leger2!$C$4,"C","D"))))</f>
        <v/>
      </c>
      <c r="Y46" s="253" t="str">
        <f>IF(Leger2!AG46="","",IF(Leger2!AG46&gt;=(Leger2!$C$4+2/3*(100-Leger2!$C$4)),"A",IF(Leger2!AG46&gt;=(Leger2!$C$4+1/3*(100-Leger2!$C$4)),"B",IF(Leger2!AG46&gt;=Leger2!$C$4,"C","D"))))</f>
        <v/>
      </c>
      <c r="Z46" s="254" t="str">
        <f>IF(Leger2!AH46="","",IF(Leger2!AH46&gt;=(Leger2!$C$4+2/3*(100-Leger2!$C$4)),"A",IF(Leger2!AH46&gt;=(Leger2!$C$4+1/3*(100-Leger2!$C$4)),"B",IF(Leger2!AH46&gt;=Leger2!$C$4,"C","D"))))</f>
        <v/>
      </c>
      <c r="AA46" s="253" t="str">
        <f>IF(Leger2!AJ46="","",IF(Leger2!AJ46&gt;=(Leger2!$C$4+2/3*(100-Leger2!$C$4)),"A",IF(Leger2!AJ46&gt;=(Leger2!$C$4+1/3*(100-Leger2!$C$4)),"B",IF(Leger2!AJ46&gt;=Leger2!$C$4,"C","D"))))</f>
        <v/>
      </c>
      <c r="AB46" s="254" t="str">
        <f>IF(Leger2!AK46="","",IF(Leger2!AK46&gt;=(Leger2!$C$4+2/3*(100-Leger2!$C$4)),"A",IF(Leger2!AK46&gt;=(Leger2!$C$4+1/3*(100-Leger2!$C$4)),"B",IF(Leger2!AK46&gt;=Leger2!$C$4,"C","D"))))</f>
        <v/>
      </c>
      <c r="AC46" s="253" t="str">
        <f>IF(Leger2!AM46="","",IF(Leger2!AM46&gt;=(Leger2!$C$4+2/3*(100-Leger2!$C$4)),"A",IF(Leger2!AM46&gt;=(Leger2!$C$4+1/3*(100-Leger2!$C$4)),"B",IF(Leger2!AM46&gt;=Leger2!$C$4,"C","D"))))</f>
        <v/>
      </c>
      <c r="AD46" s="254" t="str">
        <f>IF(Leger2!AN46="","",IF(Leger2!AN46&gt;=(Leger2!$C$4+2/3*(100-Leger2!$C$4)),"A",IF(Leger2!AN46&gt;=(Leger2!$C$4+1/3*(100-Leger2!$C$4)),"B",IF(Leger2!AN46&gt;=Leger2!$C$4,"C","D"))))</f>
        <v/>
      </c>
      <c r="AE46" s="253" t="str">
        <f>IF(Leger2!AP46="","",IF(Leger2!AP46&gt;=(Leger2!$C$4+2/3*(100-Leger2!$C$4)),"A",IF(Leger2!AP46&gt;=(Leger2!$C$4+1/3*(100-Leger2!$C$4)),"B",IF(Leger2!AP46&gt;=Leger2!$C$4,"C","D"))))</f>
        <v/>
      </c>
      <c r="AF46" s="254" t="str">
        <f>IF(Leger2!AQ46="","",IF(Leger2!AQ46&gt;=(Leger2!$C$4+2/3*(100-Leger2!$C$4)),"A",IF(Leger2!AQ46&gt;=(Leger2!$C$4+1/3*(100-Leger2!$C$4)),"B",IF(Leger2!AQ46&gt;=Leger2!$C$4,"C","D"))))</f>
        <v/>
      </c>
      <c r="AG46" s="253" t="str">
        <f>IF(Leger2!AS46="","",IF(Leger2!AS46&gt;=(Leger2!$C$4+2/3*(100-Leger2!$C$4)),"A",IF(Leger2!AS46&gt;=(Leger2!$C$4+1/3*(100-Leger2!$C$4)),"B",IF(Leger2!AS46&gt;=Leger2!$C$4,"C","D"))))</f>
        <v/>
      </c>
      <c r="AH46" s="254" t="str">
        <f>IF(Leger2!AT46="","",IF(Leger2!AT46&gt;=(Leger2!$C$4+2/3*(100-Leger2!$C$4)),"A",IF(Leger2!AT46&gt;=(Leger2!$C$4+1/3*(100-Leger2!$C$4)),"B",IF(Leger2!AT46&gt;=Leger2!$C$4,"C","D"))))</f>
        <v/>
      </c>
      <c r="AI46" s="253" t="str">
        <f>IF(Leger2!AV46="","",IF(Leger2!AV46&gt;=(Leger2!$C$4+2/3*(100-Leger2!$C$4)),"A",IF(Leger2!AV46&gt;=(Leger2!$C$4+1/3*(100-Leger2!$C$4)),"B",IF(Leger2!AV46&gt;=Leger2!$C$4,"C","D"))))</f>
        <v/>
      </c>
      <c r="AJ46" s="254" t="str">
        <f>IF(Leger2!AW46="","",IF(Leger2!AW46&gt;=(Leger2!$C$4+2/3*(100-Leger2!$C$4)),"A",IF(Leger2!AW46&gt;=(Leger2!$C$4+1/3*(100-Leger2!$C$4)),"B",IF(Leger2!AW46&gt;=Leger2!$C$4,"C","D"))))</f>
        <v/>
      </c>
      <c r="AK46" s="253" t="str">
        <f>IF(Leger2!AY46="","",IF(Leger2!AY46&gt;=(Leger2!$C$4+2/3*(100-Leger2!$C$4)),"A",IF(Leger2!AY46&gt;=(Leger2!$C$4+1/3*(100-Leger2!$C$4)),"B",IF(Leger2!AY46&gt;=Leger2!$C$4,"C","D"))))</f>
        <v/>
      </c>
      <c r="AL46" s="254" t="str">
        <f>IF(Leger2!AZ46="","",IF(Leger2!AZ46&gt;=(Leger2!$C$4+2/3*(100-Leger2!$C$4)),"A",IF(Leger2!AZ46&gt;=(Leger2!$C$4+1/3*(100-Leger2!$C$4)),"B",IF(Leger2!AZ46&gt;=Leger2!$C$4,"C","D"))))</f>
        <v/>
      </c>
    </row>
    <row r="47" spans="5:38"/>
    <row r="48" spans="5:38" hidden="1"/>
    <row r="49" spans="2:3" hidden="1"/>
    <row r="50" spans="2:3" hidden="1"/>
    <row r="51" spans="2:3" hidden="1"/>
    <row r="52" spans="2:3" hidden="1"/>
    <row r="53" spans="2:3" hidden="1"/>
    <row r="54" spans="2:3" hidden="1">
      <c r="B54" s="20"/>
      <c r="C54" s="636"/>
    </row>
    <row r="55" spans="2:3" hidden="1"/>
    <row r="56" spans="2:3" hidden="1"/>
    <row r="57" spans="2:3" hidden="1"/>
    <row r="58" spans="2:3" hidden="1"/>
    <row r="59" spans="2:3" hidden="1"/>
    <row r="60" spans="2:3" hidden="1"/>
    <row r="61" spans="2:3" hidden="1"/>
    <row r="62" spans="2:3" hidden="1"/>
    <row r="63" spans="2:3" hidden="1"/>
    <row r="64" spans="2:3" hidden="1"/>
    <row r="65" spans="2:38" hidden="1"/>
    <row r="66" spans="2:38" hidden="1"/>
    <row r="67" spans="2:38" hidden="1"/>
    <row r="68" spans="2:38" hidden="1"/>
    <row r="69" spans="2:38" hidden="1"/>
    <row r="70" spans="2:38" hidden="1"/>
    <row r="71" spans="2:38" hidden="1"/>
    <row r="72" spans="2:38" s="636" customFormat="1" hidden="1">
      <c r="B72" s="19"/>
      <c r="C72" s="16"/>
      <c r="E72" s="636">
        <f>DL!M32</f>
        <v>0</v>
      </c>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row>
  </sheetData>
  <sheetProtection password="CE75" sheet="1" objects="1" scenarios="1"/>
  <mergeCells count="80">
    <mergeCell ref="AE2:AL2"/>
    <mergeCell ref="I3:J3"/>
    <mergeCell ref="K3:L3"/>
    <mergeCell ref="M3:N3"/>
    <mergeCell ref="O3:P3"/>
    <mergeCell ref="Q3:R3"/>
    <mergeCell ref="S3:T3"/>
    <mergeCell ref="AG3:AH3"/>
    <mergeCell ref="AI3:AJ3"/>
    <mergeCell ref="AK3:AL3"/>
    <mergeCell ref="AA3:AB3"/>
    <mergeCell ref="AC3:AD3"/>
    <mergeCell ref="AE3:AF3"/>
    <mergeCell ref="W3:X3"/>
    <mergeCell ref="Y3:Z3"/>
    <mergeCell ref="E2:G3"/>
    <mergeCell ref="H2:H3"/>
    <mergeCell ref="I2:AD2"/>
    <mergeCell ref="G7:H7"/>
    <mergeCell ref="G8:H8"/>
    <mergeCell ref="Q4:R5"/>
    <mergeCell ref="S4:T5"/>
    <mergeCell ref="U3:V3"/>
    <mergeCell ref="E4:H4"/>
    <mergeCell ref="I4:J5"/>
    <mergeCell ref="K4:L5"/>
    <mergeCell ref="M4:N5"/>
    <mergeCell ref="O4:P5"/>
    <mergeCell ref="AG4:AH5"/>
    <mergeCell ref="AI4:AJ5"/>
    <mergeCell ref="AK4:AL5"/>
    <mergeCell ref="E5:E6"/>
    <mergeCell ref="F5:F6"/>
    <mergeCell ref="G5:H6"/>
    <mergeCell ref="U4:V5"/>
    <mergeCell ref="W4:X5"/>
    <mergeCell ref="Y4:Z5"/>
    <mergeCell ref="AA4:AB5"/>
    <mergeCell ref="AC4:AD5"/>
    <mergeCell ref="AE4:AF5"/>
    <mergeCell ref="B9:C9"/>
    <mergeCell ref="G9:H9"/>
    <mergeCell ref="G10:H10"/>
    <mergeCell ref="B23:C23"/>
    <mergeCell ref="G23:H23"/>
    <mergeCell ref="G12:H12"/>
    <mergeCell ref="G13:H13"/>
    <mergeCell ref="G14:H14"/>
    <mergeCell ref="G15:H15"/>
    <mergeCell ref="G16:H16"/>
    <mergeCell ref="G17:H17"/>
    <mergeCell ref="G11:H11"/>
    <mergeCell ref="G29:H29"/>
    <mergeCell ref="G18:H18"/>
    <mergeCell ref="G19:H19"/>
    <mergeCell ref="G20:H20"/>
    <mergeCell ref="G21:H21"/>
    <mergeCell ref="G22:H22"/>
    <mergeCell ref="G24:H24"/>
    <mergeCell ref="G25:H25"/>
    <mergeCell ref="G26:H26"/>
    <mergeCell ref="G27:H27"/>
    <mergeCell ref="G28:H28"/>
    <mergeCell ref="G41:H41"/>
    <mergeCell ref="G30:H30"/>
    <mergeCell ref="G31:H31"/>
    <mergeCell ref="G32:H32"/>
    <mergeCell ref="G33:H33"/>
    <mergeCell ref="G34:H34"/>
    <mergeCell ref="G35:H35"/>
    <mergeCell ref="G36:H36"/>
    <mergeCell ref="G37:H37"/>
    <mergeCell ref="G38:H38"/>
    <mergeCell ref="G39:H39"/>
    <mergeCell ref="G40:H40"/>
    <mergeCell ref="G42:H42"/>
    <mergeCell ref="G43:H43"/>
    <mergeCell ref="G44:H44"/>
    <mergeCell ref="G45:H45"/>
    <mergeCell ref="G46:H46"/>
  </mergeCells>
  <pageMargins left="0.32" right="0.26" top="0.36" bottom="0.35" header="0.3" footer="0.3"/>
  <pageSetup paperSize="9" scale="71" orientation="landscape" r:id="rId1"/>
  <drawing r:id="rId2"/>
</worksheet>
</file>

<file path=xl/worksheets/sheet31.xml><?xml version="1.0" encoding="utf-8"?>
<worksheet xmlns="http://schemas.openxmlformats.org/spreadsheetml/2006/main" xmlns:r="http://schemas.openxmlformats.org/officeDocument/2006/relationships">
  <sheetPr codeName="Sheet24">
    <tabColor theme="1"/>
  </sheetPr>
  <dimension ref="A1:H46"/>
  <sheetViews>
    <sheetView showGridLines="0" showRowColHeaders="0" topLeftCell="A25" workbookViewId="0">
      <selection activeCell="D31" sqref="D31"/>
    </sheetView>
  </sheetViews>
  <sheetFormatPr defaultColWidth="0" defaultRowHeight="15" customHeight="1" zeroHeight="1"/>
  <cols>
    <col min="1" max="2" width="9.140625" customWidth="1"/>
    <col min="3" max="3" width="30.5703125" customWidth="1"/>
    <col min="4" max="7" width="35" customWidth="1"/>
    <col min="8" max="8" width="12.7109375" customWidth="1"/>
    <col min="9" max="16384" width="9.140625" hidden="1"/>
  </cols>
  <sheetData>
    <row r="1" spans="2:7"/>
    <row r="2" spans="2:7" ht="23.25">
      <c r="B2" s="75" t="s">
        <v>131</v>
      </c>
    </row>
    <row r="3" spans="2:7" ht="18.75">
      <c r="B3" s="76" t="str">
        <f>"SEMESTER "&amp;UPPER(_smt_genap)</f>
        <v>SEMESTER 4 (EMPAT)</v>
      </c>
    </row>
    <row r="4" spans="2:7"/>
    <row r="5" spans="2:7">
      <c r="B5" s="67" t="s">
        <v>127</v>
      </c>
    </row>
    <row r="6" spans="2:7" ht="7.5" customHeight="1"/>
    <row r="7" spans="2:7">
      <c r="B7" s="1096" t="s">
        <v>129</v>
      </c>
      <c r="C7" s="1095" t="s">
        <v>119</v>
      </c>
      <c r="D7" s="1094" t="s">
        <v>128</v>
      </c>
      <c r="E7" s="1094"/>
      <c r="F7" s="1094"/>
      <c r="G7" s="1094"/>
    </row>
    <row r="8" spans="2:7">
      <c r="B8" s="1096"/>
      <c r="C8" s="1095"/>
      <c r="D8" s="66" t="s">
        <v>79</v>
      </c>
      <c r="E8" s="66" t="s">
        <v>83</v>
      </c>
      <c r="F8" s="66" t="s">
        <v>82</v>
      </c>
      <c r="G8" s="66" t="s">
        <v>81</v>
      </c>
    </row>
    <row r="9" spans="2:7" ht="61.5" customHeight="1">
      <c r="B9" s="72">
        <v>1</v>
      </c>
      <c r="C9" s="72" t="str">
        <f>_MP1</f>
        <v>Pendidikan Agama Islam</v>
      </c>
      <c r="D9" s="73" t="str">
        <f>"Sangat menguasai KD "&amp;'IKD2'!D8</f>
        <v xml:space="preserve">Sangat menguasai KD </v>
      </c>
      <c r="E9" s="74" t="str">
        <f>"Menguasai KD "&amp;'IKD2'!D8</f>
        <v xml:space="preserve">Menguasai KD </v>
      </c>
      <c r="F9" s="74" t="str">
        <f>"Cukup menguasai KD "&amp;'IKD2'!D8</f>
        <v xml:space="preserve">Cukup menguasai KD </v>
      </c>
      <c r="G9" s="74" t="str">
        <f>"Perlu ditingkatkan KD "&amp;'IKD2'!D8</f>
        <v xml:space="preserve">Perlu ditingkatkan KD </v>
      </c>
    </row>
    <row r="10" spans="2:7" ht="61.5" customHeight="1">
      <c r="B10" s="72">
        <v>2</v>
      </c>
      <c r="C10" s="72" t="str">
        <f>_MP2</f>
        <v>Pendidikan Agama Kristen</v>
      </c>
      <c r="D10" s="73" t="str">
        <f>"Sangat menguasai KD "&amp;'IKD2'!D9</f>
        <v xml:space="preserve">Sangat menguasai KD </v>
      </c>
      <c r="E10" s="74" t="str">
        <f>"Menguasai KD "&amp;'IKD2'!D9</f>
        <v xml:space="preserve">Menguasai KD </v>
      </c>
      <c r="F10" s="74" t="str">
        <f>"Cukup menguasai KD "&amp;'IKD2'!D9</f>
        <v xml:space="preserve">Cukup menguasai KD </v>
      </c>
      <c r="G10" s="74" t="str">
        <f>"Perlu ditingkatkan KD "&amp;'IKD2'!D9</f>
        <v xml:space="preserve">Perlu ditingkatkan KD </v>
      </c>
    </row>
    <row r="11" spans="2:7" ht="61.5" customHeight="1">
      <c r="B11" s="72">
        <v>3</v>
      </c>
      <c r="C11" s="72" t="str">
        <f>_MP3</f>
        <v>Pendidikan Agama Katolik</v>
      </c>
      <c r="D11" s="73" t="str">
        <f>"Sangat menguasai KD "&amp;'IKD2'!D10</f>
        <v xml:space="preserve">Sangat menguasai KD </v>
      </c>
      <c r="E11" s="74" t="str">
        <f>"Menguasai KD "&amp;'IKD2'!D10</f>
        <v xml:space="preserve">Menguasai KD </v>
      </c>
      <c r="F11" s="74" t="str">
        <f>"Cukup menguasai KD "&amp;'IKD2'!D10</f>
        <v xml:space="preserve">Cukup menguasai KD </v>
      </c>
      <c r="G11" s="74" t="str">
        <f>"Perlu ditingkatkan KD "&amp;'IKD2'!D10</f>
        <v xml:space="preserve">Perlu ditingkatkan KD </v>
      </c>
    </row>
    <row r="12" spans="2:7" ht="61.5" customHeight="1">
      <c r="B12" s="72">
        <v>4</v>
      </c>
      <c r="C12" s="72" t="str">
        <f>_MP4</f>
        <v>Pendidikan Agama Hindu</v>
      </c>
      <c r="D12" s="73" t="str">
        <f>"Sangat menguasai KD "&amp;'IKD2'!D11</f>
        <v xml:space="preserve">Sangat menguasai KD </v>
      </c>
      <c r="E12" s="74" t="str">
        <f>"Menguasai KD "&amp;'IKD2'!D11</f>
        <v xml:space="preserve">Menguasai KD </v>
      </c>
      <c r="F12" s="74" t="str">
        <f>"Cukup menguasai KD "&amp;'IKD2'!D11</f>
        <v xml:space="preserve">Cukup menguasai KD </v>
      </c>
      <c r="G12" s="74" t="str">
        <f>"Perlu ditingkatkan KD "&amp;'IKD2'!D11</f>
        <v xml:space="preserve">Perlu ditingkatkan KD </v>
      </c>
    </row>
    <row r="13" spans="2:7" ht="61.5" customHeight="1">
      <c r="B13" s="72">
        <v>5</v>
      </c>
      <c r="C13" s="72" t="str">
        <f>_MP5</f>
        <v>Pendidikan Agama Budha</v>
      </c>
      <c r="D13" s="73" t="str">
        <f>"Sangat menguasai KD "&amp;'IKD2'!D12</f>
        <v xml:space="preserve">Sangat menguasai KD </v>
      </c>
      <c r="E13" s="74" t="str">
        <f>"Menguasai KD "&amp;'IKD2'!D12</f>
        <v xml:space="preserve">Menguasai KD </v>
      </c>
      <c r="F13" s="74" t="str">
        <f>"Cukup menguasai KD "&amp;'IKD2'!D12</f>
        <v xml:space="preserve">Cukup menguasai KD </v>
      </c>
      <c r="G13" s="74" t="str">
        <f>"Perlu ditingkatkan KD "&amp;'IKD2'!D12</f>
        <v xml:space="preserve">Perlu ditingkatkan KD </v>
      </c>
    </row>
    <row r="14" spans="2:7" ht="61.5" customHeight="1">
      <c r="B14" s="68">
        <v>6</v>
      </c>
      <c r="C14" s="68" t="str">
        <f>_MP6</f>
        <v>PKn</v>
      </c>
      <c r="D14" s="69" t="str">
        <f>"Sangat menguasai KD "&amp;'IKD2'!D13</f>
        <v xml:space="preserve">Sangat menguasai KD </v>
      </c>
      <c r="E14" s="70" t="str">
        <f>"Menguasai KD "&amp;'IKD2'!D13</f>
        <v xml:space="preserve">Menguasai KD </v>
      </c>
      <c r="F14" s="70" t="str">
        <f>"Cukup menguasai KD "&amp;'IKD2'!D13</f>
        <v xml:space="preserve">Cukup menguasai KD </v>
      </c>
      <c r="G14" s="70" t="str">
        <f>"Perlu ditingkatkan KD "&amp;'IKD2'!D13</f>
        <v xml:space="preserve">Perlu ditingkatkan KD </v>
      </c>
    </row>
    <row r="15" spans="2:7" ht="61.5" customHeight="1">
      <c r="B15" s="68">
        <v>7</v>
      </c>
      <c r="C15" s="68" t="str">
        <f>_MP7</f>
        <v xml:space="preserve">Bahasa Indonesia </v>
      </c>
      <c r="D15" s="69" t="str">
        <f>"Sangat menguasai KD "&amp;'IKD2'!D14</f>
        <v xml:space="preserve">Sangat menguasai KD </v>
      </c>
      <c r="E15" s="70" t="str">
        <f>"Menguasai KD "&amp;'IKD2'!D14</f>
        <v xml:space="preserve">Menguasai KD </v>
      </c>
      <c r="F15" s="70" t="str">
        <f>"Cukup menguasai KD "&amp;'IKD2'!D14</f>
        <v xml:space="preserve">Cukup menguasai KD </v>
      </c>
      <c r="G15" s="70" t="str">
        <f>"Perlu ditingkatkan KD "&amp;'IKD2'!D14</f>
        <v xml:space="preserve">Perlu ditingkatkan KD </v>
      </c>
    </row>
    <row r="16" spans="2:7" ht="61.5" customHeight="1">
      <c r="B16" s="68">
        <v>8</v>
      </c>
      <c r="C16" s="68" t="str">
        <f>_MP8</f>
        <v xml:space="preserve">Matematika </v>
      </c>
      <c r="D16" s="69" t="str">
        <f>"Sangat menguasai KD "&amp;'IKD2'!D15</f>
        <v xml:space="preserve">Sangat menguasai KD </v>
      </c>
      <c r="E16" s="70" t="str">
        <f>"Menguasai KD "&amp;'IKD2'!D15</f>
        <v xml:space="preserve">Menguasai KD </v>
      </c>
      <c r="F16" s="70" t="str">
        <f>"Cukup menguasai KD "&amp;'IKD2'!D15</f>
        <v xml:space="preserve">Cukup menguasai KD </v>
      </c>
      <c r="G16" s="70" t="str">
        <f>"Perlu ditingkatkan KD "&amp;'IKD2'!D15</f>
        <v xml:space="preserve">Perlu ditingkatkan KD </v>
      </c>
    </row>
    <row r="17" spans="2:7" ht="61.5" customHeight="1">
      <c r="B17" s="68">
        <v>9</v>
      </c>
      <c r="C17" s="68" t="str">
        <f>_MP9</f>
        <v xml:space="preserve">Ilmu Pengetahuan Alam </v>
      </c>
      <c r="D17" s="69" t="str">
        <f>"Sangat menguasai KD "&amp;'IKD2'!D16</f>
        <v xml:space="preserve">Sangat menguasai KD </v>
      </c>
      <c r="E17" s="70" t="str">
        <f>"Menguasai KD "&amp;'IKD2'!D16</f>
        <v xml:space="preserve">Menguasai KD </v>
      </c>
      <c r="F17" s="70" t="str">
        <f>"Cukup menguasai KD "&amp;'IKD2'!D16</f>
        <v xml:space="preserve">Cukup menguasai KD </v>
      </c>
      <c r="G17" s="70" t="str">
        <f>"Perlu ditingkatkan KD "&amp;'IKD2'!D16</f>
        <v xml:space="preserve">Perlu ditingkatkan KD </v>
      </c>
    </row>
    <row r="18" spans="2:7" ht="61.5" customHeight="1">
      <c r="B18" s="68">
        <v>10</v>
      </c>
      <c r="C18" s="68" t="str">
        <f>_MP10</f>
        <v xml:space="preserve">Ilmu Pengetahuan Sosial </v>
      </c>
      <c r="D18" s="69" t="str">
        <f>"Sangat menguasai KD "&amp;'IKD2'!D17</f>
        <v xml:space="preserve">Sangat menguasai KD </v>
      </c>
      <c r="E18" s="70" t="str">
        <f>"Menguasai KD "&amp;'IKD2'!D17</f>
        <v xml:space="preserve">Menguasai KD </v>
      </c>
      <c r="F18" s="70" t="str">
        <f>"Cukup menguasai KD "&amp;'IKD2'!D17</f>
        <v xml:space="preserve">Cukup menguasai KD </v>
      </c>
      <c r="G18" s="70" t="str">
        <f>"Perlu ditingkatkan KD "&amp;'IKD2'!D17</f>
        <v xml:space="preserve">Perlu ditingkatkan KD </v>
      </c>
    </row>
    <row r="19" spans="2:7" ht="61.5" customHeight="1">
      <c r="B19" s="68">
        <v>11</v>
      </c>
      <c r="C19" s="68" t="str">
        <f>_MP11</f>
        <v xml:space="preserve">Bahasa Inggris </v>
      </c>
      <c r="D19" s="69" t="str">
        <f>"Sangat menguasai KD "&amp;'IKD2'!D18</f>
        <v xml:space="preserve">Sangat menguasai KD </v>
      </c>
      <c r="E19" s="70" t="str">
        <f>"Menguasai KD "&amp;'IKD2'!D18</f>
        <v xml:space="preserve">Menguasai KD </v>
      </c>
      <c r="F19" s="70" t="str">
        <f>"Cukup menguasai KD "&amp;'IKD2'!D18</f>
        <v xml:space="preserve">Cukup menguasai KD </v>
      </c>
      <c r="G19" s="70" t="str">
        <f>"Perlu ditingkatkan KD "&amp;'IKD2'!D18</f>
        <v xml:space="preserve">Perlu ditingkatkan KD </v>
      </c>
    </row>
    <row r="20" spans="2:7" ht="61.5" customHeight="1">
      <c r="B20" s="68">
        <v>12</v>
      </c>
      <c r="C20" s="68" t="str">
        <f>_MP12</f>
        <v>Seni Budaya</v>
      </c>
      <c r="D20" s="69" t="str">
        <f>"Sangat menguasai KD "&amp;'IKD2'!D19</f>
        <v xml:space="preserve">Sangat menguasai KD </v>
      </c>
      <c r="E20" s="70" t="str">
        <f>"Menguasai KD "&amp;'IKD2'!D19</f>
        <v xml:space="preserve">Menguasai KD </v>
      </c>
      <c r="F20" s="70" t="str">
        <f>"Cukup menguasai KD "&amp;'IKD2'!D19</f>
        <v xml:space="preserve">Cukup menguasai KD </v>
      </c>
      <c r="G20" s="70" t="str">
        <f>"Perlu ditingkatkan KD "&amp;'IKD2'!D19</f>
        <v xml:space="preserve">Perlu ditingkatkan KD </v>
      </c>
    </row>
    <row r="21" spans="2:7" ht="61.5" customHeight="1">
      <c r="B21" s="68">
        <v>13</v>
      </c>
      <c r="C21" s="68" t="str">
        <f>_MP13</f>
        <v>Penjaskes</v>
      </c>
      <c r="D21" s="69" t="str">
        <f>"Sangat menguasai KD "&amp;'IKD2'!D20</f>
        <v xml:space="preserve">Sangat menguasai KD </v>
      </c>
      <c r="E21" s="70" t="str">
        <f>"Menguasai KD "&amp;'IKD2'!D20</f>
        <v xml:space="preserve">Menguasai KD </v>
      </c>
      <c r="F21" s="70" t="str">
        <f>"Cukup menguasai KD "&amp;'IKD2'!D20</f>
        <v xml:space="preserve">Cukup menguasai KD </v>
      </c>
      <c r="G21" s="70" t="str">
        <f>"Perlu ditingkatkan KD "&amp;'IKD2'!D20</f>
        <v xml:space="preserve">Perlu ditingkatkan KD </v>
      </c>
    </row>
    <row r="22" spans="2:7" ht="61.5" customHeight="1">
      <c r="B22" s="68">
        <v>14</v>
      </c>
      <c r="C22" s="68" t="str">
        <f>_MP14</f>
        <v>Prakarya</v>
      </c>
      <c r="D22" s="69" t="str">
        <f>"Sangat menguasai KD "&amp;'IKD2'!D21</f>
        <v xml:space="preserve">Sangat menguasai KD </v>
      </c>
      <c r="E22" s="70" t="str">
        <f>"Menguasai KD "&amp;'IKD2'!D21</f>
        <v xml:space="preserve">Menguasai KD </v>
      </c>
      <c r="F22" s="70" t="str">
        <f>"Cukup menguasai KD "&amp;'IKD2'!D21</f>
        <v xml:space="preserve">Cukup menguasai KD </v>
      </c>
      <c r="G22" s="70" t="str">
        <f>"Perlu ditingkatkan KD "&amp;'IKD2'!D21</f>
        <v xml:space="preserve">Perlu ditingkatkan KD </v>
      </c>
    </row>
    <row r="23" spans="2:7" ht="61.5" customHeight="1">
      <c r="B23" s="68">
        <v>15</v>
      </c>
      <c r="C23" s="68" t="str">
        <f>_MP15</f>
        <v>Bahasa dan Aksara Lampung</v>
      </c>
      <c r="D23" s="69" t="str">
        <f>"Sangat menguasai KD "&amp;'IKD2'!D22</f>
        <v xml:space="preserve">Sangat menguasai KD </v>
      </c>
      <c r="E23" s="70" t="str">
        <f>"Menguasai KD "&amp;'IKD2'!D22</f>
        <v xml:space="preserve">Menguasai KD </v>
      </c>
      <c r="F23" s="70" t="str">
        <f>"Cukup menguasai KD "&amp;'IKD2'!D22</f>
        <v xml:space="preserve">Cukup menguasai KD </v>
      </c>
      <c r="G23" s="70" t="str">
        <f>"Perlu ditingkatkan KD "&amp;'IKD2'!D22</f>
        <v xml:space="preserve">Perlu ditingkatkan KD </v>
      </c>
    </row>
    <row r="24" spans="2:7"/>
    <row r="25" spans="2:7"/>
    <row r="26" spans="2:7">
      <c r="B26" s="67" t="s">
        <v>130</v>
      </c>
    </row>
    <row r="27" spans="2:7"/>
    <row r="28" spans="2:7">
      <c r="B28" s="1096" t="s">
        <v>129</v>
      </c>
      <c r="C28" s="1095" t="s">
        <v>119</v>
      </c>
      <c r="D28" s="1094" t="s">
        <v>122</v>
      </c>
      <c r="E28" s="1094"/>
      <c r="F28" s="1094"/>
      <c r="G28" s="1094"/>
    </row>
    <row r="29" spans="2:7">
      <c r="B29" s="1096"/>
      <c r="C29" s="1095"/>
      <c r="D29" s="66" t="s">
        <v>79</v>
      </c>
      <c r="E29" s="66" t="s">
        <v>83</v>
      </c>
      <c r="F29" s="66" t="s">
        <v>82</v>
      </c>
      <c r="G29" s="66" t="s">
        <v>81</v>
      </c>
    </row>
    <row r="30" spans="2:7" ht="61.5" customHeight="1">
      <c r="B30" s="72">
        <v>1</v>
      </c>
      <c r="C30" s="72" t="str">
        <f>_MP1</f>
        <v>Pendidikan Agama Islam</v>
      </c>
      <c r="D30" s="73" t="str">
        <f>"Sangat terampil dalam KD "&amp;'IKD2'!E8</f>
        <v xml:space="preserve">Sangat terampil dalam KD </v>
      </c>
      <c r="E30" s="74" t="str">
        <f>"Terampil dalam KD "&amp;'IKD2'!E8</f>
        <v xml:space="preserve">Terampil dalam KD </v>
      </c>
      <c r="F30" s="74" t="str">
        <f>"Cukup terampil dalam KD "&amp;'IKD2'!E8</f>
        <v xml:space="preserve">Cukup terampil dalam KD </v>
      </c>
      <c r="G30" s="74" t="str">
        <f>"Perlu ditingkatkan keterampilan KD "&amp;'IKD2'!E8</f>
        <v xml:space="preserve">Perlu ditingkatkan keterampilan KD </v>
      </c>
    </row>
    <row r="31" spans="2:7" ht="61.5" customHeight="1">
      <c r="B31" s="72">
        <v>2</v>
      </c>
      <c r="C31" s="72" t="str">
        <f>_MP2</f>
        <v>Pendidikan Agama Kristen</v>
      </c>
      <c r="D31" s="73" t="str">
        <f>"Sangat terampil dalam KD "&amp;'IKD2'!E9</f>
        <v xml:space="preserve">Sangat terampil dalam KD </v>
      </c>
      <c r="E31" s="74" t="str">
        <f>"Terampil dalam KD "&amp;'IKD2'!E9</f>
        <v xml:space="preserve">Terampil dalam KD </v>
      </c>
      <c r="F31" s="74" t="str">
        <f>"Cukup terampil dalam KD "&amp;'IKD2'!E9</f>
        <v xml:space="preserve">Cukup terampil dalam KD </v>
      </c>
      <c r="G31" s="74" t="str">
        <f>"Perlu ditingkatkan keterampilan KD "&amp;'IKD2'!E9</f>
        <v xml:space="preserve">Perlu ditingkatkan keterampilan KD </v>
      </c>
    </row>
    <row r="32" spans="2:7" ht="61.5" customHeight="1">
      <c r="B32" s="72">
        <v>3</v>
      </c>
      <c r="C32" s="72" t="str">
        <f>_MP3</f>
        <v>Pendidikan Agama Katolik</v>
      </c>
      <c r="D32" s="73" t="str">
        <f>"Sangat terampil dalam KD "&amp;'IKD2'!E10</f>
        <v xml:space="preserve">Sangat terampil dalam KD </v>
      </c>
      <c r="E32" s="74" t="str">
        <f>"Terampil dalam KD "&amp;'IKD2'!E10</f>
        <v xml:space="preserve">Terampil dalam KD </v>
      </c>
      <c r="F32" s="74" t="str">
        <f>"Cukup terampil dalam KD "&amp;'IKD2'!E10</f>
        <v xml:space="preserve">Cukup terampil dalam KD </v>
      </c>
      <c r="G32" s="74" t="str">
        <f>"Perlu ditingkatkan keterampilan KD "&amp;'IKD2'!E10</f>
        <v xml:space="preserve">Perlu ditingkatkan keterampilan KD </v>
      </c>
    </row>
    <row r="33" spans="2:7" ht="61.5" customHeight="1">
      <c r="B33" s="72">
        <v>4</v>
      </c>
      <c r="C33" s="72" t="str">
        <f>_MP4</f>
        <v>Pendidikan Agama Hindu</v>
      </c>
      <c r="D33" s="73" t="str">
        <f>"Sangat terampil dalam KD "&amp;'IKD2'!E11</f>
        <v xml:space="preserve">Sangat terampil dalam KD </v>
      </c>
      <c r="E33" s="74" t="str">
        <f>"Terampil dalam KD "&amp;'IKD2'!E11</f>
        <v xml:space="preserve">Terampil dalam KD </v>
      </c>
      <c r="F33" s="74" t="str">
        <f>"Cukup terampil dalam KD "&amp;'IKD2'!E11</f>
        <v xml:space="preserve">Cukup terampil dalam KD </v>
      </c>
      <c r="G33" s="74" t="str">
        <f>"Perlu ditingkatkan keterampilan KD "&amp;'IKD2'!E11</f>
        <v xml:space="preserve">Perlu ditingkatkan keterampilan KD </v>
      </c>
    </row>
    <row r="34" spans="2:7" ht="61.5" customHeight="1">
      <c r="B34" s="72">
        <v>5</v>
      </c>
      <c r="C34" s="72" t="str">
        <f>_MP5</f>
        <v>Pendidikan Agama Budha</v>
      </c>
      <c r="D34" s="73" t="str">
        <f>"Sangat terampil dalam KD "&amp;'IKD2'!E12</f>
        <v xml:space="preserve">Sangat terampil dalam KD </v>
      </c>
      <c r="E34" s="74" t="str">
        <f>"Terampil dalam KD "&amp;'IKD2'!E12</f>
        <v xml:space="preserve">Terampil dalam KD </v>
      </c>
      <c r="F34" s="74" t="str">
        <f>"Cukup terampil dalam KD "&amp;'IKD2'!E12</f>
        <v xml:space="preserve">Cukup terampil dalam KD </v>
      </c>
      <c r="G34" s="74" t="str">
        <f>"Perlu ditingkatkan keterampilan KD "&amp;'IKD2'!E12</f>
        <v xml:space="preserve">Perlu ditingkatkan keterampilan KD </v>
      </c>
    </row>
    <row r="35" spans="2:7" ht="61.5" customHeight="1">
      <c r="B35" s="68">
        <v>6</v>
      </c>
      <c r="C35" s="68" t="str">
        <f>_MP6</f>
        <v>PKn</v>
      </c>
      <c r="D35" s="73" t="str">
        <f>"Sangat terampil dalam KD "&amp;'IKD2'!E13</f>
        <v xml:space="preserve">Sangat terampil dalam KD </v>
      </c>
      <c r="E35" s="74" t="str">
        <f>"Terampil dalam KD "&amp;'IKD2'!E13</f>
        <v xml:space="preserve">Terampil dalam KD </v>
      </c>
      <c r="F35" s="74" t="str">
        <f>"Cukup terampil dalam KD "&amp;'IKD2'!E13</f>
        <v xml:space="preserve">Cukup terampil dalam KD </v>
      </c>
      <c r="G35" s="74" t="str">
        <f>"Perlu ditingkatkan keterampilan KD "&amp;'IKD2'!E13</f>
        <v xml:space="preserve">Perlu ditingkatkan keterampilan KD </v>
      </c>
    </row>
    <row r="36" spans="2:7" ht="61.5" customHeight="1">
      <c r="B36" s="68">
        <v>7</v>
      </c>
      <c r="C36" s="68" t="str">
        <f>_MP7</f>
        <v xml:space="preserve">Bahasa Indonesia </v>
      </c>
      <c r="D36" s="73" t="str">
        <f>"Sangat terampil dalam KD "&amp;'IKD2'!E14</f>
        <v xml:space="preserve">Sangat terampil dalam KD </v>
      </c>
      <c r="E36" s="74" t="str">
        <f>"Terampil dalam KD "&amp;'IKD2'!E14</f>
        <v xml:space="preserve">Terampil dalam KD </v>
      </c>
      <c r="F36" s="74" t="str">
        <f>"Cukup terampil dalam KD "&amp;'IKD2'!E14</f>
        <v xml:space="preserve">Cukup terampil dalam KD </v>
      </c>
      <c r="G36" s="74" t="str">
        <f>"Perlu ditingkatkan keterampilan KD "&amp;'IKD2'!E14</f>
        <v xml:space="preserve">Perlu ditingkatkan keterampilan KD </v>
      </c>
    </row>
    <row r="37" spans="2:7" ht="61.5" customHeight="1">
      <c r="B37" s="68">
        <v>8</v>
      </c>
      <c r="C37" s="68" t="str">
        <f>_MP8</f>
        <v xml:space="preserve">Matematika </v>
      </c>
      <c r="D37" s="73" t="str">
        <f>"Sangat terampil dalam KD "&amp;'IKD2'!E15</f>
        <v xml:space="preserve">Sangat terampil dalam KD </v>
      </c>
      <c r="E37" s="74" t="str">
        <f>"Terampil dalam KD "&amp;'IKD2'!E15</f>
        <v xml:space="preserve">Terampil dalam KD </v>
      </c>
      <c r="F37" s="74" t="str">
        <f>"Cukup terampil dalam KD "&amp;'IKD2'!E15</f>
        <v xml:space="preserve">Cukup terampil dalam KD </v>
      </c>
      <c r="G37" s="74" t="str">
        <f>"Perlu ditingkatkan keterampilan KD "&amp;'IKD2'!E15</f>
        <v xml:space="preserve">Perlu ditingkatkan keterampilan KD </v>
      </c>
    </row>
    <row r="38" spans="2:7" ht="61.5" customHeight="1">
      <c r="B38" s="68">
        <v>9</v>
      </c>
      <c r="C38" s="68" t="str">
        <f>_MP9</f>
        <v xml:space="preserve">Ilmu Pengetahuan Alam </v>
      </c>
      <c r="D38" s="73" t="str">
        <f>"Sangat terampil dalam KD "&amp;'IKD2'!E16</f>
        <v xml:space="preserve">Sangat terampil dalam KD </v>
      </c>
      <c r="E38" s="74" t="str">
        <f>"Terampil dalam KD "&amp;'IKD2'!E16</f>
        <v xml:space="preserve">Terampil dalam KD </v>
      </c>
      <c r="F38" s="74" t="str">
        <f>"Cukup terampil dalam KD "&amp;'IKD2'!E16</f>
        <v xml:space="preserve">Cukup terampil dalam KD </v>
      </c>
      <c r="G38" s="74" t="str">
        <f>"Perlu ditingkatkan keterampilan KD "&amp;'IKD2'!E16</f>
        <v xml:space="preserve">Perlu ditingkatkan keterampilan KD </v>
      </c>
    </row>
    <row r="39" spans="2:7" ht="61.5" customHeight="1">
      <c r="B39" s="68">
        <v>10</v>
      </c>
      <c r="C39" s="68" t="str">
        <f>_MP10</f>
        <v xml:space="preserve">Ilmu Pengetahuan Sosial </v>
      </c>
      <c r="D39" s="73" t="str">
        <f>"Sangat terampil dalam KD "&amp;'IKD2'!E17</f>
        <v xml:space="preserve">Sangat terampil dalam KD </v>
      </c>
      <c r="E39" s="74" t="str">
        <f>"Terampil dalam KD "&amp;'IKD2'!E17</f>
        <v xml:space="preserve">Terampil dalam KD </v>
      </c>
      <c r="F39" s="74" t="str">
        <f>"Cukup terampil dalam KD "&amp;'IKD2'!E17</f>
        <v xml:space="preserve">Cukup terampil dalam KD </v>
      </c>
      <c r="G39" s="74" t="str">
        <f>"Perlu ditingkatkan keterampilan KD "&amp;'IKD2'!E17</f>
        <v xml:space="preserve">Perlu ditingkatkan keterampilan KD </v>
      </c>
    </row>
    <row r="40" spans="2:7" ht="61.5" customHeight="1">
      <c r="B40" s="68">
        <v>11</v>
      </c>
      <c r="C40" s="68" t="str">
        <f>_MP11</f>
        <v xml:space="preserve">Bahasa Inggris </v>
      </c>
      <c r="D40" s="73" t="str">
        <f>"Sangat terampil dalam KD "&amp;'IKD2'!E18</f>
        <v xml:space="preserve">Sangat terampil dalam KD </v>
      </c>
      <c r="E40" s="74" t="str">
        <f>"Terampil dalam KD "&amp;'IKD2'!E18</f>
        <v xml:space="preserve">Terampil dalam KD </v>
      </c>
      <c r="F40" s="74" t="str">
        <f>"Cukup terampil dalam KD "&amp;'IKD2'!E18</f>
        <v xml:space="preserve">Cukup terampil dalam KD </v>
      </c>
      <c r="G40" s="74" t="str">
        <f>"Perlu ditingkatkan keterampilan KD "&amp;'IKD2'!E18</f>
        <v xml:space="preserve">Perlu ditingkatkan keterampilan KD </v>
      </c>
    </row>
    <row r="41" spans="2:7" ht="61.5" customHeight="1">
      <c r="B41" s="68">
        <v>12</v>
      </c>
      <c r="C41" s="68" t="str">
        <f>_MP12</f>
        <v>Seni Budaya</v>
      </c>
      <c r="D41" s="73" t="str">
        <f>"Sangat terampil dalam KD "&amp;'IKD2'!E19</f>
        <v xml:space="preserve">Sangat terampil dalam KD </v>
      </c>
      <c r="E41" s="74" t="str">
        <f>"Terampil dalam KD "&amp;'IKD2'!E19</f>
        <v xml:space="preserve">Terampil dalam KD </v>
      </c>
      <c r="F41" s="74" t="str">
        <f>"Cukup terampil dalam KD "&amp;'IKD2'!E19</f>
        <v xml:space="preserve">Cukup terampil dalam KD </v>
      </c>
      <c r="G41" s="74" t="str">
        <f>"Perlu ditingkatkan keterampilan KD "&amp;'IKD2'!E19</f>
        <v xml:space="preserve">Perlu ditingkatkan keterampilan KD </v>
      </c>
    </row>
    <row r="42" spans="2:7" ht="61.5" customHeight="1">
      <c r="B42" s="68">
        <v>13</v>
      </c>
      <c r="C42" s="68" t="str">
        <f>_MP13</f>
        <v>Penjaskes</v>
      </c>
      <c r="D42" s="73" t="str">
        <f>"Sangat terampil dalam KD "&amp;'IKD2'!E20</f>
        <v xml:space="preserve">Sangat terampil dalam KD </v>
      </c>
      <c r="E42" s="74" t="str">
        <f>"Terampil dalam KD "&amp;'IKD2'!E20</f>
        <v xml:space="preserve">Terampil dalam KD </v>
      </c>
      <c r="F42" s="74" t="str">
        <f>"Cukup terampil dalam KD "&amp;'IKD2'!E20</f>
        <v xml:space="preserve">Cukup terampil dalam KD </v>
      </c>
      <c r="G42" s="74" t="str">
        <f>"Perlu ditingkatkan keterampilan KD "&amp;'IKD2'!E20</f>
        <v xml:space="preserve">Perlu ditingkatkan keterampilan KD </v>
      </c>
    </row>
    <row r="43" spans="2:7" ht="61.5" customHeight="1">
      <c r="B43" s="68">
        <v>14</v>
      </c>
      <c r="C43" s="68" t="str">
        <f>_MP14</f>
        <v>Prakarya</v>
      </c>
      <c r="D43" s="73" t="str">
        <f>"Sangat terampil dalam KD "&amp;'IKD2'!E21</f>
        <v xml:space="preserve">Sangat terampil dalam KD </v>
      </c>
      <c r="E43" s="74" t="str">
        <f>"Terampil dalam KD "&amp;'IKD2'!E21</f>
        <v xml:space="preserve">Terampil dalam KD </v>
      </c>
      <c r="F43" s="74" t="str">
        <f>"Cukup terampil dalam KD "&amp;'IKD2'!E21</f>
        <v xml:space="preserve">Cukup terampil dalam KD </v>
      </c>
      <c r="G43" s="74" t="str">
        <f>"Perlu ditingkatkan keterampilan KD "&amp;'IKD2'!E21</f>
        <v xml:space="preserve">Perlu ditingkatkan keterampilan KD </v>
      </c>
    </row>
    <row r="44" spans="2:7" ht="61.5" customHeight="1">
      <c r="B44" s="68">
        <v>15</v>
      </c>
      <c r="C44" s="68" t="str">
        <f>_MP15</f>
        <v>Bahasa dan Aksara Lampung</v>
      </c>
      <c r="D44" s="73" t="str">
        <f>"Sangat terampil dalam KD "&amp;'IKD2'!E22</f>
        <v xml:space="preserve">Sangat terampil dalam KD </v>
      </c>
      <c r="E44" s="74" t="str">
        <f>"Terampil dalam KD "&amp;'IKD2'!E22</f>
        <v xml:space="preserve">Terampil dalam KD </v>
      </c>
      <c r="F44" s="74" t="str">
        <f>"Cukup terampil dalam KD "&amp;'IKD2'!E22</f>
        <v xml:space="preserve">Cukup terampil dalam KD </v>
      </c>
      <c r="G44" s="74" t="str">
        <f>"Perlu ditingkatkan keterampilan KD "&amp;'IKD2'!E22</f>
        <v xml:space="preserve">Perlu ditingkatkan keterampilan KD </v>
      </c>
    </row>
    <row r="45" spans="2:7"/>
    <row r="46" spans="2:7" ht="35.25" customHeight="1"/>
  </sheetData>
  <sheetProtection password="CE75" sheet="1" objects="1" scenarios="1" selectLockedCells="1"/>
  <mergeCells count="6">
    <mergeCell ref="B7:B8"/>
    <mergeCell ref="C7:C8"/>
    <mergeCell ref="D7:G7"/>
    <mergeCell ref="B28:B29"/>
    <mergeCell ref="C28:C29"/>
    <mergeCell ref="D28:G28"/>
  </mergeCells>
  <pageMargins left="0.7" right="0.7" top="0.75" bottom="0.75" header="0.3" footer="0.3"/>
</worksheet>
</file>

<file path=xl/worksheets/sheet32.xml><?xml version="1.0" encoding="utf-8"?>
<worksheet xmlns="http://schemas.openxmlformats.org/spreadsheetml/2006/main" xmlns:r="http://schemas.openxmlformats.org/officeDocument/2006/relationships">
  <sheetPr codeName="Sheet25">
    <tabColor theme="1" tint="4.9989318521683403E-2"/>
  </sheetPr>
  <dimension ref="B1:Y101"/>
  <sheetViews>
    <sheetView workbookViewId="0">
      <selection activeCell="Q40" sqref="Q40"/>
    </sheetView>
  </sheetViews>
  <sheetFormatPr defaultRowHeight="15"/>
  <cols>
    <col min="2" max="2" width="9.140625" style="1"/>
    <col min="3" max="3" width="10.85546875" style="1" customWidth="1"/>
    <col min="4" max="4" width="14.42578125" customWidth="1"/>
    <col min="6" max="6" width="8.28515625" style="1" customWidth="1"/>
    <col min="8" max="8" width="10.85546875" bestFit="1" customWidth="1"/>
    <col min="11" max="11" width="13.42578125" style="1" customWidth="1"/>
    <col min="12" max="12" width="10.42578125" customWidth="1"/>
    <col min="13" max="13" width="7.85546875" style="1" customWidth="1"/>
    <col min="14" max="14" width="9.5703125" customWidth="1"/>
    <col min="16" max="16" width="18.5703125" bestFit="1" customWidth="1"/>
    <col min="17" max="17" width="8.5703125" customWidth="1"/>
    <col min="19" max="19" width="1.85546875" customWidth="1"/>
    <col min="20" max="20" width="5.5703125" customWidth="1"/>
    <col min="21" max="21" width="14.85546875" customWidth="1"/>
    <col min="22" max="22" width="14" customWidth="1"/>
    <col min="23" max="23" width="9.140625" style="1"/>
    <col min="24" max="24" width="13.7109375" customWidth="1"/>
    <col min="25" max="25" width="21.28515625" style="1" customWidth="1"/>
    <col min="26" max="26" width="2.5703125" customWidth="1"/>
  </cols>
  <sheetData>
    <row r="1" spans="2:25" s="269" customFormat="1" ht="29.25" customHeight="1" thickBot="1">
      <c r="B1" s="269" t="s">
        <v>59</v>
      </c>
      <c r="C1" s="269" t="s">
        <v>84</v>
      </c>
      <c r="D1" s="269" t="s">
        <v>85</v>
      </c>
      <c r="F1" s="269" t="s">
        <v>99</v>
      </c>
      <c r="M1" s="269" t="s">
        <v>102</v>
      </c>
    </row>
    <row r="2" spans="2:25">
      <c r="B2" s="26">
        <v>1</v>
      </c>
      <c r="C2" s="27">
        <v>0.04</v>
      </c>
      <c r="D2" s="27" t="s">
        <v>81</v>
      </c>
      <c r="F2" s="287" t="s">
        <v>50</v>
      </c>
      <c r="G2" s="288" t="s">
        <v>51</v>
      </c>
      <c r="H2" s="288" t="s">
        <v>100</v>
      </c>
      <c r="I2" s="288" t="s">
        <v>59</v>
      </c>
      <c r="J2" s="288" t="s">
        <v>61</v>
      </c>
      <c r="K2" s="289" t="s">
        <v>298</v>
      </c>
      <c r="L2" s="290" t="s">
        <v>299</v>
      </c>
      <c r="M2" s="296" t="s">
        <v>50</v>
      </c>
      <c r="N2" s="289" t="s">
        <v>101</v>
      </c>
      <c r="O2" s="289" t="s">
        <v>61</v>
      </c>
      <c r="P2" s="289" t="s">
        <v>100</v>
      </c>
      <c r="Q2" s="289" t="s">
        <v>51</v>
      </c>
      <c r="R2" s="290" t="s">
        <v>103</v>
      </c>
      <c r="T2" s="296" t="s">
        <v>50</v>
      </c>
      <c r="U2" s="289" t="s">
        <v>100</v>
      </c>
      <c r="V2" s="289" t="s">
        <v>51</v>
      </c>
      <c r="W2" s="289" t="s">
        <v>59</v>
      </c>
      <c r="X2" s="289" t="s">
        <v>61</v>
      </c>
      <c r="Y2" s="290" t="s">
        <v>300</v>
      </c>
    </row>
    <row r="3" spans="2:25">
      <c r="B3" s="26">
        <v>2</v>
      </c>
      <c r="C3" s="27">
        <v>0.08</v>
      </c>
      <c r="D3" s="27" t="s">
        <v>81</v>
      </c>
      <c r="F3" s="291">
        <f>Leger2!E7</f>
        <v>1</v>
      </c>
      <c r="G3" s="43">
        <f>Leger2!F7</f>
        <v>7057</v>
      </c>
      <c r="H3" s="42" t="str">
        <f>PROPER(Leger2!G7)</f>
        <v>Ahmad Zaki Aufa</v>
      </c>
      <c r="I3" s="43" t="str">
        <f>Leger2!BB7</f>
        <v/>
      </c>
      <c r="J3" s="43" t="str">
        <f>Leger2!BD7</f>
        <v/>
      </c>
      <c r="K3" s="43" t="str">
        <f>IF(F3="","",IFERROR(I3+COUNTIF($J$3:J3,J3),""))</f>
        <v/>
      </c>
      <c r="L3" s="292" t="str">
        <f>IF(F3="","",IFERROR((K3-J3),""))</f>
        <v/>
      </c>
      <c r="M3" s="291">
        <f>F3</f>
        <v>1</v>
      </c>
      <c r="N3" s="43" t="str">
        <f>IF(F3="","",L3)</f>
        <v/>
      </c>
      <c r="O3" s="43" t="str">
        <f>J3</f>
        <v/>
      </c>
      <c r="P3" s="42" t="str">
        <f>IF(I3="","",H3)</f>
        <v/>
      </c>
      <c r="Q3" s="43" t="str">
        <f>IF(I3="","",G3)</f>
        <v/>
      </c>
      <c r="R3" s="297" t="str">
        <f>I3</f>
        <v/>
      </c>
      <c r="T3" s="291">
        <f>M3</f>
        <v>1</v>
      </c>
      <c r="U3" s="42" t="str">
        <f>IF(M3="","",VLOOKUP(Y3,$N$3:$R$42,3,FALSE))</f>
        <v/>
      </c>
      <c r="V3" s="43" t="str">
        <f>IF(M3="","",VLOOKUP(Y3,$N$3:$R$42,4,FALSE))</f>
        <v/>
      </c>
      <c r="W3" s="43" t="str">
        <f>IF(M3="","",VLOOKUP(Y3,$N$3:$R$42,5,FALSE))</f>
        <v/>
      </c>
      <c r="X3" s="43" t="str">
        <f>IF(M3="","",VLOOKUP(Y3,$N$3:$R$42,2,FALSE))</f>
        <v/>
      </c>
      <c r="Y3" s="297" t="str">
        <f>IF(L3="","",LARGE($L$3:$L$42,T3))</f>
        <v/>
      </c>
    </row>
    <row r="4" spans="2:25">
      <c r="B4" s="26">
        <v>3</v>
      </c>
      <c r="C4" s="27">
        <v>0.12</v>
      </c>
      <c r="D4" s="27" t="s">
        <v>81</v>
      </c>
      <c r="F4" s="291">
        <f>Leger2!E8</f>
        <v>2</v>
      </c>
      <c r="G4" s="43">
        <f>Leger2!F8</f>
        <v>7058</v>
      </c>
      <c r="H4" s="42" t="str">
        <f>PROPER(Leger2!G8)</f>
        <v>Anandhita Nafra Wilova</v>
      </c>
      <c r="I4" s="43" t="str">
        <f>Leger2!BB8</f>
        <v/>
      </c>
      <c r="J4" s="43" t="str">
        <f>Leger2!BD8</f>
        <v/>
      </c>
      <c r="K4" s="686" t="str">
        <f>IF(F4="","",IFERROR(I4+COUNTIF($J$3:J4,J4),""))</f>
        <v/>
      </c>
      <c r="L4" s="292" t="str">
        <f t="shared" ref="L4:L42" si="0">IF(F4="","",IFERROR((K4-J4),""))</f>
        <v/>
      </c>
      <c r="M4" s="291">
        <f t="shared" ref="M4:M42" si="1">F4</f>
        <v>2</v>
      </c>
      <c r="N4" s="43" t="str">
        <f t="shared" ref="N4:N42" si="2">IF(F4="","",L4)</f>
        <v/>
      </c>
      <c r="O4" s="43" t="str">
        <f>J4</f>
        <v/>
      </c>
      <c r="P4" s="42" t="str">
        <f t="shared" ref="P4:P42" si="3">IF(I4="","",H4)</f>
        <v/>
      </c>
      <c r="Q4" s="686" t="str">
        <f t="shared" ref="Q4:Q42" si="4">IF(I4="","",G4)</f>
        <v/>
      </c>
      <c r="R4" s="297" t="str">
        <f t="shared" ref="R4:R42" si="5">I4</f>
        <v/>
      </c>
      <c r="T4" s="291">
        <f t="shared" ref="T4:T42" si="6">M4</f>
        <v>2</v>
      </c>
      <c r="U4" s="42" t="str">
        <f t="shared" ref="U4:U41" si="7">IF(M4="","",VLOOKUP(Y4,$N$3:$R$42,3,FALSE))</f>
        <v/>
      </c>
      <c r="V4" s="43" t="str">
        <f t="shared" ref="V4:V41" si="8">IF(M4="","",VLOOKUP(Y4,$N$3:$R$42,4,FALSE))</f>
        <v/>
      </c>
      <c r="W4" s="43" t="str">
        <f t="shared" ref="W4:W41" si="9">IF(M4="","",VLOOKUP(Y4,$N$3:$R$42,5,FALSE))</f>
        <v/>
      </c>
      <c r="X4" s="43" t="str">
        <f t="shared" ref="X4:X41" si="10">IF(M4="","",VLOOKUP(Y4,$N$3:$R$42,2,FALSE))</f>
        <v/>
      </c>
      <c r="Y4" s="297" t="str">
        <f>IF(L4="","",LARGE($L$3:$L$42,T4))</f>
        <v/>
      </c>
    </row>
    <row r="5" spans="2:25">
      <c r="B5" s="26">
        <v>4</v>
      </c>
      <c r="C5" s="27">
        <v>0.16</v>
      </c>
      <c r="D5" s="27" t="s">
        <v>81</v>
      </c>
      <c r="F5" s="291">
        <f>Leger2!E9</f>
        <v>3</v>
      </c>
      <c r="G5" s="43">
        <f>Leger2!F9</f>
        <v>7059</v>
      </c>
      <c r="H5" s="42" t="str">
        <f>PROPER(Leger2!G9)</f>
        <v>Andini Dwi Aryanti</v>
      </c>
      <c r="I5" s="43" t="str">
        <f>Leger2!BB9</f>
        <v/>
      </c>
      <c r="J5" s="43" t="str">
        <f>Leger2!BD9</f>
        <v/>
      </c>
      <c r="K5" s="686" t="str">
        <f>IF(F5="","",IFERROR(I5+COUNTIF($J$3:J5,J5),""))</f>
        <v/>
      </c>
      <c r="L5" s="292" t="str">
        <f t="shared" si="0"/>
        <v/>
      </c>
      <c r="M5" s="291">
        <f t="shared" si="1"/>
        <v>3</v>
      </c>
      <c r="N5" s="43" t="str">
        <f t="shared" si="2"/>
        <v/>
      </c>
      <c r="O5" s="43" t="str">
        <f t="shared" ref="O5:O41" si="11">J5</f>
        <v/>
      </c>
      <c r="P5" s="42" t="str">
        <f t="shared" si="3"/>
        <v/>
      </c>
      <c r="Q5" s="686" t="str">
        <f t="shared" si="4"/>
        <v/>
      </c>
      <c r="R5" s="297" t="str">
        <f t="shared" si="5"/>
        <v/>
      </c>
      <c r="T5" s="291">
        <f t="shared" si="6"/>
        <v>3</v>
      </c>
      <c r="U5" s="42" t="str">
        <f t="shared" si="7"/>
        <v/>
      </c>
      <c r="V5" s="43" t="str">
        <f t="shared" si="8"/>
        <v/>
      </c>
      <c r="W5" s="43" t="str">
        <f t="shared" si="9"/>
        <v/>
      </c>
      <c r="X5" s="43" t="str">
        <f t="shared" si="10"/>
        <v/>
      </c>
      <c r="Y5" s="297" t="str">
        <f t="shared" ref="Y5:Y42" si="12">IF(L5="","",LARGE($L$3:$L$42,T5))</f>
        <v/>
      </c>
    </row>
    <row r="6" spans="2:25">
      <c r="B6" s="26">
        <v>5</v>
      </c>
      <c r="C6" s="27">
        <v>0.2</v>
      </c>
      <c r="D6" s="27" t="s">
        <v>81</v>
      </c>
      <c r="F6" s="291">
        <f>Leger2!E10</f>
        <v>4</v>
      </c>
      <c r="G6" s="43">
        <f>Leger2!F10</f>
        <v>7060</v>
      </c>
      <c r="H6" s="42" t="str">
        <f>PROPER(Leger2!G10)</f>
        <v>Anggun Suci Rahmadani</v>
      </c>
      <c r="I6" s="43" t="str">
        <f>Leger2!BB10</f>
        <v/>
      </c>
      <c r="J6" s="43" t="str">
        <f>Leger2!BD10</f>
        <v/>
      </c>
      <c r="K6" s="686" t="str">
        <f>IF(F6="","",IFERROR(I6+COUNTIF($J$3:J6,J6),""))</f>
        <v/>
      </c>
      <c r="L6" s="292" t="str">
        <f t="shared" si="0"/>
        <v/>
      </c>
      <c r="M6" s="291">
        <f t="shared" si="1"/>
        <v>4</v>
      </c>
      <c r="N6" s="43" t="str">
        <f t="shared" si="2"/>
        <v/>
      </c>
      <c r="O6" s="43" t="str">
        <f t="shared" si="11"/>
        <v/>
      </c>
      <c r="P6" s="42" t="str">
        <f t="shared" si="3"/>
        <v/>
      </c>
      <c r="Q6" s="686" t="str">
        <f t="shared" si="4"/>
        <v/>
      </c>
      <c r="R6" s="297" t="str">
        <f t="shared" si="5"/>
        <v/>
      </c>
      <c r="T6" s="291">
        <f t="shared" si="6"/>
        <v>4</v>
      </c>
      <c r="U6" s="42" t="str">
        <f t="shared" si="7"/>
        <v/>
      </c>
      <c r="V6" s="43" t="str">
        <f t="shared" si="8"/>
        <v/>
      </c>
      <c r="W6" s="43" t="str">
        <f t="shared" si="9"/>
        <v/>
      </c>
      <c r="X6" s="43" t="str">
        <f t="shared" si="10"/>
        <v/>
      </c>
      <c r="Y6" s="297" t="str">
        <f t="shared" si="12"/>
        <v/>
      </c>
    </row>
    <row r="7" spans="2:25">
      <c r="B7" s="26">
        <v>6</v>
      </c>
      <c r="C7" s="27">
        <v>0.24</v>
      </c>
      <c r="D7" s="27" t="s">
        <v>81</v>
      </c>
      <c r="F7" s="291">
        <f>Leger2!E11</f>
        <v>5</v>
      </c>
      <c r="G7" s="43">
        <f>Leger2!F11</f>
        <v>7061</v>
      </c>
      <c r="H7" s="42" t="str">
        <f>PROPER(Leger2!G11)</f>
        <v>Anisa Julia Tasya</v>
      </c>
      <c r="I7" s="43" t="str">
        <f>Leger2!BB11</f>
        <v/>
      </c>
      <c r="J7" s="43" t="str">
        <f>Leger2!BD11</f>
        <v/>
      </c>
      <c r="K7" s="686" t="str">
        <f>IF(F7="","",IFERROR(I7+COUNTIF($J$3:J7,J7),""))</f>
        <v/>
      </c>
      <c r="L7" s="292" t="str">
        <f t="shared" si="0"/>
        <v/>
      </c>
      <c r="M7" s="291">
        <f t="shared" si="1"/>
        <v>5</v>
      </c>
      <c r="N7" s="43" t="str">
        <f t="shared" si="2"/>
        <v/>
      </c>
      <c r="O7" s="43" t="str">
        <f t="shared" si="11"/>
        <v/>
      </c>
      <c r="P7" s="42" t="str">
        <f t="shared" si="3"/>
        <v/>
      </c>
      <c r="Q7" s="686" t="str">
        <f t="shared" si="4"/>
        <v/>
      </c>
      <c r="R7" s="297" t="str">
        <f t="shared" si="5"/>
        <v/>
      </c>
      <c r="T7" s="291">
        <f t="shared" si="6"/>
        <v>5</v>
      </c>
      <c r="U7" s="42" t="str">
        <f t="shared" si="7"/>
        <v/>
      </c>
      <c r="V7" s="43" t="str">
        <f t="shared" si="8"/>
        <v/>
      </c>
      <c r="W7" s="43" t="str">
        <f t="shared" si="9"/>
        <v/>
      </c>
      <c r="X7" s="43" t="str">
        <f t="shared" si="10"/>
        <v/>
      </c>
      <c r="Y7" s="297" t="str">
        <f t="shared" si="12"/>
        <v/>
      </c>
    </row>
    <row r="8" spans="2:25">
      <c r="B8" s="26">
        <v>7</v>
      </c>
      <c r="C8" s="27">
        <v>0.28000000000000003</v>
      </c>
      <c r="D8" s="27" t="s">
        <v>81</v>
      </c>
      <c r="F8" s="291">
        <f>Leger2!E12</f>
        <v>6</v>
      </c>
      <c r="G8" s="43">
        <f>Leger2!F12</f>
        <v>7065</v>
      </c>
      <c r="H8" s="42" t="str">
        <f>PROPER(Leger2!G12)</f>
        <v>Aulia Rahmawati</v>
      </c>
      <c r="I8" s="43" t="str">
        <f>Leger2!BB12</f>
        <v/>
      </c>
      <c r="J8" s="43" t="str">
        <f>Leger2!BD12</f>
        <v/>
      </c>
      <c r="K8" s="686" t="str">
        <f>IF(F8="","",IFERROR(I8+COUNTIF($J$3:J8,J8),""))</f>
        <v/>
      </c>
      <c r="L8" s="292" t="str">
        <f t="shared" si="0"/>
        <v/>
      </c>
      <c r="M8" s="291">
        <f t="shared" si="1"/>
        <v>6</v>
      </c>
      <c r="N8" s="43" t="str">
        <f t="shared" si="2"/>
        <v/>
      </c>
      <c r="O8" s="43" t="str">
        <f t="shared" si="11"/>
        <v/>
      </c>
      <c r="P8" s="42" t="str">
        <f t="shared" si="3"/>
        <v/>
      </c>
      <c r="Q8" s="686" t="str">
        <f t="shared" si="4"/>
        <v/>
      </c>
      <c r="R8" s="297" t="str">
        <f t="shared" si="5"/>
        <v/>
      </c>
      <c r="T8" s="291">
        <f t="shared" si="6"/>
        <v>6</v>
      </c>
      <c r="U8" s="42" t="str">
        <f t="shared" si="7"/>
        <v/>
      </c>
      <c r="V8" s="43" t="str">
        <f t="shared" si="8"/>
        <v/>
      </c>
      <c r="W8" s="43" t="str">
        <f t="shared" si="9"/>
        <v/>
      </c>
      <c r="X8" s="43" t="str">
        <f t="shared" si="10"/>
        <v/>
      </c>
      <c r="Y8" s="297" t="str">
        <f t="shared" si="12"/>
        <v/>
      </c>
    </row>
    <row r="9" spans="2:25">
      <c r="B9" s="26">
        <v>8</v>
      </c>
      <c r="C9" s="27">
        <v>0.32</v>
      </c>
      <c r="D9" s="27" t="s">
        <v>81</v>
      </c>
      <c r="F9" s="291">
        <f>Leger2!E13</f>
        <v>7</v>
      </c>
      <c r="G9" s="43">
        <f>Leger2!F13</f>
        <v>7066</v>
      </c>
      <c r="H9" s="42" t="str">
        <f>PROPER(Leger2!G13)</f>
        <v>Ayu Chumaira</v>
      </c>
      <c r="I9" s="43" t="str">
        <f>Leger2!BB13</f>
        <v/>
      </c>
      <c r="J9" s="43" t="str">
        <f>Leger2!BD13</f>
        <v/>
      </c>
      <c r="K9" s="686" t="str">
        <f>IF(F9="","",IFERROR(I9+COUNTIF($J$3:J9,J9),""))</f>
        <v/>
      </c>
      <c r="L9" s="292" t="str">
        <f t="shared" si="0"/>
        <v/>
      </c>
      <c r="M9" s="291">
        <f t="shared" si="1"/>
        <v>7</v>
      </c>
      <c r="N9" s="43" t="str">
        <f t="shared" si="2"/>
        <v/>
      </c>
      <c r="O9" s="43" t="str">
        <f t="shared" si="11"/>
        <v/>
      </c>
      <c r="P9" s="42" t="str">
        <f t="shared" si="3"/>
        <v/>
      </c>
      <c r="Q9" s="686" t="str">
        <f t="shared" si="4"/>
        <v/>
      </c>
      <c r="R9" s="297" t="str">
        <f t="shared" si="5"/>
        <v/>
      </c>
      <c r="T9" s="291">
        <f t="shared" si="6"/>
        <v>7</v>
      </c>
      <c r="U9" s="42" t="str">
        <f t="shared" si="7"/>
        <v/>
      </c>
      <c r="V9" s="43" t="str">
        <f t="shared" si="8"/>
        <v/>
      </c>
      <c r="W9" s="43" t="str">
        <f t="shared" si="9"/>
        <v/>
      </c>
      <c r="X9" s="43" t="str">
        <f t="shared" si="10"/>
        <v/>
      </c>
      <c r="Y9" s="297" t="str">
        <f t="shared" si="12"/>
        <v/>
      </c>
    </row>
    <row r="10" spans="2:25">
      <c r="B10" s="26">
        <v>9</v>
      </c>
      <c r="C10" s="27">
        <v>0.36</v>
      </c>
      <c r="D10" s="27" t="s">
        <v>81</v>
      </c>
      <c r="F10" s="291">
        <f>Leger2!E14</f>
        <v>8</v>
      </c>
      <c r="G10" s="43">
        <f>Leger2!F14</f>
        <v>7067</v>
      </c>
      <c r="H10" s="42" t="str">
        <f>PROPER(Leger2!G14)</f>
        <v>Ayu Emelia Putri</v>
      </c>
      <c r="I10" s="43" t="str">
        <f>Leger2!BB14</f>
        <v/>
      </c>
      <c r="J10" s="43" t="str">
        <f>Leger2!BD14</f>
        <v/>
      </c>
      <c r="K10" s="686" t="str">
        <f>IF(F10="","",IFERROR(I10+COUNTIF($J$3:J10,J10),""))</f>
        <v/>
      </c>
      <c r="L10" s="292" t="str">
        <f t="shared" si="0"/>
        <v/>
      </c>
      <c r="M10" s="291">
        <f t="shared" si="1"/>
        <v>8</v>
      </c>
      <c r="N10" s="43" t="str">
        <f t="shared" si="2"/>
        <v/>
      </c>
      <c r="O10" s="43" t="str">
        <f t="shared" si="11"/>
        <v/>
      </c>
      <c r="P10" s="42" t="str">
        <f t="shared" si="3"/>
        <v/>
      </c>
      <c r="Q10" s="686" t="str">
        <f t="shared" si="4"/>
        <v/>
      </c>
      <c r="R10" s="297" t="str">
        <f t="shared" si="5"/>
        <v/>
      </c>
      <c r="T10" s="291">
        <f t="shared" si="6"/>
        <v>8</v>
      </c>
      <c r="U10" s="42" t="str">
        <f t="shared" si="7"/>
        <v/>
      </c>
      <c r="V10" s="43" t="str">
        <f t="shared" si="8"/>
        <v/>
      </c>
      <c r="W10" s="43" t="str">
        <f t="shared" si="9"/>
        <v/>
      </c>
      <c r="X10" s="43" t="str">
        <f t="shared" si="10"/>
        <v/>
      </c>
      <c r="Y10" s="297" t="str">
        <f t="shared" si="12"/>
        <v/>
      </c>
    </row>
    <row r="11" spans="2:25">
      <c r="B11" s="26">
        <v>10</v>
      </c>
      <c r="C11" s="27">
        <v>0.4</v>
      </c>
      <c r="D11" s="27" t="s">
        <v>81</v>
      </c>
      <c r="F11" s="291">
        <f>Leger2!E15</f>
        <v>9</v>
      </c>
      <c r="G11" s="43">
        <f>Leger2!F15</f>
        <v>7068</v>
      </c>
      <c r="H11" s="42" t="str">
        <f>PROPER(Leger2!G15)</f>
        <v>Bayu Anggoro</v>
      </c>
      <c r="I11" s="43" t="str">
        <f>Leger2!BB15</f>
        <v/>
      </c>
      <c r="J11" s="43" t="str">
        <f>Leger2!BD15</f>
        <v/>
      </c>
      <c r="K11" s="686" t="str">
        <f>IF(F11="","",IFERROR(I11+COUNTIF($J$3:J11,J11),""))</f>
        <v/>
      </c>
      <c r="L11" s="292" t="str">
        <f t="shared" si="0"/>
        <v/>
      </c>
      <c r="M11" s="291">
        <f t="shared" si="1"/>
        <v>9</v>
      </c>
      <c r="N11" s="43" t="str">
        <f t="shared" si="2"/>
        <v/>
      </c>
      <c r="O11" s="43" t="str">
        <f t="shared" si="11"/>
        <v/>
      </c>
      <c r="P11" s="42" t="str">
        <f t="shared" si="3"/>
        <v/>
      </c>
      <c r="Q11" s="686" t="str">
        <f t="shared" si="4"/>
        <v/>
      </c>
      <c r="R11" s="297" t="str">
        <f t="shared" si="5"/>
        <v/>
      </c>
      <c r="T11" s="291">
        <f t="shared" si="6"/>
        <v>9</v>
      </c>
      <c r="U11" s="42" t="str">
        <f t="shared" si="7"/>
        <v/>
      </c>
      <c r="V11" s="43" t="str">
        <f t="shared" si="8"/>
        <v/>
      </c>
      <c r="W11" s="43" t="str">
        <f t="shared" si="9"/>
        <v/>
      </c>
      <c r="X11" s="43" t="str">
        <f t="shared" si="10"/>
        <v/>
      </c>
      <c r="Y11" s="297" t="str">
        <f t="shared" si="12"/>
        <v/>
      </c>
    </row>
    <row r="12" spans="2:25">
      <c r="B12" s="26">
        <v>11</v>
      </c>
      <c r="C12" s="27">
        <v>0.44</v>
      </c>
      <c r="D12" s="27" t="s">
        <v>81</v>
      </c>
      <c r="F12" s="291">
        <f>Leger2!E16</f>
        <v>10</v>
      </c>
      <c r="G12" s="43">
        <f>Leger2!F16</f>
        <v>7069</v>
      </c>
      <c r="H12" s="42" t="str">
        <f>PROPER(Leger2!G16)</f>
        <v>Calissta Sabrina Salwa Aurelia</v>
      </c>
      <c r="I12" s="43" t="str">
        <f>Leger2!BB16</f>
        <v/>
      </c>
      <c r="J12" s="43" t="str">
        <f>Leger2!BD16</f>
        <v/>
      </c>
      <c r="K12" s="686" t="str">
        <f>IF(F12="","",IFERROR(I12+COUNTIF($J$3:J12,J12),""))</f>
        <v/>
      </c>
      <c r="L12" s="292" t="str">
        <f t="shared" si="0"/>
        <v/>
      </c>
      <c r="M12" s="291">
        <f t="shared" si="1"/>
        <v>10</v>
      </c>
      <c r="N12" s="43" t="str">
        <f t="shared" si="2"/>
        <v/>
      </c>
      <c r="O12" s="43" t="str">
        <f t="shared" si="11"/>
        <v/>
      </c>
      <c r="P12" s="42" t="str">
        <f t="shared" si="3"/>
        <v/>
      </c>
      <c r="Q12" s="686" t="str">
        <f t="shared" si="4"/>
        <v/>
      </c>
      <c r="R12" s="297" t="str">
        <f t="shared" si="5"/>
        <v/>
      </c>
      <c r="T12" s="291">
        <f t="shared" si="6"/>
        <v>10</v>
      </c>
      <c r="U12" s="42" t="str">
        <f t="shared" si="7"/>
        <v/>
      </c>
      <c r="V12" s="43" t="str">
        <f t="shared" si="8"/>
        <v/>
      </c>
      <c r="W12" s="43" t="str">
        <f t="shared" si="9"/>
        <v/>
      </c>
      <c r="X12" s="43" t="str">
        <f t="shared" si="10"/>
        <v/>
      </c>
      <c r="Y12" s="297" t="str">
        <f t="shared" si="12"/>
        <v/>
      </c>
    </row>
    <row r="13" spans="2:25">
      <c r="B13" s="26">
        <v>12</v>
      </c>
      <c r="C13" s="27">
        <v>0.48</v>
      </c>
      <c r="D13" s="27" t="s">
        <v>81</v>
      </c>
      <c r="F13" s="291">
        <f>Leger2!E17</f>
        <v>11</v>
      </c>
      <c r="G13" s="43">
        <f>Leger2!F17</f>
        <v>7074</v>
      </c>
      <c r="H13" s="42" t="str">
        <f>PROPER(Leger2!G17)</f>
        <v>Dea Safitri</v>
      </c>
      <c r="I13" s="43" t="str">
        <f>Leger2!BB17</f>
        <v/>
      </c>
      <c r="J13" s="43" t="str">
        <f>Leger2!BD17</f>
        <v/>
      </c>
      <c r="K13" s="686" t="str">
        <f>IF(F13="","",IFERROR(I13+COUNTIF($J$3:J13,J13),""))</f>
        <v/>
      </c>
      <c r="L13" s="292" t="str">
        <f t="shared" si="0"/>
        <v/>
      </c>
      <c r="M13" s="291">
        <f t="shared" si="1"/>
        <v>11</v>
      </c>
      <c r="N13" s="43" t="str">
        <f t="shared" si="2"/>
        <v/>
      </c>
      <c r="O13" s="43" t="str">
        <f t="shared" si="11"/>
        <v/>
      </c>
      <c r="P13" s="42" t="str">
        <f t="shared" si="3"/>
        <v/>
      </c>
      <c r="Q13" s="686" t="str">
        <f t="shared" si="4"/>
        <v/>
      </c>
      <c r="R13" s="297" t="str">
        <f t="shared" si="5"/>
        <v/>
      </c>
      <c r="T13" s="291">
        <f t="shared" si="6"/>
        <v>11</v>
      </c>
      <c r="U13" s="42" t="str">
        <f t="shared" si="7"/>
        <v/>
      </c>
      <c r="V13" s="43" t="str">
        <f t="shared" si="8"/>
        <v/>
      </c>
      <c r="W13" s="43" t="str">
        <f t="shared" si="9"/>
        <v/>
      </c>
      <c r="X13" s="43" t="str">
        <f t="shared" si="10"/>
        <v/>
      </c>
      <c r="Y13" s="297" t="str">
        <f t="shared" si="12"/>
        <v/>
      </c>
    </row>
    <row r="14" spans="2:25">
      <c r="B14" s="26">
        <v>13</v>
      </c>
      <c r="C14" s="27">
        <v>0.52</v>
      </c>
      <c r="D14" s="27" t="s">
        <v>81</v>
      </c>
      <c r="F14" s="291">
        <f>Leger2!E18</f>
        <v>12</v>
      </c>
      <c r="G14" s="43">
        <f>Leger2!F18</f>
        <v>7080</v>
      </c>
      <c r="H14" s="42" t="str">
        <f>PROPER(Leger2!G18)</f>
        <v>Dewi Wulandari</v>
      </c>
      <c r="I14" s="43" t="str">
        <f>Leger2!BB18</f>
        <v/>
      </c>
      <c r="J14" s="43" t="str">
        <f>Leger2!BD18</f>
        <v/>
      </c>
      <c r="K14" s="686" t="str">
        <f>IF(F14="","",IFERROR(I14+COUNTIF($J$3:J14,J14),""))</f>
        <v/>
      </c>
      <c r="L14" s="292" t="str">
        <f t="shared" si="0"/>
        <v/>
      </c>
      <c r="M14" s="291">
        <f t="shared" si="1"/>
        <v>12</v>
      </c>
      <c r="N14" s="43" t="str">
        <f t="shared" si="2"/>
        <v/>
      </c>
      <c r="O14" s="43" t="str">
        <f t="shared" si="11"/>
        <v/>
      </c>
      <c r="P14" s="42" t="str">
        <f t="shared" si="3"/>
        <v/>
      </c>
      <c r="Q14" s="686" t="str">
        <f t="shared" si="4"/>
        <v/>
      </c>
      <c r="R14" s="297" t="str">
        <f t="shared" si="5"/>
        <v/>
      </c>
      <c r="T14" s="291">
        <f t="shared" si="6"/>
        <v>12</v>
      </c>
      <c r="U14" s="42" t="str">
        <f t="shared" si="7"/>
        <v/>
      </c>
      <c r="V14" s="43" t="str">
        <f t="shared" si="8"/>
        <v/>
      </c>
      <c r="W14" s="43" t="str">
        <f t="shared" si="9"/>
        <v/>
      </c>
      <c r="X14" s="43" t="str">
        <f t="shared" si="10"/>
        <v/>
      </c>
      <c r="Y14" s="297" t="str">
        <f t="shared" si="12"/>
        <v/>
      </c>
    </row>
    <row r="15" spans="2:25">
      <c r="B15" s="26">
        <v>14</v>
      </c>
      <c r="C15" s="27">
        <v>0.56000000000000005</v>
      </c>
      <c r="D15" s="27" t="s">
        <v>81</v>
      </c>
      <c r="F15" s="291">
        <f>Leger2!E19</f>
        <v>13</v>
      </c>
      <c r="G15" s="43">
        <f>Leger2!F19</f>
        <v>7084</v>
      </c>
      <c r="H15" s="42" t="str">
        <f>PROPER(Leger2!G19)</f>
        <v>Dony Pratama</v>
      </c>
      <c r="I15" s="43" t="str">
        <f>Leger2!BB19</f>
        <v/>
      </c>
      <c r="J15" s="43" t="str">
        <f>Leger2!BD19</f>
        <v/>
      </c>
      <c r="K15" s="686" t="str">
        <f>IF(F15="","",IFERROR(I15+COUNTIF($J$3:J15,J15),""))</f>
        <v/>
      </c>
      <c r="L15" s="292" t="str">
        <f t="shared" si="0"/>
        <v/>
      </c>
      <c r="M15" s="291">
        <f t="shared" si="1"/>
        <v>13</v>
      </c>
      <c r="N15" s="43" t="str">
        <f t="shared" si="2"/>
        <v/>
      </c>
      <c r="O15" s="43" t="str">
        <f t="shared" si="11"/>
        <v/>
      </c>
      <c r="P15" s="42" t="str">
        <f t="shared" si="3"/>
        <v/>
      </c>
      <c r="Q15" s="686" t="str">
        <f t="shared" si="4"/>
        <v/>
      </c>
      <c r="R15" s="297" t="str">
        <f t="shared" si="5"/>
        <v/>
      </c>
      <c r="T15" s="291">
        <f t="shared" si="6"/>
        <v>13</v>
      </c>
      <c r="U15" s="42" t="str">
        <f t="shared" si="7"/>
        <v/>
      </c>
      <c r="V15" s="43" t="str">
        <f t="shared" si="8"/>
        <v/>
      </c>
      <c r="W15" s="43" t="str">
        <f t="shared" si="9"/>
        <v/>
      </c>
      <c r="X15" s="43" t="str">
        <f t="shared" si="10"/>
        <v/>
      </c>
      <c r="Y15" s="297" t="str">
        <f t="shared" si="12"/>
        <v/>
      </c>
    </row>
    <row r="16" spans="2:25">
      <c r="B16" s="26">
        <v>15</v>
      </c>
      <c r="C16" s="27">
        <v>0.6</v>
      </c>
      <c r="D16" s="27" t="s">
        <v>81</v>
      </c>
      <c r="F16" s="291">
        <f>Leger2!E20</f>
        <v>14</v>
      </c>
      <c r="G16" s="43">
        <f>Leger2!F20</f>
        <v>7089</v>
      </c>
      <c r="H16" s="42" t="str">
        <f>PROPER(Leger2!G20)</f>
        <v>Faris Febram</v>
      </c>
      <c r="I16" s="43" t="str">
        <f>Leger2!BB20</f>
        <v/>
      </c>
      <c r="J16" s="43" t="str">
        <f>Leger2!BD20</f>
        <v/>
      </c>
      <c r="K16" s="686" t="str">
        <f>IF(F16="","",IFERROR(I16+COUNTIF($J$3:J16,J16),""))</f>
        <v/>
      </c>
      <c r="L16" s="292" t="str">
        <f t="shared" si="0"/>
        <v/>
      </c>
      <c r="M16" s="291">
        <f t="shared" si="1"/>
        <v>14</v>
      </c>
      <c r="N16" s="43" t="str">
        <f t="shared" si="2"/>
        <v/>
      </c>
      <c r="O16" s="43" t="str">
        <f t="shared" si="11"/>
        <v/>
      </c>
      <c r="P16" s="42" t="str">
        <f t="shared" si="3"/>
        <v/>
      </c>
      <c r="Q16" s="686" t="str">
        <f t="shared" si="4"/>
        <v/>
      </c>
      <c r="R16" s="297" t="str">
        <f t="shared" si="5"/>
        <v/>
      </c>
      <c r="T16" s="291">
        <f t="shared" si="6"/>
        <v>14</v>
      </c>
      <c r="U16" s="42" t="str">
        <f t="shared" si="7"/>
        <v/>
      </c>
      <c r="V16" s="43" t="str">
        <f t="shared" si="8"/>
        <v/>
      </c>
      <c r="W16" s="43" t="str">
        <f t="shared" si="9"/>
        <v/>
      </c>
      <c r="X16" s="43" t="str">
        <f t="shared" si="10"/>
        <v/>
      </c>
      <c r="Y16" s="297" t="str">
        <f t="shared" si="12"/>
        <v/>
      </c>
    </row>
    <row r="17" spans="2:25">
      <c r="B17" s="26">
        <v>16</v>
      </c>
      <c r="C17" s="27">
        <v>0.64</v>
      </c>
      <c r="D17" s="27" t="s">
        <v>81</v>
      </c>
      <c r="F17" s="291">
        <f>Leger2!E21</f>
        <v>15</v>
      </c>
      <c r="G17" s="43">
        <f>Leger2!F21</f>
        <v>7095</v>
      </c>
      <c r="H17" s="42" t="str">
        <f>PROPER(Leger2!G21)</f>
        <v>Hikmatullah Umar Malik Abdul Aziz</v>
      </c>
      <c r="I17" s="43" t="str">
        <f>Leger2!BB21</f>
        <v/>
      </c>
      <c r="J17" s="43" t="str">
        <f>Leger2!BD21</f>
        <v/>
      </c>
      <c r="K17" s="686" t="str">
        <f>IF(F17="","",IFERROR(I17+COUNTIF($J$3:J17,J17),""))</f>
        <v/>
      </c>
      <c r="L17" s="292" t="str">
        <f t="shared" si="0"/>
        <v/>
      </c>
      <c r="M17" s="291">
        <f t="shared" si="1"/>
        <v>15</v>
      </c>
      <c r="N17" s="43" t="str">
        <f t="shared" si="2"/>
        <v/>
      </c>
      <c r="O17" s="43" t="str">
        <f t="shared" si="11"/>
        <v/>
      </c>
      <c r="P17" s="42" t="str">
        <f t="shared" si="3"/>
        <v/>
      </c>
      <c r="Q17" s="686" t="str">
        <f t="shared" si="4"/>
        <v/>
      </c>
      <c r="R17" s="297" t="str">
        <f t="shared" si="5"/>
        <v/>
      </c>
      <c r="T17" s="291">
        <f t="shared" si="6"/>
        <v>15</v>
      </c>
      <c r="U17" s="42" t="str">
        <f t="shared" si="7"/>
        <v/>
      </c>
      <c r="V17" s="43" t="str">
        <f t="shared" si="8"/>
        <v/>
      </c>
      <c r="W17" s="43" t="str">
        <f t="shared" si="9"/>
        <v/>
      </c>
      <c r="X17" s="43" t="str">
        <f t="shared" si="10"/>
        <v/>
      </c>
      <c r="Y17" s="297" t="str">
        <f t="shared" si="12"/>
        <v/>
      </c>
    </row>
    <row r="18" spans="2:25">
      <c r="B18" s="26">
        <v>17</v>
      </c>
      <c r="C18" s="27">
        <v>0.68</v>
      </c>
      <c r="D18" s="27" t="s">
        <v>81</v>
      </c>
      <c r="F18" s="291">
        <f>Leger2!E22</f>
        <v>16</v>
      </c>
      <c r="G18" s="43">
        <f>Leger2!F22</f>
        <v>7096</v>
      </c>
      <c r="H18" s="42" t="str">
        <f>PROPER(Leger2!G22)</f>
        <v>Indah Purnama Ningsih</v>
      </c>
      <c r="I18" s="43" t="str">
        <f>Leger2!BB22</f>
        <v/>
      </c>
      <c r="J18" s="43" t="str">
        <f>Leger2!BD22</f>
        <v/>
      </c>
      <c r="K18" s="686" t="str">
        <f>IF(F18="","",IFERROR(I18+COUNTIF($J$3:J18,J18),""))</f>
        <v/>
      </c>
      <c r="L18" s="292" t="str">
        <f t="shared" si="0"/>
        <v/>
      </c>
      <c r="M18" s="291">
        <f t="shared" si="1"/>
        <v>16</v>
      </c>
      <c r="N18" s="43" t="str">
        <f t="shared" si="2"/>
        <v/>
      </c>
      <c r="O18" s="43" t="str">
        <f t="shared" si="11"/>
        <v/>
      </c>
      <c r="P18" s="42" t="str">
        <f t="shared" si="3"/>
        <v/>
      </c>
      <c r="Q18" s="686" t="str">
        <f t="shared" si="4"/>
        <v/>
      </c>
      <c r="R18" s="297" t="str">
        <f t="shared" si="5"/>
        <v/>
      </c>
      <c r="T18" s="291">
        <f t="shared" si="6"/>
        <v>16</v>
      </c>
      <c r="U18" s="42" t="str">
        <f t="shared" si="7"/>
        <v/>
      </c>
      <c r="V18" s="43" t="str">
        <f t="shared" si="8"/>
        <v/>
      </c>
      <c r="W18" s="43" t="str">
        <f t="shared" si="9"/>
        <v/>
      </c>
      <c r="X18" s="43" t="str">
        <f t="shared" si="10"/>
        <v/>
      </c>
      <c r="Y18" s="297" t="str">
        <f t="shared" si="12"/>
        <v/>
      </c>
    </row>
    <row r="19" spans="2:25">
      <c r="B19" s="26">
        <v>18</v>
      </c>
      <c r="C19" s="27">
        <v>0.72</v>
      </c>
      <c r="D19" s="27" t="s">
        <v>81</v>
      </c>
      <c r="F19" s="291">
        <f>Leger2!E23</f>
        <v>17</v>
      </c>
      <c r="G19" s="43">
        <f>Leger2!F23</f>
        <v>7098</v>
      </c>
      <c r="H19" s="42" t="str">
        <f>PROPER(Leger2!G23)</f>
        <v>Ladiva Nurrosa Laila</v>
      </c>
      <c r="I19" s="43" t="str">
        <f>Leger2!BB23</f>
        <v/>
      </c>
      <c r="J19" s="43" t="str">
        <f>Leger2!BD23</f>
        <v/>
      </c>
      <c r="K19" s="686" t="str">
        <f>IF(F19="","",IFERROR(I19+COUNTIF($J$3:J19,J19),""))</f>
        <v/>
      </c>
      <c r="L19" s="292" t="str">
        <f t="shared" si="0"/>
        <v/>
      </c>
      <c r="M19" s="291">
        <f t="shared" si="1"/>
        <v>17</v>
      </c>
      <c r="N19" s="43" t="str">
        <f t="shared" si="2"/>
        <v/>
      </c>
      <c r="O19" s="43" t="str">
        <f t="shared" si="11"/>
        <v/>
      </c>
      <c r="P19" s="42" t="str">
        <f t="shared" si="3"/>
        <v/>
      </c>
      <c r="Q19" s="686" t="str">
        <f t="shared" si="4"/>
        <v/>
      </c>
      <c r="R19" s="297" t="str">
        <f t="shared" si="5"/>
        <v/>
      </c>
      <c r="T19" s="291">
        <f t="shared" si="6"/>
        <v>17</v>
      </c>
      <c r="U19" s="42" t="str">
        <f t="shared" si="7"/>
        <v/>
      </c>
      <c r="V19" s="43" t="str">
        <f t="shared" si="8"/>
        <v/>
      </c>
      <c r="W19" s="43" t="str">
        <f t="shared" si="9"/>
        <v/>
      </c>
      <c r="X19" s="43" t="str">
        <f t="shared" si="10"/>
        <v/>
      </c>
      <c r="Y19" s="297" t="str">
        <f t="shared" si="12"/>
        <v/>
      </c>
    </row>
    <row r="20" spans="2:25">
      <c r="B20" s="26">
        <v>19</v>
      </c>
      <c r="C20" s="27">
        <v>0.76</v>
      </c>
      <c r="D20" s="27" t="s">
        <v>81</v>
      </c>
      <c r="F20" s="291">
        <f>Leger2!E24</f>
        <v>18</v>
      </c>
      <c r="G20" s="43">
        <f>Leger2!F24</f>
        <v>7101</v>
      </c>
      <c r="H20" s="42" t="str">
        <f>PROPER(Leger2!G24)</f>
        <v>Mefa Novita Putri</v>
      </c>
      <c r="I20" s="43" t="str">
        <f>Leger2!BB24</f>
        <v/>
      </c>
      <c r="J20" s="43" t="str">
        <f>Leger2!BD24</f>
        <v/>
      </c>
      <c r="K20" s="686" t="str">
        <f>IF(F20="","",IFERROR(I20+COUNTIF($J$3:J20,J20),""))</f>
        <v/>
      </c>
      <c r="L20" s="292" t="str">
        <f t="shared" si="0"/>
        <v/>
      </c>
      <c r="M20" s="291">
        <f t="shared" si="1"/>
        <v>18</v>
      </c>
      <c r="N20" s="43" t="str">
        <f t="shared" si="2"/>
        <v/>
      </c>
      <c r="O20" s="43" t="str">
        <f t="shared" si="11"/>
        <v/>
      </c>
      <c r="P20" s="42" t="str">
        <f t="shared" si="3"/>
        <v/>
      </c>
      <c r="Q20" s="686" t="str">
        <f t="shared" si="4"/>
        <v/>
      </c>
      <c r="R20" s="297" t="str">
        <f t="shared" si="5"/>
        <v/>
      </c>
      <c r="T20" s="291">
        <f t="shared" si="6"/>
        <v>18</v>
      </c>
      <c r="U20" s="42" t="str">
        <f t="shared" si="7"/>
        <v/>
      </c>
      <c r="V20" s="43" t="str">
        <f t="shared" si="8"/>
        <v/>
      </c>
      <c r="W20" s="43" t="str">
        <f t="shared" si="9"/>
        <v/>
      </c>
      <c r="X20" s="43" t="str">
        <f t="shared" si="10"/>
        <v/>
      </c>
      <c r="Y20" s="297" t="str">
        <f t="shared" si="12"/>
        <v/>
      </c>
    </row>
    <row r="21" spans="2:25">
      <c r="B21" s="26">
        <v>20</v>
      </c>
      <c r="C21" s="27">
        <v>0.8</v>
      </c>
      <c r="D21" s="27" t="s">
        <v>81</v>
      </c>
      <c r="F21" s="291">
        <f>Leger2!E25</f>
        <v>19</v>
      </c>
      <c r="G21" s="43">
        <f>Leger2!F25</f>
        <v>7104</v>
      </c>
      <c r="H21" s="42" t="str">
        <f>PROPER(Leger2!G25)</f>
        <v>Mellanie Bunga Aprilia</v>
      </c>
      <c r="I21" s="43" t="str">
        <f>Leger2!BB25</f>
        <v/>
      </c>
      <c r="J21" s="43" t="str">
        <f>Leger2!BD25</f>
        <v/>
      </c>
      <c r="K21" s="686" t="str">
        <f>IF(F21="","",IFERROR(I21+COUNTIF($J$3:J21,J21),""))</f>
        <v/>
      </c>
      <c r="L21" s="292" t="str">
        <f t="shared" si="0"/>
        <v/>
      </c>
      <c r="M21" s="291">
        <f t="shared" si="1"/>
        <v>19</v>
      </c>
      <c r="N21" s="43" t="str">
        <f t="shared" si="2"/>
        <v/>
      </c>
      <c r="O21" s="43" t="str">
        <f t="shared" si="11"/>
        <v/>
      </c>
      <c r="P21" s="42" t="str">
        <f t="shared" si="3"/>
        <v/>
      </c>
      <c r="Q21" s="686" t="str">
        <f t="shared" si="4"/>
        <v/>
      </c>
      <c r="R21" s="297" t="str">
        <f t="shared" si="5"/>
        <v/>
      </c>
      <c r="T21" s="291">
        <f t="shared" si="6"/>
        <v>19</v>
      </c>
      <c r="U21" s="42" t="str">
        <f t="shared" si="7"/>
        <v/>
      </c>
      <c r="V21" s="43" t="str">
        <f t="shared" si="8"/>
        <v/>
      </c>
      <c r="W21" s="43" t="str">
        <f t="shared" si="9"/>
        <v/>
      </c>
      <c r="X21" s="43" t="str">
        <f t="shared" si="10"/>
        <v/>
      </c>
      <c r="Y21" s="297" t="str">
        <f t="shared" si="12"/>
        <v/>
      </c>
    </row>
    <row r="22" spans="2:25">
      <c r="B22" s="26">
        <v>21</v>
      </c>
      <c r="C22" s="27">
        <v>0.84</v>
      </c>
      <c r="D22" s="27" t="s">
        <v>81</v>
      </c>
      <c r="F22" s="291">
        <f>Leger2!E26</f>
        <v>20</v>
      </c>
      <c r="G22" s="43">
        <f>Leger2!F26</f>
        <v>7105</v>
      </c>
      <c r="H22" s="42" t="str">
        <f>PROPER(Leger2!G26)</f>
        <v>Mirra Tusolickak</v>
      </c>
      <c r="I22" s="43" t="str">
        <f>Leger2!BB26</f>
        <v/>
      </c>
      <c r="J22" s="43" t="str">
        <f>Leger2!BD26</f>
        <v/>
      </c>
      <c r="K22" s="686" t="str">
        <f>IF(F22="","",IFERROR(I22+COUNTIF($J$3:J22,J22),""))</f>
        <v/>
      </c>
      <c r="L22" s="292" t="str">
        <f t="shared" si="0"/>
        <v/>
      </c>
      <c r="M22" s="291">
        <f t="shared" si="1"/>
        <v>20</v>
      </c>
      <c r="N22" s="43" t="str">
        <f t="shared" si="2"/>
        <v/>
      </c>
      <c r="O22" s="43" t="str">
        <f t="shared" si="11"/>
        <v/>
      </c>
      <c r="P22" s="42" t="str">
        <f t="shared" si="3"/>
        <v/>
      </c>
      <c r="Q22" s="686" t="str">
        <f t="shared" si="4"/>
        <v/>
      </c>
      <c r="R22" s="297" t="str">
        <f t="shared" si="5"/>
        <v/>
      </c>
      <c r="T22" s="291">
        <f t="shared" si="6"/>
        <v>20</v>
      </c>
      <c r="U22" s="42" t="str">
        <f t="shared" si="7"/>
        <v/>
      </c>
      <c r="V22" s="43" t="str">
        <f t="shared" si="8"/>
        <v/>
      </c>
      <c r="W22" s="43" t="str">
        <f t="shared" si="9"/>
        <v/>
      </c>
      <c r="X22" s="43" t="str">
        <f t="shared" si="10"/>
        <v/>
      </c>
      <c r="Y22" s="297" t="str">
        <f t="shared" si="12"/>
        <v/>
      </c>
    </row>
    <row r="23" spans="2:25">
      <c r="B23" s="26">
        <v>22</v>
      </c>
      <c r="C23" s="27">
        <v>0.88</v>
      </c>
      <c r="D23" s="27" t="s">
        <v>81</v>
      </c>
      <c r="F23" s="291">
        <f>Leger2!E27</f>
        <v>21</v>
      </c>
      <c r="G23" s="43">
        <f>Leger2!F27</f>
        <v>7107</v>
      </c>
      <c r="H23" s="42" t="str">
        <f>PROPER(Leger2!G27)</f>
        <v>Muhammad Daffa Rifa'I</v>
      </c>
      <c r="I23" s="43" t="str">
        <f>Leger2!BB27</f>
        <v/>
      </c>
      <c r="J23" s="43" t="str">
        <f>Leger2!BD27</f>
        <v/>
      </c>
      <c r="K23" s="686" t="str">
        <f>IF(F23="","",IFERROR(I23+COUNTIF($J$3:J23,J23),""))</f>
        <v/>
      </c>
      <c r="L23" s="292" t="str">
        <f t="shared" si="0"/>
        <v/>
      </c>
      <c r="M23" s="291">
        <f t="shared" si="1"/>
        <v>21</v>
      </c>
      <c r="N23" s="43" t="str">
        <f t="shared" si="2"/>
        <v/>
      </c>
      <c r="O23" s="43" t="str">
        <f t="shared" si="11"/>
        <v/>
      </c>
      <c r="P23" s="42" t="str">
        <f t="shared" si="3"/>
        <v/>
      </c>
      <c r="Q23" s="686" t="str">
        <f t="shared" si="4"/>
        <v/>
      </c>
      <c r="R23" s="297" t="str">
        <f t="shared" si="5"/>
        <v/>
      </c>
      <c r="T23" s="291">
        <f t="shared" si="6"/>
        <v>21</v>
      </c>
      <c r="U23" s="42" t="str">
        <f t="shared" si="7"/>
        <v/>
      </c>
      <c r="V23" s="43" t="str">
        <f t="shared" si="8"/>
        <v/>
      </c>
      <c r="W23" s="43" t="str">
        <f t="shared" si="9"/>
        <v/>
      </c>
      <c r="X23" s="43" t="str">
        <f t="shared" si="10"/>
        <v/>
      </c>
      <c r="Y23" s="297" t="str">
        <f t="shared" si="12"/>
        <v/>
      </c>
    </row>
    <row r="24" spans="2:25">
      <c r="B24" s="26">
        <v>23</v>
      </c>
      <c r="C24" s="27">
        <v>0.92</v>
      </c>
      <c r="D24" s="27" t="s">
        <v>81</v>
      </c>
      <c r="F24" s="291">
        <f>Leger2!E28</f>
        <v>22</v>
      </c>
      <c r="G24" s="43">
        <f>Leger2!F28</f>
        <v>7108</v>
      </c>
      <c r="H24" s="42" t="str">
        <f>PROPER(Leger2!G28)</f>
        <v>Muhammad Jaupanto</v>
      </c>
      <c r="I24" s="43" t="str">
        <f>Leger2!BB28</f>
        <v/>
      </c>
      <c r="J24" s="43" t="str">
        <f>Leger2!BD28</f>
        <v/>
      </c>
      <c r="K24" s="686" t="str">
        <f>IF(F24="","",IFERROR(I24+COUNTIF($J$3:J24,J24),""))</f>
        <v/>
      </c>
      <c r="L24" s="292" t="str">
        <f t="shared" si="0"/>
        <v/>
      </c>
      <c r="M24" s="291">
        <f t="shared" si="1"/>
        <v>22</v>
      </c>
      <c r="N24" s="43" t="str">
        <f t="shared" si="2"/>
        <v/>
      </c>
      <c r="O24" s="43" t="str">
        <f t="shared" si="11"/>
        <v/>
      </c>
      <c r="P24" s="42" t="str">
        <f t="shared" si="3"/>
        <v/>
      </c>
      <c r="Q24" s="686" t="str">
        <f t="shared" si="4"/>
        <v/>
      </c>
      <c r="R24" s="297" t="str">
        <f t="shared" si="5"/>
        <v/>
      </c>
      <c r="T24" s="291">
        <f t="shared" si="6"/>
        <v>22</v>
      </c>
      <c r="U24" s="42" t="str">
        <f t="shared" si="7"/>
        <v/>
      </c>
      <c r="V24" s="43" t="str">
        <f t="shared" si="8"/>
        <v/>
      </c>
      <c r="W24" s="43" t="str">
        <f t="shared" si="9"/>
        <v/>
      </c>
      <c r="X24" s="43" t="str">
        <f t="shared" si="10"/>
        <v/>
      </c>
      <c r="Y24" s="297" t="str">
        <f t="shared" si="12"/>
        <v/>
      </c>
    </row>
    <row r="25" spans="2:25">
      <c r="B25" s="26">
        <v>24</v>
      </c>
      <c r="C25" s="27">
        <v>0.96</v>
      </c>
      <c r="D25" s="27" t="s">
        <v>81</v>
      </c>
      <c r="F25" s="291">
        <f>Leger2!E29</f>
        <v>23</v>
      </c>
      <c r="G25" s="43">
        <f>Leger2!F29</f>
        <v>7111</v>
      </c>
      <c r="H25" s="42" t="str">
        <f>PROPER(Leger2!G29)</f>
        <v>Nova Laila Khusna</v>
      </c>
      <c r="I25" s="43" t="str">
        <f>Leger2!BB29</f>
        <v/>
      </c>
      <c r="J25" s="43" t="str">
        <f>Leger2!BD29</f>
        <v/>
      </c>
      <c r="K25" s="686" t="str">
        <f>IF(F25="","",IFERROR(I25+COUNTIF($J$3:J25,J25),""))</f>
        <v/>
      </c>
      <c r="L25" s="292" t="str">
        <f t="shared" si="0"/>
        <v/>
      </c>
      <c r="M25" s="291">
        <f t="shared" si="1"/>
        <v>23</v>
      </c>
      <c r="N25" s="43" t="str">
        <f t="shared" si="2"/>
        <v/>
      </c>
      <c r="O25" s="43" t="str">
        <f t="shared" si="11"/>
        <v/>
      </c>
      <c r="P25" s="42" t="str">
        <f t="shared" si="3"/>
        <v/>
      </c>
      <c r="Q25" s="686" t="str">
        <f t="shared" si="4"/>
        <v/>
      </c>
      <c r="R25" s="297" t="str">
        <f t="shared" si="5"/>
        <v/>
      </c>
      <c r="T25" s="291">
        <f t="shared" si="6"/>
        <v>23</v>
      </c>
      <c r="U25" s="42" t="str">
        <f>IF(M25="","",VLOOKUP(Y25,$N$3:$R$42,3,FALSE))</f>
        <v/>
      </c>
      <c r="V25" s="43" t="str">
        <f t="shared" si="8"/>
        <v/>
      </c>
      <c r="W25" s="43" t="str">
        <f t="shared" si="9"/>
        <v/>
      </c>
      <c r="X25" s="43" t="str">
        <f t="shared" si="10"/>
        <v/>
      </c>
      <c r="Y25" s="297" t="str">
        <f t="shared" si="12"/>
        <v/>
      </c>
    </row>
    <row r="26" spans="2:25">
      <c r="B26" s="26">
        <v>25</v>
      </c>
      <c r="C26" s="27">
        <v>1</v>
      </c>
      <c r="D26" s="27" t="s">
        <v>81</v>
      </c>
      <c r="F26" s="291">
        <f>Leger2!E30</f>
        <v>24</v>
      </c>
      <c r="G26" s="43">
        <f>Leger2!F30</f>
        <v>7126</v>
      </c>
      <c r="H26" s="42" t="str">
        <f>PROPER(Leger2!G30)</f>
        <v>Sawal Ramadian</v>
      </c>
      <c r="I26" s="43" t="str">
        <f>Leger2!BB30</f>
        <v/>
      </c>
      <c r="J26" s="43" t="str">
        <f>Leger2!BD30</f>
        <v/>
      </c>
      <c r="K26" s="686" t="str">
        <f>IF(F26="","",IFERROR(I26+COUNTIF($J$3:J26,J26),""))</f>
        <v/>
      </c>
      <c r="L26" s="292" t="str">
        <f t="shared" si="0"/>
        <v/>
      </c>
      <c r="M26" s="291">
        <f t="shared" si="1"/>
        <v>24</v>
      </c>
      <c r="N26" s="43" t="str">
        <f t="shared" si="2"/>
        <v/>
      </c>
      <c r="O26" s="43" t="str">
        <f t="shared" si="11"/>
        <v/>
      </c>
      <c r="P26" s="42" t="str">
        <f t="shared" si="3"/>
        <v/>
      </c>
      <c r="Q26" s="686" t="str">
        <f t="shared" si="4"/>
        <v/>
      </c>
      <c r="R26" s="297" t="str">
        <f t="shared" si="5"/>
        <v/>
      </c>
      <c r="T26" s="291">
        <f t="shared" si="6"/>
        <v>24</v>
      </c>
      <c r="U26" s="42" t="str">
        <f t="shared" si="7"/>
        <v/>
      </c>
      <c r="V26" s="43" t="str">
        <f t="shared" si="8"/>
        <v/>
      </c>
      <c r="W26" s="43" t="str">
        <f t="shared" si="9"/>
        <v/>
      </c>
      <c r="X26" s="43" t="str">
        <f t="shared" si="10"/>
        <v/>
      </c>
      <c r="Y26" s="297" t="str">
        <f t="shared" si="12"/>
        <v/>
      </c>
    </row>
    <row r="27" spans="2:25">
      <c r="B27" s="26">
        <v>26</v>
      </c>
      <c r="C27" s="27">
        <v>1.04</v>
      </c>
      <c r="D27" s="27" t="s">
        <v>81</v>
      </c>
      <c r="F27" s="291">
        <f>Leger2!E31</f>
        <v>25</v>
      </c>
      <c r="G27" s="43">
        <f>Leger2!F31</f>
        <v>7130</v>
      </c>
      <c r="H27" s="42" t="str">
        <f>PROPER(Leger2!G31)</f>
        <v>Sofyan Romansyah</v>
      </c>
      <c r="I27" s="43" t="str">
        <f>Leger2!BB31</f>
        <v/>
      </c>
      <c r="J27" s="43" t="str">
        <f>Leger2!BD31</f>
        <v/>
      </c>
      <c r="K27" s="686" t="str">
        <f>IF(F27="","",IFERROR(I27+COUNTIF($J$3:J27,J27),""))</f>
        <v/>
      </c>
      <c r="L27" s="292" t="str">
        <f t="shared" si="0"/>
        <v/>
      </c>
      <c r="M27" s="291">
        <f t="shared" si="1"/>
        <v>25</v>
      </c>
      <c r="N27" s="43" t="str">
        <f t="shared" si="2"/>
        <v/>
      </c>
      <c r="O27" s="43" t="str">
        <f t="shared" si="11"/>
        <v/>
      </c>
      <c r="P27" s="42" t="str">
        <f t="shared" si="3"/>
        <v/>
      </c>
      <c r="Q27" s="686" t="str">
        <f t="shared" si="4"/>
        <v/>
      </c>
      <c r="R27" s="297" t="str">
        <f t="shared" si="5"/>
        <v/>
      </c>
      <c r="T27" s="291">
        <f t="shared" si="6"/>
        <v>25</v>
      </c>
      <c r="U27" s="42" t="str">
        <f t="shared" si="7"/>
        <v/>
      </c>
      <c r="V27" s="43" t="str">
        <f t="shared" si="8"/>
        <v/>
      </c>
      <c r="W27" s="43" t="str">
        <f t="shared" si="9"/>
        <v/>
      </c>
      <c r="X27" s="43" t="str">
        <f t="shared" si="10"/>
        <v/>
      </c>
      <c r="Y27" s="297" t="str">
        <f t="shared" si="12"/>
        <v/>
      </c>
    </row>
    <row r="28" spans="2:25">
      <c r="B28" s="26">
        <v>27</v>
      </c>
      <c r="C28" s="27">
        <v>1.08</v>
      </c>
      <c r="D28" s="27" t="s">
        <v>81</v>
      </c>
      <c r="F28" s="291">
        <f>Leger2!E32</f>
        <v>26</v>
      </c>
      <c r="G28" s="43">
        <f>Leger2!F32</f>
        <v>7132</v>
      </c>
      <c r="H28" s="42" t="str">
        <f>PROPER(Leger2!G32)</f>
        <v>Tio Ardinata</v>
      </c>
      <c r="I28" s="43" t="str">
        <f>Leger2!BB32</f>
        <v/>
      </c>
      <c r="J28" s="43" t="str">
        <f>Leger2!BD32</f>
        <v/>
      </c>
      <c r="K28" s="686" t="str">
        <f>IF(F28="","",IFERROR(I28+COUNTIF($J$3:J28,J28),""))</f>
        <v/>
      </c>
      <c r="L28" s="292" t="str">
        <f t="shared" si="0"/>
        <v/>
      </c>
      <c r="M28" s="291">
        <f t="shared" si="1"/>
        <v>26</v>
      </c>
      <c r="N28" s="43" t="str">
        <f t="shared" si="2"/>
        <v/>
      </c>
      <c r="O28" s="43" t="str">
        <f t="shared" si="11"/>
        <v/>
      </c>
      <c r="P28" s="42" t="str">
        <f t="shared" si="3"/>
        <v/>
      </c>
      <c r="Q28" s="686" t="str">
        <f t="shared" si="4"/>
        <v/>
      </c>
      <c r="R28" s="297" t="str">
        <f t="shared" si="5"/>
        <v/>
      </c>
      <c r="T28" s="291">
        <f t="shared" si="6"/>
        <v>26</v>
      </c>
      <c r="U28" s="42" t="str">
        <f t="shared" si="7"/>
        <v/>
      </c>
      <c r="V28" s="43" t="str">
        <f t="shared" si="8"/>
        <v/>
      </c>
      <c r="W28" s="43" t="str">
        <f t="shared" si="9"/>
        <v/>
      </c>
      <c r="X28" s="43" t="str">
        <f t="shared" si="10"/>
        <v/>
      </c>
      <c r="Y28" s="297" t="str">
        <f t="shared" si="12"/>
        <v/>
      </c>
    </row>
    <row r="29" spans="2:25">
      <c r="B29" s="26">
        <v>28</v>
      </c>
      <c r="C29" s="27">
        <v>1.1200000000000001</v>
      </c>
      <c r="D29" s="27" t="s">
        <v>81</v>
      </c>
      <c r="F29" s="291">
        <f>Leger2!E33</f>
        <v>27</v>
      </c>
      <c r="G29" s="43">
        <f>Leger2!F33</f>
        <v>7133</v>
      </c>
      <c r="H29" s="42" t="str">
        <f>PROPER(Leger2!G33)</f>
        <v>Tutik Dillayanti</v>
      </c>
      <c r="I29" s="43" t="str">
        <f>Leger2!BB33</f>
        <v/>
      </c>
      <c r="J29" s="43" t="str">
        <f>Leger2!BD33</f>
        <v/>
      </c>
      <c r="K29" s="686" t="str">
        <f>IF(F29="","",IFERROR(I29+COUNTIF($J$3:J29,J29),""))</f>
        <v/>
      </c>
      <c r="L29" s="292" t="str">
        <f t="shared" si="0"/>
        <v/>
      </c>
      <c r="M29" s="291">
        <f t="shared" si="1"/>
        <v>27</v>
      </c>
      <c r="N29" s="43" t="str">
        <f t="shared" si="2"/>
        <v/>
      </c>
      <c r="O29" s="43" t="str">
        <f t="shared" si="11"/>
        <v/>
      </c>
      <c r="P29" s="42" t="str">
        <f t="shared" si="3"/>
        <v/>
      </c>
      <c r="Q29" s="686" t="str">
        <f t="shared" si="4"/>
        <v/>
      </c>
      <c r="R29" s="297" t="str">
        <f t="shared" si="5"/>
        <v/>
      </c>
      <c r="T29" s="291">
        <f t="shared" si="6"/>
        <v>27</v>
      </c>
      <c r="U29" s="42" t="str">
        <f t="shared" si="7"/>
        <v/>
      </c>
      <c r="V29" s="43" t="str">
        <f t="shared" si="8"/>
        <v/>
      </c>
      <c r="W29" s="43" t="str">
        <f t="shared" si="9"/>
        <v/>
      </c>
      <c r="X29" s="43" t="str">
        <f t="shared" si="10"/>
        <v/>
      </c>
      <c r="Y29" s="297" t="str">
        <f t="shared" si="12"/>
        <v/>
      </c>
    </row>
    <row r="30" spans="2:25">
      <c r="B30" s="26">
        <v>29</v>
      </c>
      <c r="C30" s="27">
        <v>1.1599999999999999</v>
      </c>
      <c r="D30" s="27" t="s">
        <v>81</v>
      </c>
      <c r="F30" s="291">
        <f>Leger2!E34</f>
        <v>28</v>
      </c>
      <c r="G30" s="43">
        <f>Leger2!F34</f>
        <v>7142</v>
      </c>
      <c r="H30" s="42" t="str">
        <f>PROPER(Leger2!G34)</f>
        <v>I Gede Nyoman Bagiyasa</v>
      </c>
      <c r="I30" s="43" t="str">
        <f>Leger2!BB34</f>
        <v/>
      </c>
      <c r="J30" s="43" t="str">
        <f>Leger2!BD34</f>
        <v/>
      </c>
      <c r="K30" s="686" t="str">
        <f>IF(F30="","",IFERROR(I30+COUNTIF($J$3:J30,J30),""))</f>
        <v/>
      </c>
      <c r="L30" s="292" t="str">
        <f t="shared" si="0"/>
        <v/>
      </c>
      <c r="M30" s="291">
        <f t="shared" si="1"/>
        <v>28</v>
      </c>
      <c r="N30" s="43" t="str">
        <f t="shared" si="2"/>
        <v/>
      </c>
      <c r="O30" s="43" t="str">
        <f t="shared" si="11"/>
        <v/>
      </c>
      <c r="P30" s="42" t="str">
        <f t="shared" si="3"/>
        <v/>
      </c>
      <c r="Q30" s="686" t="str">
        <f t="shared" si="4"/>
        <v/>
      </c>
      <c r="R30" s="297" t="str">
        <f t="shared" si="5"/>
        <v/>
      </c>
      <c r="T30" s="291">
        <f t="shared" si="6"/>
        <v>28</v>
      </c>
      <c r="U30" s="42" t="str">
        <f t="shared" si="7"/>
        <v/>
      </c>
      <c r="V30" s="43" t="str">
        <f t="shared" si="8"/>
        <v/>
      </c>
      <c r="W30" s="43" t="str">
        <f t="shared" si="9"/>
        <v/>
      </c>
      <c r="X30" s="43" t="str">
        <f t="shared" si="10"/>
        <v/>
      </c>
      <c r="Y30" s="297" t="str">
        <f t="shared" si="12"/>
        <v/>
      </c>
    </row>
    <row r="31" spans="2:25">
      <c r="B31" s="26">
        <v>30</v>
      </c>
      <c r="C31" s="27">
        <v>1.2</v>
      </c>
      <c r="D31" s="27" t="s">
        <v>81</v>
      </c>
      <c r="F31" s="291">
        <f>Leger2!E35</f>
        <v>29</v>
      </c>
      <c r="G31" s="43" t="str">
        <f>Leger2!F35</f>
        <v/>
      </c>
      <c r="H31" s="42" t="str">
        <f>PROPER(Leger2!G35)</f>
        <v>Melati Sabilla Rochmah</v>
      </c>
      <c r="I31" s="43" t="str">
        <f>Leger2!BB35</f>
        <v/>
      </c>
      <c r="J31" s="43" t="str">
        <f>Leger2!BD35</f>
        <v/>
      </c>
      <c r="K31" s="686" t="str">
        <f>IF(F31="","",IFERROR(I31+COUNTIF($J$3:J31,J31),""))</f>
        <v/>
      </c>
      <c r="L31" s="292" t="str">
        <f t="shared" si="0"/>
        <v/>
      </c>
      <c r="M31" s="291">
        <f t="shared" si="1"/>
        <v>29</v>
      </c>
      <c r="N31" s="43" t="str">
        <f t="shared" si="2"/>
        <v/>
      </c>
      <c r="O31" s="43" t="str">
        <f t="shared" si="11"/>
        <v/>
      </c>
      <c r="P31" s="42" t="str">
        <f t="shared" si="3"/>
        <v/>
      </c>
      <c r="Q31" s="686" t="str">
        <f t="shared" si="4"/>
        <v/>
      </c>
      <c r="R31" s="297" t="str">
        <f t="shared" si="5"/>
        <v/>
      </c>
      <c r="T31" s="291">
        <f t="shared" si="6"/>
        <v>29</v>
      </c>
      <c r="U31" s="42" t="str">
        <f t="shared" si="7"/>
        <v/>
      </c>
      <c r="V31" s="43" t="str">
        <f t="shared" si="8"/>
        <v/>
      </c>
      <c r="W31" s="43" t="str">
        <f t="shared" si="9"/>
        <v/>
      </c>
      <c r="X31" s="43" t="str">
        <f t="shared" si="10"/>
        <v/>
      </c>
      <c r="Y31" s="297" t="str">
        <f t="shared" si="12"/>
        <v/>
      </c>
    </row>
    <row r="32" spans="2:25">
      <c r="B32" s="26">
        <v>31</v>
      </c>
      <c r="C32" s="27">
        <v>1.24</v>
      </c>
      <c r="D32" s="27" t="s">
        <v>81</v>
      </c>
      <c r="F32" s="291" t="str">
        <f>Leger2!E36</f>
        <v/>
      </c>
      <c r="G32" s="43" t="str">
        <f>Leger2!F36</f>
        <v/>
      </c>
      <c r="H32" s="42" t="str">
        <f>PROPER(Leger2!G36)</f>
        <v/>
      </c>
      <c r="I32" s="43" t="str">
        <f>Leger2!BB36</f>
        <v/>
      </c>
      <c r="J32" s="43" t="str">
        <f>Leger2!BD36</f>
        <v/>
      </c>
      <c r="K32" s="686" t="str">
        <f>IF(F32="","",IFERROR(I32+COUNTIF($J$3:J32,J32),""))</f>
        <v/>
      </c>
      <c r="L32" s="292" t="str">
        <f t="shared" si="0"/>
        <v/>
      </c>
      <c r="M32" s="291" t="str">
        <f t="shared" si="1"/>
        <v/>
      </c>
      <c r="N32" s="43" t="str">
        <f t="shared" si="2"/>
        <v/>
      </c>
      <c r="O32" s="43" t="str">
        <f t="shared" si="11"/>
        <v/>
      </c>
      <c r="P32" s="42" t="str">
        <f t="shared" si="3"/>
        <v/>
      </c>
      <c r="Q32" s="686" t="str">
        <f t="shared" si="4"/>
        <v/>
      </c>
      <c r="R32" s="297" t="str">
        <f t="shared" si="5"/>
        <v/>
      </c>
      <c r="T32" s="291" t="str">
        <f t="shared" si="6"/>
        <v/>
      </c>
      <c r="U32" s="42" t="str">
        <f t="shared" si="7"/>
        <v/>
      </c>
      <c r="V32" s="43" t="str">
        <f t="shared" si="8"/>
        <v/>
      </c>
      <c r="W32" s="43" t="str">
        <f t="shared" si="9"/>
        <v/>
      </c>
      <c r="X32" s="43" t="str">
        <f t="shared" si="10"/>
        <v/>
      </c>
      <c r="Y32" s="297" t="str">
        <f t="shared" si="12"/>
        <v/>
      </c>
    </row>
    <row r="33" spans="2:25">
      <c r="B33" s="26">
        <v>32</v>
      </c>
      <c r="C33" s="27">
        <v>1.28</v>
      </c>
      <c r="D33" s="27" t="s">
        <v>81</v>
      </c>
      <c r="F33" s="291" t="str">
        <f>Leger2!E37</f>
        <v/>
      </c>
      <c r="G33" s="43" t="str">
        <f>Leger2!F37</f>
        <v/>
      </c>
      <c r="H33" s="42" t="str">
        <f>PROPER(Leger2!G37)</f>
        <v/>
      </c>
      <c r="I33" s="43" t="str">
        <f>Leger2!BB37</f>
        <v/>
      </c>
      <c r="J33" s="43" t="str">
        <f>Leger2!BD37</f>
        <v/>
      </c>
      <c r="K33" s="686" t="str">
        <f>IF(F33="","",IFERROR(I33+COUNTIF($J$3:J33,J33),""))</f>
        <v/>
      </c>
      <c r="L33" s="292" t="str">
        <f t="shared" si="0"/>
        <v/>
      </c>
      <c r="M33" s="291" t="str">
        <f t="shared" si="1"/>
        <v/>
      </c>
      <c r="N33" s="43" t="str">
        <f t="shared" si="2"/>
        <v/>
      </c>
      <c r="O33" s="43" t="str">
        <f t="shared" si="11"/>
        <v/>
      </c>
      <c r="P33" s="42" t="str">
        <f t="shared" si="3"/>
        <v/>
      </c>
      <c r="Q33" s="686" t="str">
        <f t="shared" si="4"/>
        <v/>
      </c>
      <c r="R33" s="297" t="str">
        <f t="shared" si="5"/>
        <v/>
      </c>
      <c r="T33" s="291" t="str">
        <f t="shared" si="6"/>
        <v/>
      </c>
      <c r="U33" s="42" t="str">
        <f t="shared" si="7"/>
        <v/>
      </c>
      <c r="V33" s="43" t="str">
        <f t="shared" si="8"/>
        <v/>
      </c>
      <c r="W33" s="43" t="str">
        <f t="shared" si="9"/>
        <v/>
      </c>
      <c r="X33" s="43" t="str">
        <f t="shared" si="10"/>
        <v/>
      </c>
      <c r="Y33" s="297" t="str">
        <f t="shared" si="12"/>
        <v/>
      </c>
    </row>
    <row r="34" spans="2:25">
      <c r="B34" s="26">
        <v>33</v>
      </c>
      <c r="C34" s="27">
        <v>1.32</v>
      </c>
      <c r="D34" s="27" t="s">
        <v>81</v>
      </c>
      <c r="F34" s="291" t="str">
        <f>Leger2!E38</f>
        <v/>
      </c>
      <c r="G34" s="43" t="str">
        <f>Leger2!F38</f>
        <v/>
      </c>
      <c r="H34" s="42" t="str">
        <f>PROPER(Leger2!G38)</f>
        <v/>
      </c>
      <c r="I34" s="43" t="str">
        <f>Leger2!BB38</f>
        <v/>
      </c>
      <c r="J34" s="43" t="str">
        <f>Leger2!BD38</f>
        <v/>
      </c>
      <c r="K34" s="686" t="str">
        <f>IF(F34="","",IFERROR(I34+COUNTIF($J$3:J34,J34),""))</f>
        <v/>
      </c>
      <c r="L34" s="292" t="str">
        <f t="shared" si="0"/>
        <v/>
      </c>
      <c r="M34" s="291" t="str">
        <f t="shared" si="1"/>
        <v/>
      </c>
      <c r="N34" s="43" t="str">
        <f t="shared" si="2"/>
        <v/>
      </c>
      <c r="O34" s="43" t="str">
        <f t="shared" si="11"/>
        <v/>
      </c>
      <c r="P34" s="42" t="str">
        <f t="shared" si="3"/>
        <v/>
      </c>
      <c r="Q34" s="686" t="str">
        <f t="shared" si="4"/>
        <v/>
      </c>
      <c r="R34" s="297" t="str">
        <f t="shared" si="5"/>
        <v/>
      </c>
      <c r="T34" s="291" t="str">
        <f t="shared" si="6"/>
        <v/>
      </c>
      <c r="U34" s="42" t="str">
        <f t="shared" si="7"/>
        <v/>
      </c>
      <c r="V34" s="43" t="str">
        <f t="shared" si="8"/>
        <v/>
      </c>
      <c r="W34" s="43" t="str">
        <f t="shared" si="9"/>
        <v/>
      </c>
      <c r="X34" s="43" t="str">
        <f t="shared" si="10"/>
        <v/>
      </c>
      <c r="Y34" s="297" t="str">
        <f t="shared" si="12"/>
        <v/>
      </c>
    </row>
    <row r="35" spans="2:25">
      <c r="B35" s="26">
        <v>34</v>
      </c>
      <c r="C35" s="27">
        <v>1.36</v>
      </c>
      <c r="D35" s="27" t="s">
        <v>81</v>
      </c>
      <c r="F35" s="291" t="str">
        <f>Leger2!E39</f>
        <v/>
      </c>
      <c r="G35" s="43" t="str">
        <f>Leger2!F39</f>
        <v/>
      </c>
      <c r="H35" s="42" t="str">
        <f>PROPER(Leger2!G39)</f>
        <v/>
      </c>
      <c r="I35" s="43" t="str">
        <f>Leger2!BB39</f>
        <v/>
      </c>
      <c r="J35" s="43" t="str">
        <f>Leger2!BD39</f>
        <v/>
      </c>
      <c r="K35" s="686" t="str">
        <f>IF(F35="","",IFERROR(I35+COUNTIF($J$3:J35,J35),""))</f>
        <v/>
      </c>
      <c r="L35" s="292" t="str">
        <f t="shared" si="0"/>
        <v/>
      </c>
      <c r="M35" s="291" t="str">
        <f t="shared" si="1"/>
        <v/>
      </c>
      <c r="N35" s="43" t="str">
        <f t="shared" si="2"/>
        <v/>
      </c>
      <c r="O35" s="43" t="str">
        <f t="shared" si="11"/>
        <v/>
      </c>
      <c r="P35" s="42" t="str">
        <f t="shared" si="3"/>
        <v/>
      </c>
      <c r="Q35" s="686" t="str">
        <f t="shared" si="4"/>
        <v/>
      </c>
      <c r="R35" s="297" t="str">
        <f t="shared" si="5"/>
        <v/>
      </c>
      <c r="T35" s="291" t="str">
        <f t="shared" si="6"/>
        <v/>
      </c>
      <c r="U35" s="42" t="str">
        <f t="shared" si="7"/>
        <v/>
      </c>
      <c r="V35" s="43" t="str">
        <f t="shared" si="8"/>
        <v/>
      </c>
      <c r="W35" s="43" t="str">
        <f t="shared" si="9"/>
        <v/>
      </c>
      <c r="X35" s="43" t="str">
        <f t="shared" si="10"/>
        <v/>
      </c>
      <c r="Y35" s="297" t="str">
        <f t="shared" si="12"/>
        <v/>
      </c>
    </row>
    <row r="36" spans="2:25">
      <c r="B36" s="26">
        <v>35</v>
      </c>
      <c r="C36" s="27">
        <v>1.4</v>
      </c>
      <c r="D36" s="27" t="s">
        <v>81</v>
      </c>
      <c r="F36" s="291" t="str">
        <f>Leger2!E40</f>
        <v/>
      </c>
      <c r="G36" s="43" t="str">
        <f>Leger2!F40</f>
        <v/>
      </c>
      <c r="H36" s="42" t="str">
        <f>PROPER(Leger2!G40)</f>
        <v/>
      </c>
      <c r="I36" s="43" t="str">
        <f>Leger2!BB40</f>
        <v/>
      </c>
      <c r="J36" s="43" t="str">
        <f>Leger2!BD40</f>
        <v/>
      </c>
      <c r="K36" s="686" t="str">
        <f>IF(F36="","",IFERROR(I36+COUNTIF($J$3:J36,J36),""))</f>
        <v/>
      </c>
      <c r="L36" s="292" t="str">
        <f t="shared" si="0"/>
        <v/>
      </c>
      <c r="M36" s="291" t="str">
        <f t="shared" si="1"/>
        <v/>
      </c>
      <c r="N36" s="43" t="str">
        <f t="shared" si="2"/>
        <v/>
      </c>
      <c r="O36" s="43" t="str">
        <f t="shared" si="11"/>
        <v/>
      </c>
      <c r="P36" s="42" t="str">
        <f t="shared" si="3"/>
        <v/>
      </c>
      <c r="Q36" s="686" t="str">
        <f t="shared" si="4"/>
        <v/>
      </c>
      <c r="R36" s="297" t="str">
        <f t="shared" si="5"/>
        <v/>
      </c>
      <c r="T36" s="291" t="str">
        <f t="shared" si="6"/>
        <v/>
      </c>
      <c r="U36" s="42" t="str">
        <f t="shared" si="7"/>
        <v/>
      </c>
      <c r="V36" s="43" t="str">
        <f t="shared" si="8"/>
        <v/>
      </c>
      <c r="W36" s="43" t="str">
        <f t="shared" si="9"/>
        <v/>
      </c>
      <c r="X36" s="43" t="str">
        <f t="shared" si="10"/>
        <v/>
      </c>
      <c r="Y36" s="297" t="str">
        <f t="shared" si="12"/>
        <v/>
      </c>
    </row>
    <row r="37" spans="2:25">
      <c r="B37" s="26">
        <v>36</v>
      </c>
      <c r="C37" s="27">
        <v>1.44</v>
      </c>
      <c r="D37" s="27" t="s">
        <v>81</v>
      </c>
      <c r="F37" s="291" t="str">
        <f>Leger2!E41</f>
        <v/>
      </c>
      <c r="G37" s="43" t="str">
        <f>Leger2!F41</f>
        <v/>
      </c>
      <c r="H37" s="42" t="str">
        <f>PROPER(Leger2!G41)</f>
        <v/>
      </c>
      <c r="I37" s="43" t="str">
        <f>Leger2!BB41</f>
        <v/>
      </c>
      <c r="J37" s="43" t="str">
        <f>Leger2!BD41</f>
        <v/>
      </c>
      <c r="K37" s="686" t="str">
        <f>IF(F37="","",IFERROR(I37+COUNTIF($J$3:J37,J37),""))</f>
        <v/>
      </c>
      <c r="L37" s="292" t="str">
        <f t="shared" si="0"/>
        <v/>
      </c>
      <c r="M37" s="291" t="str">
        <f t="shared" si="1"/>
        <v/>
      </c>
      <c r="N37" s="43" t="str">
        <f t="shared" si="2"/>
        <v/>
      </c>
      <c r="O37" s="43" t="str">
        <f t="shared" si="11"/>
        <v/>
      </c>
      <c r="P37" s="42" t="str">
        <f t="shared" si="3"/>
        <v/>
      </c>
      <c r="Q37" s="686" t="str">
        <f t="shared" si="4"/>
        <v/>
      </c>
      <c r="R37" s="297" t="str">
        <f t="shared" si="5"/>
        <v/>
      </c>
      <c r="T37" s="291" t="str">
        <f t="shared" si="6"/>
        <v/>
      </c>
      <c r="U37" s="42" t="str">
        <f t="shared" si="7"/>
        <v/>
      </c>
      <c r="V37" s="43" t="str">
        <f t="shared" si="8"/>
        <v/>
      </c>
      <c r="W37" s="43" t="str">
        <f t="shared" si="9"/>
        <v/>
      </c>
      <c r="X37" s="43" t="str">
        <f t="shared" si="10"/>
        <v/>
      </c>
      <c r="Y37" s="297" t="str">
        <f t="shared" si="12"/>
        <v/>
      </c>
    </row>
    <row r="38" spans="2:25">
      <c r="B38" s="26">
        <v>37</v>
      </c>
      <c r="C38" s="27">
        <v>1.48</v>
      </c>
      <c r="D38" s="27" t="s">
        <v>81</v>
      </c>
      <c r="F38" s="291" t="str">
        <f>Leger2!E42</f>
        <v/>
      </c>
      <c r="G38" s="43" t="str">
        <f>Leger2!F42</f>
        <v/>
      </c>
      <c r="H38" s="42" t="str">
        <f>PROPER(Leger2!G42)</f>
        <v/>
      </c>
      <c r="I38" s="43" t="str">
        <f>Leger2!BB42</f>
        <v/>
      </c>
      <c r="J38" s="43" t="str">
        <f>Leger2!BD42</f>
        <v/>
      </c>
      <c r="K38" s="686" t="str">
        <f>IF(F38="","",IFERROR(I38+COUNTIF($J$3:J38,J38),""))</f>
        <v/>
      </c>
      <c r="L38" s="292" t="str">
        <f t="shared" si="0"/>
        <v/>
      </c>
      <c r="M38" s="291" t="str">
        <f t="shared" si="1"/>
        <v/>
      </c>
      <c r="N38" s="43" t="str">
        <f t="shared" si="2"/>
        <v/>
      </c>
      <c r="O38" s="43" t="str">
        <f t="shared" si="11"/>
        <v/>
      </c>
      <c r="P38" s="42" t="str">
        <f t="shared" si="3"/>
        <v/>
      </c>
      <c r="Q38" s="686" t="str">
        <f t="shared" si="4"/>
        <v/>
      </c>
      <c r="R38" s="297" t="str">
        <f t="shared" si="5"/>
        <v/>
      </c>
      <c r="T38" s="291" t="str">
        <f t="shared" si="6"/>
        <v/>
      </c>
      <c r="U38" s="42" t="str">
        <f t="shared" si="7"/>
        <v/>
      </c>
      <c r="V38" s="43" t="str">
        <f t="shared" si="8"/>
        <v/>
      </c>
      <c r="W38" s="43" t="str">
        <f t="shared" si="9"/>
        <v/>
      </c>
      <c r="X38" s="43" t="str">
        <f t="shared" si="10"/>
        <v/>
      </c>
      <c r="Y38" s="297" t="str">
        <f t="shared" si="12"/>
        <v/>
      </c>
    </row>
    <row r="39" spans="2:25">
      <c r="B39" s="26">
        <v>38</v>
      </c>
      <c r="C39" s="27">
        <v>1.52</v>
      </c>
      <c r="D39" s="27" t="s">
        <v>81</v>
      </c>
      <c r="F39" s="291" t="str">
        <f>Leger2!E43</f>
        <v/>
      </c>
      <c r="G39" s="43" t="str">
        <f>Leger2!F43</f>
        <v/>
      </c>
      <c r="H39" s="42" t="str">
        <f>PROPER(Leger2!G43)</f>
        <v/>
      </c>
      <c r="I39" s="43" t="str">
        <f>Leger2!BB43</f>
        <v/>
      </c>
      <c r="J39" s="43" t="str">
        <f>Leger2!BD43</f>
        <v/>
      </c>
      <c r="K39" s="686" t="str">
        <f>IF(F39="","",IFERROR(I39+COUNTIF($J$3:J39,J39),""))</f>
        <v/>
      </c>
      <c r="L39" s="292" t="str">
        <f t="shared" si="0"/>
        <v/>
      </c>
      <c r="M39" s="291" t="str">
        <f t="shared" si="1"/>
        <v/>
      </c>
      <c r="N39" s="43" t="str">
        <f t="shared" si="2"/>
        <v/>
      </c>
      <c r="O39" s="43" t="str">
        <f t="shared" si="11"/>
        <v/>
      </c>
      <c r="P39" s="42" t="str">
        <f t="shared" si="3"/>
        <v/>
      </c>
      <c r="Q39" s="686" t="str">
        <f t="shared" si="4"/>
        <v/>
      </c>
      <c r="R39" s="297" t="str">
        <f t="shared" si="5"/>
        <v/>
      </c>
      <c r="T39" s="291" t="str">
        <f t="shared" si="6"/>
        <v/>
      </c>
      <c r="U39" s="42" t="str">
        <f t="shared" si="7"/>
        <v/>
      </c>
      <c r="V39" s="43" t="str">
        <f t="shared" si="8"/>
        <v/>
      </c>
      <c r="W39" s="43" t="str">
        <f t="shared" si="9"/>
        <v/>
      </c>
      <c r="X39" s="43" t="str">
        <f t="shared" si="10"/>
        <v/>
      </c>
      <c r="Y39" s="297" t="str">
        <f t="shared" si="12"/>
        <v/>
      </c>
    </row>
    <row r="40" spans="2:25">
      <c r="B40" s="26">
        <v>39</v>
      </c>
      <c r="C40" s="27">
        <v>1.56</v>
      </c>
      <c r="D40" s="27" t="s">
        <v>81</v>
      </c>
      <c r="F40" s="291" t="str">
        <f>Leger2!E44</f>
        <v/>
      </c>
      <c r="G40" s="43" t="str">
        <f>Leger2!F44</f>
        <v/>
      </c>
      <c r="H40" s="42" t="str">
        <f>PROPER(Leger2!G44)</f>
        <v/>
      </c>
      <c r="I40" s="43" t="str">
        <f>Leger2!BB44</f>
        <v/>
      </c>
      <c r="J40" s="43" t="str">
        <f>Leger2!BD44</f>
        <v/>
      </c>
      <c r="K40" s="686" t="str">
        <f>IF(F40="","",IFERROR(I40+COUNTIF($J$3:J40,J40),""))</f>
        <v/>
      </c>
      <c r="L40" s="292" t="str">
        <f t="shared" si="0"/>
        <v/>
      </c>
      <c r="M40" s="291" t="str">
        <f t="shared" si="1"/>
        <v/>
      </c>
      <c r="N40" s="43" t="str">
        <f t="shared" si="2"/>
        <v/>
      </c>
      <c r="O40" s="43" t="str">
        <f t="shared" si="11"/>
        <v/>
      </c>
      <c r="P40" s="42" t="str">
        <f t="shared" si="3"/>
        <v/>
      </c>
      <c r="Q40" s="686" t="str">
        <f t="shared" si="4"/>
        <v/>
      </c>
      <c r="R40" s="297" t="str">
        <f t="shared" si="5"/>
        <v/>
      </c>
      <c r="T40" s="291" t="str">
        <f t="shared" si="6"/>
        <v/>
      </c>
      <c r="U40" s="42" t="str">
        <f t="shared" si="7"/>
        <v/>
      </c>
      <c r="V40" s="43" t="str">
        <f t="shared" si="8"/>
        <v/>
      </c>
      <c r="W40" s="43" t="str">
        <f t="shared" si="9"/>
        <v/>
      </c>
      <c r="X40" s="43" t="str">
        <f t="shared" si="10"/>
        <v/>
      </c>
      <c r="Y40" s="297" t="str">
        <f t="shared" si="12"/>
        <v/>
      </c>
    </row>
    <row r="41" spans="2:25">
      <c r="B41" s="26">
        <v>40</v>
      </c>
      <c r="C41" s="27">
        <v>1.6</v>
      </c>
      <c r="D41" s="27" t="s">
        <v>81</v>
      </c>
      <c r="F41" s="291" t="str">
        <f>Leger2!E45</f>
        <v/>
      </c>
      <c r="G41" s="43" t="str">
        <f>Leger2!F45</f>
        <v/>
      </c>
      <c r="H41" s="42" t="str">
        <f>PROPER(Leger2!G45)</f>
        <v/>
      </c>
      <c r="I41" s="43" t="str">
        <f>Leger2!BB45</f>
        <v/>
      </c>
      <c r="J41" s="43" t="str">
        <f>Leger2!BD45</f>
        <v/>
      </c>
      <c r="K41" s="686" t="str">
        <f>IF(F41="","",IFERROR(I41+COUNTIF($J$3:J41,J41),""))</f>
        <v/>
      </c>
      <c r="L41" s="292" t="str">
        <f t="shared" si="0"/>
        <v/>
      </c>
      <c r="M41" s="291" t="str">
        <f t="shared" si="1"/>
        <v/>
      </c>
      <c r="N41" s="43" t="str">
        <f t="shared" si="2"/>
        <v/>
      </c>
      <c r="O41" s="43" t="str">
        <f t="shared" si="11"/>
        <v/>
      </c>
      <c r="P41" s="42" t="str">
        <f t="shared" si="3"/>
        <v/>
      </c>
      <c r="Q41" s="686" t="str">
        <f t="shared" si="4"/>
        <v/>
      </c>
      <c r="R41" s="297" t="str">
        <f t="shared" si="5"/>
        <v/>
      </c>
      <c r="T41" s="291" t="str">
        <f t="shared" si="6"/>
        <v/>
      </c>
      <c r="U41" s="42" t="str">
        <f t="shared" si="7"/>
        <v/>
      </c>
      <c r="V41" s="43" t="str">
        <f t="shared" si="8"/>
        <v/>
      </c>
      <c r="W41" s="43" t="str">
        <f t="shared" si="9"/>
        <v/>
      </c>
      <c r="X41" s="43" t="str">
        <f t="shared" si="10"/>
        <v/>
      </c>
      <c r="Y41" s="297" t="str">
        <f t="shared" si="12"/>
        <v/>
      </c>
    </row>
    <row r="42" spans="2:25" ht="15.75" thickBot="1">
      <c r="B42" s="26">
        <v>41</v>
      </c>
      <c r="C42" s="27">
        <v>1.64</v>
      </c>
      <c r="D42" s="27" t="s">
        <v>81</v>
      </c>
      <c r="F42" s="293" t="str">
        <f>Leger2!E46</f>
        <v/>
      </c>
      <c r="G42" s="294" t="str">
        <f>Leger2!F46</f>
        <v/>
      </c>
      <c r="H42" s="295" t="str">
        <f>PROPER(Leger2!G46)</f>
        <v/>
      </c>
      <c r="I42" s="294" t="str">
        <f>Leger2!BB46</f>
        <v/>
      </c>
      <c r="J42" s="294" t="str">
        <f>Leger2!BD46</f>
        <v/>
      </c>
      <c r="K42" s="294" t="str">
        <f>IF(F42="","",IFERROR(I42+COUNTIF($J$3:J42,J42),""))</f>
        <v/>
      </c>
      <c r="L42" s="712" t="str">
        <f t="shared" si="0"/>
        <v/>
      </c>
      <c r="M42" s="293" t="str">
        <f t="shared" si="1"/>
        <v/>
      </c>
      <c r="N42" s="294" t="str">
        <f t="shared" si="2"/>
        <v/>
      </c>
      <c r="O42" s="294" t="str">
        <f>J42</f>
        <v/>
      </c>
      <c r="P42" s="295" t="str">
        <f t="shared" si="3"/>
        <v/>
      </c>
      <c r="Q42" s="294" t="str">
        <f t="shared" si="4"/>
        <v/>
      </c>
      <c r="R42" s="298" t="str">
        <f t="shared" si="5"/>
        <v/>
      </c>
      <c r="T42" s="293" t="str">
        <f t="shared" si="6"/>
        <v/>
      </c>
      <c r="U42" s="295" t="str">
        <f>IF(M42="","",VLOOKUP(Y42,$N$3:$R$42,3,FALSE))</f>
        <v/>
      </c>
      <c r="V42" s="294" t="str">
        <f>IF(M42="","",VLOOKUP(Y42,$N$3:$R$42,4,FALSE))</f>
        <v/>
      </c>
      <c r="W42" s="294" t="str">
        <f>IF(M42="","",VLOOKUP(Y42,$N$3:$R$42,5,FALSE))</f>
        <v/>
      </c>
      <c r="X42" s="294" t="str">
        <f>IF(M42="","",VLOOKUP(Y42,$N$3:$R$42,2,FALSE))</f>
        <v/>
      </c>
      <c r="Y42" s="298" t="str">
        <f t="shared" si="12"/>
        <v/>
      </c>
    </row>
    <row r="43" spans="2:25">
      <c r="B43" s="26">
        <v>42</v>
      </c>
      <c r="C43" s="27">
        <v>1.68</v>
      </c>
      <c r="D43" s="27" t="s">
        <v>81</v>
      </c>
    </row>
    <row r="44" spans="2:25">
      <c r="B44" s="26">
        <v>43</v>
      </c>
      <c r="C44" s="27">
        <v>1.72</v>
      </c>
      <c r="D44" s="27" t="s">
        <v>81</v>
      </c>
    </row>
    <row r="45" spans="2:25">
      <c r="B45" s="26">
        <v>44</v>
      </c>
      <c r="C45" s="27">
        <v>1.76</v>
      </c>
      <c r="D45" s="27" t="s">
        <v>81</v>
      </c>
      <c r="G45" t="s">
        <v>140</v>
      </c>
      <c r="H45" t="s">
        <v>239</v>
      </c>
      <c r="I45" t="s">
        <v>240</v>
      </c>
      <c r="M45" s="156">
        <v>1</v>
      </c>
      <c r="N45" s="157" t="s">
        <v>257</v>
      </c>
      <c r="P45" t="str">
        <f>M45&amp;" ("&amp;N45&amp;")"</f>
        <v>1 (Satu)</v>
      </c>
      <c r="U45" t="s">
        <v>361</v>
      </c>
      <c r="W45"/>
      <c r="X45" s="1"/>
    </row>
    <row r="46" spans="2:25">
      <c r="B46" s="26">
        <v>45</v>
      </c>
      <c r="C46" s="27">
        <v>1.8</v>
      </c>
      <c r="D46" s="27" t="s">
        <v>81</v>
      </c>
      <c r="G46" s="1">
        <v>1</v>
      </c>
      <c r="H46" t="s">
        <v>241</v>
      </c>
      <c r="I46">
        <v>2015</v>
      </c>
      <c r="M46" s="156">
        <v>2</v>
      </c>
      <c r="N46" s="157" t="s">
        <v>258</v>
      </c>
      <c r="P46" t="str">
        <f t="shared" ref="P46:P64" si="13">M46&amp;" ("&amp;N46&amp;")"</f>
        <v>2 (Dua)</v>
      </c>
      <c r="W46"/>
      <c r="X46" s="1"/>
    </row>
    <row r="47" spans="2:25">
      <c r="B47" s="26">
        <v>46</v>
      </c>
      <c r="C47" s="27">
        <v>1.84</v>
      </c>
      <c r="D47" s="27" t="s">
        <v>81</v>
      </c>
      <c r="G47" s="1">
        <v>2</v>
      </c>
      <c r="H47" t="s">
        <v>242</v>
      </c>
      <c r="I47">
        <v>2016</v>
      </c>
      <c r="M47" s="156">
        <v>3</v>
      </c>
      <c r="N47" s="157" t="s">
        <v>259</v>
      </c>
      <c r="P47" t="str">
        <f t="shared" si="13"/>
        <v>3 (Tiga)</v>
      </c>
      <c r="U47" s="42" t="s">
        <v>288</v>
      </c>
      <c r="V47" s="42" t="s">
        <v>363</v>
      </c>
      <c r="W47" s="42"/>
      <c r="X47" s="312" t="str">
        <f>_smt_ganjil</f>
        <v>3 (Tiga)</v>
      </c>
    </row>
    <row r="48" spans="2:25">
      <c r="B48" s="26">
        <v>47</v>
      </c>
      <c r="C48" s="27">
        <v>1.88</v>
      </c>
      <c r="D48" s="27" t="s">
        <v>81</v>
      </c>
      <c r="G48" s="1">
        <v>3</v>
      </c>
      <c r="H48" t="s">
        <v>243</v>
      </c>
      <c r="I48">
        <v>2017</v>
      </c>
      <c r="M48" s="156">
        <v>4</v>
      </c>
      <c r="N48" s="157" t="s">
        <v>260</v>
      </c>
      <c r="P48" t="str">
        <f t="shared" si="13"/>
        <v>4 (Empat)</v>
      </c>
      <c r="U48" s="42" t="s">
        <v>289</v>
      </c>
      <c r="V48" s="42" t="s">
        <v>362</v>
      </c>
      <c r="W48" s="42"/>
      <c r="X48" s="312" t="str">
        <f>_smt_genap</f>
        <v>4 (Empat)</v>
      </c>
    </row>
    <row r="49" spans="2:24">
      <c r="B49" s="26">
        <v>48</v>
      </c>
      <c r="C49" s="27">
        <v>1.92</v>
      </c>
      <c r="D49" s="27" t="s">
        <v>81</v>
      </c>
      <c r="G49" s="1">
        <v>4</v>
      </c>
      <c r="H49" t="s">
        <v>244</v>
      </c>
      <c r="I49">
        <v>2018</v>
      </c>
      <c r="M49" s="156">
        <v>5</v>
      </c>
      <c r="N49" s="157" t="s">
        <v>261</v>
      </c>
      <c r="P49" t="str">
        <f t="shared" si="13"/>
        <v>5 (Lima)</v>
      </c>
      <c r="W49"/>
      <c r="X49" s="1"/>
    </row>
    <row r="50" spans="2:24">
      <c r="B50" s="26">
        <v>49</v>
      </c>
      <c r="C50" s="27">
        <v>1.96</v>
      </c>
      <c r="D50" s="27" t="s">
        <v>81</v>
      </c>
      <c r="G50" s="1">
        <v>5</v>
      </c>
      <c r="H50" t="s">
        <v>245</v>
      </c>
      <c r="I50">
        <v>2019</v>
      </c>
      <c r="M50" s="156">
        <v>6</v>
      </c>
      <c r="N50" s="157" t="s">
        <v>262</v>
      </c>
      <c r="P50" t="str">
        <f t="shared" si="13"/>
        <v>6 (Enam )</v>
      </c>
      <c r="U50" s="1413" t="s">
        <v>364</v>
      </c>
      <c r="V50" s="1413"/>
      <c r="W50" s="1413"/>
      <c r="X50" s="313" t="str">
        <f>IF(X48="6 (Enam)","Lulus","Naik Kelas")</f>
        <v>Naik Kelas</v>
      </c>
    </row>
    <row r="51" spans="2:24">
      <c r="B51" s="26">
        <v>50</v>
      </c>
      <c r="C51" s="27">
        <v>2</v>
      </c>
      <c r="D51" s="27" t="s">
        <v>81</v>
      </c>
      <c r="G51" s="1">
        <v>6</v>
      </c>
      <c r="H51" t="s">
        <v>246</v>
      </c>
      <c r="I51">
        <v>2020</v>
      </c>
      <c r="M51" s="156">
        <v>7</v>
      </c>
      <c r="N51" s="157" t="s">
        <v>263</v>
      </c>
      <c r="P51" t="str">
        <f t="shared" si="13"/>
        <v>7 (Tujuh)</v>
      </c>
      <c r="U51" s="1413" t="s">
        <v>365</v>
      </c>
      <c r="V51" s="1413"/>
      <c r="W51" s="1413"/>
      <c r="X51" s="313" t="str">
        <f>IF(X48="6 (Enam)","Tidak Lulus","Tidak Naik Kelas")</f>
        <v>Tidak Naik Kelas</v>
      </c>
    </row>
    <row r="52" spans="2:24">
      <c r="B52" s="26">
        <v>51</v>
      </c>
      <c r="C52" s="27">
        <v>2.04</v>
      </c>
      <c r="D52" s="27" t="s">
        <v>81</v>
      </c>
      <c r="G52" s="1">
        <v>7</v>
      </c>
      <c r="H52" t="s">
        <v>247</v>
      </c>
      <c r="I52">
        <v>2021</v>
      </c>
      <c r="M52" s="156">
        <v>8</v>
      </c>
      <c r="N52" s="157" t="s">
        <v>264</v>
      </c>
      <c r="P52" t="str">
        <f t="shared" si="13"/>
        <v>8 (Delapan)</v>
      </c>
    </row>
    <row r="53" spans="2:24">
      <c r="B53" s="26">
        <v>52</v>
      </c>
      <c r="C53" s="27">
        <v>2.08</v>
      </c>
      <c r="D53" s="27" t="s">
        <v>81</v>
      </c>
      <c r="G53" s="1">
        <v>8</v>
      </c>
      <c r="H53" t="s">
        <v>248</v>
      </c>
      <c r="I53">
        <v>2022</v>
      </c>
      <c r="M53" s="156">
        <v>9</v>
      </c>
      <c r="N53" s="157" t="s">
        <v>265</v>
      </c>
      <c r="P53" t="str">
        <f t="shared" si="13"/>
        <v>9 (Sembilan)</v>
      </c>
      <c r="U53" s="42" t="s">
        <v>367</v>
      </c>
    </row>
    <row r="54" spans="2:24">
      <c r="B54" s="26">
        <v>53</v>
      </c>
      <c r="C54" s="27">
        <v>2.12</v>
      </c>
      <c r="D54" s="27" t="s">
        <v>81</v>
      </c>
      <c r="G54" s="1">
        <v>9</v>
      </c>
      <c r="H54" t="s">
        <v>249</v>
      </c>
      <c r="I54">
        <v>2023</v>
      </c>
      <c r="M54" s="156">
        <v>10</v>
      </c>
      <c r="N54" s="157" t="s">
        <v>266</v>
      </c>
      <c r="P54" t="str">
        <f t="shared" si="13"/>
        <v>10 (Sepuluh)</v>
      </c>
      <c r="U54" s="42" t="s">
        <v>368</v>
      </c>
    </row>
    <row r="55" spans="2:24">
      <c r="B55" s="26">
        <v>54</v>
      </c>
      <c r="C55" s="27">
        <v>2.16</v>
      </c>
      <c r="D55" s="27" t="s">
        <v>81</v>
      </c>
      <c r="G55" s="1">
        <v>10</v>
      </c>
      <c r="H55" t="s">
        <v>250</v>
      </c>
      <c r="I55">
        <v>2024</v>
      </c>
      <c r="M55" s="156">
        <v>11</v>
      </c>
      <c r="N55" s="157" t="s">
        <v>267</v>
      </c>
      <c r="P55" t="str">
        <f t="shared" si="13"/>
        <v>11 (Sebelas)</v>
      </c>
      <c r="U55" s="324" t="str">
        <f>IF(X48="2 (Dua)","Kelas VIII","Kelas IX")</f>
        <v>Kelas IX</v>
      </c>
    </row>
    <row r="56" spans="2:24">
      <c r="B56" s="26">
        <v>55</v>
      </c>
      <c r="C56" s="27">
        <v>2.2000000000000002</v>
      </c>
      <c r="D56" s="27" t="s">
        <v>81</v>
      </c>
      <c r="G56" s="1">
        <v>11</v>
      </c>
      <c r="H56" t="s">
        <v>251</v>
      </c>
      <c r="I56">
        <v>2025</v>
      </c>
      <c r="M56" s="156">
        <v>12</v>
      </c>
      <c r="N56" s="157" t="s">
        <v>268</v>
      </c>
      <c r="P56" t="str">
        <f t="shared" si="13"/>
        <v>12 (Dua Belas)</v>
      </c>
    </row>
    <row r="57" spans="2:24">
      <c r="B57" s="26">
        <v>56</v>
      </c>
      <c r="C57" s="27">
        <v>2.2400000000000002</v>
      </c>
      <c r="D57" s="27" t="s">
        <v>81</v>
      </c>
      <c r="G57" s="1">
        <v>12</v>
      </c>
      <c r="H57" t="s">
        <v>252</v>
      </c>
      <c r="I57">
        <v>2026</v>
      </c>
      <c r="M57" s="156">
        <v>13</v>
      </c>
      <c r="N57" s="157" t="s">
        <v>269</v>
      </c>
      <c r="P57" t="str">
        <f t="shared" si="13"/>
        <v>13 (Tiga Belas )</v>
      </c>
      <c r="U57" s="42" t="s">
        <v>369</v>
      </c>
    </row>
    <row r="58" spans="2:24">
      <c r="B58" s="26">
        <v>57</v>
      </c>
      <c r="C58" s="27">
        <v>2.2799999999999998</v>
      </c>
      <c r="D58" s="27" t="s">
        <v>81</v>
      </c>
      <c r="G58" s="1">
        <v>13</v>
      </c>
      <c r="I58">
        <v>2027</v>
      </c>
      <c r="M58" s="156">
        <v>14</v>
      </c>
      <c r="N58" s="157" t="s">
        <v>270</v>
      </c>
      <c r="P58" t="str">
        <f t="shared" si="13"/>
        <v>14 (Empat Belas)</v>
      </c>
      <c r="U58" s="324" t="str">
        <f>IF(VLOOKUP(Raport2!AD4,_Leger2,57,FALSE)="Naik Kelas","Naik ke "&amp;_naik_ke_kelas,"Tidak Naik Kelas")</f>
        <v>Naik ke Kelas IX</v>
      </c>
    </row>
    <row r="59" spans="2:24">
      <c r="B59" s="26">
        <v>58</v>
      </c>
      <c r="C59" s="27">
        <v>2.3199999999999998</v>
      </c>
      <c r="D59" s="27" t="s">
        <v>81</v>
      </c>
      <c r="G59" s="1">
        <v>14</v>
      </c>
      <c r="I59">
        <v>2028</v>
      </c>
      <c r="M59" s="156">
        <v>15</v>
      </c>
      <c r="N59" s="157" t="s">
        <v>271</v>
      </c>
      <c r="P59" t="str">
        <f t="shared" si="13"/>
        <v>15 (Lima Belas)</v>
      </c>
      <c r="U59" s="324" t="str">
        <f>IF(VLOOKUP(Raport2!AD4,_Leger2,57,FALSE)="Lulus","LULUS","TIDAK LULUS")</f>
        <v>TIDAK LULUS</v>
      </c>
    </row>
    <row r="60" spans="2:24">
      <c r="B60" s="26">
        <v>59</v>
      </c>
      <c r="C60" s="27">
        <v>2.36</v>
      </c>
      <c r="D60" s="27" t="s">
        <v>81</v>
      </c>
      <c r="G60" s="1">
        <v>15</v>
      </c>
      <c r="I60">
        <v>2029</v>
      </c>
      <c r="M60" s="156">
        <v>16</v>
      </c>
      <c r="N60" s="157" t="s">
        <v>272</v>
      </c>
      <c r="P60" t="str">
        <f t="shared" si="13"/>
        <v>16 (Enam Belas)</v>
      </c>
    </row>
    <row r="61" spans="2:24">
      <c r="B61" s="26">
        <v>60</v>
      </c>
      <c r="C61" s="27">
        <v>2.4</v>
      </c>
      <c r="D61" s="27" t="s">
        <v>81</v>
      </c>
      <c r="G61" s="1">
        <v>16</v>
      </c>
      <c r="I61">
        <v>2030</v>
      </c>
      <c r="M61" s="156">
        <v>17</v>
      </c>
      <c r="N61" s="157" t="s">
        <v>273</v>
      </c>
      <c r="P61" t="str">
        <f t="shared" si="13"/>
        <v>17 (Tujuh Belas)</v>
      </c>
    </row>
    <row r="62" spans="2:24">
      <c r="B62" s="26">
        <v>61</v>
      </c>
      <c r="C62" s="27">
        <v>2.44</v>
      </c>
      <c r="D62" s="27" t="s">
        <v>81</v>
      </c>
      <c r="G62" s="1">
        <v>17</v>
      </c>
      <c r="I62">
        <v>2031</v>
      </c>
      <c r="M62" s="156">
        <v>18</v>
      </c>
      <c r="N62" s="157" t="s">
        <v>274</v>
      </c>
      <c r="P62" t="str">
        <f t="shared" si="13"/>
        <v>18 (Delapan Belas)</v>
      </c>
    </row>
    <row r="63" spans="2:24">
      <c r="B63" s="26">
        <v>62</v>
      </c>
      <c r="C63" s="27">
        <v>2.48</v>
      </c>
      <c r="D63" s="27" t="s">
        <v>81</v>
      </c>
      <c r="G63" s="1">
        <v>18</v>
      </c>
      <c r="I63">
        <v>2032</v>
      </c>
      <c r="M63" s="156">
        <v>19</v>
      </c>
      <c r="N63" s="157" t="s">
        <v>275</v>
      </c>
      <c r="P63" t="str">
        <f t="shared" si="13"/>
        <v>19 (Sembilan Belas)</v>
      </c>
    </row>
    <row r="64" spans="2:24">
      <c r="B64" s="26">
        <v>63</v>
      </c>
      <c r="C64" s="27">
        <v>2.52</v>
      </c>
      <c r="D64" s="27" t="s">
        <v>81</v>
      </c>
      <c r="G64" s="1">
        <v>19</v>
      </c>
      <c r="I64">
        <v>2033</v>
      </c>
      <c r="M64" s="156">
        <v>20</v>
      </c>
      <c r="N64" s="157" t="s">
        <v>276</v>
      </c>
      <c r="P64" t="str">
        <f t="shared" si="13"/>
        <v>20 (Dua Puluh)</v>
      </c>
    </row>
    <row r="65" spans="2:9">
      <c r="B65" s="26">
        <v>64</v>
      </c>
      <c r="C65" s="27">
        <v>2.56</v>
      </c>
      <c r="D65" s="27" t="s">
        <v>81</v>
      </c>
      <c r="G65" s="1">
        <v>20</v>
      </c>
      <c r="I65">
        <v>2034</v>
      </c>
    </row>
    <row r="66" spans="2:9">
      <c r="B66" s="26">
        <v>65</v>
      </c>
      <c r="C66" s="27">
        <v>2.6</v>
      </c>
      <c r="D66" s="27" t="s">
        <v>82</v>
      </c>
      <c r="G66" s="1">
        <v>21</v>
      </c>
      <c r="I66">
        <v>2035</v>
      </c>
    </row>
    <row r="67" spans="2:9">
      <c r="B67" s="26">
        <v>66</v>
      </c>
      <c r="C67" s="27">
        <v>2.64</v>
      </c>
      <c r="D67" s="27" t="s">
        <v>82</v>
      </c>
      <c r="G67" s="1">
        <v>22</v>
      </c>
      <c r="I67">
        <v>2036</v>
      </c>
    </row>
    <row r="68" spans="2:9">
      <c r="B68" s="26">
        <v>67</v>
      </c>
      <c r="C68" s="27">
        <v>2.68</v>
      </c>
      <c r="D68" s="27" t="s">
        <v>82</v>
      </c>
      <c r="G68" s="1">
        <v>23</v>
      </c>
      <c r="I68">
        <v>2037</v>
      </c>
    </row>
    <row r="69" spans="2:9">
      <c r="B69" s="26">
        <v>68</v>
      </c>
      <c r="C69" s="27">
        <v>2.72</v>
      </c>
      <c r="D69" s="27" t="s">
        <v>82</v>
      </c>
      <c r="G69" s="1">
        <v>24</v>
      </c>
      <c r="I69">
        <v>2038</v>
      </c>
    </row>
    <row r="70" spans="2:9">
      <c r="B70" s="26">
        <v>69</v>
      </c>
      <c r="C70" s="27">
        <v>2.76</v>
      </c>
      <c r="D70" s="27" t="s">
        <v>82</v>
      </c>
      <c r="G70" s="1">
        <v>25</v>
      </c>
      <c r="I70">
        <v>2039</v>
      </c>
    </row>
    <row r="71" spans="2:9">
      <c r="B71" s="26">
        <v>70</v>
      </c>
      <c r="C71" s="27">
        <v>2.8</v>
      </c>
      <c r="D71" s="27" t="s">
        <v>82</v>
      </c>
      <c r="G71" s="1">
        <v>26</v>
      </c>
      <c r="I71">
        <v>2040</v>
      </c>
    </row>
    <row r="72" spans="2:9">
      <c r="B72" s="26">
        <v>71</v>
      </c>
      <c r="C72" s="27">
        <v>2.84</v>
      </c>
      <c r="D72" s="27" t="s">
        <v>82</v>
      </c>
      <c r="G72" s="1">
        <v>27</v>
      </c>
      <c r="I72">
        <v>2041</v>
      </c>
    </row>
    <row r="73" spans="2:9">
      <c r="B73" s="26">
        <v>72</v>
      </c>
      <c r="C73" s="27">
        <v>2.88</v>
      </c>
      <c r="D73" s="27" t="s">
        <v>82</v>
      </c>
      <c r="G73" s="1">
        <v>28</v>
      </c>
      <c r="I73">
        <v>2042</v>
      </c>
    </row>
    <row r="74" spans="2:9">
      <c r="B74" s="26">
        <v>73</v>
      </c>
      <c r="C74" s="27">
        <v>2.92</v>
      </c>
      <c r="D74" s="27" t="s">
        <v>82</v>
      </c>
      <c r="G74" s="1">
        <v>29</v>
      </c>
      <c r="I74">
        <v>2043</v>
      </c>
    </row>
    <row r="75" spans="2:9">
      <c r="B75" s="26">
        <v>74</v>
      </c>
      <c r="C75" s="27">
        <v>2.96</v>
      </c>
      <c r="D75" s="27" t="s">
        <v>82</v>
      </c>
      <c r="G75" s="1">
        <v>30</v>
      </c>
      <c r="I75">
        <v>2044</v>
      </c>
    </row>
    <row r="76" spans="2:9">
      <c r="B76" s="26">
        <v>75</v>
      </c>
      <c r="C76" s="27">
        <v>3</v>
      </c>
      <c r="D76" s="27" t="s">
        <v>82</v>
      </c>
      <c r="G76" s="1">
        <v>31</v>
      </c>
      <c r="I76">
        <v>2045</v>
      </c>
    </row>
    <row r="77" spans="2:9">
      <c r="B77" s="26">
        <v>76</v>
      </c>
      <c r="C77" s="27">
        <v>3.04</v>
      </c>
      <c r="D77" s="27" t="s">
        <v>82</v>
      </c>
      <c r="I77">
        <v>2046</v>
      </c>
    </row>
    <row r="78" spans="2:9">
      <c r="B78" s="26">
        <v>77</v>
      </c>
      <c r="C78" s="27">
        <v>3.08</v>
      </c>
      <c r="D78" s="27" t="s">
        <v>83</v>
      </c>
      <c r="I78">
        <v>2047</v>
      </c>
    </row>
    <row r="79" spans="2:9">
      <c r="B79" s="26">
        <v>78</v>
      </c>
      <c r="C79" s="27">
        <v>3.12</v>
      </c>
      <c r="D79" s="27" t="s">
        <v>83</v>
      </c>
      <c r="I79">
        <v>2048</v>
      </c>
    </row>
    <row r="80" spans="2:9">
      <c r="B80" s="26">
        <v>79</v>
      </c>
      <c r="C80" s="27">
        <v>3.16</v>
      </c>
      <c r="D80" s="27" t="s">
        <v>83</v>
      </c>
      <c r="I80">
        <v>2049</v>
      </c>
    </row>
    <row r="81" spans="2:9">
      <c r="B81" s="26">
        <v>80</v>
      </c>
      <c r="C81" s="27">
        <v>3.2</v>
      </c>
      <c r="D81" s="27" t="s">
        <v>83</v>
      </c>
      <c r="I81">
        <v>2050</v>
      </c>
    </row>
    <row r="82" spans="2:9">
      <c r="B82" s="26">
        <v>81</v>
      </c>
      <c r="C82" s="27">
        <v>3.24</v>
      </c>
      <c r="D82" s="27" t="s">
        <v>83</v>
      </c>
    </row>
    <row r="83" spans="2:9">
      <c r="B83" s="26">
        <v>82</v>
      </c>
      <c r="C83" s="27">
        <v>3.28</v>
      </c>
      <c r="D83" s="27" t="s">
        <v>83</v>
      </c>
    </row>
    <row r="84" spans="2:9">
      <c r="B84" s="26">
        <v>83</v>
      </c>
      <c r="C84" s="27">
        <v>3.32</v>
      </c>
      <c r="D84" s="27" t="s">
        <v>83</v>
      </c>
    </row>
    <row r="85" spans="2:9">
      <c r="B85" s="26">
        <v>84</v>
      </c>
      <c r="C85" s="27">
        <v>3.36</v>
      </c>
      <c r="D85" s="27" t="s">
        <v>83</v>
      </c>
    </row>
    <row r="86" spans="2:9">
      <c r="B86" s="26">
        <v>85</v>
      </c>
      <c r="C86" s="27">
        <v>3.4</v>
      </c>
      <c r="D86" s="27" t="s">
        <v>83</v>
      </c>
    </row>
    <row r="87" spans="2:9">
      <c r="B87" s="26">
        <v>86</v>
      </c>
      <c r="C87" s="27">
        <v>3.44</v>
      </c>
      <c r="D87" s="27" t="s">
        <v>83</v>
      </c>
    </row>
    <row r="88" spans="2:9">
      <c r="B88" s="26">
        <v>87</v>
      </c>
      <c r="C88" s="27">
        <v>3.48</v>
      </c>
      <c r="D88" s="27" t="s">
        <v>83</v>
      </c>
    </row>
    <row r="89" spans="2:9">
      <c r="B89" s="26">
        <v>88</v>
      </c>
      <c r="C89" s="27">
        <v>3.52</v>
      </c>
      <c r="D89" s="27" t="s">
        <v>83</v>
      </c>
    </row>
    <row r="90" spans="2:9">
      <c r="B90" s="26">
        <v>89</v>
      </c>
      <c r="C90" s="27">
        <v>3.56</v>
      </c>
      <c r="D90" s="27" t="s">
        <v>79</v>
      </c>
    </row>
    <row r="91" spans="2:9">
      <c r="B91" s="26">
        <v>90</v>
      </c>
      <c r="C91" s="27">
        <v>3.6</v>
      </c>
      <c r="D91" s="27" t="s">
        <v>79</v>
      </c>
    </row>
    <row r="92" spans="2:9">
      <c r="B92" s="26">
        <v>91</v>
      </c>
      <c r="C92" s="27">
        <v>3.64</v>
      </c>
      <c r="D92" s="27" t="s">
        <v>79</v>
      </c>
    </row>
    <row r="93" spans="2:9">
      <c r="B93" s="26">
        <v>92</v>
      </c>
      <c r="C93" s="27">
        <v>3.68</v>
      </c>
      <c r="D93" s="27" t="s">
        <v>79</v>
      </c>
    </row>
    <row r="94" spans="2:9">
      <c r="B94" s="26">
        <v>93</v>
      </c>
      <c r="C94" s="27">
        <v>3.72</v>
      </c>
      <c r="D94" s="27" t="s">
        <v>79</v>
      </c>
    </row>
    <row r="95" spans="2:9">
      <c r="B95" s="26">
        <v>94</v>
      </c>
      <c r="C95" s="27">
        <v>3.76</v>
      </c>
      <c r="D95" s="27" t="s">
        <v>79</v>
      </c>
    </row>
    <row r="96" spans="2:9">
      <c r="B96" s="26">
        <v>95</v>
      </c>
      <c r="C96" s="27">
        <v>3.8</v>
      </c>
      <c r="D96" s="27" t="s">
        <v>79</v>
      </c>
    </row>
    <row r="97" spans="2:4">
      <c r="B97" s="26">
        <v>96</v>
      </c>
      <c r="C97" s="27">
        <v>3.84</v>
      </c>
      <c r="D97" s="27" t="s">
        <v>79</v>
      </c>
    </row>
    <row r="98" spans="2:4">
      <c r="B98" s="26">
        <v>97</v>
      </c>
      <c r="C98" s="27">
        <v>3.88</v>
      </c>
      <c r="D98" s="27" t="s">
        <v>79</v>
      </c>
    </row>
    <row r="99" spans="2:4">
      <c r="B99" s="26">
        <v>98</v>
      </c>
      <c r="C99" s="27">
        <v>3.92</v>
      </c>
      <c r="D99" s="27" t="s">
        <v>79</v>
      </c>
    </row>
    <row r="100" spans="2:4">
      <c r="B100" s="26">
        <v>99</v>
      </c>
      <c r="C100" s="27">
        <v>3.96</v>
      </c>
      <c r="D100" s="27" t="s">
        <v>79</v>
      </c>
    </row>
    <row r="101" spans="2:4">
      <c r="B101" s="26">
        <v>100</v>
      </c>
      <c r="C101" s="27">
        <v>4</v>
      </c>
      <c r="D101" s="27" t="s">
        <v>79</v>
      </c>
    </row>
  </sheetData>
  <sheetProtection password="CF75" sheet="1" objects="1" scenarios="1" selectLockedCells="1"/>
  <protectedRanges>
    <protectedRange password="C68E" sqref="C2:D101" name="Range1a"/>
  </protectedRanges>
  <mergeCells count="2">
    <mergeCell ref="U50:W50"/>
    <mergeCell ref="U51:W51"/>
  </mergeCells>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sheetPr codeName="Sheet28">
    <tabColor rgb="FFFF0000"/>
  </sheetPr>
  <dimension ref="A1:AT211"/>
  <sheetViews>
    <sheetView showGridLines="0" showRowColHeaders="0" zoomScaleSheetLayoutView="100" workbookViewId="0"/>
  </sheetViews>
  <sheetFormatPr defaultColWidth="0" defaultRowHeight="15" customHeight="1" zeroHeight="1"/>
  <cols>
    <col min="1" max="1" width="14.7109375" style="198" customWidth="1"/>
    <col min="2" max="2" width="4.28515625" style="717" customWidth="1"/>
    <col min="3" max="9" width="3.28515625" style="717" customWidth="1"/>
    <col min="10" max="10" width="2.28515625" style="717" customWidth="1"/>
    <col min="11" max="11" width="2.140625" style="717" customWidth="1"/>
    <col min="12" max="12" width="1.85546875" style="717" customWidth="1"/>
    <col min="13" max="20" width="3.28515625" style="717" customWidth="1"/>
    <col min="21" max="21" width="6.42578125" style="717" customWidth="1"/>
    <col min="22" max="27" width="3.28515625" style="717" customWidth="1"/>
    <col min="28" max="28" width="5.85546875" style="717" customWidth="1"/>
    <col min="29" max="29" width="4.140625" style="198" customWidth="1"/>
    <col min="30" max="30" width="4.7109375" style="198" customWidth="1"/>
    <col min="31" max="31" width="9.140625" style="198" customWidth="1"/>
    <col min="32" max="32" width="7.28515625" style="198" customWidth="1"/>
    <col min="33" max="33" width="9.140625" style="198" customWidth="1"/>
    <col min="34" max="34" width="12.28515625" style="198" customWidth="1"/>
    <col min="35" max="16384" width="9.140625" style="198" hidden="1"/>
  </cols>
  <sheetData>
    <row r="1" spans="1:46" ht="2.25" customHeight="1">
      <c r="A1" s="713"/>
      <c r="B1" s="714"/>
      <c r="C1" s="714"/>
      <c r="D1" s="714"/>
      <c r="E1" s="714"/>
      <c r="F1" s="714"/>
      <c r="G1" s="714"/>
      <c r="H1" s="714"/>
      <c r="I1" s="714"/>
      <c r="J1" s="714"/>
      <c r="K1" s="714"/>
      <c r="L1" s="714"/>
      <c r="M1" s="714"/>
      <c r="N1" s="714"/>
      <c r="O1" s="714"/>
      <c r="P1" s="714"/>
      <c r="Q1" s="714"/>
      <c r="R1" s="714"/>
      <c r="S1" s="714"/>
      <c r="T1" s="714"/>
      <c r="U1" s="714"/>
      <c r="V1" s="714"/>
      <c r="W1" s="714"/>
      <c r="X1" s="714"/>
      <c r="Y1" s="714"/>
      <c r="Z1" s="714"/>
      <c r="AA1" s="714"/>
      <c r="AB1" s="714"/>
    </row>
    <row r="2" spans="1:46" ht="23.25" customHeight="1">
      <c r="B2" s="255" t="str">
        <f>"RAPOR SEMESTER "&amp;UPPER(_smt_genap)&amp;" - KELAS "&amp;_kelas</f>
        <v>RAPOR SEMESTER 4 (EMPAT) - KELAS VIII A</v>
      </c>
      <c r="C2" s="714"/>
      <c r="D2" s="714"/>
      <c r="E2" s="714"/>
      <c r="F2" s="714"/>
      <c r="G2" s="714"/>
      <c r="H2" s="714"/>
      <c r="I2" s="714"/>
      <c r="J2" s="714"/>
      <c r="K2" s="714"/>
      <c r="L2" s="714"/>
      <c r="M2" s="714"/>
      <c r="N2" s="714"/>
      <c r="O2" s="714"/>
      <c r="P2" s="714"/>
      <c r="Q2" s="714"/>
      <c r="R2" s="714"/>
      <c r="S2" s="714"/>
      <c r="T2" s="714"/>
      <c r="U2" s="714"/>
      <c r="V2" s="714"/>
      <c r="W2" s="714"/>
      <c r="X2" s="714"/>
      <c r="Y2" s="714"/>
      <c r="Z2" s="714"/>
      <c r="AA2" s="714"/>
      <c r="AB2" s="714"/>
    </row>
    <row r="3" spans="1:46" ht="30" customHeight="1" thickBot="1">
      <c r="B3" s="715" t="str">
        <f>"Tahun Pelajaran "&amp;DK!$D$8</f>
        <v>Tahun Pelajaran 2018 / 2019</v>
      </c>
      <c r="C3" s="714"/>
      <c r="D3" s="714"/>
      <c r="E3" s="714"/>
      <c r="F3" s="714"/>
      <c r="G3" s="714"/>
      <c r="H3" s="714"/>
      <c r="I3" s="714"/>
      <c r="J3" s="714"/>
      <c r="K3" s="714"/>
      <c r="L3" s="714"/>
      <c r="M3" s="714"/>
      <c r="N3" s="714"/>
      <c r="O3" s="714"/>
      <c r="P3" s="714"/>
      <c r="Q3" s="714"/>
      <c r="R3" s="714"/>
      <c r="S3" s="714"/>
      <c r="T3" s="714"/>
      <c r="U3" s="714"/>
      <c r="V3" s="714"/>
      <c r="W3" s="714"/>
      <c r="X3" s="714"/>
      <c r="Y3" s="714"/>
      <c r="Z3" s="714"/>
      <c r="AA3" s="714"/>
      <c r="AB3" s="714"/>
      <c r="AD3" s="1379"/>
      <c r="AE3" s="1379"/>
    </row>
    <row r="4" spans="1:46" ht="29.25" customHeight="1">
      <c r="B4" s="1316" t="s">
        <v>165</v>
      </c>
      <c r="C4" s="1316"/>
      <c r="D4" s="1316"/>
      <c r="E4" s="1316"/>
      <c r="F4" s="1316"/>
      <c r="G4" s="1316"/>
      <c r="H4" s="1316"/>
      <c r="I4" s="1316"/>
      <c r="J4" s="1316"/>
      <c r="K4" s="1316"/>
      <c r="L4" s="1316"/>
      <c r="M4" s="1316"/>
      <c r="N4" s="1316"/>
      <c r="O4" s="1316"/>
      <c r="P4" s="1316"/>
      <c r="Q4" s="1316"/>
      <c r="R4" s="1316"/>
      <c r="S4" s="1316"/>
      <c r="T4" s="1316"/>
      <c r="U4" s="1316"/>
      <c r="V4" s="1316"/>
      <c r="W4" s="1316"/>
      <c r="X4" s="1316"/>
      <c r="Y4" s="1316"/>
      <c r="Z4" s="1316"/>
      <c r="AA4" s="1316"/>
      <c r="AB4" s="1316"/>
      <c r="AD4" s="1298">
        <v>1</v>
      </c>
      <c r="AE4" s="1299"/>
    </row>
    <row r="5" spans="1:46" s="716" customFormat="1">
      <c r="B5" s="717"/>
      <c r="C5" s="717"/>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D5" s="1300"/>
      <c r="AE5" s="1301"/>
      <c r="AG5" s="198"/>
      <c r="AH5" s="198"/>
      <c r="AI5" s="198"/>
      <c r="AJ5" s="198"/>
      <c r="AK5" s="198"/>
      <c r="AL5" s="198"/>
      <c r="AM5" s="198"/>
      <c r="AN5" s="198"/>
      <c r="AO5" s="198"/>
      <c r="AP5" s="198"/>
      <c r="AQ5" s="198"/>
      <c r="AR5" s="198"/>
      <c r="AS5" s="198"/>
      <c r="AT5" s="198"/>
    </row>
    <row r="6" spans="1:46" ht="15.75" customHeight="1">
      <c r="B6" s="717" t="s">
        <v>153</v>
      </c>
      <c r="G6" s="717" t="s">
        <v>2</v>
      </c>
      <c r="H6" s="717" t="str">
        <f>_sekolah_label</f>
        <v>SMP Negeri 1 Abung Surakarta</v>
      </c>
      <c r="T6" s="718" t="s">
        <v>5</v>
      </c>
      <c r="X6" s="718" t="s">
        <v>2</v>
      </c>
      <c r="Y6" s="717" t="str">
        <f>DK!$D$5</f>
        <v>VIII A</v>
      </c>
      <c r="AD6" s="1300"/>
      <c r="AE6" s="1301"/>
    </row>
    <row r="7" spans="1:46" ht="15" customHeight="1" thickBot="1">
      <c r="B7" s="717" t="s">
        <v>156</v>
      </c>
      <c r="G7" s="717" t="s">
        <v>2</v>
      </c>
      <c r="H7" s="717" t="str">
        <f>_alamat_sekolah</f>
        <v>Jl. Pendidikan No. 24</v>
      </c>
      <c r="T7" s="718" t="s">
        <v>4</v>
      </c>
      <c r="X7" s="718" t="s">
        <v>2</v>
      </c>
      <c r="Y7" s="717" t="str">
        <f>_smt_genap</f>
        <v>4 (Empat)</v>
      </c>
      <c r="AD7" s="1302"/>
      <c r="AE7" s="1303"/>
    </row>
    <row r="8" spans="1:46" ht="15.75" customHeight="1">
      <c r="B8" s="717" t="s">
        <v>97</v>
      </c>
      <c r="G8" s="717" t="s">
        <v>2</v>
      </c>
      <c r="H8" s="717" t="str">
        <f>IFERROR(PROPER(VLOOKUP($AD$4,_Biodata_Lengkap,4,FALSE)),"-")</f>
        <v>Ahmad Zaki Aufa</v>
      </c>
      <c r="T8" s="718" t="s">
        <v>3</v>
      </c>
      <c r="X8" s="718" t="s">
        <v>2</v>
      </c>
      <c r="Y8" s="717" t="str">
        <f>DK!$D$8</f>
        <v>2018 / 2019</v>
      </c>
      <c r="AG8" s="1381"/>
      <c r="AH8" s="1381"/>
    </row>
    <row r="9" spans="1:46" ht="22.5" customHeight="1">
      <c r="B9" s="719" t="s">
        <v>166</v>
      </c>
      <c r="C9" s="719"/>
      <c r="D9" s="719"/>
      <c r="E9" s="719"/>
      <c r="F9" s="719"/>
      <c r="G9" s="719" t="s">
        <v>2</v>
      </c>
      <c r="H9" s="719" t="str">
        <f>IFERROR(IF(VLOOKUP($AD$4,_Biodata_Lengkap,2,FALSE)="","-",VLOOKUP($AD$4,_Biodata_Lengkap,2,FALSE)&amp;" / "&amp;IF(VLOOKUP($AD$4,_Biodata_Lengkap,3,FALSE)="","-",VLOOKUP($AD$4,_Biodata_Lengkap,3,FALSE))),"-")</f>
        <v>7057 / 0061139155</v>
      </c>
      <c r="I9" s="719"/>
      <c r="J9" s="719"/>
      <c r="K9" s="719"/>
      <c r="L9" s="719"/>
      <c r="M9" s="719"/>
      <c r="N9" s="719"/>
      <c r="O9" s="719"/>
      <c r="P9" s="719"/>
      <c r="Q9" s="719"/>
      <c r="R9" s="719"/>
      <c r="S9" s="719"/>
      <c r="T9" s="719"/>
      <c r="U9" s="719"/>
      <c r="V9" s="719"/>
      <c r="W9" s="719"/>
      <c r="X9" s="719"/>
      <c r="Y9" s="719"/>
      <c r="Z9" s="719"/>
      <c r="AA9" s="719"/>
      <c r="AB9" s="719"/>
    </row>
    <row r="10" spans="1:46" ht="15.75" customHeight="1">
      <c r="B10" s="1380"/>
      <c r="C10" s="1380"/>
      <c r="D10" s="1380"/>
      <c r="E10" s="1380"/>
      <c r="F10" s="1380"/>
      <c r="G10" s="1380"/>
      <c r="H10" s="1380"/>
      <c r="I10" s="1380"/>
      <c r="J10" s="1380"/>
      <c r="K10" s="1380"/>
      <c r="L10" s="1380"/>
      <c r="M10" s="1380"/>
      <c r="N10" s="1380"/>
      <c r="O10" s="1380"/>
      <c r="P10" s="1380"/>
      <c r="Q10" s="1380"/>
      <c r="R10" s="1380"/>
      <c r="S10" s="1380"/>
      <c r="T10" s="1380"/>
      <c r="U10" s="1380"/>
      <c r="V10" s="1380"/>
      <c r="W10" s="1380"/>
      <c r="X10" s="1380"/>
      <c r="Y10" s="1380"/>
      <c r="Z10" s="1380"/>
      <c r="AA10" s="1380"/>
      <c r="AB10" s="1380"/>
    </row>
    <row r="11" spans="1:46" ht="15.75" customHeight="1">
      <c r="B11" s="1304" t="s">
        <v>173</v>
      </c>
      <c r="C11" s="1305"/>
      <c r="D11" s="1305"/>
      <c r="E11" s="1305"/>
      <c r="F11" s="1305"/>
      <c r="G11" s="1305"/>
      <c r="H11" s="1305"/>
      <c r="I11" s="1305"/>
      <c r="J11" s="1305"/>
      <c r="K11" s="1305"/>
      <c r="L11" s="1305"/>
      <c r="M11" s="1305"/>
      <c r="N11" s="1305"/>
      <c r="O11" s="1305"/>
      <c r="P11" s="1305"/>
      <c r="Q11" s="1305"/>
      <c r="R11" s="1305"/>
      <c r="S11" s="1305"/>
      <c r="T11" s="1305"/>
      <c r="U11" s="1305"/>
      <c r="V11" s="1305"/>
      <c r="W11" s="1305"/>
      <c r="X11" s="1305"/>
      <c r="Y11" s="1305"/>
      <c r="Z11" s="1305"/>
      <c r="AA11" s="1305"/>
      <c r="AB11" s="1306"/>
    </row>
    <row r="12" spans="1:46" ht="15.75" customHeight="1">
      <c r="B12" s="1304" t="s">
        <v>294</v>
      </c>
      <c r="C12" s="1305"/>
      <c r="D12" s="1305"/>
      <c r="E12" s="1305"/>
      <c r="F12" s="1305"/>
      <c r="G12" s="1305"/>
      <c r="H12" s="1305"/>
      <c r="I12" s="1305"/>
      <c r="J12" s="1305"/>
      <c r="K12" s="1305"/>
      <c r="L12" s="1305"/>
      <c r="M12" s="1305"/>
      <c r="N12" s="1305"/>
      <c r="O12" s="1305"/>
      <c r="P12" s="1305"/>
      <c r="Q12" s="1305"/>
      <c r="R12" s="1305"/>
      <c r="S12" s="1305"/>
      <c r="T12" s="1305"/>
      <c r="U12" s="1305"/>
      <c r="V12" s="1305"/>
      <c r="W12" s="1305"/>
      <c r="X12" s="1305"/>
      <c r="Y12" s="1305"/>
      <c r="Z12" s="1305"/>
      <c r="AA12" s="1305"/>
      <c r="AB12" s="1306"/>
    </row>
    <row r="13" spans="1:46" ht="15.75" customHeight="1" thickBot="1">
      <c r="B13" s="1313" t="s">
        <v>113</v>
      </c>
      <c r="C13" s="1314"/>
      <c r="D13" s="1314"/>
      <c r="E13" s="1315"/>
      <c r="F13" s="1313" t="s">
        <v>174</v>
      </c>
      <c r="G13" s="1314"/>
      <c r="H13" s="1314"/>
      <c r="I13" s="1314"/>
      <c r="J13" s="1314"/>
      <c r="K13" s="1314"/>
      <c r="L13" s="1314"/>
      <c r="M13" s="1314"/>
      <c r="N13" s="1314"/>
      <c r="O13" s="1314"/>
      <c r="P13" s="1314"/>
      <c r="Q13" s="1314"/>
      <c r="R13" s="1314"/>
      <c r="S13" s="1314"/>
      <c r="T13" s="1314"/>
      <c r="U13" s="1314"/>
      <c r="V13" s="1314"/>
      <c r="W13" s="1314"/>
      <c r="X13" s="1314"/>
      <c r="Y13" s="1314"/>
      <c r="Z13" s="1314"/>
      <c r="AA13" s="1314"/>
      <c r="AB13" s="1315"/>
    </row>
    <row r="14" spans="1:46" ht="15.75" customHeight="1" thickTop="1">
      <c r="B14" s="1307" t="str">
        <f>IFERROR(VLOOKUP(AD4,_Sikap2,4,FALSE),"-")</f>
        <v>B</v>
      </c>
      <c r="C14" s="1308"/>
      <c r="D14" s="1308"/>
      <c r="E14" s="1309"/>
      <c r="F14" s="1319" t="str">
        <f>H8&amp;" "&amp;IFERROR(VLOOKUP(B14,_sikap_predikat2,2,FALSE),"-")</f>
        <v>Ahmad Zaki Aufa selalu bersyukur dan berdoa sebelum melakukan kegiatan serta memiliki toleran yang tinggi pada pemeluk agama yang berbeda, ketaatan beribadah baik dan sering mengingatkan teman-temannya untuk melaksanakan ajaran agamanya dengan baik.</v>
      </c>
      <c r="G14" s="1320"/>
      <c r="H14" s="1320"/>
      <c r="I14" s="1320"/>
      <c r="J14" s="1320"/>
      <c r="K14" s="1320"/>
      <c r="L14" s="1320"/>
      <c r="M14" s="1320"/>
      <c r="N14" s="1320"/>
      <c r="O14" s="1320"/>
      <c r="P14" s="1320"/>
      <c r="Q14" s="1320"/>
      <c r="R14" s="1320"/>
      <c r="S14" s="1320"/>
      <c r="T14" s="1320"/>
      <c r="U14" s="1320"/>
      <c r="V14" s="1320"/>
      <c r="W14" s="1320"/>
      <c r="X14" s="1320"/>
      <c r="Y14" s="1320"/>
      <c r="Z14" s="1320"/>
      <c r="AA14" s="1320"/>
      <c r="AB14" s="1321"/>
    </row>
    <row r="15" spans="1:46" ht="15.75" customHeight="1">
      <c r="B15" s="1307"/>
      <c r="C15" s="1308"/>
      <c r="D15" s="1308"/>
      <c r="E15" s="1309"/>
      <c r="F15" s="1322"/>
      <c r="G15" s="1323"/>
      <c r="H15" s="1323"/>
      <c r="I15" s="1323"/>
      <c r="J15" s="1323"/>
      <c r="K15" s="1323"/>
      <c r="L15" s="1323"/>
      <c r="M15" s="1323"/>
      <c r="N15" s="1323"/>
      <c r="O15" s="1323"/>
      <c r="P15" s="1323"/>
      <c r="Q15" s="1323"/>
      <c r="R15" s="1323"/>
      <c r="S15" s="1323"/>
      <c r="T15" s="1323"/>
      <c r="U15" s="1323"/>
      <c r="V15" s="1323"/>
      <c r="W15" s="1323"/>
      <c r="X15" s="1323"/>
      <c r="Y15" s="1323"/>
      <c r="Z15" s="1323"/>
      <c r="AA15" s="1323"/>
      <c r="AB15" s="1324"/>
    </row>
    <row r="16" spans="1:46" ht="15.75" customHeight="1">
      <c r="B16" s="1307"/>
      <c r="C16" s="1308"/>
      <c r="D16" s="1308"/>
      <c r="E16" s="1309"/>
      <c r="F16" s="1322"/>
      <c r="G16" s="1323"/>
      <c r="H16" s="1323"/>
      <c r="I16" s="1323"/>
      <c r="J16" s="1323"/>
      <c r="K16" s="1323"/>
      <c r="L16" s="1323"/>
      <c r="M16" s="1323"/>
      <c r="N16" s="1323"/>
      <c r="O16" s="1323"/>
      <c r="P16" s="1323"/>
      <c r="Q16" s="1323"/>
      <c r="R16" s="1323"/>
      <c r="S16" s="1323"/>
      <c r="T16" s="1323"/>
      <c r="U16" s="1323"/>
      <c r="V16" s="1323"/>
      <c r="W16" s="1323"/>
      <c r="X16" s="1323"/>
      <c r="Y16" s="1323"/>
      <c r="Z16" s="1323"/>
      <c r="AA16" s="1323"/>
      <c r="AB16" s="1324"/>
    </row>
    <row r="17" spans="2:28" ht="16.5" customHeight="1">
      <c r="B17" s="1310"/>
      <c r="C17" s="1311"/>
      <c r="D17" s="1311"/>
      <c r="E17" s="1312"/>
      <c r="F17" s="1325"/>
      <c r="G17" s="1326"/>
      <c r="H17" s="1326"/>
      <c r="I17" s="1326"/>
      <c r="J17" s="1326"/>
      <c r="K17" s="1326"/>
      <c r="L17" s="1326"/>
      <c r="M17" s="1326"/>
      <c r="N17" s="1326"/>
      <c r="O17" s="1326"/>
      <c r="P17" s="1326"/>
      <c r="Q17" s="1326"/>
      <c r="R17" s="1326"/>
      <c r="S17" s="1326"/>
      <c r="T17" s="1326"/>
      <c r="U17" s="1326"/>
      <c r="V17" s="1326"/>
      <c r="W17" s="1326"/>
      <c r="X17" s="1326"/>
      <c r="Y17" s="1326"/>
      <c r="Z17" s="1326"/>
      <c r="AA17" s="1326"/>
      <c r="AB17" s="1327"/>
    </row>
    <row r="18" spans="2:28" ht="15.75" customHeight="1"/>
    <row r="19" spans="2:28" ht="15.75" customHeight="1">
      <c r="B19" s="720" t="s">
        <v>175</v>
      </c>
    </row>
    <row r="20" spans="2:28" ht="15.75" customHeight="1" thickBot="1">
      <c r="B20" s="1296" t="s">
        <v>113</v>
      </c>
      <c r="C20" s="1296"/>
      <c r="D20" s="1296"/>
      <c r="E20" s="1296"/>
      <c r="F20" s="1296" t="s">
        <v>174</v>
      </c>
      <c r="G20" s="1296"/>
      <c r="H20" s="1296"/>
      <c r="I20" s="1296"/>
      <c r="J20" s="1296"/>
      <c r="K20" s="1296"/>
      <c r="L20" s="1296"/>
      <c r="M20" s="1296"/>
      <c r="N20" s="1296"/>
      <c r="O20" s="1296"/>
      <c r="P20" s="1296"/>
      <c r="Q20" s="1296"/>
      <c r="R20" s="1296"/>
      <c r="S20" s="1296"/>
      <c r="T20" s="1296"/>
      <c r="U20" s="1296"/>
      <c r="V20" s="1296"/>
      <c r="W20" s="1296"/>
      <c r="X20" s="1296"/>
      <c r="Y20" s="1296"/>
      <c r="Z20" s="1296"/>
      <c r="AA20" s="1296"/>
      <c r="AB20" s="1296"/>
    </row>
    <row r="21" spans="2:28" ht="30.75" customHeight="1" thickTop="1">
      <c r="B21" s="1317" t="str">
        <f>IFERROR(VLOOKUP(AD4,_Sikap2,5,FALSE),"-")</f>
        <v>B</v>
      </c>
      <c r="C21" s="1317"/>
      <c r="D21" s="1317"/>
      <c r="E21" s="1317"/>
      <c r="F21" s="1319" t="str">
        <f>H8&amp;" "&amp;IFERROR(VLOOKUP(B21,_sikap_predikat2,3,FALSE),"-")</f>
        <v>Ahmad Zaki Aufa memiliki sikap santun pada orang lain, peduli pada sesama teman, memiliki kepercaya diri yang baik, cukup responsif dalam pergaulan, memiliki sikap jujur, disiplin, dan tanggungjawab yang cukup tinggi.</v>
      </c>
      <c r="G21" s="1320"/>
      <c r="H21" s="1320"/>
      <c r="I21" s="1320"/>
      <c r="J21" s="1320"/>
      <c r="K21" s="1320"/>
      <c r="L21" s="1320"/>
      <c r="M21" s="1320"/>
      <c r="N21" s="1320"/>
      <c r="O21" s="1320"/>
      <c r="P21" s="1320"/>
      <c r="Q21" s="1320"/>
      <c r="R21" s="1320"/>
      <c r="S21" s="1320"/>
      <c r="T21" s="1320"/>
      <c r="U21" s="1320"/>
      <c r="V21" s="1320"/>
      <c r="W21" s="1320"/>
      <c r="X21" s="1320"/>
      <c r="Y21" s="1320"/>
      <c r="Z21" s="1320"/>
      <c r="AA21" s="1320"/>
      <c r="AB21" s="1321"/>
    </row>
    <row r="22" spans="2:28" ht="33" customHeight="1">
      <c r="B22" s="1318"/>
      <c r="C22" s="1318"/>
      <c r="D22" s="1318"/>
      <c r="E22" s="1318"/>
      <c r="F22" s="1325"/>
      <c r="G22" s="1326"/>
      <c r="H22" s="1326"/>
      <c r="I22" s="1326"/>
      <c r="J22" s="1326"/>
      <c r="K22" s="1326"/>
      <c r="L22" s="1326"/>
      <c r="M22" s="1326"/>
      <c r="N22" s="1326"/>
      <c r="O22" s="1326"/>
      <c r="P22" s="1326"/>
      <c r="Q22" s="1326"/>
      <c r="R22" s="1326"/>
      <c r="S22" s="1326"/>
      <c r="T22" s="1326"/>
      <c r="U22" s="1326"/>
      <c r="V22" s="1326"/>
      <c r="W22" s="1326"/>
      <c r="X22" s="1326"/>
      <c r="Y22" s="1326"/>
      <c r="Z22" s="1326"/>
      <c r="AA22" s="1326"/>
      <c r="AB22" s="1327"/>
    </row>
    <row r="23" spans="2:28" ht="24" customHeight="1">
      <c r="B23" s="1297" t="s">
        <v>176</v>
      </c>
      <c r="C23" s="1297"/>
      <c r="D23" s="1297"/>
      <c r="E23" s="1297"/>
      <c r="F23" s="1297"/>
      <c r="G23" s="1297"/>
      <c r="H23" s="1297"/>
      <c r="I23" s="1297"/>
      <c r="J23" s="1297"/>
      <c r="K23" s="1297"/>
      <c r="L23" s="1297"/>
      <c r="M23" s="1297"/>
      <c r="N23" s="1297"/>
      <c r="O23" s="1297"/>
      <c r="P23" s="1297"/>
      <c r="Q23" s="1297"/>
      <c r="R23" s="1297"/>
      <c r="S23" s="1297"/>
      <c r="T23" s="1297"/>
      <c r="U23" s="1297"/>
      <c r="V23" s="1297"/>
      <c r="W23" s="1297"/>
      <c r="X23" s="1297"/>
      <c r="Y23" s="1297"/>
      <c r="Z23" s="1297"/>
      <c r="AA23" s="1297"/>
      <c r="AB23" s="1297"/>
    </row>
    <row r="24" spans="2:28" ht="15.75" customHeight="1">
      <c r="B24" s="1330" t="s">
        <v>50</v>
      </c>
      <c r="C24" s="1330" t="s">
        <v>119</v>
      </c>
      <c r="D24" s="1330"/>
      <c r="E24" s="1330"/>
      <c r="F24" s="1330"/>
      <c r="G24" s="1330"/>
      <c r="H24" s="1330"/>
      <c r="I24" s="1330"/>
      <c r="J24" s="1330"/>
      <c r="K24" s="1330"/>
      <c r="L24" s="1330"/>
      <c r="M24" s="1330" t="s">
        <v>80</v>
      </c>
      <c r="N24" s="1330"/>
      <c r="O24" s="1295" t="s">
        <v>121</v>
      </c>
      <c r="P24" s="1295"/>
      <c r="Q24" s="1295"/>
      <c r="R24" s="1295"/>
      <c r="S24" s="1295"/>
      <c r="T24" s="1295"/>
      <c r="U24" s="1295"/>
      <c r="V24" s="1295" t="s">
        <v>122</v>
      </c>
      <c r="W24" s="1295"/>
      <c r="X24" s="1295"/>
      <c r="Y24" s="1295"/>
      <c r="Z24" s="1295"/>
      <c r="AA24" s="1295"/>
      <c r="AB24" s="1295"/>
    </row>
    <row r="25" spans="2:28" ht="15.75" customHeight="1" thickBot="1">
      <c r="B25" s="1331"/>
      <c r="C25" s="1331"/>
      <c r="D25" s="1331"/>
      <c r="E25" s="1331"/>
      <c r="F25" s="1331"/>
      <c r="G25" s="1331"/>
      <c r="H25" s="1331"/>
      <c r="I25" s="1331"/>
      <c r="J25" s="1331"/>
      <c r="K25" s="1331"/>
      <c r="L25" s="1331"/>
      <c r="M25" s="1331"/>
      <c r="N25" s="1331"/>
      <c r="O25" s="1296" t="s">
        <v>59</v>
      </c>
      <c r="P25" s="1296"/>
      <c r="Q25" s="1296"/>
      <c r="R25" s="1296"/>
      <c r="S25" s="1296" t="s">
        <v>113</v>
      </c>
      <c r="T25" s="1296"/>
      <c r="U25" s="1296"/>
      <c r="V25" s="1296" t="s">
        <v>59</v>
      </c>
      <c r="W25" s="1296"/>
      <c r="X25" s="1296"/>
      <c r="Y25" s="1296"/>
      <c r="Z25" s="1296" t="s">
        <v>113</v>
      </c>
      <c r="AA25" s="1296"/>
      <c r="AB25" s="1296"/>
    </row>
    <row r="26" spans="2:28" ht="18" customHeight="1" thickTop="1">
      <c r="B26" s="1431" t="s">
        <v>53</v>
      </c>
      <c r="C26" s="1432"/>
      <c r="D26" s="1432"/>
      <c r="E26" s="1432"/>
      <c r="F26" s="1432"/>
      <c r="G26" s="1432"/>
      <c r="H26" s="1432"/>
      <c r="I26" s="1432"/>
      <c r="J26" s="1432"/>
      <c r="K26" s="1432"/>
      <c r="L26" s="1432"/>
      <c r="M26" s="1432"/>
      <c r="N26" s="1432"/>
      <c r="O26" s="1432"/>
      <c r="P26" s="1432"/>
      <c r="Q26" s="1432"/>
      <c r="R26" s="1432"/>
      <c r="S26" s="1432"/>
      <c r="T26" s="1432"/>
      <c r="U26" s="1432"/>
      <c r="V26" s="1432"/>
      <c r="W26" s="1432"/>
      <c r="X26" s="1432"/>
      <c r="Y26" s="1432"/>
      <c r="Z26" s="1432"/>
      <c r="AA26" s="1432"/>
      <c r="AB26" s="1433"/>
    </row>
    <row r="27" spans="2:28" ht="15.75" customHeight="1">
      <c r="B27" s="721">
        <v>1</v>
      </c>
      <c r="C27" s="1329" t="str">
        <f>IFERROR(IF(VLOOKUP(AD4,_Biodata_Lengkap,8,FALSE)="ISLAM",_MP1,IF(VLOOKUP(AD4,_Biodata_Lengkap,8,FALSE)="KRISTEN",_MP2,IF(VLOOKUP(AD4,_Biodata_Lengkap,8,FALSE)="KATOLIK",_MP3,IF(VLOOKUP(AD4,_Biodata_Lengkap,8,FALSE)="HINDU",_MP4,_MP5)))),"-")</f>
        <v>Pendidikan Agama Islam</v>
      </c>
      <c r="D27" s="1329"/>
      <c r="E27" s="1329"/>
      <c r="F27" s="1329"/>
      <c r="G27" s="1329"/>
      <c r="H27" s="1329"/>
      <c r="I27" s="1329"/>
      <c r="J27" s="1329"/>
      <c r="K27" s="1329"/>
      <c r="L27" s="1329"/>
      <c r="M27" s="1328">
        <f t="shared" ref="M27:M33" si="0">_KKM2</f>
        <v>65</v>
      </c>
      <c r="N27" s="1328"/>
      <c r="O27" s="1335">
        <f>IFERROR(IF($C$27=_MP1,VLOOKUP($AD$4,_Leger2,5,FALSE),IF($C$27=_MP2,VLOOKUP($AD$4,_Leger2,8,FALSE),IF($C$27=_MP3,VLOOKUP($AD$4,_Leger2,11,FALSE),IF($C$27=_MP4,VLOOKUP($AD$4,_Leger2,14,FALSE),VLOOKUP($AD$4,_Leger2,17,FALSE))))),"-")</f>
        <v>0</v>
      </c>
      <c r="P27" s="1335"/>
      <c r="Q27" s="1335"/>
      <c r="R27" s="1335"/>
      <c r="S27" s="1336" t="str">
        <f t="shared" ref="S27:S33" si="1">IF(O27="-","-",IF(O27&gt;=(M27+2/3*(100-M27)),"A",IF(O27&gt;=(M27+1/3*(100-M27)),"B",IF(O27&gt;=M27,"C","D"))))</f>
        <v>D</v>
      </c>
      <c r="T27" s="1337"/>
      <c r="U27" s="1338"/>
      <c r="V27" s="1335">
        <f>IFERROR(IF($C$27=_MP1,VLOOKUP($AD$4,_Leger2,6,FALSE),IF($C$27=_MP2,VLOOKUP($AD$4,_Leger2,9,FALSE),IF($C$27=_MP3,VLOOKUP($AD$4,_Leger2,12,FALSE),IF($C$27=_MP4,VLOOKUP($AD$4,_Leger2,15,FALSE),VLOOKUP($AD$4,_Leger2,18,FALSE))))),"-")</f>
        <v>0</v>
      </c>
      <c r="W27" s="1335"/>
      <c r="X27" s="1335"/>
      <c r="Y27" s="1335"/>
      <c r="Z27" s="1336" t="str">
        <f t="shared" ref="Z27:Z33" si="2">IF(V27="-","-",IF(V27&gt;=(M27+2/3*(100-M27)),"A",IF(V27&gt;=(M27+1/3*(100-M27)),"B",IF(V27&gt;=M27,"C","D"))))</f>
        <v>D</v>
      </c>
      <c r="AA27" s="1337"/>
      <c r="AB27" s="1338"/>
    </row>
    <row r="28" spans="2:28" ht="15.75" customHeight="1">
      <c r="B28" s="721">
        <v>2</v>
      </c>
      <c r="C28" s="1329" t="str">
        <f>_MP6</f>
        <v>PKn</v>
      </c>
      <c r="D28" s="1329"/>
      <c r="E28" s="1329"/>
      <c r="F28" s="1329"/>
      <c r="G28" s="1329"/>
      <c r="H28" s="1329"/>
      <c r="I28" s="1329"/>
      <c r="J28" s="1329"/>
      <c r="K28" s="1329"/>
      <c r="L28" s="1329"/>
      <c r="M28" s="1328">
        <f t="shared" si="0"/>
        <v>65</v>
      </c>
      <c r="N28" s="1328"/>
      <c r="O28" s="1335">
        <f>IFERROR(VLOOKUP($AD$4,_Leger2,20,FALSE),"-")</f>
        <v>0</v>
      </c>
      <c r="P28" s="1335"/>
      <c r="Q28" s="1335"/>
      <c r="R28" s="1335"/>
      <c r="S28" s="1336" t="str">
        <f t="shared" si="1"/>
        <v>D</v>
      </c>
      <c r="T28" s="1337"/>
      <c r="U28" s="1338"/>
      <c r="V28" s="1335">
        <f>IFERROR(VLOOKUP($AD$4,_Leger2,21,FALSE),"-")</f>
        <v>0</v>
      </c>
      <c r="W28" s="1335"/>
      <c r="X28" s="1335"/>
      <c r="Y28" s="1335"/>
      <c r="Z28" s="1336" t="str">
        <f t="shared" si="2"/>
        <v>D</v>
      </c>
      <c r="AA28" s="1337"/>
      <c r="AB28" s="1338"/>
    </row>
    <row r="29" spans="2:28" ht="15.75" customHeight="1">
      <c r="B29" s="721">
        <v>3</v>
      </c>
      <c r="C29" s="1329" t="str">
        <f>_MP7</f>
        <v xml:space="preserve">Bahasa Indonesia </v>
      </c>
      <c r="D29" s="1329"/>
      <c r="E29" s="1329"/>
      <c r="F29" s="1329"/>
      <c r="G29" s="1329"/>
      <c r="H29" s="1329"/>
      <c r="I29" s="1329"/>
      <c r="J29" s="1329"/>
      <c r="K29" s="1329"/>
      <c r="L29" s="1329"/>
      <c r="M29" s="1328">
        <f t="shared" si="0"/>
        <v>65</v>
      </c>
      <c r="N29" s="1328"/>
      <c r="O29" s="1335">
        <f>IFERROR(VLOOKUP($AD$4,_Leger2,23,FALSE),"-")</f>
        <v>0</v>
      </c>
      <c r="P29" s="1335"/>
      <c r="Q29" s="1335"/>
      <c r="R29" s="1335"/>
      <c r="S29" s="1336" t="str">
        <f t="shared" si="1"/>
        <v>D</v>
      </c>
      <c r="T29" s="1337"/>
      <c r="U29" s="1338"/>
      <c r="V29" s="1335">
        <f>IFERROR(VLOOKUP($AD$4,_Leger2,24,FALSE),"-")</f>
        <v>0</v>
      </c>
      <c r="W29" s="1335"/>
      <c r="X29" s="1335"/>
      <c r="Y29" s="1335"/>
      <c r="Z29" s="1336" t="str">
        <f t="shared" si="2"/>
        <v>D</v>
      </c>
      <c r="AA29" s="1337"/>
      <c r="AB29" s="1338"/>
    </row>
    <row r="30" spans="2:28" ht="15.75" customHeight="1">
      <c r="B30" s="721">
        <v>4</v>
      </c>
      <c r="C30" s="1329" t="str">
        <f>_MP8</f>
        <v xml:space="preserve">Matematika </v>
      </c>
      <c r="D30" s="1329"/>
      <c r="E30" s="1329"/>
      <c r="F30" s="1329"/>
      <c r="G30" s="1329"/>
      <c r="H30" s="1329"/>
      <c r="I30" s="1329"/>
      <c r="J30" s="1329"/>
      <c r="K30" s="1329"/>
      <c r="L30" s="1329"/>
      <c r="M30" s="1328">
        <f t="shared" si="0"/>
        <v>65</v>
      </c>
      <c r="N30" s="1328"/>
      <c r="O30" s="1335">
        <f>IFERROR(VLOOKUP($AD$4,_Leger2,26,FALSE),"-")</f>
        <v>0</v>
      </c>
      <c r="P30" s="1335"/>
      <c r="Q30" s="1335"/>
      <c r="R30" s="1335"/>
      <c r="S30" s="1336" t="str">
        <f t="shared" si="1"/>
        <v>D</v>
      </c>
      <c r="T30" s="1337"/>
      <c r="U30" s="1338"/>
      <c r="V30" s="1335">
        <f>IFERROR(VLOOKUP($AD$4,_Leger2,27,FALSE),"-")</f>
        <v>0</v>
      </c>
      <c r="W30" s="1335"/>
      <c r="X30" s="1335"/>
      <c r="Y30" s="1335"/>
      <c r="Z30" s="1336" t="str">
        <f t="shared" si="2"/>
        <v>D</v>
      </c>
      <c r="AA30" s="1337"/>
      <c r="AB30" s="1338"/>
    </row>
    <row r="31" spans="2:28" ht="15.75" customHeight="1">
      <c r="B31" s="721">
        <v>5</v>
      </c>
      <c r="C31" s="1329" t="str">
        <f>_MP9</f>
        <v xml:space="preserve">Ilmu Pengetahuan Alam </v>
      </c>
      <c r="D31" s="1329"/>
      <c r="E31" s="1329"/>
      <c r="F31" s="1329"/>
      <c r="G31" s="1329"/>
      <c r="H31" s="1329"/>
      <c r="I31" s="1329"/>
      <c r="J31" s="1329"/>
      <c r="K31" s="1329"/>
      <c r="L31" s="1329"/>
      <c r="M31" s="1328">
        <f t="shared" si="0"/>
        <v>65</v>
      </c>
      <c r="N31" s="1328"/>
      <c r="O31" s="1335">
        <f>IFERROR(VLOOKUP($AD$4,_Leger2,29,FALSE),"-")</f>
        <v>0</v>
      </c>
      <c r="P31" s="1335"/>
      <c r="Q31" s="1335"/>
      <c r="R31" s="1335"/>
      <c r="S31" s="1336" t="str">
        <f t="shared" si="1"/>
        <v>D</v>
      </c>
      <c r="T31" s="1337"/>
      <c r="U31" s="1338"/>
      <c r="V31" s="1335">
        <f>IFERROR(VLOOKUP($AD$4,_Leger2,30,FALSE),"-")</f>
        <v>0</v>
      </c>
      <c r="W31" s="1335"/>
      <c r="X31" s="1335"/>
      <c r="Y31" s="1335"/>
      <c r="Z31" s="1336" t="str">
        <f t="shared" si="2"/>
        <v>D</v>
      </c>
      <c r="AA31" s="1337"/>
      <c r="AB31" s="1338"/>
    </row>
    <row r="32" spans="2:28" ht="15.75" customHeight="1">
      <c r="B32" s="721">
        <v>6</v>
      </c>
      <c r="C32" s="1329" t="str">
        <f>_MP10</f>
        <v xml:space="preserve">Ilmu Pengetahuan Sosial </v>
      </c>
      <c r="D32" s="1329"/>
      <c r="E32" s="1329"/>
      <c r="F32" s="1329"/>
      <c r="G32" s="1329"/>
      <c r="H32" s="1329"/>
      <c r="I32" s="1329"/>
      <c r="J32" s="1329"/>
      <c r="K32" s="1329"/>
      <c r="L32" s="1329"/>
      <c r="M32" s="1328">
        <f t="shared" si="0"/>
        <v>65</v>
      </c>
      <c r="N32" s="1328"/>
      <c r="O32" s="1335">
        <f>IFERROR(VLOOKUP($AD$4,_Leger2,32,FALSE),"-")</f>
        <v>0</v>
      </c>
      <c r="P32" s="1335"/>
      <c r="Q32" s="1335"/>
      <c r="R32" s="1335"/>
      <c r="S32" s="1336" t="str">
        <f t="shared" si="1"/>
        <v>D</v>
      </c>
      <c r="T32" s="1337"/>
      <c r="U32" s="1338"/>
      <c r="V32" s="1335">
        <f>IFERROR(VLOOKUP($AD$4,_Leger2,33,FALSE),"-")</f>
        <v>0</v>
      </c>
      <c r="W32" s="1335"/>
      <c r="X32" s="1335"/>
      <c r="Y32" s="1335"/>
      <c r="Z32" s="1336" t="str">
        <f t="shared" si="2"/>
        <v>D</v>
      </c>
      <c r="AA32" s="1337"/>
      <c r="AB32" s="1338"/>
    </row>
    <row r="33" spans="2:28" ht="15.75" customHeight="1">
      <c r="B33" s="721">
        <v>7</v>
      </c>
      <c r="C33" s="1329" t="str">
        <f>_MP11</f>
        <v xml:space="preserve">Bahasa Inggris </v>
      </c>
      <c r="D33" s="1329"/>
      <c r="E33" s="1329"/>
      <c r="F33" s="1329"/>
      <c r="G33" s="1329"/>
      <c r="H33" s="1329"/>
      <c r="I33" s="1329"/>
      <c r="J33" s="1329"/>
      <c r="K33" s="1329"/>
      <c r="L33" s="1329"/>
      <c r="M33" s="1328">
        <f t="shared" si="0"/>
        <v>65</v>
      </c>
      <c r="N33" s="1328"/>
      <c r="O33" s="1335">
        <f>IFERROR(VLOOKUP($AD$4,_Leger2,35,FALSE),"-")</f>
        <v>0</v>
      </c>
      <c r="P33" s="1335"/>
      <c r="Q33" s="1335"/>
      <c r="R33" s="1335"/>
      <c r="S33" s="1336" t="str">
        <f t="shared" si="1"/>
        <v>D</v>
      </c>
      <c r="T33" s="1337"/>
      <c r="U33" s="1338"/>
      <c r="V33" s="1335">
        <f>IFERROR(VLOOKUP($AD$4,_Leger2,36,FALSE),"-")</f>
        <v>0</v>
      </c>
      <c r="W33" s="1335"/>
      <c r="X33" s="1335"/>
      <c r="Y33" s="1335"/>
      <c r="Z33" s="1336" t="str">
        <f t="shared" si="2"/>
        <v>D</v>
      </c>
      <c r="AA33" s="1337"/>
      <c r="AB33" s="1338"/>
    </row>
    <row r="34" spans="2:28" ht="18" customHeight="1">
      <c r="B34" s="1339" t="s">
        <v>58</v>
      </c>
      <c r="C34" s="1340"/>
      <c r="D34" s="1340"/>
      <c r="E34" s="1340"/>
      <c r="F34" s="1340"/>
      <c r="G34" s="1340"/>
      <c r="H34" s="1340"/>
      <c r="I34" s="1340"/>
      <c r="J34" s="1340"/>
      <c r="K34" s="1340"/>
      <c r="L34" s="1340"/>
      <c r="M34" s="1340"/>
      <c r="N34" s="1340"/>
      <c r="O34" s="1340"/>
      <c r="P34" s="1340"/>
      <c r="Q34" s="1340"/>
      <c r="R34" s="1340"/>
      <c r="S34" s="1340"/>
      <c r="T34" s="1340"/>
      <c r="U34" s="1340"/>
      <c r="V34" s="1340"/>
      <c r="W34" s="1340"/>
      <c r="X34" s="1340"/>
      <c r="Y34" s="1340"/>
      <c r="Z34" s="1340"/>
      <c r="AA34" s="1340"/>
      <c r="AB34" s="1341"/>
    </row>
    <row r="35" spans="2:28" ht="15.75" customHeight="1">
      <c r="B35" s="721">
        <v>1</v>
      </c>
      <c r="C35" s="1329" t="str">
        <f>_MP12</f>
        <v>Seni Budaya</v>
      </c>
      <c r="D35" s="1329"/>
      <c r="E35" s="1329"/>
      <c r="F35" s="1329"/>
      <c r="G35" s="1329"/>
      <c r="H35" s="1329"/>
      <c r="I35" s="1329"/>
      <c r="J35" s="1329"/>
      <c r="K35" s="1329"/>
      <c r="L35" s="1329"/>
      <c r="M35" s="1328">
        <f>_KKM2</f>
        <v>65</v>
      </c>
      <c r="N35" s="1328"/>
      <c r="O35" s="1335">
        <f>IFERROR(VLOOKUP($AD$4,_Leger2,38,FALSE),"-")</f>
        <v>0</v>
      </c>
      <c r="P35" s="1335"/>
      <c r="Q35" s="1335"/>
      <c r="R35" s="1335"/>
      <c r="S35" s="1336" t="str">
        <f>IF(O35="-","-",IF(O35&gt;=(M35+2/3*(100-M35)),"A",IF(O35&gt;=(M35+1/3*(100-M35)),"B",IF(O35&gt;=M35,"C","D"))))</f>
        <v>D</v>
      </c>
      <c r="T35" s="1337"/>
      <c r="U35" s="1338"/>
      <c r="V35" s="1335">
        <f>IFERROR(VLOOKUP($AD$4,_Leger2,39,FALSE),"-")</f>
        <v>0</v>
      </c>
      <c r="W35" s="1335"/>
      <c r="X35" s="1335"/>
      <c r="Y35" s="1335"/>
      <c r="Z35" s="1336" t="str">
        <f>IF(V35="-","-",IF(V35&gt;=(M35+2/3*(100-M35)),"A",IF(V35&gt;=(M35+1/3*(100-M35)),"B",IF(V35&gt;=M35,"C","D"))))</f>
        <v>D</v>
      </c>
      <c r="AA35" s="1337"/>
      <c r="AB35" s="1338"/>
    </row>
    <row r="36" spans="2:28" ht="15.75" customHeight="1">
      <c r="B36" s="721">
        <v>2</v>
      </c>
      <c r="C36" s="1329" t="str">
        <f>_MP13</f>
        <v>Penjaskes</v>
      </c>
      <c r="D36" s="1329"/>
      <c r="E36" s="1329"/>
      <c r="F36" s="1329"/>
      <c r="G36" s="1329"/>
      <c r="H36" s="1329"/>
      <c r="I36" s="1329"/>
      <c r="J36" s="1329"/>
      <c r="K36" s="1329"/>
      <c r="L36" s="1329"/>
      <c r="M36" s="1328">
        <f>_KKM2</f>
        <v>65</v>
      </c>
      <c r="N36" s="1328"/>
      <c r="O36" s="1335">
        <f>IFERROR(VLOOKUP($AD$4,_Leger2,41,FALSE),"-")</f>
        <v>0</v>
      </c>
      <c r="P36" s="1335"/>
      <c r="Q36" s="1335"/>
      <c r="R36" s="1335"/>
      <c r="S36" s="1336" t="str">
        <f>IF(O36="-","-",IF(O36&gt;=(M36+2/3*(100-M36)),"A",IF(O36&gt;=(M36+1/3*(100-M36)),"B",IF(O36&gt;=M36,"C","D"))))</f>
        <v>D</v>
      </c>
      <c r="T36" s="1337"/>
      <c r="U36" s="1338"/>
      <c r="V36" s="1335">
        <f>IFERROR(VLOOKUP($AD$4,_Leger2,42,FALSE),"-")</f>
        <v>0</v>
      </c>
      <c r="W36" s="1335"/>
      <c r="X36" s="1335"/>
      <c r="Y36" s="1335"/>
      <c r="Z36" s="1336" t="str">
        <f>IF(V36="-","-",IF(V36&gt;=(M36+2/3*(100-M36)),"A",IF(V36&gt;=(M36+1/3*(100-M36)),"B",IF(V36&gt;=M36,"C","D"))))</f>
        <v>D</v>
      </c>
      <c r="AA36" s="1337"/>
      <c r="AB36" s="1338"/>
    </row>
    <row r="37" spans="2:28" ht="15.75" customHeight="1">
      <c r="B37" s="721">
        <v>3</v>
      </c>
      <c r="C37" s="1329" t="str">
        <f>_MP14</f>
        <v>Prakarya</v>
      </c>
      <c r="D37" s="1329"/>
      <c r="E37" s="1329"/>
      <c r="F37" s="1329"/>
      <c r="G37" s="1329"/>
      <c r="H37" s="1329"/>
      <c r="I37" s="1329"/>
      <c r="J37" s="1329"/>
      <c r="K37" s="1329"/>
      <c r="L37" s="1329"/>
      <c r="M37" s="1328">
        <f>_KKM2</f>
        <v>65</v>
      </c>
      <c r="N37" s="1328"/>
      <c r="O37" s="1335">
        <f>IFERROR(VLOOKUP($AD$4,_Leger2,44,FALSE),"-")</f>
        <v>0</v>
      </c>
      <c r="P37" s="1335"/>
      <c r="Q37" s="1335"/>
      <c r="R37" s="1335"/>
      <c r="S37" s="1336" t="str">
        <f>IF(O37="-","-",IF(O37&gt;=(M37+2/3*(100-M37)),"A",IF(O37&gt;=(M37+1/3*(100-M37)),"B",IF(O37&gt;=M37,"C","D"))))</f>
        <v>D</v>
      </c>
      <c r="T37" s="1337"/>
      <c r="U37" s="1338"/>
      <c r="V37" s="1335">
        <f>IFERROR(VLOOKUP($AD$4,_Leger2,45,FALSE),"-")</f>
        <v>0</v>
      </c>
      <c r="W37" s="1335"/>
      <c r="X37" s="1335"/>
      <c r="Y37" s="1335"/>
      <c r="Z37" s="1336" t="str">
        <f>IF(V37="-","-",IF(V37&gt;=(M37+2/3*(100-M37)),"A",IF(V37&gt;=(M37+1/3*(100-M37)),"B",IF(V37&gt;=M37,"C","D"))))</f>
        <v>D</v>
      </c>
      <c r="AA37" s="1337"/>
      <c r="AB37" s="1338"/>
    </row>
    <row r="38" spans="2:28" ht="15.75" customHeight="1">
      <c r="B38" s="721">
        <v>4</v>
      </c>
      <c r="C38" s="1329" t="str">
        <f>_MP15&amp;"*"</f>
        <v>Bahasa dan Aksara Lampung*</v>
      </c>
      <c r="D38" s="1329"/>
      <c r="E38" s="1329"/>
      <c r="F38" s="1329"/>
      <c r="G38" s="1329"/>
      <c r="H38" s="1329"/>
      <c r="I38" s="1329"/>
      <c r="J38" s="1329"/>
      <c r="K38" s="1329"/>
      <c r="L38" s="1329"/>
      <c r="M38" s="1328">
        <f>_KKM2</f>
        <v>65</v>
      </c>
      <c r="N38" s="1328"/>
      <c r="O38" s="1335">
        <f>IFERROR(VLOOKUP($AD$4,_Leger2,47,FALSE),"-")</f>
        <v>0</v>
      </c>
      <c r="P38" s="1335"/>
      <c r="Q38" s="1335"/>
      <c r="R38" s="1335"/>
      <c r="S38" s="1336" t="str">
        <f>IF(O38="-","-",IF(O38&gt;=(M38+2/3*(100-M38)),"A",IF(O38&gt;=(M38+1/3*(100-M38)),"B",IF(O38&gt;=M38,"C","D"))))</f>
        <v>D</v>
      </c>
      <c r="T38" s="1337"/>
      <c r="U38" s="1338"/>
      <c r="V38" s="1335">
        <f>IFERROR(VLOOKUP($AD$4,_Leger2,48,FALSE),"-")</f>
        <v>0</v>
      </c>
      <c r="W38" s="1335"/>
      <c r="X38" s="1335"/>
      <c r="Y38" s="1335"/>
      <c r="Z38" s="1336" t="str">
        <f>IF(V38="-","-",IF(V38&gt;=(M38+2/3*(100-M38)),"A",IF(V38&gt;=(M38+1/3*(100-M38)),"B",IF(V38&gt;=M38,"C","D"))))</f>
        <v>D</v>
      </c>
      <c r="AA38" s="1337"/>
      <c r="AB38" s="1338"/>
    </row>
    <row r="39" spans="2:28" ht="15" customHeight="1"/>
    <row r="40" spans="2:28" s="201" customFormat="1" ht="20.25" customHeight="1">
      <c r="B40" s="1342" t="s">
        <v>177</v>
      </c>
      <c r="C40" s="1342"/>
      <c r="D40" s="1342"/>
      <c r="E40" s="1342"/>
      <c r="F40" s="1342"/>
      <c r="G40" s="1342"/>
      <c r="H40" s="1342"/>
      <c r="I40" s="1342"/>
      <c r="J40" s="1342"/>
      <c r="K40" s="1342"/>
      <c r="L40" s="1342"/>
      <c r="M40" s="1342"/>
      <c r="N40" s="1342"/>
      <c r="O40" s="1343" t="str">
        <f>IFERROR(VLOOKUP(AD4,_Leger2,50,FALSE),"-")</f>
        <v/>
      </c>
      <c r="P40" s="1344"/>
      <c r="Q40" s="1344"/>
      <c r="R40" s="1344"/>
      <c r="S40" s="1344"/>
      <c r="T40" s="1344"/>
      <c r="U40" s="1344"/>
      <c r="V40" s="1344"/>
      <c r="W40" s="1344"/>
      <c r="X40" s="1344"/>
      <c r="Y40" s="1344"/>
      <c r="Z40" s="1344"/>
      <c r="AA40" s="1344"/>
      <c r="AB40" s="1345"/>
    </row>
    <row r="41" spans="2:28" s="201" customFormat="1" ht="20.25" customHeight="1">
      <c r="B41" s="1342" t="s">
        <v>178</v>
      </c>
      <c r="C41" s="1342"/>
      <c r="D41" s="1342"/>
      <c r="E41" s="1342"/>
      <c r="F41" s="1342"/>
      <c r="G41" s="1342"/>
      <c r="H41" s="1342"/>
      <c r="I41" s="1342"/>
      <c r="J41" s="1342"/>
      <c r="K41" s="1342"/>
      <c r="L41" s="1342"/>
      <c r="M41" s="1342"/>
      <c r="N41" s="1342"/>
      <c r="O41" s="1346" t="str">
        <f>IFERROR(IF(OR(VLOOKUP(AD4,_Leger2,52,FALSE)=0,(VLOOKUP(AD4,_Leger2,52,FALSE)&gt;10)),"-",(VLOOKUP(AD4,_Leger2,52,FALSE)&amp;" dari "&amp;Leger1!E47&amp;" siswa")),"-")</f>
        <v>-</v>
      </c>
      <c r="P41" s="1347"/>
      <c r="Q41" s="1347"/>
      <c r="R41" s="1347"/>
      <c r="S41" s="1347"/>
      <c r="T41" s="1347"/>
      <c r="U41" s="1347"/>
      <c r="V41" s="1347"/>
      <c r="W41" s="1347"/>
      <c r="X41" s="1347"/>
      <c r="Y41" s="1347"/>
      <c r="Z41" s="1347"/>
      <c r="AA41" s="1347"/>
      <c r="AB41" s="1348"/>
    </row>
    <row r="42" spans="2:28" ht="15" customHeight="1">
      <c r="B42" s="723" t="s">
        <v>179</v>
      </c>
    </row>
    <row r="43" spans="2:28" ht="9" customHeight="1">
      <c r="B43" s="723"/>
    </row>
    <row r="44" spans="2:28" ht="9" customHeight="1">
      <c r="B44" s="723"/>
    </row>
    <row r="45" spans="2:28" ht="12.75" customHeight="1">
      <c r="B45" s="723"/>
    </row>
    <row r="46" spans="2:28" ht="12.75" customHeight="1">
      <c r="B46" s="723"/>
    </row>
    <row r="47" spans="2:28" ht="36.75" customHeight="1">
      <c r="B47" s="723"/>
    </row>
    <row r="48" spans="2:28" ht="39.75" customHeight="1">
      <c r="B48" s="723"/>
    </row>
    <row r="49" spans="2:35" ht="15" customHeight="1">
      <c r="Q49" s="1378"/>
      <c r="R49" s="1378"/>
      <c r="S49" s="1378"/>
      <c r="T49" s="1378"/>
      <c r="U49" s="1378"/>
      <c r="V49" s="1378"/>
      <c r="W49" s="1378"/>
      <c r="X49" s="1378"/>
      <c r="Y49" s="1378"/>
      <c r="Z49" s="1378"/>
      <c r="AA49" s="1378"/>
      <c r="AB49" s="1378"/>
    </row>
    <row r="50" spans="2:35" ht="15" customHeight="1">
      <c r="B50" s="717" t="s">
        <v>153</v>
      </c>
      <c r="G50" s="717" t="s">
        <v>2</v>
      </c>
      <c r="H50" s="717" t="str">
        <f>_sekolah_label</f>
        <v>SMP Negeri 1 Abung Surakarta</v>
      </c>
      <c r="T50" s="718" t="s">
        <v>5</v>
      </c>
      <c r="X50" s="718" t="s">
        <v>2</v>
      </c>
      <c r="Y50" s="717" t="str">
        <f>DK!$D$5</f>
        <v>VIII A</v>
      </c>
    </row>
    <row r="51" spans="2:35" ht="15" customHeight="1">
      <c r="B51" s="717" t="s">
        <v>156</v>
      </c>
      <c r="G51" s="717" t="s">
        <v>2</v>
      </c>
      <c r="H51" s="717" t="str">
        <f>_alamat_sekolah</f>
        <v>Jl. Pendidikan No. 24</v>
      </c>
      <c r="T51" s="718" t="s">
        <v>4</v>
      </c>
      <c r="X51" s="718" t="s">
        <v>2</v>
      </c>
      <c r="Y51" s="717" t="str">
        <f>_smt_genap</f>
        <v>4 (Empat)</v>
      </c>
    </row>
    <row r="52" spans="2:35" ht="15" customHeight="1">
      <c r="B52" s="717" t="s">
        <v>97</v>
      </c>
      <c r="G52" s="717" t="s">
        <v>2</v>
      </c>
      <c r="H52" s="717" t="str">
        <f>IFERROR(PROPER(VLOOKUP($AD$4,_Biodata_Lengkap,4,FALSE)),"-")</f>
        <v>Ahmad Zaki Aufa</v>
      </c>
      <c r="T52" s="718" t="s">
        <v>3</v>
      </c>
      <c r="X52" s="718" t="s">
        <v>2</v>
      </c>
      <c r="Y52" s="717" t="str">
        <f>DK!$D$8</f>
        <v>2018 / 2019</v>
      </c>
    </row>
    <row r="53" spans="2:35" ht="20.25" customHeight="1">
      <c r="B53" s="752" t="s">
        <v>166</v>
      </c>
      <c r="C53" s="752"/>
      <c r="D53" s="752"/>
      <c r="E53" s="752"/>
      <c r="F53" s="752"/>
      <c r="G53" s="752" t="s">
        <v>2</v>
      </c>
      <c r="H53" s="752" t="str">
        <f>IFERROR(IF(VLOOKUP($AD$4,_Biodata_Lengkap,2,FALSE)="","-",VLOOKUP($AD$4,_Biodata_Lengkap,2,FALSE)&amp;" / "&amp;IF(VLOOKUP($AD$4,_Biodata_Lengkap,3,FALSE)="","-",VLOOKUP($AD$4,_Biodata_Lengkap,3,FALSE))),"-")</f>
        <v>7057 / 0061139155</v>
      </c>
      <c r="I53" s="752"/>
      <c r="J53" s="752"/>
      <c r="K53" s="752"/>
      <c r="L53" s="752"/>
      <c r="M53" s="752"/>
      <c r="N53" s="752"/>
      <c r="O53" s="752"/>
      <c r="P53" s="752"/>
      <c r="Q53" s="752"/>
      <c r="R53" s="752"/>
      <c r="S53" s="752"/>
      <c r="T53" s="752"/>
      <c r="U53" s="752"/>
      <c r="V53" s="752"/>
      <c r="W53" s="752"/>
      <c r="X53" s="752"/>
      <c r="Y53" s="752"/>
      <c r="Z53" s="752"/>
      <c r="AA53" s="752"/>
      <c r="AB53" s="752"/>
    </row>
    <row r="54" spans="2:35" ht="19.5" customHeight="1">
      <c r="B54" s="724" t="s">
        <v>180</v>
      </c>
      <c r="C54" s="725"/>
      <c r="D54" s="725"/>
      <c r="E54" s="725"/>
      <c r="F54" s="725"/>
      <c r="G54" s="725"/>
      <c r="H54" s="725"/>
      <c r="I54" s="725"/>
      <c r="J54" s="725"/>
      <c r="K54" s="725"/>
      <c r="L54" s="725"/>
      <c r="M54" s="725"/>
      <c r="N54" s="725"/>
      <c r="O54" s="725"/>
      <c r="P54" s="725"/>
      <c r="Q54" s="725"/>
      <c r="R54" s="725"/>
      <c r="S54" s="725"/>
      <c r="T54" s="725"/>
      <c r="U54" s="725"/>
      <c r="V54" s="725"/>
      <c r="W54" s="725"/>
      <c r="X54" s="725"/>
      <c r="Y54" s="725"/>
      <c r="Z54" s="725"/>
      <c r="AA54" s="725"/>
      <c r="AB54" s="725"/>
    </row>
    <row r="55" spans="2:35" ht="32.25" customHeight="1" thickBot="1">
      <c r="B55" s="726" t="s">
        <v>50</v>
      </c>
      <c r="C55" s="1292" t="s">
        <v>119</v>
      </c>
      <c r="D55" s="1293"/>
      <c r="E55" s="1293"/>
      <c r="F55" s="1293"/>
      <c r="G55" s="1293"/>
      <c r="H55" s="1293"/>
      <c r="I55" s="1293"/>
      <c r="J55" s="1292" t="s">
        <v>181</v>
      </c>
      <c r="K55" s="1293"/>
      <c r="L55" s="1293"/>
      <c r="M55" s="1293"/>
      <c r="N55" s="1294"/>
      <c r="O55" s="1293" t="s">
        <v>174</v>
      </c>
      <c r="P55" s="1293"/>
      <c r="Q55" s="1293"/>
      <c r="R55" s="1293"/>
      <c r="S55" s="1293"/>
      <c r="T55" s="1293"/>
      <c r="U55" s="1293"/>
      <c r="V55" s="1293"/>
      <c r="W55" s="1293"/>
      <c r="X55" s="1293"/>
      <c r="Y55" s="1293"/>
      <c r="Z55" s="1293"/>
      <c r="AA55" s="1293"/>
      <c r="AB55" s="1294"/>
    </row>
    <row r="56" spans="2:35" ht="15" customHeight="1" thickTop="1">
      <c r="B56" s="1288" t="s">
        <v>53</v>
      </c>
      <c r="C56" s="1289"/>
      <c r="D56" s="1289"/>
      <c r="E56" s="1289"/>
      <c r="F56" s="1289"/>
      <c r="G56" s="1289"/>
      <c r="H56" s="1289"/>
      <c r="I56" s="1289"/>
      <c r="J56" s="1289"/>
      <c r="K56" s="1289"/>
      <c r="L56" s="1289"/>
      <c r="M56" s="1289"/>
      <c r="N56" s="1289"/>
      <c r="O56" s="1289"/>
      <c r="P56" s="1289"/>
      <c r="Q56" s="1289"/>
      <c r="R56" s="1289"/>
      <c r="S56" s="1289"/>
      <c r="T56" s="1289"/>
      <c r="U56" s="1289"/>
      <c r="V56" s="1289"/>
      <c r="W56" s="1289"/>
      <c r="X56" s="1289"/>
      <c r="Y56" s="1289"/>
      <c r="Z56" s="1289"/>
      <c r="AA56" s="1289"/>
      <c r="AB56" s="1290"/>
    </row>
    <row r="57" spans="2:35" ht="70.5" customHeight="1">
      <c r="B57" s="1270">
        <v>1</v>
      </c>
      <c r="C57" s="1282" t="str">
        <f>C27</f>
        <v>Pendidikan Agama Islam</v>
      </c>
      <c r="D57" s="1282"/>
      <c r="E57" s="1282"/>
      <c r="F57" s="1282"/>
      <c r="G57" s="1282"/>
      <c r="H57" s="1282"/>
      <c r="I57" s="1282"/>
      <c r="J57" s="1266" t="s">
        <v>121</v>
      </c>
      <c r="K57" s="1266"/>
      <c r="L57" s="1266"/>
      <c r="M57" s="1266"/>
      <c r="N57" s="1266"/>
      <c r="O57" s="1255" t="str">
        <f>IFERROR(IF(IF(AI58=1,(VLOOKUP($AD$4,_des_smt2,5,FALSE)),IF(AI58=2,(VLOOKUP($AD$4,_des_smt2,7,FALSE)),IF(AI58=3,(VLOOKUP($AD$4,_des_smt2,9,FALSE)),IF(AI58=4,(VLOOKUP($AD$4,_des_smt2,11,FALSE)),IF(AI58=5,(VLOOKUP($AD$4,_des_smt2,13,FALSE)))))))=0,"-",IF(AI58=1,(VLOOKUP($AD$4,_des_smt2,5,FALSE)),IF(AI58=2,(VLOOKUP($AD$4,_des_smt2,7,FALSE)),IF(AI58=3,(VLOOKUP($AD$4,_des_smt2,9,FALSE)),IF(AI58=4,(VLOOKUP($AD$4,_des_smt2,11,FALSE)),IF(AI58=5,(VLOOKUP($AD$4,_des_smt2,13,FALSE)))))))),"-")</f>
        <v xml:space="preserve"> </v>
      </c>
      <c r="P57" s="1256"/>
      <c r="Q57" s="1256"/>
      <c r="R57" s="1256"/>
      <c r="S57" s="1256"/>
      <c r="T57" s="1256"/>
      <c r="U57" s="1256"/>
      <c r="V57" s="1256"/>
      <c r="W57" s="1256"/>
      <c r="X57" s="1256"/>
      <c r="Y57" s="1256"/>
      <c r="Z57" s="1256"/>
      <c r="AA57" s="1256"/>
      <c r="AB57" s="1257"/>
      <c r="AI57" s="198" t="s">
        <v>183</v>
      </c>
    </row>
    <row r="58" spans="2:35" ht="70.5" customHeight="1">
      <c r="B58" s="1271"/>
      <c r="C58" s="1282"/>
      <c r="D58" s="1282"/>
      <c r="E58" s="1282"/>
      <c r="F58" s="1282"/>
      <c r="G58" s="1282"/>
      <c r="H58" s="1282"/>
      <c r="I58" s="1282"/>
      <c r="J58" s="1266" t="s">
        <v>122</v>
      </c>
      <c r="K58" s="1266"/>
      <c r="L58" s="1266"/>
      <c r="M58" s="1266"/>
      <c r="N58" s="1266"/>
      <c r="O58" s="1255" t="str">
        <f>IFERROR(IF(IF(AI58=1,(VLOOKUP($AD$4,_des_smt2,6,FALSE)),IF(AI58=2,(VLOOKUP($AD$4,_des_smt2,8,FALSE)),IF(AI58=3,(VLOOKUP($AD$4,_des_smt2,10,FALSE)),IF(AI58=4,(VLOOKUP($AD$4,_des_smt2,12,FALSE)),IF(AI58=5,(VLOOKUP($AD$4,_des_smt2,14,FALSE)))))))=0,"-",IF(AI58=1,(VLOOKUP($AD$4,_des_smt2,6,FALSE)),IF(AI58=2,(VLOOKUP($AD$4,_des_smt2,8,FALSE)),IF(AI58=3,(VLOOKUP($AD$4,_des_smt2,10,FALSE)),IF(AI58=4,(VLOOKUP($AD$4,_des_smt2,12,FALSE)),IF(AI58=5,(VLOOKUP($AD$4,_des_smt2,14,FALSE)))))))),"-")</f>
        <v xml:space="preserve"> </v>
      </c>
      <c r="P58" s="1256"/>
      <c r="Q58" s="1256"/>
      <c r="R58" s="1256"/>
      <c r="S58" s="1256"/>
      <c r="T58" s="1256"/>
      <c r="U58" s="1256"/>
      <c r="V58" s="1256"/>
      <c r="W58" s="1256"/>
      <c r="X58" s="1256"/>
      <c r="Y58" s="1256"/>
      <c r="Z58" s="1256"/>
      <c r="AA58" s="1256"/>
      <c r="AB58" s="1257"/>
      <c r="AI58" s="727">
        <f>IF(C57=_MP1,1,IF(C57=_MP2,2,IF(C57=_MP3,3,IF(C57=_MP4,4,5))))</f>
        <v>1</v>
      </c>
    </row>
    <row r="59" spans="2:35" ht="70.5" customHeight="1">
      <c r="B59" s="1270">
        <v>2</v>
      </c>
      <c r="C59" s="1282" t="str">
        <f>C28</f>
        <v>PKn</v>
      </c>
      <c r="D59" s="1282"/>
      <c r="E59" s="1282"/>
      <c r="F59" s="1282"/>
      <c r="G59" s="1282"/>
      <c r="H59" s="1282"/>
      <c r="I59" s="1282"/>
      <c r="J59" s="1266" t="s">
        <v>121</v>
      </c>
      <c r="K59" s="1266"/>
      <c r="L59" s="1266"/>
      <c r="M59" s="1266"/>
      <c r="N59" s="1266"/>
      <c r="O59" s="1255" t="str">
        <f>IFERROR(IF(VLOOKUP($AD$4,_des_smt2,15,FALSE)=0,"-",VLOOKUP($AD$4,_des_smt2,15,FALSE)),"-")</f>
        <v xml:space="preserve"> </v>
      </c>
      <c r="P59" s="1256"/>
      <c r="Q59" s="1256"/>
      <c r="R59" s="1256"/>
      <c r="S59" s="1256"/>
      <c r="T59" s="1256"/>
      <c r="U59" s="1256"/>
      <c r="V59" s="1256"/>
      <c r="W59" s="1256"/>
      <c r="X59" s="1256"/>
      <c r="Y59" s="1256"/>
      <c r="Z59" s="1256"/>
      <c r="AA59" s="1256"/>
      <c r="AB59" s="1257"/>
    </row>
    <row r="60" spans="2:35" ht="70.5" customHeight="1">
      <c r="B60" s="1271"/>
      <c r="C60" s="1282"/>
      <c r="D60" s="1282"/>
      <c r="E60" s="1282"/>
      <c r="F60" s="1282"/>
      <c r="G60" s="1282"/>
      <c r="H60" s="1282"/>
      <c r="I60" s="1282"/>
      <c r="J60" s="1266" t="s">
        <v>122</v>
      </c>
      <c r="K60" s="1266"/>
      <c r="L60" s="1266"/>
      <c r="M60" s="1266"/>
      <c r="N60" s="1266"/>
      <c r="O60" s="1255" t="str">
        <f>IFERROR(IF(VLOOKUP($AD$4,_des_smt2,16,FALSE)=0,"-",VLOOKUP($AD$4,_des_smt2,16,FALSE)),"-")</f>
        <v xml:space="preserve"> </v>
      </c>
      <c r="P60" s="1256"/>
      <c r="Q60" s="1256"/>
      <c r="R60" s="1256"/>
      <c r="S60" s="1256"/>
      <c r="T60" s="1256"/>
      <c r="U60" s="1256"/>
      <c r="V60" s="1256"/>
      <c r="W60" s="1256"/>
      <c r="X60" s="1256"/>
      <c r="Y60" s="1256"/>
      <c r="Z60" s="1256"/>
      <c r="AA60" s="1256"/>
      <c r="AB60" s="1257"/>
    </row>
    <row r="61" spans="2:35" ht="70.5" customHeight="1">
      <c r="B61" s="1270">
        <v>3</v>
      </c>
      <c r="C61" s="1282" t="str">
        <f>C29</f>
        <v xml:space="preserve">Bahasa Indonesia </v>
      </c>
      <c r="D61" s="1282"/>
      <c r="E61" s="1282"/>
      <c r="F61" s="1282"/>
      <c r="G61" s="1282"/>
      <c r="H61" s="1282"/>
      <c r="I61" s="1282"/>
      <c r="J61" s="1266" t="s">
        <v>121</v>
      </c>
      <c r="K61" s="1266"/>
      <c r="L61" s="1266"/>
      <c r="M61" s="1266"/>
      <c r="N61" s="1266"/>
      <c r="O61" s="1255" t="str">
        <f>IFERROR(IF(VLOOKUP($AD$4,_des_smt2,17,FALSE)=0,"-",VLOOKUP($AD$4,_des_smt2,17,FALSE)),"-")</f>
        <v xml:space="preserve"> </v>
      </c>
      <c r="P61" s="1256"/>
      <c r="Q61" s="1256"/>
      <c r="R61" s="1256"/>
      <c r="S61" s="1256"/>
      <c r="T61" s="1256"/>
      <c r="U61" s="1256"/>
      <c r="V61" s="1256"/>
      <c r="W61" s="1256"/>
      <c r="X61" s="1256"/>
      <c r="Y61" s="1256"/>
      <c r="Z61" s="1256"/>
      <c r="AA61" s="1256"/>
      <c r="AB61" s="1257"/>
    </row>
    <row r="62" spans="2:35" ht="70.5" customHeight="1">
      <c r="B62" s="1271"/>
      <c r="C62" s="1282"/>
      <c r="D62" s="1282"/>
      <c r="E62" s="1282"/>
      <c r="F62" s="1282"/>
      <c r="G62" s="1282"/>
      <c r="H62" s="1282"/>
      <c r="I62" s="1282"/>
      <c r="J62" s="1266" t="s">
        <v>122</v>
      </c>
      <c r="K62" s="1266"/>
      <c r="L62" s="1266"/>
      <c r="M62" s="1266"/>
      <c r="N62" s="1266"/>
      <c r="O62" s="1255" t="str">
        <f>IFERROR(IF(VLOOKUP($AD$4,_des_smt2,18,FALSE)=0,"-",VLOOKUP($AD$4,_des_smt2,18,FALSE)),"-")</f>
        <v xml:space="preserve"> </v>
      </c>
      <c r="P62" s="1256"/>
      <c r="Q62" s="1256"/>
      <c r="R62" s="1256"/>
      <c r="S62" s="1256"/>
      <c r="T62" s="1256"/>
      <c r="U62" s="1256"/>
      <c r="V62" s="1256"/>
      <c r="W62" s="1256"/>
      <c r="X62" s="1256"/>
      <c r="Y62" s="1256"/>
      <c r="Z62" s="1256"/>
      <c r="AA62" s="1256"/>
      <c r="AB62" s="1257"/>
    </row>
    <row r="63" spans="2:35" ht="70.5" customHeight="1">
      <c r="B63" s="1270">
        <v>4</v>
      </c>
      <c r="C63" s="1282" t="str">
        <f>C30</f>
        <v xml:space="preserve">Matematika </v>
      </c>
      <c r="D63" s="1282"/>
      <c r="E63" s="1282"/>
      <c r="F63" s="1282"/>
      <c r="G63" s="1282"/>
      <c r="H63" s="1282"/>
      <c r="I63" s="1282"/>
      <c r="J63" s="1266" t="s">
        <v>121</v>
      </c>
      <c r="K63" s="1266"/>
      <c r="L63" s="1266"/>
      <c r="M63" s="1266"/>
      <c r="N63" s="1266"/>
      <c r="O63" s="1255" t="str">
        <f>IFERROR(IF(VLOOKUP($AD$4,_des_smt2,19,FALSE)=0,"-",VLOOKUP($AD$4,_des_smt2,19,FALSE)),"-")</f>
        <v xml:space="preserve"> </v>
      </c>
      <c r="P63" s="1256"/>
      <c r="Q63" s="1256"/>
      <c r="R63" s="1256"/>
      <c r="S63" s="1256"/>
      <c r="T63" s="1256"/>
      <c r="U63" s="1256"/>
      <c r="V63" s="1256"/>
      <c r="W63" s="1256"/>
      <c r="X63" s="1256"/>
      <c r="Y63" s="1256"/>
      <c r="Z63" s="1256"/>
      <c r="AA63" s="1256"/>
      <c r="AB63" s="1257"/>
    </row>
    <row r="64" spans="2:35" ht="70.5" customHeight="1">
      <c r="B64" s="1271"/>
      <c r="C64" s="1282"/>
      <c r="D64" s="1282"/>
      <c r="E64" s="1282"/>
      <c r="F64" s="1282"/>
      <c r="G64" s="1282"/>
      <c r="H64" s="1282"/>
      <c r="I64" s="1282"/>
      <c r="J64" s="1266" t="s">
        <v>122</v>
      </c>
      <c r="K64" s="1266"/>
      <c r="L64" s="1266"/>
      <c r="M64" s="1266"/>
      <c r="N64" s="1266"/>
      <c r="O64" s="1255" t="str">
        <f>IFERROR(IF(VLOOKUP($AD$4,_des_smt2,20,FALSE)=0,"-",VLOOKUP($AD$4,_des_smt2,20,FALSE)),"-")</f>
        <v xml:space="preserve"> </v>
      </c>
      <c r="P64" s="1256"/>
      <c r="Q64" s="1256"/>
      <c r="R64" s="1256"/>
      <c r="S64" s="1256"/>
      <c r="T64" s="1256"/>
      <c r="U64" s="1256"/>
      <c r="V64" s="1256"/>
      <c r="W64" s="1256"/>
      <c r="X64" s="1256"/>
      <c r="Y64" s="1256"/>
      <c r="Z64" s="1256"/>
      <c r="AA64" s="1256"/>
      <c r="AB64" s="1257"/>
    </row>
    <row r="65" spans="2:46" ht="70.5" customHeight="1">
      <c r="B65" s="1270">
        <v>5</v>
      </c>
      <c r="C65" s="1282" t="str">
        <f>C31</f>
        <v xml:space="preserve">Ilmu Pengetahuan Alam </v>
      </c>
      <c r="D65" s="1282"/>
      <c r="E65" s="1282"/>
      <c r="F65" s="1282"/>
      <c r="G65" s="1282"/>
      <c r="H65" s="1282"/>
      <c r="I65" s="1282"/>
      <c r="J65" s="1266" t="s">
        <v>121</v>
      </c>
      <c r="K65" s="1266"/>
      <c r="L65" s="1266"/>
      <c r="M65" s="1266"/>
      <c r="N65" s="1266"/>
      <c r="O65" s="1255" t="str">
        <f>IFERROR(IF(VLOOKUP($AD$4,_des_smt2,21,FALSE)=0,"-",VLOOKUP($AD$4,_des_smt2,21,FALSE)),"-")</f>
        <v xml:space="preserve"> </v>
      </c>
      <c r="P65" s="1256"/>
      <c r="Q65" s="1256"/>
      <c r="R65" s="1256"/>
      <c r="S65" s="1256"/>
      <c r="T65" s="1256"/>
      <c r="U65" s="1256"/>
      <c r="V65" s="1256"/>
      <c r="W65" s="1256"/>
      <c r="X65" s="1256"/>
      <c r="Y65" s="1256"/>
      <c r="Z65" s="1256"/>
      <c r="AA65" s="1256"/>
      <c r="AB65" s="1257"/>
    </row>
    <row r="66" spans="2:46" ht="70.5" customHeight="1">
      <c r="B66" s="1271"/>
      <c r="C66" s="1282"/>
      <c r="D66" s="1282"/>
      <c r="E66" s="1282"/>
      <c r="F66" s="1282"/>
      <c r="G66" s="1282"/>
      <c r="H66" s="1282"/>
      <c r="I66" s="1282"/>
      <c r="J66" s="1266" t="s">
        <v>122</v>
      </c>
      <c r="K66" s="1266"/>
      <c r="L66" s="1266"/>
      <c r="M66" s="1266"/>
      <c r="N66" s="1266"/>
      <c r="O66" s="1255" t="str">
        <f>IFERROR(IF(VLOOKUP($AD$4,_des_smt2,22,FALSE)=0,"-",VLOOKUP($AD$4,_des_smt2,22,FALSE)),"-")</f>
        <v xml:space="preserve"> </v>
      </c>
      <c r="P66" s="1256"/>
      <c r="Q66" s="1256"/>
      <c r="R66" s="1256"/>
      <c r="S66" s="1256"/>
      <c r="T66" s="1256"/>
      <c r="U66" s="1256"/>
      <c r="V66" s="1256"/>
      <c r="W66" s="1256"/>
      <c r="X66" s="1256"/>
      <c r="Y66" s="1256"/>
      <c r="Z66" s="1256"/>
      <c r="AA66" s="1256"/>
      <c r="AB66" s="1257"/>
      <c r="AG66" s="199"/>
      <c r="AH66" s="199"/>
      <c r="AI66" s="199"/>
      <c r="AJ66" s="199"/>
      <c r="AK66" s="199"/>
      <c r="AL66" s="199"/>
      <c r="AM66" s="199"/>
      <c r="AN66" s="199"/>
      <c r="AO66" s="199"/>
      <c r="AP66" s="199"/>
      <c r="AQ66" s="199"/>
      <c r="AR66" s="199"/>
      <c r="AS66" s="199"/>
      <c r="AT66" s="199"/>
    </row>
    <row r="67" spans="2:46" ht="15" customHeight="1">
      <c r="B67" s="717" t="s">
        <v>153</v>
      </c>
      <c r="G67" s="717" t="s">
        <v>2</v>
      </c>
      <c r="H67" s="717" t="str">
        <f>_sekolah_label</f>
        <v>SMP Negeri 1 Abung Surakarta</v>
      </c>
      <c r="T67" s="718" t="s">
        <v>5</v>
      </c>
      <c r="X67" s="718" t="s">
        <v>2</v>
      </c>
      <c r="Y67" s="717" t="str">
        <f>DK!$D$5</f>
        <v>VIII A</v>
      </c>
    </row>
    <row r="68" spans="2:46" ht="15" customHeight="1">
      <c r="B68" s="717" t="s">
        <v>156</v>
      </c>
      <c r="G68" s="717" t="s">
        <v>2</v>
      </c>
      <c r="H68" s="717" t="str">
        <f>_alamat_sekolah</f>
        <v>Jl. Pendidikan No. 24</v>
      </c>
      <c r="T68" s="718" t="s">
        <v>4</v>
      </c>
      <c r="X68" s="718" t="s">
        <v>2</v>
      </c>
      <c r="Y68" s="717" t="str">
        <f>_smt_genap</f>
        <v>4 (Empat)</v>
      </c>
    </row>
    <row r="69" spans="2:46" ht="15" customHeight="1">
      <c r="B69" s="717" t="s">
        <v>97</v>
      </c>
      <c r="G69" s="717" t="s">
        <v>2</v>
      </c>
      <c r="H69" s="717" t="str">
        <f>IFERROR(PROPER(VLOOKUP($AD$4,_Biodata_Lengkap,4,FALSE)),"-")</f>
        <v>Ahmad Zaki Aufa</v>
      </c>
      <c r="T69" s="718" t="s">
        <v>3</v>
      </c>
      <c r="X69" s="718" t="s">
        <v>2</v>
      </c>
      <c r="Y69" s="717" t="str">
        <f>DK!$D$8</f>
        <v>2018 / 2019</v>
      </c>
    </row>
    <row r="70" spans="2:46" ht="20.25" customHeight="1">
      <c r="B70" s="752" t="s">
        <v>166</v>
      </c>
      <c r="C70" s="752"/>
      <c r="D70" s="752"/>
      <c r="E70" s="752"/>
      <c r="F70" s="752"/>
      <c r="G70" s="752" t="s">
        <v>2</v>
      </c>
      <c r="H70" s="752" t="str">
        <f>IFERROR(IF(VLOOKUP($AD$4,_Biodata_Lengkap,2,FALSE)="","-",VLOOKUP($AD$4,_Biodata_Lengkap,2,FALSE)&amp;" / "&amp;IF(VLOOKUP($AD$4,_Biodata_Lengkap,3,FALSE)="","-",VLOOKUP($AD$4,_Biodata_Lengkap,3,FALSE))),"-")</f>
        <v>7057 / 0061139155</v>
      </c>
      <c r="I70" s="752"/>
      <c r="J70" s="752"/>
      <c r="K70" s="752"/>
      <c r="L70" s="752"/>
      <c r="M70" s="752"/>
      <c r="N70" s="752"/>
      <c r="O70" s="752"/>
      <c r="P70" s="752"/>
      <c r="Q70" s="752"/>
      <c r="R70" s="752"/>
      <c r="S70" s="752"/>
      <c r="T70" s="752"/>
      <c r="U70" s="752"/>
      <c r="V70" s="752"/>
      <c r="W70" s="752"/>
      <c r="X70" s="752"/>
      <c r="Y70" s="752"/>
      <c r="Z70" s="752"/>
      <c r="AA70" s="752"/>
      <c r="AB70" s="752"/>
    </row>
    <row r="71" spans="2:46" ht="11.25" customHeight="1">
      <c r="B71" s="719"/>
      <c r="C71" s="719"/>
      <c r="D71" s="719"/>
      <c r="E71" s="719"/>
      <c r="F71" s="719"/>
      <c r="G71" s="719"/>
      <c r="H71" s="719"/>
      <c r="I71" s="719"/>
      <c r="J71" s="719"/>
      <c r="K71" s="719"/>
      <c r="L71" s="719"/>
      <c r="M71" s="719"/>
      <c r="N71" s="719"/>
      <c r="O71" s="719"/>
      <c r="P71" s="719"/>
      <c r="Q71" s="719"/>
      <c r="R71" s="719"/>
      <c r="S71" s="719"/>
      <c r="T71" s="719"/>
      <c r="U71" s="719"/>
      <c r="V71" s="719"/>
      <c r="W71" s="719"/>
      <c r="X71" s="719"/>
      <c r="Y71" s="719"/>
      <c r="Z71" s="719"/>
      <c r="AA71" s="719"/>
      <c r="AB71" s="719"/>
    </row>
    <row r="72" spans="2:46" s="199" customFormat="1" ht="70.5" customHeight="1">
      <c r="B72" s="1270">
        <v>6</v>
      </c>
      <c r="C72" s="1282" t="str">
        <f>C32</f>
        <v xml:space="preserve">Ilmu Pengetahuan Sosial </v>
      </c>
      <c r="D72" s="1282"/>
      <c r="E72" s="1282"/>
      <c r="F72" s="1282"/>
      <c r="G72" s="1282"/>
      <c r="H72" s="1282"/>
      <c r="I72" s="1282"/>
      <c r="J72" s="1266" t="s">
        <v>121</v>
      </c>
      <c r="K72" s="1266"/>
      <c r="L72" s="1266"/>
      <c r="M72" s="1266"/>
      <c r="N72" s="1266"/>
      <c r="O72" s="1255" t="str">
        <f>IFERROR(IF(VLOOKUP($AD$4,_des_smt2,23,FALSE)=0,"-",VLOOKUP($AD$4,_des_smt2,23,FALSE)),"-")</f>
        <v xml:space="preserve"> </v>
      </c>
      <c r="P72" s="1256"/>
      <c r="Q72" s="1256"/>
      <c r="R72" s="1256"/>
      <c r="S72" s="1256"/>
      <c r="T72" s="1256"/>
      <c r="U72" s="1256"/>
      <c r="V72" s="1256"/>
      <c r="W72" s="1256"/>
      <c r="X72" s="1256"/>
      <c r="Y72" s="1256"/>
      <c r="Z72" s="1256"/>
      <c r="AA72" s="1256"/>
      <c r="AB72" s="1257"/>
      <c r="AG72" s="198"/>
      <c r="AH72" s="198"/>
      <c r="AI72" s="198"/>
      <c r="AJ72" s="198"/>
      <c r="AK72" s="198"/>
      <c r="AL72" s="198"/>
      <c r="AM72" s="198"/>
      <c r="AN72" s="198"/>
      <c r="AO72" s="198"/>
      <c r="AP72" s="198"/>
      <c r="AQ72" s="198"/>
      <c r="AR72" s="198"/>
      <c r="AS72" s="198"/>
      <c r="AT72" s="198"/>
    </row>
    <row r="73" spans="2:46" ht="70.5" customHeight="1">
      <c r="B73" s="1271"/>
      <c r="C73" s="1282"/>
      <c r="D73" s="1282"/>
      <c r="E73" s="1282"/>
      <c r="F73" s="1282"/>
      <c r="G73" s="1282"/>
      <c r="H73" s="1282"/>
      <c r="I73" s="1282"/>
      <c r="J73" s="1266" t="s">
        <v>122</v>
      </c>
      <c r="K73" s="1266"/>
      <c r="L73" s="1266"/>
      <c r="M73" s="1266"/>
      <c r="N73" s="1266"/>
      <c r="O73" s="1255" t="str">
        <f>IFERROR(IF(VLOOKUP($AD$4,_des_smt2,24,FALSE)=0,"-",VLOOKUP($AD$4,_des_smt2,24,FALSE)),"-")</f>
        <v xml:space="preserve"> </v>
      </c>
      <c r="P73" s="1256"/>
      <c r="Q73" s="1256"/>
      <c r="R73" s="1256"/>
      <c r="S73" s="1256"/>
      <c r="T73" s="1256"/>
      <c r="U73" s="1256"/>
      <c r="V73" s="1256"/>
      <c r="W73" s="1256"/>
      <c r="X73" s="1256"/>
      <c r="Y73" s="1256"/>
      <c r="Z73" s="1256"/>
      <c r="AA73" s="1256"/>
      <c r="AB73" s="1257"/>
    </row>
    <row r="74" spans="2:46" ht="70.5" customHeight="1">
      <c r="B74" s="1270">
        <v>7</v>
      </c>
      <c r="C74" s="1282" t="str">
        <f>C33</f>
        <v xml:space="preserve">Bahasa Inggris </v>
      </c>
      <c r="D74" s="1282"/>
      <c r="E74" s="1282"/>
      <c r="F74" s="1282"/>
      <c r="G74" s="1282"/>
      <c r="H74" s="1282"/>
      <c r="I74" s="1282"/>
      <c r="J74" s="1266" t="s">
        <v>121</v>
      </c>
      <c r="K74" s="1266"/>
      <c r="L74" s="1266"/>
      <c r="M74" s="1266"/>
      <c r="N74" s="1266"/>
      <c r="O74" s="1255" t="str">
        <f>IFERROR(IF(VLOOKUP($AD$4,_des_smt2,25,FALSE)=0,"-",VLOOKUP($AD$4,_des_smt2,25,FALSE)),"-")</f>
        <v xml:space="preserve"> </v>
      </c>
      <c r="P74" s="1256"/>
      <c r="Q74" s="1256"/>
      <c r="R74" s="1256"/>
      <c r="S74" s="1256"/>
      <c r="T74" s="1256"/>
      <c r="U74" s="1256"/>
      <c r="V74" s="1256"/>
      <c r="W74" s="1256"/>
      <c r="X74" s="1256"/>
      <c r="Y74" s="1256"/>
      <c r="Z74" s="1256"/>
      <c r="AA74" s="1256"/>
      <c r="AB74" s="1257"/>
    </row>
    <row r="75" spans="2:46" ht="70.5" customHeight="1">
      <c r="B75" s="1271"/>
      <c r="C75" s="1282"/>
      <c r="D75" s="1282"/>
      <c r="E75" s="1282"/>
      <c r="F75" s="1282"/>
      <c r="G75" s="1282"/>
      <c r="H75" s="1282"/>
      <c r="I75" s="1282"/>
      <c r="J75" s="1266" t="s">
        <v>122</v>
      </c>
      <c r="K75" s="1266"/>
      <c r="L75" s="1266"/>
      <c r="M75" s="1266"/>
      <c r="N75" s="1266"/>
      <c r="O75" s="1255" t="str">
        <f>IFERROR(IF(VLOOKUP($AD$4,_des_smt2,26,FALSE)=0,"-",VLOOKUP($AD$4,_des_smt2,26,FALSE)),"-")</f>
        <v xml:space="preserve"> </v>
      </c>
      <c r="P75" s="1256"/>
      <c r="Q75" s="1256"/>
      <c r="R75" s="1256"/>
      <c r="S75" s="1256"/>
      <c r="T75" s="1256"/>
      <c r="U75" s="1256"/>
      <c r="V75" s="1256"/>
      <c r="W75" s="1256"/>
      <c r="X75" s="1256"/>
      <c r="Y75" s="1256"/>
      <c r="Z75" s="1256"/>
      <c r="AA75" s="1256"/>
      <c r="AB75" s="1257"/>
    </row>
    <row r="76" spans="2:46" ht="15" customHeight="1">
      <c r="B76" s="1267" t="s">
        <v>58</v>
      </c>
      <c r="C76" s="1268"/>
      <c r="D76" s="1268"/>
      <c r="E76" s="1268"/>
      <c r="F76" s="1268"/>
      <c r="G76" s="1268"/>
      <c r="H76" s="1268"/>
      <c r="I76" s="1268"/>
      <c r="J76" s="1268"/>
      <c r="K76" s="1268"/>
      <c r="L76" s="1268"/>
      <c r="M76" s="1268"/>
      <c r="N76" s="1268"/>
      <c r="O76" s="1268"/>
      <c r="P76" s="1268"/>
      <c r="Q76" s="1268"/>
      <c r="R76" s="1268"/>
      <c r="S76" s="1268"/>
      <c r="T76" s="1268"/>
      <c r="U76" s="1268"/>
      <c r="V76" s="1268"/>
      <c r="W76" s="1268"/>
      <c r="X76" s="1268"/>
      <c r="Y76" s="1268"/>
      <c r="Z76" s="1268"/>
      <c r="AA76" s="1268"/>
      <c r="AB76" s="1269"/>
    </row>
    <row r="77" spans="2:46" ht="70.5" customHeight="1">
      <c r="B77" s="1270">
        <v>1</v>
      </c>
      <c r="C77" s="1282" t="str">
        <f>C35</f>
        <v>Seni Budaya</v>
      </c>
      <c r="D77" s="1282"/>
      <c r="E77" s="1282"/>
      <c r="F77" s="1282"/>
      <c r="G77" s="1282"/>
      <c r="H77" s="1282"/>
      <c r="I77" s="1282"/>
      <c r="J77" s="1266" t="s">
        <v>121</v>
      </c>
      <c r="K77" s="1266"/>
      <c r="L77" s="1266"/>
      <c r="M77" s="1266"/>
      <c r="N77" s="1266"/>
      <c r="O77" s="1255" t="str">
        <f>IFERROR(IF(VLOOKUP($AD$4,_des_smt2,27,FALSE)=0,"-",VLOOKUP($AD$4,_des_smt2,27,FALSE)),"-")</f>
        <v xml:space="preserve"> </v>
      </c>
      <c r="P77" s="1256"/>
      <c r="Q77" s="1256"/>
      <c r="R77" s="1256"/>
      <c r="S77" s="1256"/>
      <c r="T77" s="1256"/>
      <c r="U77" s="1256"/>
      <c r="V77" s="1256"/>
      <c r="W77" s="1256"/>
      <c r="X77" s="1256"/>
      <c r="Y77" s="1256"/>
      <c r="Z77" s="1256"/>
      <c r="AA77" s="1256"/>
      <c r="AB77" s="1257"/>
    </row>
    <row r="78" spans="2:46" ht="70.5" customHeight="1">
      <c r="B78" s="1271"/>
      <c r="C78" s="1282"/>
      <c r="D78" s="1282"/>
      <c r="E78" s="1282"/>
      <c r="F78" s="1282"/>
      <c r="G78" s="1282"/>
      <c r="H78" s="1282"/>
      <c r="I78" s="1282"/>
      <c r="J78" s="1266" t="s">
        <v>122</v>
      </c>
      <c r="K78" s="1266"/>
      <c r="L78" s="1266"/>
      <c r="M78" s="1266"/>
      <c r="N78" s="1266"/>
      <c r="O78" s="1255" t="str">
        <f>IFERROR(IF(VLOOKUP($AD$4,_des_smt2,28,FALSE)=0,"-",VLOOKUP($AD$4,_des_smt2,28,FALSE)),"-")</f>
        <v xml:space="preserve"> </v>
      </c>
      <c r="P78" s="1256"/>
      <c r="Q78" s="1256"/>
      <c r="R78" s="1256"/>
      <c r="S78" s="1256"/>
      <c r="T78" s="1256"/>
      <c r="U78" s="1256"/>
      <c r="V78" s="1256"/>
      <c r="W78" s="1256"/>
      <c r="X78" s="1256"/>
      <c r="Y78" s="1256"/>
      <c r="Z78" s="1256"/>
      <c r="AA78" s="1256"/>
      <c r="AB78" s="1257"/>
    </row>
    <row r="79" spans="2:46" ht="31.5" hidden="1" customHeight="1">
      <c r="B79" s="728"/>
      <c r="C79" s="729"/>
      <c r="D79" s="729"/>
      <c r="E79" s="729"/>
      <c r="F79" s="729"/>
      <c r="G79" s="729"/>
      <c r="H79" s="729"/>
      <c r="I79" s="729"/>
      <c r="J79" s="729"/>
      <c r="K79" s="729"/>
      <c r="L79" s="729"/>
      <c r="M79" s="728"/>
      <c r="N79" s="728"/>
      <c r="O79" s="728"/>
      <c r="P79" s="728"/>
      <c r="Q79" s="730"/>
      <c r="R79" s="730"/>
      <c r="S79" s="730"/>
      <c r="T79" s="730"/>
      <c r="U79" s="730"/>
      <c r="V79" s="730"/>
      <c r="W79" s="730"/>
      <c r="X79" s="730"/>
      <c r="Y79" s="730"/>
      <c r="Z79" s="730"/>
      <c r="AA79" s="730"/>
      <c r="AB79" s="730"/>
    </row>
    <row r="80" spans="2:46" ht="15.75" hidden="1">
      <c r="B80" s="728"/>
      <c r="C80" s="729"/>
      <c r="D80" s="729"/>
      <c r="E80" s="729"/>
      <c r="F80" s="729"/>
      <c r="G80" s="729"/>
      <c r="H80" s="729"/>
      <c r="I80" s="729"/>
      <c r="J80" s="729"/>
      <c r="K80" s="729"/>
      <c r="L80" s="729"/>
      <c r="M80" s="728"/>
      <c r="N80" s="728"/>
      <c r="O80" s="728"/>
      <c r="P80" s="728"/>
      <c r="Q80" s="1378"/>
      <c r="R80" s="1378"/>
      <c r="S80" s="1378"/>
      <c r="T80" s="1378"/>
      <c r="U80" s="1378"/>
      <c r="V80" s="1378"/>
      <c r="W80" s="1378"/>
      <c r="X80" s="1378"/>
      <c r="Y80" s="1378"/>
      <c r="Z80" s="1378"/>
      <c r="AA80" s="1378"/>
      <c r="AB80" s="1378"/>
    </row>
    <row r="81" spans="2:28" hidden="1">
      <c r="B81" s="717" t="s">
        <v>153</v>
      </c>
      <c r="G81" s="717" t="s">
        <v>2</v>
      </c>
      <c r="H81" s="717" t="str">
        <f>_nama_sekolah</f>
        <v>SMP NEGERI 1 ABUNG SURAKARTA</v>
      </c>
      <c r="T81" s="718" t="s">
        <v>5</v>
      </c>
      <c r="X81" s="718" t="s">
        <v>2</v>
      </c>
      <c r="Y81" s="717" t="str">
        <f>DK!$D$5</f>
        <v>VIII A</v>
      </c>
    </row>
    <row r="82" spans="2:28" hidden="1">
      <c r="B82" s="717" t="s">
        <v>156</v>
      </c>
      <c r="G82" s="717" t="s">
        <v>2</v>
      </c>
      <c r="H82" s="717" t="str">
        <f>_alamat_sekolah</f>
        <v>Jl. Pendidikan No. 24</v>
      </c>
      <c r="T82" s="718" t="s">
        <v>4</v>
      </c>
      <c r="X82" s="718" t="s">
        <v>2</v>
      </c>
      <c r="Y82" s="717" t="str">
        <f>_smt_genap</f>
        <v>4 (Empat)</v>
      </c>
    </row>
    <row r="83" spans="2:28" hidden="1">
      <c r="B83" s="717" t="s">
        <v>97</v>
      </c>
      <c r="G83" s="717" t="s">
        <v>2</v>
      </c>
      <c r="H83" s="717" t="str">
        <f>IFERROR(PROPER(VLOOKUP($AD$4,_Biodata_Lengkap,4,FALSE)),"-")</f>
        <v>Ahmad Zaki Aufa</v>
      </c>
      <c r="T83" s="718" t="s">
        <v>3</v>
      </c>
      <c r="X83" s="718" t="s">
        <v>2</v>
      </c>
      <c r="Y83" s="717" t="str">
        <f>DK!$D$8</f>
        <v>2018 / 2019</v>
      </c>
    </row>
    <row r="84" spans="2:28" ht="21" hidden="1" customHeight="1">
      <c r="B84" s="719" t="s">
        <v>166</v>
      </c>
      <c r="C84" s="719"/>
      <c r="D84" s="719"/>
      <c r="E84" s="719"/>
      <c r="F84" s="719"/>
      <c r="G84" s="719" t="s">
        <v>2</v>
      </c>
      <c r="H84" s="719" t="str">
        <f>IFERROR(IF(VLOOKUP($AD$4,_Biodata_Lengkap,2,FALSE)="","-",VLOOKUP($AD$4,_Biodata_Lengkap,2,FALSE)&amp;" / "&amp;IF(VLOOKUP($AD$4,_Biodata_Lengkap,3,FALSE)="","-",VLOOKUP($AD$4,_Biodata_Lengkap,3,FALSE))),"-")</f>
        <v>7057 / 0061139155</v>
      </c>
      <c r="I84" s="719"/>
      <c r="J84" s="719"/>
      <c r="K84" s="719"/>
      <c r="L84" s="719"/>
      <c r="M84" s="719"/>
      <c r="N84" s="719"/>
      <c r="O84" s="719"/>
      <c r="P84" s="719"/>
      <c r="Q84" s="719"/>
      <c r="R84" s="719"/>
      <c r="S84" s="719"/>
      <c r="T84" s="719"/>
      <c r="U84" s="719"/>
      <c r="V84" s="719"/>
      <c r="W84" s="719"/>
      <c r="X84" s="719"/>
      <c r="Y84" s="719"/>
      <c r="Z84" s="719"/>
      <c r="AA84" s="719"/>
      <c r="AB84" s="719"/>
    </row>
    <row r="85" spans="2:28" hidden="1">
      <c r="B85" s="731"/>
      <c r="C85" s="732"/>
      <c r="D85" s="732"/>
      <c r="E85" s="732"/>
      <c r="F85" s="732"/>
      <c r="G85" s="732"/>
      <c r="H85" s="732"/>
      <c r="I85" s="732"/>
      <c r="J85" s="732"/>
      <c r="K85" s="732"/>
      <c r="L85" s="732"/>
      <c r="M85" s="731"/>
      <c r="N85" s="731"/>
      <c r="O85" s="731"/>
      <c r="P85" s="731"/>
      <c r="Q85" s="733"/>
      <c r="R85" s="733"/>
      <c r="S85" s="733"/>
      <c r="T85" s="733"/>
      <c r="U85" s="733"/>
      <c r="V85" s="733"/>
      <c r="W85" s="733"/>
      <c r="X85" s="733"/>
      <c r="Y85" s="733"/>
      <c r="Z85" s="733"/>
      <c r="AA85" s="733"/>
      <c r="AB85" s="733"/>
    </row>
    <row r="86" spans="2:28" ht="70.5" customHeight="1">
      <c r="B86" s="1270">
        <v>2</v>
      </c>
      <c r="C86" s="1272" t="str">
        <f>C36</f>
        <v>Penjaskes</v>
      </c>
      <c r="D86" s="1273"/>
      <c r="E86" s="1273"/>
      <c r="F86" s="1273"/>
      <c r="G86" s="1273"/>
      <c r="H86" s="1273"/>
      <c r="I86" s="1283"/>
      <c r="J86" s="1266" t="s">
        <v>121</v>
      </c>
      <c r="K86" s="1266"/>
      <c r="L86" s="1266"/>
      <c r="M86" s="1266"/>
      <c r="N86" s="1266"/>
      <c r="O86" s="1255" t="str">
        <f>IFERROR(IF(VLOOKUP($AD$4,_des_smt2,29,FALSE)=0,"-",VLOOKUP($AD$4,_des_smt2,29,FALSE)),"-")</f>
        <v xml:space="preserve"> </v>
      </c>
      <c r="P86" s="1256"/>
      <c r="Q86" s="1256"/>
      <c r="R86" s="1256"/>
      <c r="S86" s="1256"/>
      <c r="T86" s="1256"/>
      <c r="U86" s="1256"/>
      <c r="V86" s="1256"/>
      <c r="W86" s="1256"/>
      <c r="X86" s="1256"/>
      <c r="Y86" s="1256"/>
      <c r="Z86" s="1256"/>
      <c r="AA86" s="1256"/>
      <c r="AB86" s="1257"/>
    </row>
    <row r="87" spans="2:28" ht="70.5" customHeight="1">
      <c r="B87" s="1271"/>
      <c r="C87" s="1274"/>
      <c r="D87" s="1275"/>
      <c r="E87" s="1275"/>
      <c r="F87" s="1275"/>
      <c r="G87" s="1275"/>
      <c r="H87" s="1275"/>
      <c r="I87" s="1284"/>
      <c r="J87" s="1266" t="s">
        <v>122</v>
      </c>
      <c r="K87" s="1266"/>
      <c r="L87" s="1266"/>
      <c r="M87" s="1266"/>
      <c r="N87" s="1266"/>
      <c r="O87" s="1255" t="str">
        <f>IFERROR(IF(VLOOKUP($AD$4,_des_smt2,30,FALSE)=0,"-",VLOOKUP($AD$4,_des_smt2,30,FALSE)),"-")</f>
        <v xml:space="preserve"> </v>
      </c>
      <c r="P87" s="1256"/>
      <c r="Q87" s="1256"/>
      <c r="R87" s="1256"/>
      <c r="S87" s="1256"/>
      <c r="T87" s="1256"/>
      <c r="U87" s="1256"/>
      <c r="V87" s="1256"/>
      <c r="W87" s="1256"/>
      <c r="X87" s="1256"/>
      <c r="Y87" s="1256"/>
      <c r="Z87" s="1256"/>
      <c r="AA87" s="1256"/>
      <c r="AB87" s="1257"/>
    </row>
    <row r="88" spans="2:28" ht="70.5" customHeight="1">
      <c r="B88" s="1270">
        <v>3</v>
      </c>
      <c r="C88" s="1272" t="str">
        <f>C37</f>
        <v>Prakarya</v>
      </c>
      <c r="D88" s="1273"/>
      <c r="E88" s="1273"/>
      <c r="F88" s="1273"/>
      <c r="G88" s="1273"/>
      <c r="H88" s="1273"/>
      <c r="I88" s="1283"/>
      <c r="J88" s="1266" t="s">
        <v>121</v>
      </c>
      <c r="K88" s="1266"/>
      <c r="L88" s="1266"/>
      <c r="M88" s="1266"/>
      <c r="N88" s="1266"/>
      <c r="O88" s="1255" t="str">
        <f>IFERROR(IF(VLOOKUP($AD$4,_des_smt2,31,FALSE)=0,"-",VLOOKUP($AD$4,_des_smt2,31,FALSE)),"-")</f>
        <v xml:space="preserve"> </v>
      </c>
      <c r="P88" s="1256"/>
      <c r="Q88" s="1256"/>
      <c r="R88" s="1256"/>
      <c r="S88" s="1256"/>
      <c r="T88" s="1256"/>
      <c r="U88" s="1256"/>
      <c r="V88" s="1256"/>
      <c r="W88" s="1256"/>
      <c r="X88" s="1256"/>
      <c r="Y88" s="1256"/>
      <c r="Z88" s="1256"/>
      <c r="AA88" s="1256"/>
      <c r="AB88" s="1257"/>
    </row>
    <row r="89" spans="2:28" ht="70.5" customHeight="1">
      <c r="B89" s="1271"/>
      <c r="C89" s="1274"/>
      <c r="D89" s="1275"/>
      <c r="E89" s="1275"/>
      <c r="F89" s="1275"/>
      <c r="G89" s="1275"/>
      <c r="H89" s="1275"/>
      <c r="I89" s="1284"/>
      <c r="J89" s="1266" t="s">
        <v>122</v>
      </c>
      <c r="K89" s="1266"/>
      <c r="L89" s="1266"/>
      <c r="M89" s="1266"/>
      <c r="N89" s="1266"/>
      <c r="O89" s="1255" t="str">
        <f>IFERROR(IF(VLOOKUP($AD$4,_des_smt2,32,FALSE)=0,"-",VLOOKUP($AD$4,_des_smt2,32,FALSE)),"-")</f>
        <v xml:space="preserve"> </v>
      </c>
      <c r="P89" s="1256"/>
      <c r="Q89" s="1256"/>
      <c r="R89" s="1256"/>
      <c r="S89" s="1256"/>
      <c r="T89" s="1256"/>
      <c r="U89" s="1256"/>
      <c r="V89" s="1256"/>
      <c r="W89" s="1256"/>
      <c r="X89" s="1256"/>
      <c r="Y89" s="1256"/>
      <c r="Z89" s="1256"/>
      <c r="AA89" s="1256"/>
      <c r="AB89" s="1257"/>
    </row>
    <row r="90" spans="2:28" ht="15" customHeight="1">
      <c r="B90" s="717" t="s">
        <v>153</v>
      </c>
      <c r="G90" s="717" t="s">
        <v>2</v>
      </c>
      <c r="H90" s="717" t="str">
        <f>_sekolah_label</f>
        <v>SMP Negeri 1 Abung Surakarta</v>
      </c>
      <c r="T90" s="718" t="s">
        <v>5</v>
      </c>
      <c r="X90" s="718" t="s">
        <v>2</v>
      </c>
      <c r="Y90" s="717" t="str">
        <f>DK!$D$5</f>
        <v>VIII A</v>
      </c>
    </row>
    <row r="91" spans="2:28" ht="15" customHeight="1">
      <c r="B91" s="717" t="s">
        <v>156</v>
      </c>
      <c r="G91" s="717" t="s">
        <v>2</v>
      </c>
      <c r="H91" s="717" t="str">
        <f>_alamat_sekolah</f>
        <v>Jl. Pendidikan No. 24</v>
      </c>
      <c r="T91" s="718" t="s">
        <v>4</v>
      </c>
      <c r="X91" s="718" t="s">
        <v>2</v>
      </c>
      <c r="Y91" s="717" t="str">
        <f>_smt_genap</f>
        <v>4 (Empat)</v>
      </c>
    </row>
    <row r="92" spans="2:28" ht="15" customHeight="1">
      <c r="B92" s="717" t="s">
        <v>97</v>
      </c>
      <c r="G92" s="717" t="s">
        <v>2</v>
      </c>
      <c r="H92" s="717" t="str">
        <f>IFERROR(PROPER(VLOOKUP($AD$4,_Biodata_Lengkap,4,FALSE)),"-")</f>
        <v>Ahmad Zaki Aufa</v>
      </c>
      <c r="T92" s="718" t="s">
        <v>3</v>
      </c>
      <c r="X92" s="718" t="s">
        <v>2</v>
      </c>
      <c r="Y92" s="717" t="str">
        <f>DK!$D$8</f>
        <v>2018 / 2019</v>
      </c>
    </row>
    <row r="93" spans="2:28" ht="20.25" customHeight="1">
      <c r="B93" s="752" t="s">
        <v>166</v>
      </c>
      <c r="C93" s="752"/>
      <c r="D93" s="752"/>
      <c r="E93" s="752"/>
      <c r="F93" s="752"/>
      <c r="G93" s="752" t="s">
        <v>2</v>
      </c>
      <c r="H93" s="752" t="str">
        <f>IFERROR(IF(VLOOKUP($AD$4,_Biodata_Lengkap,2,FALSE)="","-",VLOOKUP($AD$4,_Biodata_Lengkap,2,FALSE)&amp;" / "&amp;IF(VLOOKUP($AD$4,_Biodata_Lengkap,3,FALSE)="","-",VLOOKUP($AD$4,_Biodata_Lengkap,3,FALSE))),"-")</f>
        <v>7057 / 0061139155</v>
      </c>
      <c r="I93" s="752"/>
      <c r="J93" s="752"/>
      <c r="K93" s="752"/>
      <c r="L93" s="752"/>
      <c r="M93" s="752"/>
      <c r="N93" s="752"/>
      <c r="O93" s="752"/>
      <c r="P93" s="752"/>
      <c r="Q93" s="752"/>
      <c r="R93" s="752"/>
      <c r="S93" s="752"/>
      <c r="T93" s="752"/>
      <c r="U93" s="752"/>
      <c r="V93" s="752"/>
      <c r="W93" s="752"/>
      <c r="X93" s="752"/>
      <c r="Y93" s="752"/>
      <c r="Z93" s="752"/>
      <c r="AA93" s="752"/>
      <c r="AB93" s="752"/>
    </row>
    <row r="94" spans="2:28" ht="11.25" customHeight="1">
      <c r="B94" s="719"/>
      <c r="C94" s="719"/>
      <c r="D94" s="719"/>
      <c r="E94" s="719"/>
      <c r="F94" s="719"/>
      <c r="G94" s="719"/>
      <c r="H94" s="719"/>
      <c r="I94" s="719"/>
      <c r="J94" s="719"/>
      <c r="K94" s="719"/>
      <c r="L94" s="719"/>
      <c r="M94" s="719"/>
      <c r="N94" s="719"/>
      <c r="O94" s="719"/>
      <c r="P94" s="719"/>
      <c r="Q94" s="719"/>
      <c r="R94" s="719"/>
      <c r="S94" s="719"/>
      <c r="T94" s="719"/>
      <c r="U94" s="719"/>
      <c r="V94" s="719"/>
      <c r="W94" s="719"/>
      <c r="X94" s="719"/>
      <c r="Y94" s="719"/>
      <c r="Z94" s="719"/>
      <c r="AA94" s="719"/>
      <c r="AB94" s="719"/>
    </row>
    <row r="95" spans="2:28" ht="70.5" customHeight="1">
      <c r="B95" s="1270">
        <v>4</v>
      </c>
      <c r="C95" s="1272" t="str">
        <f>C38</f>
        <v>Bahasa dan Aksara Lampung*</v>
      </c>
      <c r="D95" s="1273"/>
      <c r="E95" s="1273"/>
      <c r="F95" s="1273"/>
      <c r="G95" s="1273"/>
      <c r="H95" s="1273"/>
      <c r="I95" s="1283"/>
      <c r="J95" s="1266" t="s">
        <v>121</v>
      </c>
      <c r="K95" s="1266"/>
      <c r="L95" s="1266"/>
      <c r="M95" s="1266"/>
      <c r="N95" s="1266"/>
      <c r="O95" s="1255" t="str">
        <f>IFERROR(IF(VLOOKUP($AD$4,_des_smt2,33,FALSE)=0,"-",VLOOKUP($AD$4,_des_smt2,33,FALSE)),"-")</f>
        <v xml:space="preserve"> </v>
      </c>
      <c r="P95" s="1256"/>
      <c r="Q95" s="1256"/>
      <c r="R95" s="1256"/>
      <c r="S95" s="1256"/>
      <c r="T95" s="1256"/>
      <c r="U95" s="1256"/>
      <c r="V95" s="1256"/>
      <c r="W95" s="1256"/>
      <c r="X95" s="1256"/>
      <c r="Y95" s="1256"/>
      <c r="Z95" s="1256"/>
      <c r="AA95" s="1256"/>
      <c r="AB95" s="1257"/>
    </row>
    <row r="96" spans="2:28" ht="70.5" customHeight="1">
      <c r="B96" s="1271"/>
      <c r="C96" s="1274"/>
      <c r="D96" s="1275"/>
      <c r="E96" s="1275"/>
      <c r="F96" s="1275"/>
      <c r="G96" s="1275"/>
      <c r="H96" s="1275"/>
      <c r="I96" s="1284"/>
      <c r="J96" s="1266" t="s">
        <v>122</v>
      </c>
      <c r="K96" s="1266"/>
      <c r="L96" s="1266"/>
      <c r="M96" s="1266"/>
      <c r="N96" s="1266"/>
      <c r="O96" s="1255" t="str">
        <f>IFERROR(IF(VLOOKUP($AD$4,_des_smt2,34,FALSE)=0,"-",VLOOKUP($AD$4,_des_smt2,34,FALSE)),"-")</f>
        <v xml:space="preserve"> </v>
      </c>
      <c r="P96" s="1256"/>
      <c r="Q96" s="1256"/>
      <c r="R96" s="1256"/>
      <c r="S96" s="1256"/>
      <c r="T96" s="1256"/>
      <c r="U96" s="1256"/>
      <c r="V96" s="1256"/>
      <c r="W96" s="1256"/>
      <c r="X96" s="1256"/>
      <c r="Y96" s="1256"/>
      <c r="Z96" s="1256"/>
      <c r="AA96" s="1256"/>
      <c r="AB96" s="1257"/>
    </row>
    <row r="97" spans="2:28" ht="16.5" customHeight="1">
      <c r="B97" s="723" t="s">
        <v>179</v>
      </c>
    </row>
    <row r="98" spans="2:28" ht="6.95" customHeight="1"/>
    <row r="99" spans="2:28" ht="15" customHeight="1">
      <c r="B99" s="720" t="s">
        <v>615</v>
      </c>
    </row>
    <row r="100" spans="2:28" ht="30.75" customHeight="1" thickBot="1">
      <c r="B100" s="734" t="s">
        <v>50</v>
      </c>
      <c r="C100" s="1331" t="s">
        <v>185</v>
      </c>
      <c r="D100" s="1331"/>
      <c r="E100" s="1331"/>
      <c r="F100" s="1331"/>
      <c r="G100" s="1331"/>
      <c r="H100" s="1331"/>
      <c r="I100" s="1331"/>
      <c r="J100" s="1331"/>
      <c r="K100" s="1331"/>
      <c r="L100" s="1331"/>
      <c r="M100" s="1331" t="s">
        <v>113</v>
      </c>
      <c r="N100" s="1331"/>
      <c r="O100" s="1331"/>
      <c r="P100" s="1331"/>
      <c r="Q100" s="1331" t="s">
        <v>174</v>
      </c>
      <c r="R100" s="1331"/>
      <c r="S100" s="1331"/>
      <c r="T100" s="1331"/>
      <c r="U100" s="1331"/>
      <c r="V100" s="1331"/>
      <c r="W100" s="1331"/>
      <c r="X100" s="1331"/>
      <c r="Y100" s="1331"/>
      <c r="Z100" s="1331"/>
      <c r="AA100" s="1331"/>
      <c r="AB100" s="1331"/>
    </row>
    <row r="101" spans="2:28" ht="15" customHeight="1" thickTop="1">
      <c r="B101" s="735">
        <v>1</v>
      </c>
      <c r="C101" s="1429" t="str">
        <f>IFERROR(IF(VLOOKUP($AD$4,_eks2,4,FALSE)="","-",VLOOKUP($AD$4,_eks2,4,FALSE)),"-")</f>
        <v>Kepramukaan</v>
      </c>
      <c r="D101" s="1429"/>
      <c r="E101" s="1429"/>
      <c r="F101" s="1429"/>
      <c r="G101" s="1429"/>
      <c r="H101" s="1429"/>
      <c r="I101" s="1429"/>
      <c r="J101" s="1429"/>
      <c r="K101" s="1429"/>
      <c r="L101" s="1429"/>
      <c r="M101" s="1271" t="str">
        <f>IFERROR(IF(VLOOKUP($AD$4,_eks2,5,FALSE)="","-",VLOOKUP($AD$4,_eks2,5,FALSE)),"-")</f>
        <v>B</v>
      </c>
      <c r="N101" s="1271"/>
      <c r="O101" s="1271"/>
      <c r="P101" s="1271"/>
      <c r="Q101" s="1430" t="str">
        <f>IF(M101="A","Sangat aktif dalam mengikuti kegiatan "&amp;C101,IF(M101="B","Aktif dalam mengikuti kegiatan "&amp;C101,IF(M101="C","Cukup aktif dalam mengikuti kegiatan "&amp;C101,IF(M101="D","Kurang dalam mengikuti kegiatan "&amp;C101,"-"))))</f>
        <v>Aktif dalam mengikuti kegiatan Kepramukaan</v>
      </c>
      <c r="R101" s="1430"/>
      <c r="S101" s="1430"/>
      <c r="T101" s="1430"/>
      <c r="U101" s="1430"/>
      <c r="V101" s="1430"/>
      <c r="W101" s="1430"/>
      <c r="X101" s="1430"/>
      <c r="Y101" s="1430"/>
      <c r="Z101" s="1430"/>
      <c r="AA101" s="1430"/>
      <c r="AB101" s="1430"/>
    </row>
    <row r="102" spans="2:28" ht="15" customHeight="1">
      <c r="B102" s="736">
        <v>2</v>
      </c>
      <c r="C102" s="1414" t="str">
        <f>IFERROR(IF(VLOOKUP($AD$4,_eks2,6,FALSE)="","-",VLOOKUP($AD$4,_eks2,6,FALSE)),"-")</f>
        <v>-</v>
      </c>
      <c r="D102" s="1414"/>
      <c r="E102" s="1414"/>
      <c r="F102" s="1414"/>
      <c r="G102" s="1414"/>
      <c r="H102" s="1414"/>
      <c r="I102" s="1414"/>
      <c r="J102" s="1414"/>
      <c r="K102" s="1414"/>
      <c r="L102" s="1414"/>
      <c r="M102" s="1249" t="str">
        <f>IFERROR(IF(VLOOKUP($AD$4,_eks2,7,FALSE)="","-",VLOOKUP($AD$4,_eks2,7,FALSE)),"-")</f>
        <v>-</v>
      </c>
      <c r="N102" s="1250"/>
      <c r="O102" s="1250"/>
      <c r="P102" s="1251"/>
      <c r="Q102" s="1415" t="str">
        <f>IF(M102="A","Sangat aktif dalam mengikuti kegiatan "&amp;C102,IF(M102="B","Aktif dalam mengikuti kegiatan "&amp;C102,IF(M102="C","Cukup aktif dalam mengikuti kegiatan "&amp;C102,IF(M102="D","Kurang dalam mengikuti kegiatan "&amp;C102,"-"))))</f>
        <v>-</v>
      </c>
      <c r="R102" s="1415"/>
      <c r="S102" s="1415"/>
      <c r="T102" s="1415"/>
      <c r="U102" s="1415"/>
      <c r="V102" s="1415"/>
      <c r="W102" s="1415"/>
      <c r="X102" s="1415"/>
      <c r="Y102" s="1415"/>
      <c r="Z102" s="1415"/>
      <c r="AA102" s="1415"/>
      <c r="AB102" s="1415"/>
    </row>
    <row r="103" spans="2:28">
      <c r="B103" s="736">
        <v>3</v>
      </c>
      <c r="C103" s="1414" t="str">
        <f>IFERROR(IF(VLOOKUP($AD$4,_eks2,8,FALSE)="","-",VLOOKUP($AD$4,_eks2,8,FALSE)),"-")</f>
        <v>-</v>
      </c>
      <c r="D103" s="1414"/>
      <c r="E103" s="1414"/>
      <c r="F103" s="1414"/>
      <c r="G103" s="1414"/>
      <c r="H103" s="1414"/>
      <c r="I103" s="1414"/>
      <c r="J103" s="1414"/>
      <c r="K103" s="1414"/>
      <c r="L103" s="1414"/>
      <c r="M103" s="1249" t="str">
        <f>IFERROR(IF(VLOOKUP($AD$4,_eks2,9,FALSE)="","-",VLOOKUP($AD$4,_eks2,9,FALSE)),"-")</f>
        <v>-</v>
      </c>
      <c r="N103" s="1250"/>
      <c r="O103" s="1250"/>
      <c r="P103" s="1251"/>
      <c r="Q103" s="1415" t="str">
        <f>IF(M103="A","Sangat aktif dalam mengikuti kegiatan "&amp;C103,IF(M103="B","Aktif dalam mengikuti kegiatan "&amp;C103,IF(M103="C","Cukup aktif dalam mengikuti kegiatan "&amp;C103,IF(M103="D","Kurang dalam mengikuti kegiatan "&amp;C103,"-"))))</f>
        <v>-</v>
      </c>
      <c r="R103" s="1415"/>
      <c r="S103" s="1415"/>
      <c r="T103" s="1415"/>
      <c r="U103" s="1415"/>
      <c r="V103" s="1415"/>
      <c r="W103" s="1415"/>
      <c r="X103" s="1415"/>
      <c r="Y103" s="1415"/>
      <c r="Z103" s="1415"/>
      <c r="AA103" s="1415"/>
      <c r="AB103" s="1415"/>
    </row>
    <row r="104" spans="2:28" ht="6.95" customHeight="1">
      <c r="W104" s="718"/>
    </row>
    <row r="105" spans="2:28" ht="15" customHeight="1">
      <c r="B105" s="720" t="s">
        <v>616</v>
      </c>
    </row>
    <row r="106" spans="2:28" ht="15" customHeight="1" thickBot="1">
      <c r="B106" s="744" t="s">
        <v>50</v>
      </c>
      <c r="C106" s="1313" t="s">
        <v>188</v>
      </c>
      <c r="D106" s="1314"/>
      <c r="E106" s="1314"/>
      <c r="F106" s="1314"/>
      <c r="G106" s="1314"/>
      <c r="H106" s="1314"/>
      <c r="I106" s="1314"/>
      <c r="J106" s="1314"/>
      <c r="K106" s="1314"/>
      <c r="L106" s="1314"/>
      <c r="M106" s="1314"/>
      <c r="N106" s="1314"/>
      <c r="O106" s="1314"/>
      <c r="P106" s="1314"/>
      <c r="Q106" s="1314"/>
      <c r="R106" s="1314"/>
      <c r="S106" s="1314"/>
      <c r="T106" s="1314"/>
      <c r="U106" s="1314"/>
      <c r="V106" s="1314"/>
      <c r="W106" s="1314"/>
      <c r="X106" s="1314"/>
      <c r="Y106" s="1314"/>
      <c r="Z106" s="1314"/>
      <c r="AA106" s="1314"/>
      <c r="AB106" s="1315"/>
    </row>
    <row r="107" spans="2:28" ht="15" customHeight="1" thickTop="1">
      <c r="B107" s="745">
        <v>1</v>
      </c>
      <c r="C107" s="1363" t="str">
        <f>IFERROR(IF(VLOOKUP($AD$4,_prestasi2,4,FALSE)="","-",VLOOKUP($AD$4,_prestasi2,4,FALSE)),"-")</f>
        <v>-</v>
      </c>
      <c r="D107" s="1363"/>
      <c r="E107" s="1363"/>
      <c r="F107" s="1363"/>
      <c r="G107" s="1363"/>
      <c r="H107" s="1363"/>
      <c r="I107" s="1363"/>
      <c r="J107" s="1363"/>
      <c r="K107" s="1363"/>
      <c r="L107" s="1363"/>
      <c r="M107" s="1363"/>
      <c r="N107" s="1363"/>
      <c r="O107" s="1363"/>
      <c r="P107" s="1363"/>
      <c r="Q107" s="1363"/>
      <c r="R107" s="1363"/>
      <c r="S107" s="1363"/>
      <c r="T107" s="1363"/>
      <c r="U107" s="1363"/>
      <c r="V107" s="1363"/>
      <c r="W107" s="1363"/>
      <c r="X107" s="1363"/>
      <c r="Y107" s="1363"/>
      <c r="Z107" s="1363"/>
      <c r="AA107" s="1363"/>
      <c r="AB107" s="1363"/>
    </row>
    <row r="108" spans="2:28" ht="15" customHeight="1">
      <c r="B108" s="721">
        <v>2</v>
      </c>
      <c r="C108" s="1363" t="str">
        <f>IFERROR(IF(VLOOKUP($AD$4,_prestasi2,5,FALSE)="","-",VLOOKUP($AD$4,_prestasi2,5,FALSE)),"-")</f>
        <v>-</v>
      </c>
      <c r="D108" s="1363"/>
      <c r="E108" s="1363"/>
      <c r="F108" s="1363"/>
      <c r="G108" s="1363"/>
      <c r="H108" s="1363"/>
      <c r="I108" s="1363"/>
      <c r="J108" s="1363"/>
      <c r="K108" s="1363"/>
      <c r="L108" s="1363"/>
      <c r="M108" s="1363"/>
      <c r="N108" s="1363"/>
      <c r="O108" s="1363"/>
      <c r="P108" s="1363"/>
      <c r="Q108" s="1363"/>
      <c r="R108" s="1363"/>
      <c r="S108" s="1363"/>
      <c r="T108" s="1363"/>
      <c r="U108" s="1363"/>
      <c r="V108" s="1363"/>
      <c r="W108" s="1363"/>
      <c r="X108" s="1363"/>
      <c r="Y108" s="1363"/>
      <c r="Z108" s="1363"/>
      <c r="AA108" s="1363"/>
      <c r="AB108" s="1363"/>
    </row>
    <row r="109" spans="2:28" ht="15" customHeight="1">
      <c r="B109" s="721">
        <v>3</v>
      </c>
      <c r="C109" s="1363" t="str">
        <f>IFERROR(IF(VLOOKUP($AD$4,_prestasi2,6,FALSE)="","-",VLOOKUP($AD$4,_prestasi2,6,FALSE)),"-")</f>
        <v>-</v>
      </c>
      <c r="D109" s="1363"/>
      <c r="E109" s="1363"/>
      <c r="F109" s="1363"/>
      <c r="G109" s="1363"/>
      <c r="H109" s="1363"/>
      <c r="I109" s="1363"/>
      <c r="J109" s="1363"/>
      <c r="K109" s="1363"/>
      <c r="L109" s="1363"/>
      <c r="M109" s="1363"/>
      <c r="N109" s="1363"/>
      <c r="O109" s="1363"/>
      <c r="P109" s="1363"/>
      <c r="Q109" s="1363"/>
      <c r="R109" s="1363"/>
      <c r="S109" s="1363"/>
      <c r="T109" s="1363"/>
      <c r="U109" s="1363"/>
      <c r="V109" s="1363"/>
      <c r="W109" s="1363"/>
      <c r="X109" s="1363"/>
      <c r="Y109" s="1363"/>
      <c r="Z109" s="1363"/>
      <c r="AA109" s="1363"/>
      <c r="AB109" s="1363"/>
    </row>
    <row r="110" spans="2:28" ht="6.95" customHeight="1"/>
    <row r="111" spans="2:28" ht="15" customHeight="1">
      <c r="B111" s="720" t="s">
        <v>617</v>
      </c>
    </row>
    <row r="112" spans="2:28" ht="15" customHeight="1">
      <c r="B112" s="1364" t="str">
        <f>IFERROR(VLOOKUP(AD4,_Leger2,60,FALSE),"-")</f>
        <v>Tingkatkan prestasi belajarmu!</v>
      </c>
      <c r="C112" s="1365"/>
      <c r="D112" s="1365"/>
      <c r="E112" s="1365"/>
      <c r="F112" s="1365"/>
      <c r="G112" s="1365"/>
      <c r="H112" s="1365"/>
      <c r="I112" s="1365"/>
      <c r="J112" s="1365"/>
      <c r="K112" s="1365"/>
      <c r="L112" s="1365"/>
      <c r="M112" s="1365"/>
      <c r="N112" s="1365"/>
      <c r="O112" s="1365"/>
      <c r="P112" s="1365"/>
      <c r="Q112" s="1365"/>
      <c r="R112" s="1365"/>
      <c r="S112" s="1365"/>
      <c r="T112" s="1365"/>
      <c r="U112" s="1365"/>
      <c r="V112" s="1365"/>
      <c r="W112" s="1365"/>
      <c r="X112" s="1365"/>
      <c r="Y112" s="1365"/>
      <c r="Z112" s="1365"/>
      <c r="AA112" s="1365"/>
      <c r="AB112" s="1366"/>
    </row>
    <row r="113" spans="2:28" ht="15" customHeight="1">
      <c r="B113" s="1367"/>
      <c r="C113" s="1368"/>
      <c r="D113" s="1368"/>
      <c r="E113" s="1368"/>
      <c r="F113" s="1368"/>
      <c r="G113" s="1368"/>
      <c r="H113" s="1368"/>
      <c r="I113" s="1368"/>
      <c r="J113" s="1368"/>
      <c r="K113" s="1368"/>
      <c r="L113" s="1368"/>
      <c r="M113" s="1368"/>
      <c r="N113" s="1368"/>
      <c r="O113" s="1368"/>
      <c r="P113" s="1368"/>
      <c r="Q113" s="1368"/>
      <c r="R113" s="1368"/>
      <c r="S113" s="1368"/>
      <c r="T113" s="1368"/>
      <c r="U113" s="1368"/>
      <c r="V113" s="1368"/>
      <c r="W113" s="1368"/>
      <c r="X113" s="1368"/>
      <c r="Y113" s="1368"/>
      <c r="Z113" s="1368"/>
      <c r="AA113" s="1368"/>
      <c r="AB113" s="1369"/>
    </row>
    <row r="114" spans="2:28" ht="15" customHeight="1">
      <c r="B114" s="1370"/>
      <c r="C114" s="1371"/>
      <c r="D114" s="1371"/>
      <c r="E114" s="1371"/>
      <c r="F114" s="1371"/>
      <c r="G114" s="1371"/>
      <c r="H114" s="1371"/>
      <c r="I114" s="1371"/>
      <c r="J114" s="1371"/>
      <c r="K114" s="1371"/>
      <c r="L114" s="1371"/>
      <c r="M114" s="1371"/>
      <c r="N114" s="1371"/>
      <c r="O114" s="1371"/>
      <c r="P114" s="1371"/>
      <c r="Q114" s="1371"/>
      <c r="R114" s="1371"/>
      <c r="S114" s="1371"/>
      <c r="T114" s="1371"/>
      <c r="U114" s="1371"/>
      <c r="V114" s="1371"/>
      <c r="W114" s="1371"/>
      <c r="X114" s="1371"/>
      <c r="Y114" s="1371"/>
      <c r="Z114" s="1371"/>
      <c r="AA114" s="1371"/>
      <c r="AB114" s="1372"/>
    </row>
    <row r="115" spans="2:28" ht="6.95" customHeight="1"/>
    <row r="116" spans="2:28" ht="15" customHeight="1">
      <c r="B116" s="720" t="s">
        <v>618</v>
      </c>
    </row>
    <row r="117" spans="2:28" ht="15" customHeight="1">
      <c r="B117" s="1428"/>
      <c r="C117" s="1428"/>
      <c r="D117" s="1428"/>
      <c r="E117" s="1428"/>
      <c r="F117" s="1428"/>
      <c r="G117" s="1428"/>
      <c r="H117" s="1428"/>
      <c r="I117" s="1428"/>
      <c r="J117" s="1428"/>
      <c r="K117" s="1428"/>
      <c r="L117" s="1428"/>
      <c r="M117" s="1428"/>
      <c r="N117" s="1428"/>
      <c r="O117" s="1428"/>
      <c r="P117" s="1428"/>
      <c r="Q117" s="1428"/>
      <c r="R117" s="1428"/>
      <c r="S117" s="1428"/>
      <c r="T117" s="1428"/>
      <c r="U117" s="1428"/>
      <c r="V117" s="1428"/>
      <c r="W117" s="1428"/>
      <c r="X117" s="1428"/>
      <c r="Y117" s="1428"/>
      <c r="Z117" s="1428"/>
      <c r="AA117" s="1428"/>
      <c r="AB117" s="1428"/>
    </row>
    <row r="118" spans="2:28" ht="15" customHeight="1">
      <c r="B118" s="1428"/>
      <c r="C118" s="1428"/>
      <c r="D118" s="1428"/>
      <c r="E118" s="1428"/>
      <c r="F118" s="1428"/>
      <c r="G118" s="1428"/>
      <c r="H118" s="1428"/>
      <c r="I118" s="1428"/>
      <c r="J118" s="1428"/>
      <c r="K118" s="1428"/>
      <c r="L118" s="1428"/>
      <c r="M118" s="1428"/>
      <c r="N118" s="1428"/>
      <c r="O118" s="1428"/>
      <c r="P118" s="1428"/>
      <c r="Q118" s="1428"/>
      <c r="R118" s="1428"/>
      <c r="S118" s="1428"/>
      <c r="T118" s="1428"/>
      <c r="U118" s="1428"/>
      <c r="V118" s="1428"/>
      <c r="W118" s="1428"/>
      <c r="X118" s="1428"/>
      <c r="Y118" s="1428"/>
      <c r="Z118" s="1428"/>
      <c r="AA118" s="1428"/>
      <c r="AB118" s="1428"/>
    </row>
    <row r="119" spans="2:28" ht="15" customHeight="1">
      <c r="B119" s="1428"/>
      <c r="C119" s="1428"/>
      <c r="D119" s="1428"/>
      <c r="E119" s="1428"/>
      <c r="F119" s="1428"/>
      <c r="G119" s="1428"/>
      <c r="H119" s="1428"/>
      <c r="I119" s="1428"/>
      <c r="J119" s="1428"/>
      <c r="K119" s="1428"/>
      <c r="L119" s="1428"/>
      <c r="M119" s="1428"/>
      <c r="N119" s="1428"/>
      <c r="O119" s="1428"/>
      <c r="P119" s="1428"/>
      <c r="Q119" s="1428"/>
      <c r="R119" s="1428"/>
      <c r="S119" s="1428"/>
      <c r="T119" s="1428"/>
      <c r="U119" s="1428"/>
      <c r="V119" s="1428"/>
      <c r="W119" s="1428"/>
      <c r="X119" s="1428"/>
      <c r="Y119" s="1428"/>
      <c r="Z119" s="1428"/>
      <c r="AA119" s="1428"/>
      <c r="AB119" s="1428"/>
    </row>
    <row r="120" spans="2:28" ht="6.95" customHeight="1"/>
    <row r="121" spans="2:28" ht="15" customHeight="1">
      <c r="B121" s="720" t="s">
        <v>619</v>
      </c>
      <c r="O121" s="1416" t="s">
        <v>366</v>
      </c>
      <c r="P121" s="1417"/>
      <c r="Q121" s="1417"/>
      <c r="R121" s="1417"/>
      <c r="S121" s="1417"/>
      <c r="T121" s="1417"/>
      <c r="U121" s="1417"/>
      <c r="V121" s="1417"/>
      <c r="W121" s="1417"/>
      <c r="X121" s="1417"/>
      <c r="Y121" s="1417"/>
      <c r="Z121" s="1417"/>
      <c r="AA121" s="1417"/>
      <c r="AB121" s="1418"/>
    </row>
    <row r="122" spans="2:28" ht="15" customHeight="1">
      <c r="B122" s="1373" t="s">
        <v>63</v>
      </c>
      <c r="C122" s="1374"/>
      <c r="D122" s="1374"/>
      <c r="E122" s="1374"/>
      <c r="F122" s="1374"/>
      <c r="G122" s="1374"/>
      <c r="H122" s="737" t="s">
        <v>2</v>
      </c>
      <c r="I122" s="738" t="str">
        <f>IFERROR(VLOOKUP($AD$4,_Leger2,53,FALSE),"-")</f>
        <v>-</v>
      </c>
      <c r="J122" s="1375" t="s">
        <v>187</v>
      </c>
      <c r="K122" s="1375"/>
      <c r="L122" s="1375"/>
      <c r="M122" s="740"/>
      <c r="O122" s="1419" t="str">
        <f>"Berdasarkan penilaian hasil belajar pada Semester "&amp;_smt_ganjil&amp;" dan Semester "&amp;_smt_genap&amp;", siswa ditetapkan :"</f>
        <v>Berdasarkan penilaian hasil belajar pada Semester 3 (Tiga) dan Semester 4 (Empat), siswa ditetapkan :</v>
      </c>
      <c r="P122" s="1420"/>
      <c r="Q122" s="1420"/>
      <c r="R122" s="1420"/>
      <c r="S122" s="1420"/>
      <c r="T122" s="1420"/>
      <c r="U122" s="1420"/>
      <c r="V122" s="1420"/>
      <c r="W122" s="1420"/>
      <c r="X122" s="1420"/>
      <c r="Y122" s="1420"/>
      <c r="Z122" s="1420"/>
      <c r="AA122" s="1420"/>
      <c r="AB122" s="1421"/>
    </row>
    <row r="123" spans="2:28" ht="15" customHeight="1">
      <c r="B123" s="1373" t="s">
        <v>64</v>
      </c>
      <c r="C123" s="1374"/>
      <c r="D123" s="1374"/>
      <c r="E123" s="1374"/>
      <c r="F123" s="1374"/>
      <c r="G123" s="1374"/>
      <c r="H123" s="737" t="s">
        <v>2</v>
      </c>
      <c r="I123" s="738" t="str">
        <f>IFERROR(VLOOKUP($AD$4,_Leger2,54,FALSE),"-")</f>
        <v>-</v>
      </c>
      <c r="J123" s="1375" t="s">
        <v>187</v>
      </c>
      <c r="K123" s="1375"/>
      <c r="L123" s="1375"/>
      <c r="M123" s="740"/>
      <c r="O123" s="1422"/>
      <c r="P123" s="1423"/>
      <c r="Q123" s="1423"/>
      <c r="R123" s="1423"/>
      <c r="S123" s="1423"/>
      <c r="T123" s="1423"/>
      <c r="U123" s="1423"/>
      <c r="V123" s="1423"/>
      <c r="W123" s="1423"/>
      <c r="X123" s="1423"/>
      <c r="Y123" s="1423"/>
      <c r="Z123" s="1423"/>
      <c r="AA123" s="1423"/>
      <c r="AB123" s="1424"/>
    </row>
    <row r="124" spans="2:28" ht="15" customHeight="1">
      <c r="B124" s="1373" t="s">
        <v>186</v>
      </c>
      <c r="C124" s="1374"/>
      <c r="D124" s="1374"/>
      <c r="E124" s="1374"/>
      <c r="F124" s="1374"/>
      <c r="G124" s="1374"/>
      <c r="H124" s="737" t="s">
        <v>2</v>
      </c>
      <c r="I124" s="738" t="str">
        <f>IFERROR(VLOOKUP($AD$4,_Leger2,55,FALSE),"-")</f>
        <v>-</v>
      </c>
      <c r="J124" s="1375" t="s">
        <v>187</v>
      </c>
      <c r="K124" s="1375"/>
      <c r="L124" s="1375"/>
      <c r="M124" s="740"/>
      <c r="O124" s="1425" t="str">
        <f>IFERROR(IF(_smt_genap="6 (Enam)",_ket_lulus,_ket_naik),"-")</f>
        <v>Naik ke Kelas IX</v>
      </c>
      <c r="P124" s="1426"/>
      <c r="Q124" s="1426"/>
      <c r="R124" s="1426"/>
      <c r="S124" s="1426"/>
      <c r="T124" s="1426"/>
      <c r="U124" s="1426"/>
      <c r="V124" s="1426"/>
      <c r="W124" s="1426"/>
      <c r="X124" s="1426"/>
      <c r="Y124" s="1426"/>
      <c r="Z124" s="1426"/>
      <c r="AA124" s="1426"/>
      <c r="AB124" s="1427"/>
    </row>
    <row r="125" spans="2:28" ht="12.75" customHeight="1">
      <c r="B125" s="747"/>
      <c r="C125" s="747"/>
      <c r="D125" s="747"/>
      <c r="E125" s="747"/>
      <c r="F125" s="747"/>
      <c r="G125" s="747"/>
      <c r="H125" s="747"/>
      <c r="I125" s="747"/>
      <c r="J125" s="747"/>
      <c r="K125" s="747"/>
      <c r="L125" s="747"/>
      <c r="M125" s="747"/>
      <c r="N125" s="747"/>
      <c r="O125" s="747"/>
      <c r="P125" s="747"/>
      <c r="Q125" s="747"/>
      <c r="R125" s="747"/>
      <c r="S125" s="747"/>
      <c r="T125" s="747"/>
      <c r="U125" s="747"/>
      <c r="V125" s="747"/>
      <c r="W125" s="747"/>
      <c r="X125" s="747"/>
      <c r="Y125" s="747"/>
      <c r="Z125" s="747"/>
      <c r="AA125" s="747"/>
      <c r="AB125" s="747"/>
    </row>
    <row r="126" spans="2:28" ht="15" customHeight="1">
      <c r="B126" s="1351" t="s">
        <v>189</v>
      </c>
      <c r="C126" s="1351"/>
      <c r="D126" s="1351"/>
      <c r="E126" s="1351"/>
      <c r="F126" s="1351"/>
      <c r="G126" s="1351"/>
      <c r="H126" s="1351"/>
      <c r="I126" s="1351"/>
      <c r="J126" s="1351"/>
      <c r="T126" s="1352" t="str">
        <f>_tempat_penyerahan&amp;", "&amp;_tgl_rapor_genap</f>
        <v>Abung Surakarta, 22 Juni 2020</v>
      </c>
      <c r="U126" s="1352"/>
      <c r="V126" s="1352"/>
      <c r="W126" s="1352"/>
      <c r="X126" s="1352"/>
      <c r="Y126" s="1352"/>
      <c r="Z126" s="1352"/>
      <c r="AA126" s="1352"/>
      <c r="AB126" s="1352"/>
    </row>
    <row r="127" spans="2:28" ht="15" customHeight="1">
      <c r="B127" s="1351" t="s">
        <v>190</v>
      </c>
      <c r="C127" s="1352"/>
      <c r="D127" s="1352"/>
      <c r="E127" s="1352"/>
      <c r="F127" s="1352"/>
      <c r="G127" s="1352"/>
      <c r="H127" s="1352"/>
      <c r="I127" s="1352"/>
      <c r="J127" s="1352"/>
      <c r="T127" s="1351" t="s">
        <v>149</v>
      </c>
      <c r="U127" s="1352"/>
      <c r="V127" s="1352"/>
      <c r="W127" s="1352"/>
      <c r="X127" s="1352"/>
      <c r="Y127" s="1352"/>
      <c r="Z127" s="1352"/>
      <c r="AA127" s="1352"/>
      <c r="AB127" s="1352"/>
    </row>
    <row r="128" spans="2:28" ht="15" customHeight="1"/>
    <row r="129" spans="1:28" ht="15" customHeight="1"/>
    <row r="130" spans="1:28" ht="9" customHeight="1"/>
    <row r="131" spans="1:28" ht="15" customHeight="1"/>
    <row r="132" spans="1:28" ht="15" customHeight="1">
      <c r="A132" s="742" t="str">
        <f>IFERROR(IF(AND(VLOOKUP(AD4,_Biodata_Lengkap,20,FALSE)="Meninggal Dunia",VLOOKUP(AD4,_Biodata_Lengkap,25,FALSE)="Meninggal Dunia"),VLOOKUP(AD4,_Biodata_Lengkap,26,FALSE),IF(AND(VLOOKUP(AD4,_Biodata_Lengkap,20,FALSE)="Meninggal Dunia",VLOOKUP(AD4,_Biodata_Lengkap,25,FALSE)="Masih Hidup"),VLOOKUP(AD4,_Biodata_Lengkap,21,FALSE),VLOOKUP(AD4,_Biodata_Lengkap,16,FALSE))),"-")</f>
        <v>ANDI CAWARMAN</v>
      </c>
      <c r="B132" s="1353" t="str">
        <f>IF(A132=0,"-",A132)</f>
        <v>ANDI CAWARMAN</v>
      </c>
      <c r="C132" s="1353"/>
      <c r="D132" s="1353"/>
      <c r="E132" s="1353"/>
      <c r="F132" s="1353"/>
      <c r="G132" s="1353"/>
      <c r="H132" s="1353"/>
      <c r="I132" s="1353"/>
      <c r="J132" s="1353"/>
      <c r="T132" s="1353" t="str">
        <f>IF(DK!D6=0,"-",DK!D6)</f>
        <v>Siti Kotijah, S.Pd.</v>
      </c>
      <c r="U132" s="1353"/>
      <c r="V132" s="1353"/>
      <c r="W132" s="1353"/>
      <c r="X132" s="1353"/>
      <c r="Y132" s="1353"/>
      <c r="Z132" s="1353"/>
      <c r="AA132" s="1353"/>
      <c r="AB132" s="1353"/>
    </row>
    <row r="133" spans="1:28" ht="15" customHeight="1">
      <c r="B133" s="1352"/>
      <c r="C133" s="1352"/>
      <c r="D133" s="1352"/>
      <c r="E133" s="1352"/>
      <c r="F133" s="1352"/>
      <c r="G133" s="1352"/>
      <c r="H133" s="1352"/>
      <c r="I133" s="1352"/>
      <c r="J133" s="1352"/>
      <c r="T133" s="1352" t="str">
        <f>IF(DK!D7=0,"NIP. -","NIP. "&amp;DK!D7)</f>
        <v>NIP. 19700120199501 2 001</v>
      </c>
      <c r="U133" s="1352"/>
      <c r="V133" s="1352"/>
      <c r="W133" s="1352"/>
      <c r="X133" s="1352"/>
      <c r="Y133" s="1352"/>
      <c r="Z133" s="1352"/>
      <c r="AA133" s="1352"/>
      <c r="AB133" s="1352"/>
    </row>
    <row r="134" spans="1:28" ht="15" customHeight="1">
      <c r="B134" s="1351" t="s">
        <v>189</v>
      </c>
      <c r="C134" s="1352"/>
      <c r="D134" s="1352"/>
      <c r="E134" s="1352"/>
      <c r="F134" s="1352"/>
      <c r="G134" s="1352"/>
      <c r="H134" s="1352"/>
      <c r="I134" s="1352"/>
      <c r="J134" s="1352"/>
      <c r="K134" s="1352"/>
      <c r="L134" s="1352"/>
      <c r="M134" s="1352"/>
      <c r="N134" s="1352"/>
      <c r="O134" s="1352"/>
      <c r="P134" s="1352"/>
      <c r="Q134" s="1352"/>
      <c r="R134" s="1352"/>
      <c r="S134" s="1352"/>
      <c r="T134" s="1352"/>
      <c r="U134" s="1352"/>
      <c r="V134" s="1352"/>
      <c r="W134" s="1352"/>
      <c r="X134" s="1352"/>
      <c r="Y134" s="1352"/>
      <c r="Z134" s="1352"/>
      <c r="AA134" s="1352"/>
      <c r="AB134" s="1352"/>
    </row>
    <row r="135" spans="1:28" ht="15" customHeight="1">
      <c r="B135" s="1352" t="str">
        <f>"Kepala "&amp;_sekolah_label</f>
        <v>Kepala SMP Negeri 1 Abung Surakarta</v>
      </c>
      <c r="C135" s="1352"/>
      <c r="D135" s="1352"/>
      <c r="E135" s="1352"/>
      <c r="F135" s="1352"/>
      <c r="G135" s="1352"/>
      <c r="H135" s="1352"/>
      <c r="I135" s="1352"/>
      <c r="J135" s="1352"/>
      <c r="K135" s="1352"/>
      <c r="L135" s="1352"/>
      <c r="M135" s="1352"/>
      <c r="N135" s="1352"/>
      <c r="O135" s="1352"/>
      <c r="P135" s="1352"/>
      <c r="Q135" s="1352"/>
      <c r="R135" s="1352"/>
      <c r="S135" s="1352"/>
      <c r="T135" s="1352"/>
      <c r="U135" s="1352"/>
      <c r="V135" s="1352"/>
      <c r="W135" s="1352"/>
      <c r="X135" s="1352"/>
      <c r="Y135" s="1352"/>
      <c r="Z135" s="1352"/>
      <c r="AA135" s="1352"/>
      <c r="AB135" s="1352"/>
    </row>
    <row r="136" spans="1:28" ht="15" customHeight="1"/>
    <row r="137" spans="1:28" ht="9" customHeight="1"/>
    <row r="138" spans="1:28" ht="15" customHeight="1"/>
    <row r="139" spans="1:28" ht="15" customHeight="1"/>
    <row r="140" spans="1:28" ht="15" customHeight="1">
      <c r="B140" s="1353" t="str">
        <f>_kepsek</f>
        <v>Hj. YURNILAWATI, S.Pd.I</v>
      </c>
      <c r="C140" s="1353"/>
      <c r="D140" s="1353"/>
      <c r="E140" s="1353"/>
      <c r="F140" s="1353"/>
      <c r="G140" s="1353"/>
      <c r="H140" s="1353"/>
      <c r="I140" s="1353"/>
      <c r="J140" s="1353"/>
      <c r="K140" s="1353"/>
      <c r="L140" s="1353"/>
      <c r="M140" s="1353"/>
      <c r="N140" s="1353"/>
      <c r="O140" s="1353"/>
      <c r="P140" s="1353"/>
      <c r="Q140" s="1353"/>
      <c r="R140" s="1353"/>
      <c r="S140" s="1353"/>
      <c r="T140" s="1353"/>
      <c r="U140" s="1353"/>
      <c r="V140" s="1353"/>
      <c r="W140" s="1353"/>
      <c r="X140" s="1353"/>
      <c r="Y140" s="1353"/>
      <c r="Z140" s="1353"/>
      <c r="AA140" s="1353"/>
      <c r="AB140" s="1353"/>
    </row>
    <row r="141" spans="1:28" ht="15" customHeight="1">
      <c r="B141" s="1352" t="str">
        <f>"NIP. "&amp;_nip_kepsek</f>
        <v>NIP. 19590208 198102 2 001</v>
      </c>
      <c r="C141" s="1352"/>
      <c r="D141" s="1352"/>
      <c r="E141" s="1352"/>
      <c r="F141" s="1352"/>
      <c r="G141" s="1352"/>
      <c r="H141" s="1352"/>
      <c r="I141" s="1352"/>
      <c r="J141" s="1352"/>
      <c r="K141" s="1352"/>
      <c r="L141" s="1352"/>
      <c r="M141" s="1352"/>
      <c r="N141" s="1352"/>
      <c r="O141" s="1352"/>
      <c r="P141" s="1352"/>
      <c r="Q141" s="1352"/>
      <c r="R141" s="1352"/>
      <c r="S141" s="1352"/>
      <c r="T141" s="1352"/>
      <c r="U141" s="1352"/>
      <c r="V141" s="1352"/>
      <c r="W141" s="1352"/>
      <c r="X141" s="1352"/>
      <c r="Y141" s="1352"/>
      <c r="Z141" s="1352"/>
      <c r="AA141" s="1352"/>
      <c r="AB141" s="1352"/>
    </row>
    <row r="142" spans="1:28" ht="6" customHeight="1">
      <c r="B142" s="198"/>
      <c r="C142" s="198"/>
      <c r="D142" s="198"/>
      <c r="E142" s="198"/>
      <c r="F142" s="198"/>
      <c r="G142" s="198"/>
      <c r="H142" s="198"/>
      <c r="I142" s="198"/>
      <c r="J142" s="198"/>
      <c r="K142" s="198"/>
      <c r="L142" s="198"/>
      <c r="M142" s="198"/>
      <c r="N142" s="198"/>
      <c r="O142" s="198"/>
      <c r="P142" s="198"/>
      <c r="Q142" s="198"/>
      <c r="R142" s="198"/>
      <c r="S142" s="198"/>
      <c r="T142" s="198"/>
      <c r="U142" s="198"/>
      <c r="V142" s="198"/>
      <c r="W142" s="198"/>
      <c r="X142" s="198"/>
      <c r="Y142" s="198"/>
      <c r="Z142" s="198"/>
      <c r="AA142" s="198"/>
      <c r="AB142" s="198"/>
    </row>
    <row r="143" spans="1:28" ht="6.75" customHeight="1">
      <c r="B143" s="198"/>
      <c r="C143" s="198"/>
      <c r="D143" s="198"/>
      <c r="E143" s="198"/>
      <c r="F143" s="198"/>
      <c r="G143" s="198"/>
      <c r="H143" s="198"/>
      <c r="I143" s="198"/>
      <c r="J143" s="198"/>
      <c r="K143" s="198"/>
      <c r="L143" s="198"/>
      <c r="M143" s="198"/>
      <c r="N143" s="198"/>
      <c r="O143" s="198"/>
      <c r="P143" s="198"/>
      <c r="Q143" s="198"/>
      <c r="R143" s="198"/>
      <c r="S143" s="198"/>
      <c r="T143" s="198"/>
      <c r="U143" s="198"/>
      <c r="V143" s="198"/>
      <c r="W143" s="198"/>
      <c r="X143" s="198"/>
      <c r="Y143" s="198"/>
      <c r="Z143" s="198"/>
      <c r="AA143" s="198"/>
      <c r="AB143" s="198"/>
    </row>
    <row r="144" spans="1:28" ht="18" customHeight="1">
      <c r="B144" s="198"/>
      <c r="C144" s="198"/>
      <c r="D144" s="198"/>
      <c r="E144" s="198"/>
      <c r="F144" s="198"/>
      <c r="G144" s="198"/>
      <c r="H144" s="198"/>
      <c r="I144" s="198"/>
      <c r="J144" s="198"/>
      <c r="K144" s="198"/>
      <c r="L144" s="198"/>
      <c r="M144" s="198"/>
      <c r="N144" s="198"/>
      <c r="O144" s="198"/>
      <c r="P144" s="198"/>
      <c r="Q144" s="198"/>
      <c r="R144" s="198"/>
      <c r="S144" s="198"/>
      <c r="T144" s="198"/>
      <c r="U144" s="198"/>
      <c r="V144" s="198"/>
      <c r="W144" s="198"/>
      <c r="X144" s="198"/>
      <c r="Y144" s="198"/>
      <c r="Z144" s="198"/>
      <c r="AA144" s="198"/>
      <c r="AB144" s="198"/>
    </row>
    <row r="145" spans="2:28" ht="15" customHeight="1">
      <c r="B145" s="198"/>
      <c r="C145" s="198"/>
      <c r="D145" s="198"/>
      <c r="E145" s="198"/>
      <c r="F145" s="198"/>
      <c r="G145" s="198"/>
      <c r="H145" s="198"/>
      <c r="I145" s="198"/>
      <c r="J145" s="198"/>
      <c r="K145" s="198"/>
      <c r="L145" s="198"/>
      <c r="M145" s="198"/>
      <c r="N145" s="198"/>
      <c r="O145" s="198"/>
      <c r="P145" s="198"/>
      <c r="Q145" s="198"/>
      <c r="R145" s="198"/>
      <c r="S145" s="198"/>
      <c r="T145" s="198"/>
      <c r="U145" s="198"/>
      <c r="V145" s="198"/>
      <c r="W145" s="198"/>
      <c r="X145" s="198"/>
      <c r="Y145" s="198"/>
      <c r="Z145" s="198"/>
      <c r="AA145" s="198"/>
      <c r="AB145" s="198"/>
    </row>
    <row r="146" spans="2:28" ht="15" hidden="1" customHeight="1">
      <c r="B146" s="198"/>
      <c r="C146" s="198"/>
      <c r="D146" s="198"/>
      <c r="E146" s="198"/>
      <c r="F146" s="198"/>
      <c r="G146" s="198"/>
      <c r="H146" s="198"/>
      <c r="I146" s="198"/>
      <c r="J146" s="198"/>
      <c r="K146" s="198"/>
      <c r="L146" s="198"/>
      <c r="M146" s="198"/>
      <c r="N146" s="198"/>
      <c r="O146" s="198"/>
      <c r="P146" s="198"/>
      <c r="Q146" s="198"/>
      <c r="R146" s="198"/>
      <c r="S146" s="198"/>
      <c r="T146" s="198"/>
      <c r="U146" s="198"/>
      <c r="V146" s="198"/>
      <c r="W146" s="198"/>
      <c r="X146" s="198"/>
      <c r="Y146" s="198"/>
      <c r="Z146" s="198"/>
      <c r="AA146" s="198"/>
      <c r="AB146" s="198"/>
    </row>
    <row r="147" spans="2:28" ht="15" hidden="1" customHeight="1">
      <c r="B147" s="198"/>
      <c r="C147" s="198"/>
      <c r="D147" s="198"/>
      <c r="E147" s="198"/>
      <c r="F147" s="198"/>
      <c r="G147" s="198"/>
      <c r="H147" s="198"/>
      <c r="I147" s="198"/>
      <c r="J147" s="198"/>
      <c r="K147" s="198"/>
      <c r="L147" s="198"/>
      <c r="M147" s="198"/>
      <c r="N147" s="198"/>
      <c r="O147" s="198"/>
      <c r="P147" s="198"/>
      <c r="Q147" s="198"/>
      <c r="R147" s="198"/>
      <c r="S147" s="198"/>
      <c r="T147" s="198"/>
      <c r="U147" s="198"/>
      <c r="V147" s="198"/>
      <c r="W147" s="198"/>
      <c r="X147" s="198"/>
      <c r="Y147" s="198"/>
      <c r="Z147" s="198"/>
      <c r="AA147" s="198"/>
      <c r="AB147" s="198"/>
    </row>
    <row r="148" spans="2:28" ht="15" hidden="1" customHeight="1">
      <c r="B148" s="198"/>
      <c r="C148" s="198"/>
      <c r="D148" s="198"/>
      <c r="E148" s="198"/>
      <c r="F148" s="198"/>
      <c r="G148" s="198"/>
      <c r="H148" s="198"/>
      <c r="I148" s="198"/>
      <c r="J148" s="198"/>
      <c r="K148" s="198"/>
      <c r="L148" s="198"/>
      <c r="M148" s="198"/>
      <c r="N148" s="198"/>
      <c r="O148" s="198"/>
      <c r="P148" s="198"/>
      <c r="Q148" s="198"/>
      <c r="R148" s="198"/>
      <c r="S148" s="198"/>
      <c r="T148" s="198"/>
      <c r="U148" s="198"/>
      <c r="V148" s="198"/>
      <c r="W148" s="198"/>
      <c r="X148" s="198"/>
      <c r="Y148" s="198"/>
      <c r="Z148" s="198"/>
      <c r="AA148" s="198"/>
      <c r="AB148" s="198"/>
    </row>
    <row r="149" spans="2:28" ht="19.5" hidden="1" customHeight="1">
      <c r="B149" s="198"/>
      <c r="C149" s="198"/>
      <c r="D149" s="198"/>
      <c r="E149" s="198"/>
      <c r="F149" s="198"/>
      <c r="G149" s="198"/>
      <c r="H149" s="198"/>
      <c r="I149" s="198"/>
      <c r="J149" s="198"/>
      <c r="K149" s="198"/>
      <c r="L149" s="198"/>
      <c r="M149" s="198"/>
      <c r="N149" s="198"/>
      <c r="O149" s="198"/>
      <c r="P149" s="198"/>
      <c r="Q149" s="198"/>
      <c r="R149" s="198"/>
      <c r="S149" s="198"/>
      <c r="T149" s="198"/>
      <c r="U149" s="198"/>
      <c r="V149" s="198"/>
      <c r="W149" s="198"/>
      <c r="X149" s="198"/>
      <c r="Y149" s="198"/>
      <c r="Z149" s="198"/>
      <c r="AA149" s="198"/>
      <c r="AB149" s="198"/>
    </row>
    <row r="150" spans="2:28" ht="15" customHeight="1">
      <c r="B150" s="198"/>
      <c r="C150" s="198"/>
      <c r="D150" s="198"/>
      <c r="E150" s="198"/>
      <c r="F150" s="198"/>
      <c r="G150" s="198"/>
      <c r="H150" s="198"/>
      <c r="I150" s="198"/>
      <c r="J150" s="198"/>
      <c r="K150" s="198"/>
      <c r="L150" s="198"/>
      <c r="M150" s="198"/>
      <c r="N150" s="198"/>
      <c r="O150" s="198"/>
      <c r="P150" s="198"/>
      <c r="Q150" s="198"/>
      <c r="R150" s="198"/>
      <c r="S150" s="198"/>
      <c r="T150" s="198"/>
      <c r="U150" s="198"/>
      <c r="V150" s="198"/>
      <c r="W150" s="198"/>
      <c r="X150" s="198"/>
      <c r="Y150" s="198"/>
      <c r="Z150" s="198"/>
      <c r="AA150" s="198"/>
      <c r="AB150" s="198"/>
    </row>
    <row r="151" spans="2:28" ht="15" hidden="1" customHeight="1"/>
    <row r="152" spans="2:28" ht="15" hidden="1" customHeight="1">
      <c r="B152" s="720" t="s">
        <v>194</v>
      </c>
    </row>
    <row r="153" spans="2:28" ht="15" hidden="1" customHeight="1">
      <c r="B153" s="1350" t="s">
        <v>80</v>
      </c>
      <c r="C153" s="1350"/>
      <c r="D153" s="1350"/>
      <c r="E153" s="1350"/>
      <c r="F153" s="1350"/>
      <c r="G153" s="1350"/>
      <c r="H153" s="1376" t="s">
        <v>113</v>
      </c>
      <c r="I153" s="1376"/>
      <c r="J153" s="1376"/>
      <c r="K153" s="1376"/>
      <c r="L153" s="1376"/>
      <c r="M153" s="1376"/>
      <c r="N153" s="1376"/>
      <c r="O153" s="1376"/>
      <c r="P153" s="1376"/>
      <c r="Q153" s="1376"/>
      <c r="R153" s="1376"/>
      <c r="S153" s="1376"/>
      <c r="T153" s="1376"/>
      <c r="U153" s="1376"/>
      <c r="V153" s="1376"/>
      <c r="W153" s="1376"/>
      <c r="X153" s="1376"/>
      <c r="Y153" s="1376"/>
      <c r="Z153" s="1376"/>
      <c r="AA153" s="1376"/>
      <c r="AB153" s="1376"/>
    </row>
    <row r="154" spans="2:28" ht="15" hidden="1" customHeight="1">
      <c r="B154" s="1350"/>
      <c r="C154" s="1350"/>
      <c r="D154" s="1350"/>
      <c r="E154" s="1350"/>
      <c r="F154" s="1350"/>
      <c r="G154" s="1350"/>
      <c r="H154" s="1376" t="s">
        <v>195</v>
      </c>
      <c r="I154" s="1376"/>
      <c r="J154" s="1376"/>
      <c r="K154" s="1376"/>
      <c r="L154" s="1376"/>
      <c r="M154" s="1376"/>
      <c r="N154" s="1376"/>
      <c r="O154" s="1376" t="s">
        <v>196</v>
      </c>
      <c r="P154" s="1376"/>
      <c r="Q154" s="1376"/>
      <c r="R154" s="1376"/>
      <c r="S154" s="1376"/>
      <c r="T154" s="1376"/>
      <c r="U154" s="1376" t="s">
        <v>197</v>
      </c>
      <c r="V154" s="1376"/>
      <c r="W154" s="1376"/>
      <c r="X154" s="1376"/>
      <c r="Y154" s="1376" t="s">
        <v>198</v>
      </c>
      <c r="Z154" s="1376"/>
      <c r="AA154" s="1376"/>
      <c r="AB154" s="1376"/>
    </row>
    <row r="155" spans="2:28" ht="15" hidden="1" customHeight="1">
      <c r="B155" s="1349">
        <v>60</v>
      </c>
      <c r="C155" s="1349"/>
      <c r="D155" s="1349"/>
      <c r="E155" s="1349"/>
      <c r="F155" s="1349"/>
      <c r="G155" s="1349"/>
      <c r="H155" s="1349" t="s">
        <v>199</v>
      </c>
      <c r="I155" s="1328"/>
      <c r="J155" s="1328"/>
      <c r="K155" s="1328"/>
      <c r="L155" s="1328"/>
      <c r="M155" s="1328"/>
      <c r="N155" s="1328"/>
      <c r="O155" s="1328" t="str">
        <f>B155&amp;"&lt;=N&lt;"&amp;74</f>
        <v>60&lt;=N&lt;74</v>
      </c>
      <c r="P155" s="1328"/>
      <c r="Q155" s="1328"/>
      <c r="R155" s="1328"/>
      <c r="S155" s="1328"/>
      <c r="T155" s="1328"/>
      <c r="U155" s="1328" t="str">
        <f>RIGHT(O155,2)&amp;"&lt;=N&lt;"&amp;88</f>
        <v>74&lt;=N&lt;88</v>
      </c>
      <c r="V155" s="1328"/>
      <c r="W155" s="1328"/>
      <c r="X155" s="1328"/>
      <c r="Y155" s="1328" t="str">
        <f>RIGHT(U155,2)&amp;"&lt;=N&lt;"&amp;100</f>
        <v>88&lt;=N&lt;100</v>
      </c>
      <c r="Z155" s="1328"/>
      <c r="AA155" s="1328"/>
      <c r="AB155" s="1328"/>
    </row>
    <row r="156" spans="2:28" ht="15" hidden="1" customHeight="1">
      <c r="B156" s="1349">
        <v>65</v>
      </c>
      <c r="C156" s="1349"/>
      <c r="D156" s="1349"/>
      <c r="E156" s="1349"/>
      <c r="F156" s="1349"/>
      <c r="G156" s="1349"/>
      <c r="H156" s="1349" t="s">
        <v>200</v>
      </c>
      <c r="I156" s="1328"/>
      <c r="J156" s="1328"/>
      <c r="K156" s="1328"/>
      <c r="L156" s="1328"/>
      <c r="M156" s="1328"/>
      <c r="N156" s="1328"/>
      <c r="O156" s="1328" t="str">
        <f>B156&amp;"&lt;=N&lt;"&amp;77</f>
        <v>65&lt;=N&lt;77</v>
      </c>
      <c r="P156" s="1328"/>
      <c r="Q156" s="1328"/>
      <c r="R156" s="1328"/>
      <c r="S156" s="1328"/>
      <c r="T156" s="1328"/>
      <c r="U156" s="1328" t="str">
        <f>RIGHT(O156,2)&amp;"&lt;=N&lt;"&amp;89</f>
        <v>77&lt;=N&lt;89</v>
      </c>
      <c r="V156" s="1328"/>
      <c r="W156" s="1328"/>
      <c r="X156" s="1328"/>
      <c r="Y156" s="1328" t="str">
        <f>RIGHT(U156,2)&amp;"&lt;=N&lt;"&amp;100</f>
        <v>89&lt;=N&lt;100</v>
      </c>
      <c r="Z156" s="1328"/>
      <c r="AA156" s="1328"/>
      <c r="AB156" s="1328"/>
    </row>
    <row r="157" spans="2:28" ht="15" hidden="1" customHeight="1">
      <c r="B157" s="1349">
        <v>70</v>
      </c>
      <c r="C157" s="1349"/>
      <c r="D157" s="1349"/>
      <c r="E157" s="1349"/>
      <c r="F157" s="1349"/>
      <c r="G157" s="1349"/>
      <c r="H157" s="1349" t="s">
        <v>201</v>
      </c>
      <c r="I157" s="1328"/>
      <c r="J157" s="1328"/>
      <c r="K157" s="1328"/>
      <c r="L157" s="1328"/>
      <c r="M157" s="1328"/>
      <c r="N157" s="1328"/>
      <c r="O157" s="1328" t="str">
        <f>B157&amp;"&lt;=N&lt;"&amp;80</f>
        <v>70&lt;=N&lt;80</v>
      </c>
      <c r="P157" s="1328"/>
      <c r="Q157" s="1328"/>
      <c r="R157" s="1328"/>
      <c r="S157" s="1328"/>
      <c r="T157" s="1328"/>
      <c r="U157" s="1328" t="str">
        <f>RIGHT(O157,2)&amp;"&lt;=N&lt;"&amp;90</f>
        <v>80&lt;=N&lt;90</v>
      </c>
      <c r="V157" s="1328"/>
      <c r="W157" s="1328"/>
      <c r="X157" s="1328"/>
      <c r="Y157" s="1328" t="str">
        <f>RIGHT(U157,2)&amp;"&lt;=N&lt;"&amp;100</f>
        <v>90&lt;=N&lt;100</v>
      </c>
      <c r="Z157" s="1328"/>
      <c r="AA157" s="1328"/>
      <c r="AB157" s="1328"/>
    </row>
    <row r="158" spans="2:28" ht="15" hidden="1" customHeight="1">
      <c r="B158" s="1349">
        <v>75</v>
      </c>
      <c r="C158" s="1349"/>
      <c r="D158" s="1349"/>
      <c r="E158" s="1349"/>
      <c r="F158" s="1349"/>
      <c r="G158" s="1349"/>
      <c r="H158" s="1349" t="s">
        <v>202</v>
      </c>
      <c r="I158" s="1328"/>
      <c r="J158" s="1328"/>
      <c r="K158" s="1328"/>
      <c r="L158" s="1328"/>
      <c r="M158" s="1328"/>
      <c r="N158" s="1328"/>
      <c r="O158" s="1328" t="str">
        <f>B158&amp;"&lt;=N&lt;"&amp;83</f>
        <v>75&lt;=N&lt;83</v>
      </c>
      <c r="P158" s="1328"/>
      <c r="Q158" s="1328"/>
      <c r="R158" s="1328"/>
      <c r="S158" s="1328"/>
      <c r="T158" s="1328"/>
      <c r="U158" s="1328" t="str">
        <f>RIGHT(O158,2)&amp;"&lt;=N&lt;"&amp;91</f>
        <v>83&lt;=N&lt;91</v>
      </c>
      <c r="V158" s="1328"/>
      <c r="W158" s="1328"/>
      <c r="X158" s="1328"/>
      <c r="Y158" s="1328" t="str">
        <f>RIGHT(U158,2)&amp;"&lt;=N&lt;"&amp;100</f>
        <v>91&lt;=N&lt;100</v>
      </c>
      <c r="Z158" s="1328"/>
      <c r="AA158" s="1328"/>
      <c r="AB158" s="1328"/>
    </row>
    <row r="159" spans="2:28" ht="15" hidden="1" customHeight="1">
      <c r="B159" s="1349">
        <v>80</v>
      </c>
      <c r="C159" s="1349"/>
      <c r="D159" s="1349"/>
      <c r="E159" s="1349"/>
      <c r="F159" s="1349"/>
      <c r="G159" s="1349"/>
      <c r="H159" s="1349" t="s">
        <v>203</v>
      </c>
      <c r="I159" s="1328"/>
      <c r="J159" s="1328"/>
      <c r="K159" s="1328"/>
      <c r="L159" s="1328"/>
      <c r="M159" s="1328"/>
      <c r="N159" s="1328"/>
      <c r="O159" s="1328" t="str">
        <f>B159&amp;"&lt;=N&lt;"&amp;86</f>
        <v>80&lt;=N&lt;86</v>
      </c>
      <c r="P159" s="1328"/>
      <c r="Q159" s="1328"/>
      <c r="R159" s="1328"/>
      <c r="S159" s="1328"/>
      <c r="T159" s="1328"/>
      <c r="U159" s="1328" t="str">
        <f>RIGHT(O159,2)&amp;"&lt;=N&lt;"&amp;92</f>
        <v>86&lt;=N&lt;92</v>
      </c>
      <c r="V159" s="1328"/>
      <c r="W159" s="1328"/>
      <c r="X159" s="1328"/>
      <c r="Y159" s="1328" t="str">
        <f>RIGHT(U159,2)&amp;"&lt;=N&lt;"&amp;100</f>
        <v>92&lt;=N&lt;100</v>
      </c>
      <c r="Z159" s="1328"/>
      <c r="AA159" s="1328"/>
      <c r="AB159" s="1328"/>
    </row>
    <row r="160" spans="2:28" ht="15" hidden="1" customHeight="1">
      <c r="B160" s="242"/>
      <c r="C160" s="242"/>
      <c r="D160" s="242"/>
      <c r="E160" s="242"/>
      <c r="F160" s="242"/>
      <c r="G160" s="242"/>
      <c r="H160" s="242"/>
      <c r="I160" s="743"/>
      <c r="J160" s="743"/>
      <c r="K160" s="743"/>
      <c r="L160" s="743"/>
      <c r="M160" s="743"/>
      <c r="N160" s="743"/>
      <c r="O160" s="743"/>
      <c r="P160" s="743"/>
      <c r="Q160" s="743"/>
      <c r="R160" s="743"/>
      <c r="S160" s="743"/>
      <c r="T160" s="743"/>
      <c r="U160" s="743"/>
      <c r="V160" s="743"/>
      <c r="W160" s="743"/>
      <c r="X160" s="743"/>
      <c r="Y160" s="743"/>
      <c r="Z160" s="743"/>
      <c r="AA160" s="743"/>
      <c r="AB160" s="743"/>
    </row>
    <row r="161" spans="2:28" ht="15" hidden="1" customHeight="1">
      <c r="B161" s="242"/>
      <c r="C161" s="242"/>
      <c r="D161" s="242"/>
      <c r="E161" s="242"/>
      <c r="F161" s="242"/>
      <c r="G161" s="242"/>
      <c r="H161" s="242"/>
      <c r="I161" s="743"/>
      <c r="J161" s="743"/>
      <c r="K161" s="743"/>
      <c r="L161" s="743"/>
      <c r="M161" s="743"/>
      <c r="N161" s="743"/>
      <c r="O161" s="743"/>
      <c r="P161" s="743"/>
      <c r="Q161" s="743"/>
      <c r="R161" s="743"/>
      <c r="S161" s="743"/>
      <c r="T161" s="743"/>
      <c r="U161" s="743"/>
      <c r="V161" s="743"/>
      <c r="W161" s="743"/>
      <c r="X161" s="743"/>
      <c r="Y161" s="743"/>
      <c r="Z161" s="743"/>
      <c r="AA161" s="743"/>
      <c r="AB161" s="743"/>
    </row>
    <row r="162" spans="2:28" ht="15" hidden="1" customHeight="1">
      <c r="B162" s="242"/>
      <c r="C162" s="242"/>
      <c r="D162" s="242"/>
      <c r="E162" s="242"/>
      <c r="F162" s="242"/>
      <c r="G162" s="242"/>
      <c r="H162" s="242"/>
      <c r="I162" s="743"/>
      <c r="J162" s="743"/>
      <c r="K162" s="743"/>
      <c r="L162" s="743"/>
      <c r="M162" s="743"/>
      <c r="N162" s="743"/>
      <c r="O162" s="743"/>
      <c r="P162" s="743"/>
      <c r="Q162" s="743"/>
      <c r="R162" s="743"/>
      <c r="S162" s="743"/>
      <c r="T162" s="743"/>
      <c r="U162" s="743"/>
      <c r="V162" s="743"/>
      <c r="W162" s="743"/>
      <c r="X162" s="743"/>
      <c r="Y162" s="743"/>
      <c r="Z162" s="743"/>
      <c r="AA162" s="743"/>
      <c r="AB162" s="743"/>
    </row>
    <row r="163" spans="2:28" ht="15" hidden="1" customHeight="1">
      <c r="B163" s="242"/>
      <c r="C163" s="242"/>
      <c r="D163" s="242"/>
      <c r="E163" s="242"/>
      <c r="F163" s="242"/>
      <c r="G163" s="242"/>
      <c r="H163" s="242"/>
      <c r="I163" s="743"/>
      <c r="J163" s="743"/>
      <c r="K163" s="743"/>
      <c r="L163" s="743"/>
      <c r="M163" s="743"/>
      <c r="N163" s="743"/>
      <c r="O163" s="743"/>
      <c r="P163" s="743"/>
      <c r="Q163" s="743"/>
      <c r="R163" s="743"/>
      <c r="S163" s="743"/>
      <c r="T163" s="743"/>
      <c r="U163" s="743"/>
      <c r="V163" s="743"/>
      <c r="W163" s="743"/>
      <c r="X163" s="743"/>
      <c r="Y163" s="743"/>
      <c r="Z163" s="743"/>
      <c r="AA163" s="743"/>
      <c r="AB163" s="743"/>
    </row>
    <row r="164" spans="2:28" ht="15" hidden="1" customHeight="1">
      <c r="B164" s="242"/>
      <c r="C164" s="242"/>
      <c r="D164" s="242"/>
      <c r="E164" s="242"/>
      <c r="F164" s="242"/>
      <c r="G164" s="242"/>
      <c r="H164" s="242"/>
      <c r="I164" s="743"/>
      <c r="J164" s="743"/>
      <c r="K164" s="743"/>
      <c r="L164" s="743"/>
      <c r="M164" s="743"/>
      <c r="N164" s="743"/>
      <c r="O164" s="743"/>
      <c r="P164" s="743"/>
      <c r="Q164" s="743"/>
      <c r="R164" s="743"/>
      <c r="S164" s="743"/>
      <c r="T164" s="743"/>
      <c r="U164" s="743"/>
      <c r="V164" s="743"/>
      <c r="W164" s="743"/>
      <c r="X164" s="743"/>
      <c r="Y164" s="743"/>
      <c r="Z164" s="743"/>
      <c r="AA164" s="743"/>
      <c r="AB164" s="743"/>
    </row>
    <row r="165" spans="2:28" ht="15" hidden="1" customHeight="1">
      <c r="B165" s="242"/>
      <c r="C165" s="242"/>
      <c r="D165" s="242"/>
      <c r="E165" s="242"/>
      <c r="F165" s="242"/>
      <c r="G165" s="242"/>
      <c r="H165" s="242"/>
      <c r="I165" s="743"/>
      <c r="J165" s="743"/>
      <c r="K165" s="743"/>
      <c r="L165" s="743"/>
      <c r="M165" s="743"/>
      <c r="N165" s="743"/>
      <c r="O165" s="743"/>
      <c r="P165" s="743"/>
      <c r="Q165" s="743"/>
      <c r="R165" s="743"/>
      <c r="S165" s="743"/>
      <c r="T165" s="743"/>
      <c r="U165" s="743"/>
      <c r="V165" s="743"/>
      <c r="W165" s="743"/>
      <c r="X165" s="743"/>
      <c r="Y165" s="743"/>
      <c r="Z165" s="743"/>
      <c r="AA165" s="743"/>
      <c r="AB165" s="743"/>
    </row>
    <row r="166" spans="2:28" ht="15" hidden="1" customHeight="1">
      <c r="B166" s="242"/>
      <c r="C166" s="242"/>
      <c r="D166" s="242"/>
      <c r="E166" s="242"/>
      <c r="F166" s="242"/>
      <c r="G166" s="242"/>
      <c r="H166" s="242"/>
      <c r="I166" s="743"/>
      <c r="J166" s="743"/>
      <c r="K166" s="743"/>
      <c r="L166" s="743"/>
      <c r="M166" s="743"/>
      <c r="N166" s="743"/>
      <c r="O166" s="743"/>
      <c r="P166" s="743"/>
      <c r="Q166" s="743"/>
      <c r="R166" s="743"/>
      <c r="S166" s="743"/>
      <c r="T166" s="743"/>
      <c r="U166" s="743"/>
      <c r="V166" s="743"/>
      <c r="W166" s="743"/>
      <c r="X166" s="743"/>
      <c r="Y166" s="743"/>
      <c r="Z166" s="743"/>
      <c r="AA166" s="743"/>
      <c r="AB166" s="743"/>
    </row>
    <row r="167" spans="2:28" ht="15" hidden="1" customHeight="1">
      <c r="B167" s="242"/>
      <c r="C167" s="242"/>
      <c r="D167" s="242"/>
      <c r="E167" s="242"/>
      <c r="F167" s="242"/>
      <c r="G167" s="242"/>
      <c r="H167" s="242"/>
      <c r="I167" s="743"/>
      <c r="J167" s="743"/>
      <c r="K167" s="743"/>
      <c r="L167" s="743"/>
      <c r="M167" s="743"/>
      <c r="N167" s="743"/>
      <c r="O167" s="743"/>
      <c r="P167" s="743"/>
      <c r="Q167" s="743"/>
      <c r="R167" s="743"/>
      <c r="S167" s="743"/>
      <c r="T167" s="743"/>
      <c r="U167" s="743"/>
      <c r="V167" s="743"/>
      <c r="W167" s="743"/>
      <c r="X167" s="743"/>
      <c r="Y167" s="743"/>
      <c r="Z167" s="743"/>
      <c r="AA167" s="743"/>
      <c r="AB167" s="743"/>
    </row>
    <row r="168" spans="2:28" ht="15" hidden="1" customHeight="1">
      <c r="B168" s="242"/>
      <c r="C168" s="242"/>
      <c r="D168" s="242"/>
      <c r="E168" s="242"/>
      <c r="F168" s="242"/>
      <c r="G168" s="242"/>
      <c r="H168" s="242"/>
      <c r="I168" s="743"/>
      <c r="J168" s="743"/>
      <c r="K168" s="743"/>
      <c r="L168" s="743"/>
      <c r="M168" s="743"/>
      <c r="N168" s="743"/>
      <c r="O168" s="743"/>
      <c r="P168" s="743"/>
      <c r="Q168" s="743"/>
      <c r="R168" s="743"/>
      <c r="S168" s="743"/>
      <c r="T168" s="743"/>
      <c r="U168" s="743"/>
      <c r="V168" s="743"/>
      <c r="W168" s="743"/>
      <c r="X168" s="743"/>
      <c r="Y168" s="743"/>
      <c r="Z168" s="743"/>
      <c r="AA168" s="743"/>
      <c r="AB168" s="743"/>
    </row>
    <row r="169" spans="2:28" ht="15" hidden="1" customHeight="1">
      <c r="B169" s="242"/>
      <c r="C169" s="242"/>
      <c r="D169" s="242"/>
      <c r="E169" s="242"/>
      <c r="F169" s="242"/>
      <c r="G169" s="242"/>
      <c r="H169" s="242"/>
      <c r="I169" s="743"/>
      <c r="J169" s="743"/>
      <c r="K169" s="743"/>
      <c r="L169" s="743"/>
      <c r="M169" s="743"/>
      <c r="N169" s="743"/>
      <c r="O169" s="743"/>
      <c r="P169" s="743"/>
      <c r="Q169" s="743"/>
      <c r="R169" s="743"/>
      <c r="S169" s="743"/>
      <c r="T169" s="743"/>
      <c r="U169" s="743"/>
      <c r="V169" s="743"/>
      <c r="W169" s="743"/>
      <c r="X169" s="743"/>
      <c r="Y169" s="743"/>
      <c r="Z169" s="743"/>
      <c r="AA169" s="743"/>
      <c r="AB169" s="743"/>
    </row>
    <row r="170" spans="2:28" ht="15" hidden="1" customHeight="1">
      <c r="B170" s="242"/>
      <c r="C170" s="242"/>
      <c r="D170" s="242"/>
      <c r="E170" s="242"/>
      <c r="F170" s="242"/>
      <c r="G170" s="242"/>
      <c r="H170" s="242"/>
      <c r="I170" s="743"/>
      <c r="J170" s="743"/>
      <c r="K170" s="743"/>
      <c r="L170" s="743"/>
      <c r="M170" s="743"/>
      <c r="N170" s="743"/>
      <c r="O170" s="743"/>
      <c r="P170" s="743"/>
      <c r="Q170" s="743"/>
      <c r="R170" s="743"/>
      <c r="S170" s="743"/>
      <c r="T170" s="743"/>
      <c r="U170" s="743"/>
      <c r="V170" s="743"/>
      <c r="W170" s="743"/>
      <c r="X170" s="743"/>
      <c r="Y170" s="743"/>
      <c r="Z170" s="743"/>
      <c r="AA170" s="743"/>
      <c r="AB170" s="743"/>
    </row>
    <row r="171" spans="2:28" ht="15" hidden="1" customHeight="1">
      <c r="B171" s="242"/>
      <c r="C171" s="242"/>
      <c r="D171" s="242"/>
      <c r="E171" s="242"/>
      <c r="F171" s="242"/>
      <c r="G171" s="242"/>
      <c r="H171" s="242"/>
      <c r="I171" s="743"/>
      <c r="J171" s="743"/>
      <c r="K171" s="743"/>
      <c r="L171" s="743"/>
      <c r="M171" s="743"/>
      <c r="N171" s="743"/>
      <c r="O171" s="743"/>
      <c r="P171" s="743"/>
      <c r="Q171" s="743"/>
      <c r="R171" s="743"/>
      <c r="S171" s="743"/>
      <c r="T171" s="743"/>
      <c r="U171" s="743"/>
      <c r="V171" s="743"/>
      <c r="W171" s="743"/>
      <c r="X171" s="743"/>
      <c r="Y171" s="743"/>
      <c r="Z171" s="743"/>
      <c r="AA171" s="743"/>
      <c r="AB171" s="743"/>
    </row>
    <row r="172" spans="2:28" ht="15" hidden="1" customHeight="1">
      <c r="B172" s="242"/>
      <c r="C172" s="242"/>
      <c r="D172" s="242"/>
      <c r="E172" s="242"/>
      <c r="F172" s="242"/>
      <c r="G172" s="242"/>
      <c r="H172" s="242"/>
      <c r="I172" s="743"/>
      <c r="J172" s="743"/>
      <c r="K172" s="743"/>
      <c r="L172" s="743"/>
      <c r="M172" s="743"/>
      <c r="N172" s="743"/>
      <c r="O172" s="743"/>
      <c r="P172" s="743"/>
      <c r="Q172" s="743"/>
      <c r="R172" s="743"/>
      <c r="S172" s="743"/>
      <c r="T172" s="743"/>
      <c r="U172" s="743"/>
      <c r="V172" s="743"/>
      <c r="W172" s="743"/>
      <c r="X172" s="743"/>
      <c r="Y172" s="743"/>
      <c r="Z172" s="743"/>
      <c r="AA172" s="743"/>
      <c r="AB172" s="743"/>
    </row>
    <row r="173" spans="2:28" ht="15" hidden="1" customHeight="1">
      <c r="B173" s="242"/>
      <c r="C173" s="242"/>
      <c r="D173" s="242"/>
      <c r="E173" s="242"/>
      <c r="F173" s="242"/>
      <c r="G173" s="242"/>
      <c r="H173" s="242"/>
      <c r="I173" s="743"/>
      <c r="J173" s="743"/>
      <c r="K173" s="743"/>
      <c r="L173" s="743"/>
      <c r="M173" s="743"/>
      <c r="N173" s="743"/>
      <c r="O173" s="743"/>
      <c r="P173" s="743"/>
      <c r="Q173" s="743"/>
      <c r="R173" s="743"/>
      <c r="S173" s="743"/>
      <c r="T173" s="743"/>
      <c r="U173" s="743"/>
      <c r="V173" s="743"/>
      <c r="W173" s="743"/>
      <c r="X173" s="743"/>
      <c r="Y173" s="743"/>
      <c r="Z173" s="743"/>
      <c r="AA173" s="743"/>
      <c r="AB173" s="743"/>
    </row>
    <row r="174" spans="2:28" ht="15" hidden="1" customHeight="1">
      <c r="B174" s="242"/>
      <c r="C174" s="242"/>
      <c r="D174" s="242"/>
      <c r="E174" s="242"/>
      <c r="F174" s="242"/>
      <c r="G174" s="242"/>
      <c r="H174" s="242"/>
      <c r="I174" s="743"/>
      <c r="J174" s="743"/>
      <c r="K174" s="743"/>
      <c r="L174" s="743"/>
      <c r="M174" s="743"/>
      <c r="N174" s="743"/>
      <c r="O174" s="743"/>
      <c r="P174" s="743"/>
      <c r="Q174" s="743"/>
      <c r="R174" s="743"/>
      <c r="S174" s="743"/>
      <c r="T174" s="743"/>
      <c r="U174" s="743"/>
      <c r="V174" s="743"/>
      <c r="W174" s="743"/>
      <c r="X174" s="743"/>
      <c r="Y174" s="743"/>
      <c r="Z174" s="743"/>
      <c r="AA174" s="743"/>
      <c r="AB174" s="743"/>
    </row>
    <row r="175" spans="2:28" ht="15" hidden="1" customHeight="1">
      <c r="B175" s="242"/>
      <c r="C175" s="242"/>
      <c r="D175" s="242"/>
      <c r="E175" s="242"/>
      <c r="F175" s="242"/>
      <c r="G175" s="242"/>
      <c r="H175" s="242"/>
      <c r="I175" s="743"/>
      <c r="J175" s="743"/>
      <c r="K175" s="743"/>
      <c r="L175" s="743"/>
      <c r="M175" s="743"/>
      <c r="N175" s="743"/>
      <c r="O175" s="743"/>
      <c r="P175" s="743"/>
      <c r="Q175" s="743"/>
      <c r="R175" s="743"/>
      <c r="S175" s="743"/>
      <c r="T175" s="743"/>
      <c r="U175" s="743"/>
      <c r="V175" s="743"/>
      <c r="W175" s="743"/>
      <c r="X175" s="743"/>
      <c r="Y175" s="743"/>
      <c r="Z175" s="743"/>
      <c r="AA175" s="743"/>
      <c r="AB175" s="743"/>
    </row>
    <row r="176" spans="2:28" ht="15" hidden="1" customHeight="1">
      <c r="B176" s="242"/>
      <c r="C176" s="242"/>
      <c r="D176" s="242"/>
      <c r="E176" s="242"/>
      <c r="F176" s="242"/>
      <c r="G176" s="242"/>
      <c r="H176" s="242"/>
      <c r="I176" s="743"/>
      <c r="J176" s="743"/>
      <c r="K176" s="743"/>
      <c r="L176" s="743"/>
      <c r="M176" s="743"/>
      <c r="N176" s="743"/>
      <c r="O176" s="743"/>
      <c r="P176" s="743"/>
      <c r="Q176" s="743"/>
      <c r="R176" s="743"/>
      <c r="S176" s="743"/>
      <c r="T176" s="743"/>
      <c r="U176" s="743"/>
      <c r="V176" s="743"/>
      <c r="W176" s="743"/>
      <c r="X176" s="743"/>
      <c r="Y176" s="743"/>
      <c r="Z176" s="743"/>
      <c r="AA176" s="743"/>
      <c r="AB176" s="743"/>
    </row>
    <row r="177" spans="2:28" ht="27.75" hidden="1" customHeight="1">
      <c r="B177" s="242"/>
      <c r="C177" s="242"/>
      <c r="D177" s="242"/>
      <c r="E177" s="242"/>
      <c r="F177" s="242"/>
      <c r="G177" s="242"/>
      <c r="H177" s="242"/>
      <c r="I177" s="743"/>
      <c r="J177" s="743"/>
      <c r="K177" s="743"/>
      <c r="L177" s="743"/>
      <c r="M177" s="743"/>
      <c r="N177" s="743"/>
      <c r="O177" s="743"/>
      <c r="P177" s="743"/>
      <c r="Q177" s="743"/>
      <c r="R177" s="743"/>
      <c r="S177" s="743"/>
      <c r="T177" s="743"/>
      <c r="U177" s="743"/>
      <c r="V177" s="743"/>
      <c r="W177" s="743"/>
      <c r="X177" s="743"/>
      <c r="Y177" s="743"/>
      <c r="Z177" s="743"/>
      <c r="AA177" s="743"/>
      <c r="AB177" s="743"/>
    </row>
    <row r="178" spans="2:28" ht="15" hidden="1" customHeight="1">
      <c r="B178" s="242"/>
      <c r="C178" s="242"/>
      <c r="D178" s="242"/>
      <c r="E178" s="242"/>
      <c r="F178" s="242"/>
      <c r="G178" s="242"/>
      <c r="H178" s="242"/>
      <c r="I178" s="743"/>
      <c r="J178" s="743"/>
      <c r="K178" s="743"/>
      <c r="L178" s="743"/>
      <c r="M178" s="743"/>
      <c r="N178" s="743"/>
      <c r="O178" s="743"/>
      <c r="P178" s="743"/>
      <c r="Q178" s="743"/>
      <c r="R178" s="743"/>
      <c r="S178" s="743"/>
      <c r="T178" s="743"/>
      <c r="U178" s="743"/>
      <c r="V178" s="743"/>
      <c r="W178" s="743"/>
      <c r="X178" s="743"/>
      <c r="Y178" s="743"/>
      <c r="Z178" s="743"/>
      <c r="AA178" s="743"/>
      <c r="AB178" s="743"/>
    </row>
    <row r="179" spans="2:28" ht="15" hidden="1" customHeight="1">
      <c r="B179" s="242"/>
      <c r="C179" s="242"/>
      <c r="D179" s="242"/>
      <c r="E179" s="242"/>
      <c r="F179" s="242"/>
      <c r="G179" s="242"/>
      <c r="H179" s="242"/>
      <c r="I179" s="743"/>
      <c r="J179" s="743"/>
      <c r="K179" s="743"/>
      <c r="L179" s="743"/>
      <c r="M179" s="743"/>
      <c r="N179" s="743"/>
      <c r="O179" s="743"/>
      <c r="P179" s="743"/>
      <c r="Q179" s="1378"/>
      <c r="R179" s="1378"/>
      <c r="S179" s="1378"/>
      <c r="T179" s="1378"/>
      <c r="U179" s="1378"/>
      <c r="V179" s="1378"/>
      <c r="W179" s="1378"/>
      <c r="X179" s="1378"/>
      <c r="Y179" s="1378"/>
      <c r="Z179" s="1378"/>
      <c r="AA179" s="1378"/>
      <c r="AB179" s="1378"/>
    </row>
    <row r="180" spans="2:28" ht="15" hidden="1" customHeight="1"/>
    <row r="181" spans="2:28" ht="15" hidden="1" customHeight="1"/>
    <row r="182" spans="2:28" ht="15" hidden="1" customHeight="1"/>
    <row r="183" spans="2:28" ht="15" hidden="1" customHeight="1"/>
    <row r="184" spans="2:28" ht="15" hidden="1" customHeight="1"/>
    <row r="185" spans="2:28" ht="15" hidden="1" customHeight="1"/>
    <row r="186" spans="2:28" ht="15" hidden="1" customHeight="1"/>
    <row r="187" spans="2:28" ht="15" hidden="1" customHeight="1"/>
    <row r="188" spans="2:28" ht="15" hidden="1" customHeight="1"/>
    <row r="189" spans="2:28" ht="15" hidden="1" customHeight="1"/>
    <row r="190" spans="2:28" ht="15" hidden="1" customHeight="1"/>
    <row r="191" spans="2:28" ht="15" hidden="1" customHeight="1"/>
    <row r="192" spans="2:28"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sheetData>
  <sheetProtection password="CE75" sheet="1" objects="1" scenarios="1" selectLockedCells="1"/>
  <mergeCells count="241">
    <mergeCell ref="AD3:AE3"/>
    <mergeCell ref="B4:AB4"/>
    <mergeCell ref="AD4:AE7"/>
    <mergeCell ref="AG8:AH8"/>
    <mergeCell ref="B10:AB10"/>
    <mergeCell ref="B11:AB11"/>
    <mergeCell ref="Q179:AB179"/>
    <mergeCell ref="Q80:AB80"/>
    <mergeCell ref="Q49:AB49"/>
    <mergeCell ref="B20:E20"/>
    <mergeCell ref="F20:AB20"/>
    <mergeCell ref="B21:E22"/>
    <mergeCell ref="B23:AB23"/>
    <mergeCell ref="B12:AB12"/>
    <mergeCell ref="B13:E13"/>
    <mergeCell ref="F13:AB13"/>
    <mergeCell ref="B14:E17"/>
    <mergeCell ref="B24:B25"/>
    <mergeCell ref="C24:L25"/>
    <mergeCell ref="M24:N25"/>
    <mergeCell ref="O24:U24"/>
    <mergeCell ref="V24:AB24"/>
    <mergeCell ref="O25:R25"/>
    <mergeCell ref="S25:U25"/>
    <mergeCell ref="V25:Y25"/>
    <mergeCell ref="Z25:AB25"/>
    <mergeCell ref="C28:L28"/>
    <mergeCell ref="M28:N28"/>
    <mergeCell ref="O28:R28"/>
    <mergeCell ref="S28:U28"/>
    <mergeCell ref="V28:Y28"/>
    <mergeCell ref="Z28:AB28"/>
    <mergeCell ref="B26:AB26"/>
    <mergeCell ref="C27:L27"/>
    <mergeCell ref="M27:N27"/>
    <mergeCell ref="O27:R27"/>
    <mergeCell ref="S27:U27"/>
    <mergeCell ref="V27:Y27"/>
    <mergeCell ref="Z27:AB27"/>
    <mergeCell ref="C30:L30"/>
    <mergeCell ref="M30:N30"/>
    <mergeCell ref="O30:R30"/>
    <mergeCell ref="S30:U30"/>
    <mergeCell ref="V30:Y30"/>
    <mergeCell ref="Z30:AB30"/>
    <mergeCell ref="C29:L29"/>
    <mergeCell ref="M29:N29"/>
    <mergeCell ref="O29:R29"/>
    <mergeCell ref="S29:U29"/>
    <mergeCell ref="V29:Y29"/>
    <mergeCell ref="Z29:AB29"/>
    <mergeCell ref="C32:L32"/>
    <mergeCell ref="M32:N32"/>
    <mergeCell ref="O32:R32"/>
    <mergeCell ref="S32:U32"/>
    <mergeCell ref="V32:Y32"/>
    <mergeCell ref="Z32:AB32"/>
    <mergeCell ref="C31:L31"/>
    <mergeCell ref="M31:N31"/>
    <mergeCell ref="O31:R31"/>
    <mergeCell ref="S31:U31"/>
    <mergeCell ref="V31:Y31"/>
    <mergeCell ref="Z31:AB31"/>
    <mergeCell ref="B34:AB34"/>
    <mergeCell ref="C35:L35"/>
    <mergeCell ref="M35:N35"/>
    <mergeCell ref="O35:R35"/>
    <mergeCell ref="S35:U35"/>
    <mergeCell ref="V35:Y35"/>
    <mergeCell ref="Z35:AB35"/>
    <mergeCell ref="C33:L33"/>
    <mergeCell ref="M33:N33"/>
    <mergeCell ref="O33:R33"/>
    <mergeCell ref="S33:U33"/>
    <mergeCell ref="V33:Y33"/>
    <mergeCell ref="Z33:AB33"/>
    <mergeCell ref="C37:L37"/>
    <mergeCell ref="M37:N37"/>
    <mergeCell ref="O37:R37"/>
    <mergeCell ref="S37:U37"/>
    <mergeCell ref="V37:Y37"/>
    <mergeCell ref="Z37:AB37"/>
    <mergeCell ref="C36:L36"/>
    <mergeCell ref="M36:N36"/>
    <mergeCell ref="O36:R36"/>
    <mergeCell ref="S36:U36"/>
    <mergeCell ref="V36:Y36"/>
    <mergeCell ref="Z36:AB36"/>
    <mergeCell ref="C38:L38"/>
    <mergeCell ref="M38:N38"/>
    <mergeCell ref="O38:R38"/>
    <mergeCell ref="S38:U38"/>
    <mergeCell ref="V38:Y38"/>
    <mergeCell ref="Z38:AB38"/>
    <mergeCell ref="O55:AB55"/>
    <mergeCell ref="C55:I55"/>
    <mergeCell ref="J55:N55"/>
    <mergeCell ref="B56:AB56"/>
    <mergeCell ref="B57:B58"/>
    <mergeCell ref="C57:I58"/>
    <mergeCell ref="C59:I60"/>
    <mergeCell ref="J57:N57"/>
    <mergeCell ref="J58:N58"/>
    <mergeCell ref="J59:N59"/>
    <mergeCell ref="J60:N60"/>
    <mergeCell ref="B40:N40"/>
    <mergeCell ref="O40:AB40"/>
    <mergeCell ref="B41:N41"/>
    <mergeCell ref="O41:AB41"/>
    <mergeCell ref="O57:AB57"/>
    <mergeCell ref="O58:AB58"/>
    <mergeCell ref="O59:AB59"/>
    <mergeCell ref="O60:AB60"/>
    <mergeCell ref="B72:B73"/>
    <mergeCell ref="B65:B66"/>
    <mergeCell ref="C65:I66"/>
    <mergeCell ref="C72:I73"/>
    <mergeCell ref="B63:B64"/>
    <mergeCell ref="B61:B62"/>
    <mergeCell ref="C61:I62"/>
    <mergeCell ref="C63:I64"/>
    <mergeCell ref="B59:B60"/>
    <mergeCell ref="B86:B87"/>
    <mergeCell ref="C86:I87"/>
    <mergeCell ref="C88:I89"/>
    <mergeCell ref="B76:AB76"/>
    <mergeCell ref="B77:B78"/>
    <mergeCell ref="B74:B75"/>
    <mergeCell ref="C74:I75"/>
    <mergeCell ref="C77:I78"/>
    <mergeCell ref="J75:N75"/>
    <mergeCell ref="J77:N77"/>
    <mergeCell ref="J78:N78"/>
    <mergeCell ref="J86:N86"/>
    <mergeCell ref="J87:N87"/>
    <mergeCell ref="C100:L100"/>
    <mergeCell ref="M100:P100"/>
    <mergeCell ref="Q100:AB100"/>
    <mergeCell ref="C101:L101"/>
    <mergeCell ref="M101:P101"/>
    <mergeCell ref="Q101:AB101"/>
    <mergeCell ref="B95:B96"/>
    <mergeCell ref="C95:I96"/>
    <mergeCell ref="B88:B89"/>
    <mergeCell ref="J88:N88"/>
    <mergeCell ref="J89:N89"/>
    <mergeCell ref="J95:N95"/>
    <mergeCell ref="J96:N96"/>
    <mergeCell ref="C102:L102"/>
    <mergeCell ref="M102:P102"/>
    <mergeCell ref="Q102:AB102"/>
    <mergeCell ref="C103:L103"/>
    <mergeCell ref="M103:P103"/>
    <mergeCell ref="Q103:AB103"/>
    <mergeCell ref="O121:AB121"/>
    <mergeCell ref="O122:AB123"/>
    <mergeCell ref="O124:AB124"/>
    <mergeCell ref="J122:L122"/>
    <mergeCell ref="J123:L123"/>
    <mergeCell ref="J124:L124"/>
    <mergeCell ref="C106:AB106"/>
    <mergeCell ref="C107:AB107"/>
    <mergeCell ref="C108:AB108"/>
    <mergeCell ref="C109:AB109"/>
    <mergeCell ref="B112:AB114"/>
    <mergeCell ref="B117:AB119"/>
    <mergeCell ref="B126:J126"/>
    <mergeCell ref="T126:AB126"/>
    <mergeCell ref="B127:J127"/>
    <mergeCell ref="T127:AB127"/>
    <mergeCell ref="B132:J132"/>
    <mergeCell ref="T132:AB132"/>
    <mergeCell ref="B122:G122"/>
    <mergeCell ref="B123:G123"/>
    <mergeCell ref="B124:G124"/>
    <mergeCell ref="B133:J133"/>
    <mergeCell ref="T133:AB133"/>
    <mergeCell ref="B134:AB134"/>
    <mergeCell ref="B135:AB135"/>
    <mergeCell ref="B140:AB140"/>
    <mergeCell ref="B141:AB141"/>
    <mergeCell ref="O156:T156"/>
    <mergeCell ref="U156:X156"/>
    <mergeCell ref="Y156:AB156"/>
    <mergeCell ref="B153:G154"/>
    <mergeCell ref="H153:AB153"/>
    <mergeCell ref="H154:N154"/>
    <mergeCell ref="O154:T154"/>
    <mergeCell ref="U154:X154"/>
    <mergeCell ref="Y154:AB154"/>
    <mergeCell ref="F14:AB17"/>
    <mergeCell ref="F21:AB22"/>
    <mergeCell ref="B159:G159"/>
    <mergeCell ref="H159:N159"/>
    <mergeCell ref="O159:T159"/>
    <mergeCell ref="U159:X159"/>
    <mergeCell ref="Y159:AB159"/>
    <mergeCell ref="B157:G157"/>
    <mergeCell ref="H157:N157"/>
    <mergeCell ref="O157:T157"/>
    <mergeCell ref="U157:X157"/>
    <mergeCell ref="Y157:AB157"/>
    <mergeCell ref="B158:G158"/>
    <mergeCell ref="H158:N158"/>
    <mergeCell ref="O158:T158"/>
    <mergeCell ref="U158:X158"/>
    <mergeCell ref="Y158:AB158"/>
    <mergeCell ref="B155:G155"/>
    <mergeCell ref="H155:N155"/>
    <mergeCell ref="O155:T155"/>
    <mergeCell ref="U155:X155"/>
    <mergeCell ref="Y155:AB155"/>
    <mergeCell ref="B156:G156"/>
    <mergeCell ref="H156:N156"/>
    <mergeCell ref="J61:N61"/>
    <mergeCell ref="J62:N62"/>
    <mergeCell ref="J63:N63"/>
    <mergeCell ref="J64:N64"/>
    <mergeCell ref="J65:N65"/>
    <mergeCell ref="J66:N66"/>
    <mergeCell ref="J72:N72"/>
    <mergeCell ref="J73:N73"/>
    <mergeCell ref="J74:N74"/>
    <mergeCell ref="O61:AB61"/>
    <mergeCell ref="O62:AB62"/>
    <mergeCell ref="O63:AB63"/>
    <mergeCell ref="O64:AB64"/>
    <mergeCell ref="O65:AB65"/>
    <mergeCell ref="O88:AB88"/>
    <mergeCell ref="O89:AB89"/>
    <mergeCell ref="O95:AB95"/>
    <mergeCell ref="O96:AB96"/>
    <mergeCell ref="O66:AB66"/>
    <mergeCell ref="O72:AB72"/>
    <mergeCell ref="O73:AB73"/>
    <mergeCell ref="O74:AB74"/>
    <mergeCell ref="O75:AB75"/>
    <mergeCell ref="O77:AB77"/>
    <mergeCell ref="O78:AB78"/>
    <mergeCell ref="O86:AB86"/>
    <mergeCell ref="O87:AB87"/>
  </mergeCells>
  <pageMargins left="0.76" right="0.74" top="0.46" bottom="0.4" header="0.3" footer="0.3"/>
  <pageSetup paperSize="9" scale="93" orientation="portrait" r:id="rId1"/>
  <rowBreaks count="4" manualBreakCount="4">
    <brk id="49" min="1" max="27" man="1"/>
    <brk id="66" min="1" max="27" man="1"/>
    <brk id="89" min="1" max="27" man="1"/>
    <brk id="145" min="1" max="27" man="1"/>
  </rowBreaks>
  <colBreaks count="1" manualBreakCount="1">
    <brk id="28" min="3" max="69" man="1"/>
  </colBreaks>
  <drawing r:id="rId2"/>
  <legacyDrawing r:id="rId3"/>
</worksheet>
</file>

<file path=xl/worksheets/sheet34.xml><?xml version="1.0" encoding="utf-8"?>
<worksheet xmlns="http://schemas.openxmlformats.org/spreadsheetml/2006/main" xmlns:r="http://schemas.openxmlformats.org/officeDocument/2006/relationships">
  <sheetPr codeName="Sheet32"/>
  <dimension ref="A1"/>
  <sheetViews>
    <sheetView workbookViewId="0">
      <selection activeCell="J6" sqref="J6"/>
    </sheetView>
  </sheetViews>
  <sheetFormatPr defaultRowHeight="15"/>
  <sheetData/>
  <sheetProtection password="B8F8" sheet="1" objects="1" scenarios="1"/>
  <pageMargins left="0.7" right="0.7" top="0.75" bottom="0.75" header="0.3" footer="0.3"/>
</worksheet>
</file>

<file path=xl/worksheets/sheet35.xml><?xml version="1.0" encoding="utf-8"?>
<worksheet xmlns="http://schemas.openxmlformats.org/spreadsheetml/2006/main" xmlns:r="http://schemas.openxmlformats.org/officeDocument/2006/relationships">
  <sheetPr codeName="Sheet33"/>
  <dimension ref="A1"/>
  <sheetViews>
    <sheetView workbookViewId="0">
      <selection activeCell="J6" sqref="J6"/>
    </sheetView>
  </sheetViews>
  <sheetFormatPr defaultRowHeight="15"/>
  <sheetData/>
  <sheetProtection password="DB8B" sheet="1" objects="1" scenarios="1"/>
  <pageMargins left="0.7" right="0.7" top="0.75" bottom="0.75" header="0.3" footer="0.3"/>
</worksheet>
</file>

<file path=xl/worksheets/sheet36.xml><?xml version="1.0" encoding="utf-8"?>
<worksheet xmlns="http://schemas.openxmlformats.org/spreadsheetml/2006/main" xmlns:r="http://schemas.openxmlformats.org/officeDocument/2006/relationships">
  <sheetPr codeName="Sheet34"/>
  <dimension ref="A1"/>
  <sheetViews>
    <sheetView workbookViewId="0">
      <selection activeCell="J6" sqref="J6"/>
    </sheetView>
  </sheetViews>
  <sheetFormatPr defaultRowHeight="15"/>
  <sheetData/>
  <sheetProtection password="A13F" sheet="1" objects="1" scenarios="1"/>
  <pageMargins left="0.7" right="0.7" top="0.75" bottom="0.75" header="0.3" footer="0.3"/>
</worksheet>
</file>

<file path=xl/worksheets/sheet37.xml><?xml version="1.0" encoding="utf-8"?>
<worksheet xmlns="http://schemas.openxmlformats.org/spreadsheetml/2006/main" xmlns:r="http://schemas.openxmlformats.org/officeDocument/2006/relationships">
  <sheetPr codeName="Sheet35"/>
  <dimension ref="A1"/>
  <sheetViews>
    <sheetView workbookViewId="0">
      <selection activeCell="J6" sqref="J6"/>
    </sheetView>
  </sheetViews>
  <sheetFormatPr defaultRowHeight="15"/>
  <sheetData/>
  <sheetProtection password="C23C" sheet="1" objects="1" scenarios="1"/>
  <pageMargins left="0.7" right="0.7" top="0.75" bottom="0.75" header="0.3" footer="0.3"/>
</worksheet>
</file>

<file path=xl/worksheets/sheet38.xml><?xml version="1.0" encoding="utf-8"?>
<worksheet xmlns="http://schemas.openxmlformats.org/spreadsheetml/2006/main" xmlns:r="http://schemas.openxmlformats.org/officeDocument/2006/relationships">
  <sheetPr codeName="Sheet36"/>
  <dimension ref="A1"/>
  <sheetViews>
    <sheetView workbookViewId="0">
      <selection activeCell="J6" sqref="J6"/>
    </sheetView>
  </sheetViews>
  <sheetFormatPr defaultRowHeight="15"/>
  <sheetData/>
  <sheetProtection password="C0D2" sheet="1" objects="1" scenarios="1"/>
  <pageMargins left="0.7" right="0.7" top="0.75" bottom="0.75" header="0.3" footer="0.3"/>
</worksheet>
</file>

<file path=xl/worksheets/sheet39.xml><?xml version="1.0" encoding="utf-8"?>
<worksheet xmlns="http://schemas.openxmlformats.org/spreadsheetml/2006/main" xmlns:r="http://schemas.openxmlformats.org/officeDocument/2006/relationships">
  <sheetPr codeName="Sheet37"/>
  <dimension ref="A1"/>
  <sheetViews>
    <sheetView workbookViewId="0">
      <selection activeCell="J6" sqref="J6"/>
    </sheetView>
  </sheetViews>
  <sheetFormatPr defaultRowHeight="15"/>
  <sheetData/>
  <sheetProtection password="E4E2" sheet="1" objects="1" scenarios="1"/>
  <pageMargins left="0.7" right="0.7" top="0.75" bottom="0.75" header="0.3" footer="0.3"/>
</worksheet>
</file>

<file path=xl/worksheets/sheet40.xml><?xml version="1.0" encoding="utf-8"?>
<worksheet xmlns="http://schemas.openxmlformats.org/spreadsheetml/2006/main" xmlns:r="http://schemas.openxmlformats.org/officeDocument/2006/relationships">
  <sheetPr codeName="Sheet38"/>
  <dimension ref="A1"/>
  <sheetViews>
    <sheetView workbookViewId="0">
      <selection activeCell="J6" sqref="J6"/>
    </sheetView>
  </sheetViews>
  <sheetFormatPr defaultRowHeight="15"/>
  <sheetData/>
  <sheetProtection password="E4CF" sheet="1" objects="1" scenarios="1"/>
  <pageMargins left="0.7" right="0.7" top="0.75" bottom="0.75" header="0.3" footer="0.3"/>
</worksheet>
</file>

<file path=xl/worksheets/sheet41.xml><?xml version="1.0" encoding="utf-8"?>
<worksheet xmlns="http://schemas.openxmlformats.org/spreadsheetml/2006/main" xmlns:r="http://schemas.openxmlformats.org/officeDocument/2006/relationships">
  <sheetPr codeName="Sheet39"/>
  <dimension ref="A1"/>
  <sheetViews>
    <sheetView workbookViewId="0"/>
  </sheetViews>
  <sheetFormatPr defaultRowHeight="15"/>
  <sheetData/>
  <pageMargins left="0.7" right="0.7" top="0.75" bottom="0.75" header="0.3" footer="0.3"/>
</worksheet>
</file>

<file path=xl/worksheets/sheet42.xml><?xml version="1.0" encoding="utf-8"?>
<worksheet xmlns="http://schemas.openxmlformats.org/spreadsheetml/2006/main" xmlns:r="http://schemas.openxmlformats.org/officeDocument/2006/relationships">
  <sheetPr codeName="Sheet40"/>
  <dimension ref="A1"/>
  <sheetViews>
    <sheetView workbookViewId="0"/>
  </sheetViews>
  <sheetFormatPr defaultRowHeight="15"/>
  <sheetData/>
  <sheetProtection password="9880" sheet="1" objects="1" scenarios="1"/>
  <pageMargins left="0.7" right="0.7" top="0.75" bottom="0.75" header="0.3" footer="0.3"/>
</worksheet>
</file>

<file path=xl/worksheets/sheet43.xml><?xml version="1.0" encoding="utf-8"?>
<worksheet xmlns="http://schemas.openxmlformats.org/spreadsheetml/2006/main" xmlns:r="http://schemas.openxmlformats.org/officeDocument/2006/relationships">
  <sheetPr codeName="Sheet41"/>
  <dimension ref="A1"/>
  <sheetViews>
    <sheetView workbookViewId="0">
      <selection activeCell="J6" sqref="J6"/>
    </sheetView>
  </sheetViews>
  <sheetFormatPr defaultRowHeight="15"/>
  <sheetData/>
  <sheetProtection password="EA18" sheet="1" objects="1" scenarios="1"/>
  <pageMargins left="0.7" right="0.7" top="0.75" bottom="0.75" header="0.3" footer="0.3"/>
</worksheet>
</file>

<file path=xl/worksheets/sheet44.xml><?xml version="1.0" encoding="utf-8"?>
<worksheet xmlns="http://schemas.openxmlformats.org/spreadsheetml/2006/main" xmlns:r="http://schemas.openxmlformats.org/officeDocument/2006/relationships">
  <sheetPr codeName="Sheet42"/>
  <dimension ref="A1"/>
  <sheetViews>
    <sheetView workbookViewId="0">
      <selection activeCell="J6" sqref="J6"/>
    </sheetView>
  </sheetViews>
  <sheetFormatPr defaultRowHeight="15"/>
  <sheetData/>
  <sheetProtection password="8AA2" sheet="1" objects="1" scenarios="1"/>
  <pageMargins left="0.7" right="0.7" top="0.75" bottom="0.75" header="0.3" footer="0.3"/>
</worksheet>
</file>

<file path=xl/worksheets/sheet45.xml><?xml version="1.0" encoding="utf-8"?>
<worksheet xmlns="http://schemas.openxmlformats.org/spreadsheetml/2006/main" xmlns:r="http://schemas.openxmlformats.org/officeDocument/2006/relationships">
  <sheetPr codeName="Sheet43"/>
  <dimension ref="A1"/>
  <sheetViews>
    <sheetView workbookViewId="0"/>
  </sheetViews>
  <sheetFormatPr defaultRowHeight="15"/>
  <sheetData/>
  <sheetProtection password="D80A" sheet="1" objects="1" scenarios="1"/>
  <pageMargins left="0.7" right="0.7" top="0.75" bottom="0.75" header="0.3" footer="0.3"/>
</worksheet>
</file>

<file path=xl/worksheets/sheet46.xml><?xml version="1.0" encoding="utf-8"?>
<worksheet xmlns="http://schemas.openxmlformats.org/spreadsheetml/2006/main" xmlns:r="http://schemas.openxmlformats.org/officeDocument/2006/relationships">
  <sheetPr codeName="Sheet44"/>
  <dimension ref="A1"/>
  <sheetViews>
    <sheetView workbookViewId="0"/>
  </sheetViews>
  <sheetFormatPr defaultRowHeight="15"/>
  <sheetData/>
  <sheetProtection password="9D7F" sheet="1" objects="1" scenarios="1"/>
  <pageMargins left="0.7" right="0.7" top="0.75" bottom="0.75" header="0.3" footer="0.3"/>
</worksheet>
</file>

<file path=xl/worksheets/sheet47.xml><?xml version="1.0" encoding="utf-8"?>
<worksheet xmlns="http://schemas.openxmlformats.org/spreadsheetml/2006/main" xmlns:r="http://schemas.openxmlformats.org/officeDocument/2006/relationships">
  <sheetPr codeName="Sheet45"/>
  <dimension ref="A1"/>
  <sheetViews>
    <sheetView workbookViewId="0"/>
  </sheetViews>
  <sheetFormatPr defaultRowHeight="15"/>
  <sheetData/>
  <sheetProtection password="8A8A" sheet="1" objects="1" scenarios="1"/>
  <pageMargins left="0.7" right="0.7" top="0.75" bottom="0.75" header="0.3" footer="0.3"/>
</worksheet>
</file>

<file path=xl/worksheets/sheet48.xml><?xml version="1.0" encoding="utf-8"?>
<worksheet xmlns="http://schemas.openxmlformats.org/spreadsheetml/2006/main" xmlns:r="http://schemas.openxmlformats.org/officeDocument/2006/relationships">
  <sheetPr codeName="Sheet46"/>
  <dimension ref="A1"/>
  <sheetViews>
    <sheetView workbookViewId="0"/>
  </sheetViews>
  <sheetFormatPr defaultRowHeight="15"/>
  <sheetData/>
  <sheetProtection password="EB35" sheet="1" objects="1" scenarios="1"/>
  <pageMargins left="0.7" right="0.7" top="0.75" bottom="0.75" header="0.3" footer="0.3"/>
</worksheet>
</file>

<file path=xl/worksheets/sheet49.xml><?xml version="1.0" encoding="utf-8"?>
<worksheet xmlns="http://schemas.openxmlformats.org/spreadsheetml/2006/main" xmlns:r="http://schemas.openxmlformats.org/officeDocument/2006/relationships">
  <sheetPr codeName="Sheet47"/>
  <dimension ref="A1"/>
  <sheetViews>
    <sheetView workbookViewId="0"/>
  </sheetViews>
  <sheetFormatPr defaultRowHeight="15"/>
  <sheetData/>
  <sheetProtection password="C8AF" sheet="1" objects="1" scenarios="1"/>
  <pageMargins left="0.7" right="0.7" top="0.75" bottom="0.75" header="0.3" footer="0.3"/>
</worksheet>
</file>

<file path=xl/worksheets/sheet50.xml><?xml version="1.0" encoding="utf-8"?>
<worksheet xmlns="http://schemas.openxmlformats.org/spreadsheetml/2006/main" xmlns:r="http://schemas.openxmlformats.org/officeDocument/2006/relationships">
  <sheetPr codeName="Sheet48"/>
  <dimension ref="A1"/>
  <sheetViews>
    <sheetView workbookViewId="0"/>
  </sheetViews>
  <sheetFormatPr defaultRowHeight="15"/>
  <sheetData/>
  <sheetProtection password="E6A5" sheet="1" objects="1" scenarios="1"/>
  <pageMargins left="0.7" right="0.7" top="0.75" bottom="0.75" header="0.3" footer="0.3"/>
</worksheet>
</file>

<file path=xl/worksheets/sheet51.xml><?xml version="1.0" encoding="utf-8"?>
<worksheet xmlns="http://schemas.openxmlformats.org/spreadsheetml/2006/main" xmlns:r="http://schemas.openxmlformats.org/officeDocument/2006/relationships">
  <sheetPr codeName="Sheet49"/>
  <dimension ref="A1"/>
  <sheetViews>
    <sheetView workbookViewId="0"/>
  </sheetViews>
  <sheetFormatPr defaultRowHeight="15"/>
  <sheetData/>
  <sheetProtection password="95E1" sheet="1" objects="1" scenarios="1"/>
  <pageMargins left="0.7" right="0.7" top="0.75" bottom="0.75" header="0.3" footer="0.3"/>
</worksheet>
</file>

<file path=xl/worksheets/sheet52.xml><?xml version="1.0" encoding="utf-8"?>
<worksheet xmlns="http://schemas.openxmlformats.org/spreadsheetml/2006/main" xmlns:r="http://schemas.openxmlformats.org/officeDocument/2006/relationships">
  <sheetPr codeName="Sheet50"/>
  <dimension ref="A1"/>
  <sheetViews>
    <sheetView workbookViewId="0"/>
  </sheetViews>
  <sheetFormatPr defaultRowHeight="15"/>
  <sheetData/>
  <sheetProtection password="AB3E" sheet="1" objects="1" scenarios="1"/>
  <pageMargins left="0.7" right="0.7" top="0.75" bottom="0.75" header="0.3" footer="0.3"/>
</worksheet>
</file>

<file path=xl/worksheets/sheet53.xml><?xml version="1.0" encoding="utf-8"?>
<worksheet xmlns="http://schemas.openxmlformats.org/spreadsheetml/2006/main" xmlns:r="http://schemas.openxmlformats.org/officeDocument/2006/relationships">
  <sheetPr codeName="Sheet51"/>
  <dimension ref="A1"/>
  <sheetViews>
    <sheetView workbookViewId="0"/>
  </sheetViews>
  <sheetFormatPr defaultRowHeight="15"/>
  <sheetData/>
  <sheetProtection password="F0EA" sheet="1" objects="1" scenarios="1"/>
  <pageMargins left="0.7" right="0.7" top="0.75" bottom="0.75" header="0.3" footer="0.3"/>
</worksheet>
</file>

<file path=xl/worksheets/sheet54.xml><?xml version="1.0" encoding="utf-8"?>
<worksheet xmlns="http://schemas.openxmlformats.org/spreadsheetml/2006/main" xmlns:r="http://schemas.openxmlformats.org/officeDocument/2006/relationships">
  <sheetPr codeName="Sheet52"/>
  <dimension ref="A1"/>
  <sheetViews>
    <sheetView workbookViewId="0"/>
  </sheetViews>
  <sheetFormatPr defaultRowHeight="15"/>
  <sheetData/>
  <sheetProtection password="A4A9" sheet="1" objects="1" scenarios="1"/>
  <pageMargins left="0.7" right="0.7" top="0.75" bottom="0.75" header="0.3" footer="0.3"/>
</worksheet>
</file>

<file path=xl/worksheets/sheet55.xml><?xml version="1.0" encoding="utf-8"?>
<worksheet xmlns="http://schemas.openxmlformats.org/spreadsheetml/2006/main" xmlns:r="http://schemas.openxmlformats.org/officeDocument/2006/relationships">
  <sheetPr codeName="Sheet53"/>
  <dimension ref="A1"/>
  <sheetViews>
    <sheetView workbookViewId="0"/>
  </sheetViews>
  <sheetFormatPr defaultRowHeight="15"/>
  <sheetData/>
  <sheetProtection password="E9C6" sheet="1" objects="1" scenarios="1"/>
  <pageMargins left="0.7" right="0.7" top="0.75" bottom="0.75" header="0.3" footer="0.3"/>
</worksheet>
</file>

<file path=xl/worksheets/sheet56.xml><?xml version="1.0" encoding="utf-8"?>
<worksheet xmlns="http://schemas.openxmlformats.org/spreadsheetml/2006/main" xmlns:r="http://schemas.openxmlformats.org/officeDocument/2006/relationships">
  <sheetPr codeName="Sheet54"/>
  <dimension ref="A1"/>
  <sheetViews>
    <sheetView workbookViewId="0"/>
  </sheetViews>
  <sheetFormatPr defaultRowHeight="15"/>
  <sheetData/>
  <sheetProtection password="CC65" sheet="1" objects="1" scenarios="1"/>
  <pageMargins left="0.7" right="0.7" top="0.75" bottom="0.75" header="0.3" footer="0.3"/>
</worksheet>
</file>

<file path=xl/worksheets/sheet57.xml><?xml version="1.0" encoding="utf-8"?>
<worksheet xmlns="http://schemas.openxmlformats.org/spreadsheetml/2006/main" xmlns:r="http://schemas.openxmlformats.org/officeDocument/2006/relationships">
  <sheetPr codeName="Sheet55"/>
  <dimension ref="A1"/>
  <sheetViews>
    <sheetView workbookViewId="0"/>
  </sheetViews>
  <sheetFormatPr defaultRowHeight="15"/>
  <sheetData/>
  <sheetProtection password="F5A2"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sheetPr codeName="Sheet56"/>
  <dimension ref="A1:BB13"/>
  <sheetViews>
    <sheetView topLeftCell="AE1" workbookViewId="0"/>
  </sheetViews>
  <sheetFormatPr defaultRowHeight="15"/>
  <cols>
    <col min="1" max="36" width="9.140625" style="377"/>
    <col min="37" max="37" width="12.42578125" bestFit="1" customWidth="1"/>
  </cols>
  <sheetData>
    <row r="1" spans="1:54" s="357" customFormat="1">
      <c r="A1" s="374" t="s">
        <v>393</v>
      </c>
      <c r="B1" s="377"/>
      <c r="C1" s="377"/>
      <c r="D1" s="377"/>
      <c r="E1" s="377"/>
      <c r="F1" s="377"/>
      <c r="G1" s="377"/>
      <c r="H1" s="377"/>
      <c r="I1" s="377"/>
      <c r="J1" s="377"/>
      <c r="K1" s="377"/>
      <c r="L1" s="377"/>
      <c r="M1" s="377"/>
      <c r="N1" s="377"/>
      <c r="O1" s="377"/>
      <c r="P1" s="377"/>
      <c r="Q1" s="377"/>
      <c r="R1" s="377"/>
      <c r="S1" s="377"/>
      <c r="T1" s="377"/>
      <c r="U1" s="377"/>
      <c r="V1" s="377"/>
      <c r="W1" s="377"/>
      <c r="X1" s="377"/>
      <c r="Y1" s="377"/>
      <c r="Z1" s="377"/>
      <c r="AA1" s="377"/>
      <c r="AB1" s="377"/>
      <c r="AC1" s="377"/>
      <c r="AD1" s="377"/>
      <c r="AE1" s="377"/>
      <c r="AF1" s="377"/>
      <c r="AG1" s="377"/>
      <c r="AH1" s="377"/>
      <c r="AI1" s="377"/>
      <c r="AJ1" s="377"/>
      <c r="AK1" s="378" t="s">
        <v>390</v>
      </c>
      <c r="AL1" s="357" t="s">
        <v>379</v>
      </c>
    </row>
    <row r="2" spans="1:54" s="357" customFormat="1">
      <c r="A2" s="377"/>
      <c r="B2" s="377"/>
      <c r="C2" s="377"/>
      <c r="D2" s="377"/>
      <c r="E2" s="377"/>
      <c r="F2" s="377"/>
      <c r="G2" s="377"/>
      <c r="H2" s="377"/>
      <c r="I2" s="377"/>
      <c r="J2" s="377"/>
      <c r="K2" s="377"/>
      <c r="L2" s="377"/>
      <c r="M2" s="377"/>
      <c r="N2" s="377"/>
      <c r="O2" s="377"/>
      <c r="P2" s="377"/>
      <c r="Q2" s="377"/>
      <c r="R2" s="377"/>
      <c r="S2" s="377"/>
      <c r="T2" s="377"/>
      <c r="U2" s="377"/>
      <c r="V2" s="377"/>
      <c r="W2" s="377"/>
      <c r="X2" s="377"/>
      <c r="Y2" s="377"/>
      <c r="Z2" s="377"/>
      <c r="AA2" s="377"/>
      <c r="AB2" s="377"/>
      <c r="AC2" s="377"/>
      <c r="AD2" s="377"/>
      <c r="AE2" s="377"/>
      <c r="AF2" s="377"/>
      <c r="AG2" s="377"/>
      <c r="AH2" s="377"/>
      <c r="AI2" s="377"/>
      <c r="AJ2" s="377"/>
      <c r="AK2" s="378" t="s">
        <v>381</v>
      </c>
      <c r="AL2" s="357" t="s">
        <v>371</v>
      </c>
    </row>
    <row r="3" spans="1:54" s="357" customFormat="1">
      <c r="A3" s="377"/>
      <c r="B3" s="377"/>
      <c r="C3" s="377"/>
      <c r="D3" s="377"/>
      <c r="E3" s="377"/>
      <c r="F3" s="377"/>
      <c r="G3" s="377"/>
      <c r="H3" s="377"/>
      <c r="I3" s="377"/>
      <c r="J3" s="377"/>
      <c r="K3" s="377"/>
      <c r="L3" s="377"/>
      <c r="M3" s="377"/>
      <c r="N3" s="377"/>
      <c r="O3" s="377"/>
      <c r="P3" s="377"/>
      <c r="Q3" s="377"/>
      <c r="R3" s="377"/>
      <c r="S3" s="377"/>
      <c r="T3" s="377"/>
      <c r="U3" s="377"/>
      <c r="V3" s="377"/>
      <c r="W3" s="377"/>
      <c r="X3" s="377"/>
      <c r="Y3" s="377"/>
      <c r="Z3" s="377"/>
      <c r="AA3" s="377"/>
      <c r="AB3" s="377"/>
      <c r="AC3" s="377"/>
      <c r="AD3" s="377"/>
      <c r="AE3" s="377"/>
      <c r="AF3" s="377"/>
      <c r="AG3" s="377"/>
      <c r="AH3" s="377"/>
      <c r="AI3" s="377"/>
      <c r="AJ3" s="377"/>
      <c r="AK3" s="378" t="s">
        <v>382</v>
      </c>
      <c r="AL3" s="357" t="s">
        <v>372</v>
      </c>
    </row>
    <row r="4" spans="1:54" s="357" customFormat="1">
      <c r="A4" s="377"/>
      <c r="B4" s="377"/>
      <c r="C4" s="377"/>
      <c r="D4" s="377"/>
      <c r="E4" s="377"/>
      <c r="F4" s="377"/>
      <c r="G4" s="377"/>
      <c r="H4" s="377"/>
      <c r="I4" s="377"/>
      <c r="J4" s="377"/>
      <c r="K4" s="377"/>
      <c r="L4" s="377"/>
      <c r="M4" s="377"/>
      <c r="N4" s="377"/>
      <c r="O4" s="377"/>
      <c r="P4" s="377"/>
      <c r="Q4" s="377"/>
      <c r="R4" s="377"/>
      <c r="S4" s="377"/>
      <c r="T4" s="377"/>
      <c r="U4" s="377"/>
      <c r="V4" s="377"/>
      <c r="W4" s="377"/>
      <c r="X4" s="377"/>
      <c r="Y4" s="377"/>
      <c r="Z4" s="377"/>
      <c r="AA4" s="377"/>
      <c r="AB4" s="377"/>
      <c r="AC4" s="377"/>
      <c r="AD4" s="377"/>
      <c r="AE4" s="377"/>
      <c r="AF4" s="377"/>
      <c r="AG4" s="377"/>
      <c r="AH4" s="377"/>
      <c r="AI4" s="377"/>
      <c r="AJ4" s="377"/>
      <c r="AK4" s="378" t="s">
        <v>383</v>
      </c>
      <c r="AL4" s="358" t="s">
        <v>373</v>
      </c>
    </row>
    <row r="5" spans="1:54" s="357" customFormat="1">
      <c r="A5" s="377"/>
      <c r="B5" s="377"/>
      <c r="C5" s="377"/>
      <c r="D5" s="377"/>
      <c r="E5" s="377"/>
      <c r="F5" s="377"/>
      <c r="G5" s="377"/>
      <c r="H5" s="377"/>
      <c r="I5" s="377"/>
      <c r="J5" s="377"/>
      <c r="K5" s="377"/>
      <c r="L5" s="377"/>
      <c r="M5" s="377"/>
      <c r="N5" s="377"/>
      <c r="O5" s="377"/>
      <c r="P5" s="377"/>
      <c r="Q5" s="377"/>
      <c r="R5" s="377"/>
      <c r="S5" s="377"/>
      <c r="T5" s="377"/>
      <c r="U5" s="377"/>
      <c r="V5" s="377"/>
      <c r="W5" s="377"/>
      <c r="X5" s="377"/>
      <c r="Y5" s="377"/>
      <c r="Z5" s="377"/>
      <c r="AA5" s="377"/>
      <c r="AB5" s="377"/>
      <c r="AC5" s="377"/>
      <c r="AD5" s="377"/>
      <c r="AE5" s="377"/>
      <c r="AF5" s="377"/>
      <c r="AG5" s="377"/>
      <c r="AH5" s="377"/>
      <c r="AI5" s="377"/>
      <c r="AJ5" s="377"/>
      <c r="AK5" s="378" t="s">
        <v>384</v>
      </c>
      <c r="AL5" s="357" t="s">
        <v>374</v>
      </c>
    </row>
    <row r="6" spans="1:54" s="357" customFormat="1">
      <c r="A6" s="377"/>
      <c r="B6" s="377"/>
      <c r="C6" s="377"/>
      <c r="D6" s="377"/>
      <c r="E6" s="377"/>
      <c r="F6" s="377"/>
      <c r="G6" s="377"/>
      <c r="H6" s="377"/>
      <c r="I6" s="377"/>
      <c r="J6" s="377"/>
      <c r="K6" s="377"/>
      <c r="L6" s="377"/>
      <c r="M6" s="377"/>
      <c r="N6" s="377"/>
      <c r="O6" s="377"/>
      <c r="P6" s="377"/>
      <c r="Q6" s="377"/>
      <c r="R6" s="377"/>
      <c r="S6" s="377"/>
      <c r="T6" s="377"/>
      <c r="U6" s="377"/>
      <c r="V6" s="377"/>
      <c r="W6" s="377"/>
      <c r="X6" s="377"/>
      <c r="Y6" s="377"/>
      <c r="Z6" s="377"/>
      <c r="AA6" s="377"/>
      <c r="AB6" s="377"/>
      <c r="AC6" s="377"/>
      <c r="AD6" s="377"/>
      <c r="AE6" s="377"/>
      <c r="AF6" s="377"/>
      <c r="AG6" s="377"/>
      <c r="AH6" s="377"/>
      <c r="AI6" s="377"/>
      <c r="AJ6" s="377"/>
      <c r="AK6" s="378" t="s">
        <v>385</v>
      </c>
      <c r="AL6" s="357" t="s">
        <v>375</v>
      </c>
    </row>
    <row r="7" spans="1:54" s="357" customFormat="1">
      <c r="A7" s="377"/>
      <c r="B7" s="377"/>
      <c r="C7" s="377"/>
      <c r="D7" s="377"/>
      <c r="E7" s="377"/>
      <c r="F7" s="377"/>
      <c r="G7" s="377"/>
      <c r="H7" s="377"/>
      <c r="I7" s="377"/>
      <c r="J7" s="377"/>
      <c r="K7" s="377"/>
      <c r="L7" s="377"/>
      <c r="M7" s="377"/>
      <c r="N7" s="377"/>
      <c r="O7" s="377"/>
      <c r="P7" s="377"/>
      <c r="Q7" s="377"/>
      <c r="R7" s="377"/>
      <c r="S7" s="377"/>
      <c r="T7" s="377"/>
      <c r="U7" s="377"/>
      <c r="V7" s="377"/>
      <c r="W7" s="377"/>
      <c r="X7" s="377"/>
      <c r="Y7" s="377"/>
      <c r="Z7" s="377"/>
      <c r="AA7" s="377"/>
      <c r="AB7" s="377"/>
      <c r="AC7" s="377"/>
      <c r="AD7" s="377"/>
      <c r="AE7" s="377"/>
      <c r="AF7" s="377"/>
      <c r="AG7" s="377"/>
      <c r="AH7" s="377"/>
      <c r="AI7" s="377"/>
      <c r="AJ7" s="377"/>
      <c r="AK7" s="378" t="s">
        <v>386</v>
      </c>
      <c r="AL7" s="358" t="s">
        <v>376</v>
      </c>
    </row>
    <row r="8" spans="1:54" s="357" customFormat="1">
      <c r="A8" s="377"/>
      <c r="B8" s="377"/>
      <c r="C8" s="377"/>
      <c r="D8" s="377"/>
      <c r="E8" s="377"/>
      <c r="F8" s="377"/>
      <c r="G8" s="377"/>
      <c r="H8" s="377"/>
      <c r="I8" s="377"/>
      <c r="J8" s="377"/>
      <c r="K8" s="377"/>
      <c r="L8" s="377"/>
      <c r="M8" s="377"/>
      <c r="N8" s="377"/>
      <c r="O8" s="377"/>
      <c r="P8" s="377"/>
      <c r="Q8" s="377"/>
      <c r="R8" s="377"/>
      <c r="S8" s="377"/>
      <c r="T8" s="377"/>
      <c r="U8" s="377"/>
      <c r="V8" s="377"/>
      <c r="W8" s="377"/>
      <c r="X8" s="377"/>
      <c r="Y8" s="377"/>
      <c r="Z8" s="377"/>
      <c r="AA8" s="377"/>
      <c r="AB8" s="377"/>
      <c r="AC8" s="377"/>
      <c r="AD8" s="377"/>
      <c r="AE8" s="377"/>
      <c r="AF8" s="377"/>
      <c r="AG8" s="377"/>
      <c r="AH8" s="377"/>
      <c r="AI8" s="377"/>
      <c r="AJ8" s="377"/>
      <c r="AK8" s="378" t="s">
        <v>387</v>
      </c>
      <c r="AL8" s="358" t="s">
        <v>377</v>
      </c>
    </row>
    <row r="9" spans="1:54" s="357" customFormat="1">
      <c r="A9" s="377"/>
      <c r="B9" s="377"/>
      <c r="C9" s="377"/>
      <c r="D9" s="377"/>
      <c r="E9" s="377"/>
      <c r="F9" s="377"/>
      <c r="G9" s="377"/>
      <c r="H9" s="377"/>
      <c r="I9" s="377"/>
      <c r="J9" s="377"/>
      <c r="K9" s="377"/>
      <c r="L9" s="377"/>
      <c r="M9" s="377"/>
      <c r="N9" s="377"/>
      <c r="O9" s="377"/>
      <c r="P9" s="377"/>
      <c r="Q9" s="377"/>
      <c r="R9" s="377"/>
      <c r="S9" s="377"/>
      <c r="T9" s="377"/>
      <c r="U9" s="377"/>
      <c r="V9" s="377"/>
      <c r="W9" s="377"/>
      <c r="X9" s="377"/>
      <c r="Y9" s="377"/>
      <c r="Z9" s="377"/>
      <c r="AA9" s="377"/>
      <c r="AB9" s="377"/>
      <c r="AC9" s="377"/>
      <c r="AD9" s="377"/>
      <c r="AE9" s="377"/>
      <c r="AF9" s="377"/>
      <c r="AG9" s="377"/>
      <c r="AH9" s="377"/>
      <c r="AI9" s="377"/>
      <c r="AJ9" s="377"/>
      <c r="AK9" s="378" t="s">
        <v>388</v>
      </c>
      <c r="AL9" s="358" t="s">
        <v>378</v>
      </c>
    </row>
    <row r="10" spans="1:54" s="357" customFormat="1">
      <c r="A10" s="377"/>
      <c r="B10" s="377"/>
      <c r="C10" s="377"/>
      <c r="D10" s="377"/>
      <c r="E10" s="377"/>
      <c r="F10" s="377"/>
      <c r="G10" s="377"/>
      <c r="H10" s="377"/>
      <c r="I10" s="377"/>
      <c r="J10" s="377"/>
      <c r="K10" s="377"/>
      <c r="L10" s="377"/>
      <c r="M10" s="377"/>
      <c r="N10" s="377"/>
      <c r="O10" s="377"/>
      <c r="P10" s="377"/>
      <c r="Q10" s="377"/>
      <c r="R10" s="377"/>
      <c r="S10" s="377"/>
      <c r="T10" s="377"/>
      <c r="U10" s="377"/>
      <c r="V10" s="377"/>
      <c r="W10" s="377"/>
      <c r="X10" s="377"/>
      <c r="Y10" s="377"/>
      <c r="Z10" s="377"/>
      <c r="AA10" s="377"/>
      <c r="AB10" s="377"/>
      <c r="AC10" s="377"/>
      <c r="AD10" s="377"/>
      <c r="AE10" s="377"/>
      <c r="AF10" s="377"/>
      <c r="AG10" s="377"/>
      <c r="AH10" s="377"/>
      <c r="AI10" s="377"/>
      <c r="AJ10" s="377"/>
      <c r="AK10" s="378" t="s">
        <v>389</v>
      </c>
      <c r="AL10" s="358" t="s">
        <v>380</v>
      </c>
    </row>
    <row r="11" spans="1:54">
      <c r="AK11" s="1434"/>
      <c r="AL11" s="1434"/>
      <c r="AM11" s="1434"/>
      <c r="AN11" s="1434"/>
      <c r="AO11" s="1434"/>
      <c r="AP11" s="1434"/>
      <c r="AQ11" s="1434"/>
      <c r="AR11" s="1434"/>
      <c r="AS11" s="1434"/>
      <c r="AT11" s="1434"/>
      <c r="AU11" s="1434"/>
      <c r="AV11" s="1434"/>
      <c r="AW11" s="1434"/>
      <c r="AX11" s="1434"/>
      <c r="AY11" s="1434"/>
      <c r="AZ11" s="1434"/>
      <c r="BA11" s="1434"/>
      <c r="BB11" s="1434"/>
    </row>
    <row r="13" spans="1:54">
      <c r="AL13" s="379" t="s">
        <v>394</v>
      </c>
    </row>
  </sheetData>
  <sheetProtection password="CF75" sheet="1" objects="1" scenarios="1"/>
  <mergeCells count="1">
    <mergeCell ref="AK11:BB11"/>
  </mergeCells>
  <hyperlinks>
    <hyperlink ref="AL10" r:id="rId1"/>
    <hyperlink ref="AL9" r:id="rId2"/>
    <hyperlink ref="AL8" r:id="rId3"/>
    <hyperlink ref="AL4" r:id="rId4"/>
    <hyperlink ref="AL7" r:id="rId5"/>
    <hyperlink ref="A1" location="Sheet18!AK11" display="AK11"/>
    <hyperlink ref="AL13" location="Sheet18!A1" display="Hide It!"/>
  </hyperlinks>
  <pageMargins left="0.7" right="0.7" top="0.75" bottom="0.75" header="0.3" footer="0.3"/>
</worksheet>
</file>

<file path=xl/worksheets/sheet59.xml><?xml version="1.0" encoding="utf-8"?>
<worksheet xmlns="http://schemas.openxmlformats.org/spreadsheetml/2006/main" xmlns:r="http://schemas.openxmlformats.org/officeDocument/2006/relationships">
  <sheetPr codeName="Sheet57"/>
  <dimension ref="A1"/>
  <sheetViews>
    <sheetView workbookViewId="0"/>
  </sheetViews>
  <sheetFormatPr defaultRowHeight="15"/>
  <sheetData/>
  <sheetProtection password="F7F0" sheet="1" objects="1" scenarios="1"/>
  <pageMargins left="0.7" right="0.7" top="0.75" bottom="0.75" header="0.3" footer="0.3"/>
</worksheet>
</file>

<file path=xl/worksheets/sheet60.xml><?xml version="1.0" encoding="utf-8"?>
<worksheet xmlns="http://schemas.openxmlformats.org/spreadsheetml/2006/main" xmlns:r="http://schemas.openxmlformats.org/officeDocument/2006/relationships">
  <sheetPr codeName="Sheet58"/>
  <dimension ref="A1"/>
  <sheetViews>
    <sheetView workbookViewId="0"/>
  </sheetViews>
  <sheetFormatPr defaultRowHeight="15"/>
  <sheetData/>
  <sheetProtection password="B1F7" sheet="1" objects="1" scenarios="1"/>
  <pageMargins left="0.7" right="0.7" top="0.75" bottom="0.75" header="0.3" footer="0.3"/>
</worksheet>
</file>

<file path=xl/worksheets/sheet61.xml><?xml version="1.0" encoding="utf-8"?>
<worksheet xmlns="http://schemas.openxmlformats.org/spreadsheetml/2006/main" xmlns:r="http://schemas.openxmlformats.org/officeDocument/2006/relationships">
  <sheetPr codeName="Sheet59"/>
  <dimension ref="A1"/>
  <sheetViews>
    <sheetView workbookViewId="0"/>
  </sheetViews>
  <sheetFormatPr defaultRowHeight="15"/>
  <sheetData/>
  <sheetProtection password="BE38" sheet="1" objects="1" scenarios="1"/>
  <pageMargins left="0.7" right="0.7" top="0.75" bottom="0.75" header="0.3" footer="0.3"/>
</worksheet>
</file>

<file path=xl/worksheets/sheet62.xml><?xml version="1.0" encoding="utf-8"?>
<worksheet xmlns="http://schemas.openxmlformats.org/spreadsheetml/2006/main" xmlns:r="http://schemas.openxmlformats.org/officeDocument/2006/relationships">
  <sheetPr codeName="Sheet60"/>
  <dimension ref="A1"/>
  <sheetViews>
    <sheetView workbookViewId="0">
      <selection activeCell="L23" sqref="L23"/>
    </sheetView>
  </sheetViews>
  <sheetFormatPr defaultRowHeight="15"/>
  <sheetData/>
  <sheetProtection password="C312" sheet="1" objects="1" scenarios="1"/>
  <pageMargins left="0.7" right="0.7" top="0.75" bottom="0.75" header="0.3" footer="0.3"/>
</worksheet>
</file>

<file path=xl/worksheets/sheet63.xml><?xml version="1.0" encoding="utf-8"?>
<worksheet xmlns="http://schemas.openxmlformats.org/spreadsheetml/2006/main" xmlns:r="http://schemas.openxmlformats.org/officeDocument/2006/relationships">
  <sheetPr codeName="Sheet61"/>
  <dimension ref="A1"/>
  <sheetViews>
    <sheetView workbookViewId="0">
      <selection activeCell="L23" sqref="L23"/>
    </sheetView>
  </sheetViews>
  <sheetFormatPr defaultRowHeight="15"/>
  <sheetData/>
  <sheetProtection password="A77E" sheet="1" objects="1" scenarios="1"/>
  <pageMargins left="0.7" right="0.7" top="0.75" bottom="0.75" header="0.3" footer="0.3"/>
</worksheet>
</file>

<file path=xl/worksheets/sheet64.xml><?xml version="1.0" encoding="utf-8"?>
<worksheet xmlns="http://schemas.openxmlformats.org/spreadsheetml/2006/main" xmlns:r="http://schemas.openxmlformats.org/officeDocument/2006/relationships">
  <sheetPr codeName="Sheet62"/>
  <dimension ref="A1"/>
  <sheetViews>
    <sheetView workbookViewId="0">
      <selection activeCell="L23" sqref="L23"/>
    </sheetView>
  </sheetViews>
  <sheetFormatPr defaultRowHeight="15"/>
  <sheetData/>
  <sheetProtection password="92F5" sheet="1" objects="1" scenarios="1"/>
  <pageMargins left="0.7" right="0.7" top="0.75" bottom="0.75" header="0.3" footer="0.3"/>
</worksheet>
</file>

<file path=xl/worksheets/sheet65.xml><?xml version="1.0" encoding="utf-8"?>
<worksheet xmlns="http://schemas.openxmlformats.org/spreadsheetml/2006/main" xmlns:r="http://schemas.openxmlformats.org/officeDocument/2006/relationships">
  <sheetPr codeName="Sheet63"/>
  <dimension ref="A1"/>
  <sheetViews>
    <sheetView topLeftCell="A2" workbookViewId="0">
      <selection activeCell="L23" sqref="L23"/>
    </sheetView>
  </sheetViews>
  <sheetFormatPr defaultRowHeight="15"/>
  <sheetData/>
  <sheetProtection password="8C4D" sheet="1" objects="1" scenarios="1"/>
  <pageMargins left="0.7" right="0.7" top="0.75" bottom="0.75" header="0.3" footer="0.3"/>
</worksheet>
</file>

<file path=xl/worksheets/sheet66.xml><?xml version="1.0" encoding="utf-8"?>
<worksheet xmlns="http://schemas.openxmlformats.org/spreadsheetml/2006/main" xmlns:r="http://schemas.openxmlformats.org/officeDocument/2006/relationships">
  <sheetPr codeName="Sheet64"/>
  <dimension ref="A1"/>
  <sheetViews>
    <sheetView workbookViewId="0">
      <selection activeCell="L23" sqref="L23"/>
    </sheetView>
  </sheetViews>
  <sheetFormatPr defaultRowHeight="15"/>
  <sheetData/>
  <sheetProtection password="9AEF" sheet="1" objects="1" scenarios="1"/>
  <pageMargins left="0.7" right="0.7" top="0.75" bottom="0.75" header="0.3" footer="0.3"/>
</worksheet>
</file>

<file path=xl/worksheets/sheet67.xml><?xml version="1.0" encoding="utf-8"?>
<worksheet xmlns="http://schemas.openxmlformats.org/spreadsheetml/2006/main" xmlns:r="http://schemas.openxmlformats.org/officeDocument/2006/relationships">
  <sheetPr codeName="Sheet65"/>
  <dimension ref="A1"/>
  <sheetViews>
    <sheetView workbookViewId="0">
      <selection activeCell="L23" sqref="L23"/>
    </sheetView>
  </sheetViews>
  <sheetFormatPr defaultRowHeight="15"/>
  <sheetData/>
  <sheetProtection password="88E3" sheet="1" objects="1" scenarios="1"/>
  <pageMargins left="0.7" right="0.7" top="0.75" bottom="0.75" header="0.3" footer="0.3"/>
</worksheet>
</file>

<file path=xl/worksheets/sheet68.xml><?xml version="1.0" encoding="utf-8"?>
<worksheet xmlns="http://schemas.openxmlformats.org/spreadsheetml/2006/main" xmlns:r="http://schemas.openxmlformats.org/officeDocument/2006/relationships">
  <sheetPr codeName="Sheet66"/>
  <dimension ref="A1"/>
  <sheetViews>
    <sheetView workbookViewId="0">
      <selection activeCell="L23" sqref="L23"/>
    </sheetView>
  </sheetViews>
  <sheetFormatPr defaultRowHeight="15"/>
  <sheetData/>
  <sheetProtection password="BF86" sheet="1" objects="1" scenarios="1"/>
  <pageMargins left="0.7" right="0.7" top="0.75" bottom="0.75" header="0.3" footer="0.3"/>
</worksheet>
</file>

<file path=xl/worksheets/sheet69.xml><?xml version="1.0" encoding="utf-8"?>
<worksheet xmlns="http://schemas.openxmlformats.org/spreadsheetml/2006/main" xmlns:r="http://schemas.openxmlformats.org/officeDocument/2006/relationships">
  <sheetPr codeName="Sheet67"/>
  <dimension ref="A1"/>
  <sheetViews>
    <sheetView workbookViewId="0">
      <selection activeCell="L23" sqref="L23"/>
    </sheetView>
  </sheetViews>
  <sheetFormatPr defaultRowHeight="15"/>
  <sheetData/>
  <sheetProtection password="C218" sheet="1" objects="1" scenarios="1"/>
  <pageMargins left="0.7" right="0.7" top="0.75" bottom="0.75" header="0.3" footer="0.3"/>
</worksheet>
</file>

<file path=xl/worksheets/sheet70.xml><?xml version="1.0" encoding="utf-8"?>
<worksheet xmlns="http://schemas.openxmlformats.org/spreadsheetml/2006/main" xmlns:r="http://schemas.openxmlformats.org/officeDocument/2006/relationships">
  <sheetPr codeName="Sheet68"/>
  <dimension ref="A1"/>
  <sheetViews>
    <sheetView workbookViewId="0">
      <selection activeCell="L23" sqref="L23"/>
    </sheetView>
  </sheetViews>
  <sheetFormatPr defaultRowHeight="15"/>
  <sheetData/>
  <sheetProtection password="CEEC" sheet="1" objects="1" scenarios="1"/>
  <pageMargins left="0.7" right="0.7" top="0.75" bottom="0.75" header="0.3" footer="0.3"/>
</worksheet>
</file>

<file path=xl/worksheets/sheet71.xml><?xml version="1.0" encoding="utf-8"?>
<worksheet xmlns="http://schemas.openxmlformats.org/spreadsheetml/2006/main" xmlns:r="http://schemas.openxmlformats.org/officeDocument/2006/relationships">
  <sheetPr codeName="Sheet69"/>
  <dimension ref="A1"/>
  <sheetViews>
    <sheetView workbookViewId="0"/>
  </sheetViews>
  <sheetFormatPr defaultRowHeight="15"/>
  <sheetData/>
  <pageMargins left="0.7" right="0.7" top="0.75" bottom="0.75" header="0.3" footer="0.3"/>
</worksheet>
</file>

<file path=xl/worksheets/sheet72.xml><?xml version="1.0" encoding="utf-8"?>
<worksheet xmlns="http://schemas.openxmlformats.org/spreadsheetml/2006/main" xmlns:r="http://schemas.openxmlformats.org/officeDocument/2006/relationships">
  <sheetPr codeName="Sheet4"/>
  <dimension ref="A1:AO24"/>
  <sheetViews>
    <sheetView topLeftCell="A4" zoomScale="115" zoomScaleNormal="115" workbookViewId="0">
      <selection activeCell="AI19" sqref="AI19"/>
    </sheetView>
  </sheetViews>
  <sheetFormatPr defaultColWidth="6.5703125" defaultRowHeight="15"/>
  <cols>
    <col min="1" max="1" width="6.42578125" style="359" customWidth="1"/>
    <col min="2" max="29" width="6.5703125" style="359"/>
    <col min="30" max="30" width="14.7109375" style="359" customWidth="1"/>
    <col min="31" max="31" width="5.7109375" style="360" customWidth="1"/>
    <col min="32" max="32" width="28.5703125" style="360" customWidth="1"/>
    <col min="33" max="33" width="3" style="360" customWidth="1"/>
    <col min="34" max="34" width="49.42578125" style="359" customWidth="1"/>
    <col min="35" max="35" width="11.5703125" style="359" customWidth="1"/>
    <col min="36" max="36" width="6.5703125" style="359" customWidth="1"/>
    <col min="37" max="16384" width="6.5703125" style="359"/>
  </cols>
  <sheetData>
    <row r="1" spans="1:41">
      <c r="A1" s="374" t="s">
        <v>391</v>
      </c>
      <c r="B1" s="373"/>
      <c r="C1" s="373"/>
    </row>
    <row r="2" spans="1:41" ht="15.75">
      <c r="AE2" s="1447" t="s">
        <v>150</v>
      </c>
      <c r="AF2" s="1447"/>
      <c r="AG2" s="1447"/>
      <c r="AH2" s="1447"/>
      <c r="AI2" s="683"/>
      <c r="AJ2" s="683"/>
      <c r="AK2" s="683"/>
      <c r="AL2" s="683"/>
      <c r="AM2" s="683"/>
      <c r="AN2" s="683"/>
      <c r="AO2" s="683"/>
    </row>
    <row r="3" spans="1:41" s="375" customFormat="1" ht="19.5" thickBot="1">
      <c r="AE3" s="76"/>
      <c r="AF3" s="376"/>
      <c r="AG3" s="376"/>
    </row>
    <row r="4" spans="1:41">
      <c r="AE4" s="1435" t="s">
        <v>151</v>
      </c>
      <c r="AF4" s="1436"/>
      <c r="AG4" s="1436"/>
      <c r="AH4" s="1437"/>
    </row>
    <row r="5" spans="1:41" s="361" customFormat="1" ht="15.75" thickBot="1">
      <c r="AE5" s="1438"/>
      <c r="AF5" s="1439"/>
      <c r="AG5" s="1439"/>
      <c r="AH5" s="1440"/>
    </row>
    <row r="6" spans="1:41" s="361" customFormat="1" ht="16.5" thickBot="1">
      <c r="AE6" s="1441" t="s">
        <v>152</v>
      </c>
      <c r="AF6" s="1442"/>
      <c r="AG6" s="1442"/>
      <c r="AH6" s="1443"/>
    </row>
    <row r="7" spans="1:41" s="361" customFormat="1" ht="16.5" thickBot="1">
      <c r="AE7" s="1441" t="s">
        <v>192</v>
      </c>
      <c r="AF7" s="1442"/>
      <c r="AG7" s="1442"/>
      <c r="AH7" s="1443"/>
    </row>
    <row r="8" spans="1:41" s="362" customFormat="1" ht="16.5" thickBot="1">
      <c r="AE8" s="1444" t="s">
        <v>193</v>
      </c>
      <c r="AF8" s="1445"/>
      <c r="AG8" s="1445"/>
      <c r="AH8" s="1446"/>
    </row>
    <row r="9" spans="1:41">
      <c r="AE9" s="363">
        <v>1</v>
      </c>
      <c r="AF9" s="364" t="s">
        <v>153</v>
      </c>
      <c r="AG9" s="365" t="s">
        <v>2</v>
      </c>
      <c r="AH9" s="96" t="s">
        <v>620</v>
      </c>
      <c r="AK9" s="359" t="str">
        <f>"SMP "&amp;PROPER(MID(_nama_sekolah,5,30))</f>
        <v>SMP Negeri 1 Abung Surakarta</v>
      </c>
    </row>
    <row r="10" spans="1:41">
      <c r="AE10" s="366">
        <v>2</v>
      </c>
      <c r="AF10" s="367" t="s">
        <v>212</v>
      </c>
      <c r="AG10" s="365" t="s">
        <v>2</v>
      </c>
      <c r="AH10" s="654" t="s">
        <v>621</v>
      </c>
    </row>
    <row r="11" spans="1:41">
      <c r="AE11" s="363">
        <v>3</v>
      </c>
      <c r="AF11" s="367" t="s">
        <v>213</v>
      </c>
      <c r="AG11" s="365" t="s">
        <v>2</v>
      </c>
      <c r="AH11" s="654" t="s">
        <v>622</v>
      </c>
    </row>
    <row r="12" spans="1:41">
      <c r="AE12" s="366">
        <v>4</v>
      </c>
      <c r="AF12" s="367" t="s">
        <v>156</v>
      </c>
      <c r="AG12" s="365" t="s">
        <v>2</v>
      </c>
      <c r="AH12" s="95" t="s">
        <v>623</v>
      </c>
    </row>
    <row r="13" spans="1:41">
      <c r="AE13" s="363">
        <v>5</v>
      </c>
      <c r="AF13" s="367" t="s">
        <v>157</v>
      </c>
      <c r="AG13" s="365" t="s">
        <v>2</v>
      </c>
      <c r="AH13" s="95" t="s">
        <v>624</v>
      </c>
      <c r="AK13" s="372" t="s">
        <v>392</v>
      </c>
    </row>
    <row r="14" spans="1:41">
      <c r="AE14" s="366">
        <v>6</v>
      </c>
      <c r="AF14" s="367" t="s">
        <v>158</v>
      </c>
      <c r="AG14" s="365" t="s">
        <v>2</v>
      </c>
      <c r="AH14" s="95" t="s">
        <v>625</v>
      </c>
    </row>
    <row r="15" spans="1:41">
      <c r="AE15" s="363">
        <v>7</v>
      </c>
      <c r="AF15" s="367" t="s">
        <v>159</v>
      </c>
      <c r="AG15" s="365" t="s">
        <v>2</v>
      </c>
      <c r="AH15" s="95" t="s">
        <v>608</v>
      </c>
    </row>
    <row r="16" spans="1:41">
      <c r="AE16" s="366">
        <v>8</v>
      </c>
      <c r="AF16" s="367" t="s">
        <v>160</v>
      </c>
      <c r="AG16" s="365" t="s">
        <v>2</v>
      </c>
      <c r="AH16" s="95" t="s">
        <v>610</v>
      </c>
    </row>
    <row r="17" spans="31:34">
      <c r="AE17" s="363">
        <v>9</v>
      </c>
      <c r="AF17" s="367" t="s">
        <v>162</v>
      </c>
      <c r="AG17" s="365" t="s">
        <v>2</v>
      </c>
      <c r="AH17" s="654" t="s">
        <v>78</v>
      </c>
    </row>
    <row r="18" spans="31:34">
      <c r="AE18" s="366">
        <v>10</v>
      </c>
      <c r="AF18" s="367" t="s">
        <v>161</v>
      </c>
      <c r="AG18" s="365" t="s">
        <v>2</v>
      </c>
      <c r="AH18" s="95">
        <v>34584</v>
      </c>
    </row>
    <row r="19" spans="31:34">
      <c r="AE19" s="460">
        <v>11</v>
      </c>
      <c r="AF19" s="461" t="s">
        <v>163</v>
      </c>
      <c r="AG19" s="462" t="s">
        <v>2</v>
      </c>
      <c r="AH19" s="463" t="str">
        <f>_in_kepsek</f>
        <v>Hj. YURNILAWATI, S.Pd.I</v>
      </c>
    </row>
    <row r="20" spans="31:34">
      <c r="AE20" s="464">
        <v>12</v>
      </c>
      <c r="AF20" s="461" t="s">
        <v>164</v>
      </c>
      <c r="AG20" s="465" t="s">
        <v>2</v>
      </c>
      <c r="AH20" s="466" t="str">
        <f>_in_nip_kepsek</f>
        <v>19590208 198102 2 001</v>
      </c>
    </row>
    <row r="21" spans="31:34">
      <c r="AE21" s="363">
        <v>13</v>
      </c>
      <c r="AF21" s="367" t="s">
        <v>154</v>
      </c>
      <c r="AG21" s="368" t="s">
        <v>2</v>
      </c>
      <c r="AH21" s="753" t="s">
        <v>626</v>
      </c>
    </row>
    <row r="22" spans="31:34" ht="15.75" thickBot="1">
      <c r="AE22" s="369">
        <v>14</v>
      </c>
      <c r="AF22" s="370" t="s">
        <v>155</v>
      </c>
      <c r="AG22" s="371" t="s">
        <v>2</v>
      </c>
      <c r="AH22" s="687" t="s">
        <v>78</v>
      </c>
    </row>
    <row r="23" spans="31:34">
      <c r="AE23" s="359"/>
      <c r="AF23" s="359"/>
      <c r="AG23" s="359"/>
    </row>
    <row r="24" spans="31:34">
      <c r="AE24" s="359"/>
      <c r="AF24" s="359"/>
      <c r="AG24" s="359"/>
    </row>
  </sheetData>
  <sheetProtection password="CE75" sheet="1" objects="1" scenarios="1" selectLockedCells="1"/>
  <mergeCells count="5">
    <mergeCell ref="AE4:AH5"/>
    <mergeCell ref="AE7:AH7"/>
    <mergeCell ref="AE8:AH8"/>
    <mergeCell ref="AE6:AH6"/>
    <mergeCell ref="AE2:AH2"/>
  </mergeCells>
  <hyperlinks>
    <hyperlink ref="A1" location="Sheet28!AE2" display="AE2"/>
    <hyperlink ref="AK13" location="Sheet28!A1" display="Hide it!"/>
  </hyperlinks>
  <pageMargins left="0.7" right="0.7" top="0.75" bottom="0.75" header="0.3" footer="0.3"/>
  <pageSetup orientation="portrait" r:id="rId1"/>
  <legacyDrawing r:id="rId2"/>
</worksheet>
</file>

<file path=xl/worksheets/sheet73.xml><?xml version="1.0" encoding="utf-8"?>
<worksheet xmlns="http://schemas.openxmlformats.org/spreadsheetml/2006/main" xmlns:r="http://schemas.openxmlformats.org/officeDocument/2006/relationships">
  <sheetPr codeName="Sheet70"/>
  <dimension ref="B2:L42"/>
  <sheetViews>
    <sheetView workbookViewId="0">
      <selection activeCell="O6" sqref="O6"/>
    </sheetView>
  </sheetViews>
  <sheetFormatPr defaultRowHeight="15"/>
  <cols>
    <col min="2" max="3" width="9.140625" style="399"/>
    <col min="4" max="11" width="3.85546875" style="399" customWidth="1"/>
  </cols>
  <sheetData>
    <row r="2" spans="2:12">
      <c r="B2" s="43" t="s">
        <v>416</v>
      </c>
      <c r="C2" s="43" t="s">
        <v>418</v>
      </c>
      <c r="D2" s="1448" t="s">
        <v>417</v>
      </c>
      <c r="E2" s="1448"/>
      <c r="F2" s="1448"/>
      <c r="G2" s="1448"/>
      <c r="H2" s="422"/>
      <c r="I2" s="422"/>
      <c r="J2" s="422"/>
      <c r="K2" s="422"/>
      <c r="L2" t="s">
        <v>417</v>
      </c>
    </row>
    <row r="3" spans="2:12">
      <c r="B3" s="43">
        <v>1</v>
      </c>
      <c r="C3" s="43" t="str">
        <f>D3&amp;" s.d. "&amp;G3</f>
        <v>1 s.d. 4</v>
      </c>
      <c r="D3" s="43">
        <v>1</v>
      </c>
      <c r="E3" s="43">
        <v>2</v>
      </c>
      <c r="F3" s="43">
        <v>3</v>
      </c>
      <c r="G3" s="43">
        <v>4</v>
      </c>
      <c r="L3">
        <v>1</v>
      </c>
    </row>
    <row r="4" spans="2:12">
      <c r="B4" s="43">
        <v>2</v>
      </c>
      <c r="C4" s="43" t="str">
        <f t="shared" ref="C4:C12" si="0">D4&amp;" s.d. "&amp;G4</f>
        <v>5 s.d. 8</v>
      </c>
      <c r="D4" s="43">
        <v>5</v>
      </c>
      <c r="E4" s="43">
        <v>6</v>
      </c>
      <c r="F4" s="43">
        <v>7</v>
      </c>
      <c r="G4" s="43">
        <v>8</v>
      </c>
      <c r="L4">
        <v>2</v>
      </c>
    </row>
    <row r="5" spans="2:12">
      <c r="B5" s="43">
        <v>3</v>
      </c>
      <c r="C5" s="43" t="str">
        <f t="shared" si="0"/>
        <v>9 s.d. 12</v>
      </c>
      <c r="D5" s="43">
        <v>9</v>
      </c>
      <c r="E5" s="43">
        <v>10</v>
      </c>
      <c r="F5" s="43">
        <v>11</v>
      </c>
      <c r="G5" s="43">
        <v>12</v>
      </c>
      <c r="L5">
        <v>3</v>
      </c>
    </row>
    <row r="6" spans="2:12">
      <c r="B6" s="43">
        <v>4</v>
      </c>
      <c r="C6" s="43" t="str">
        <f t="shared" si="0"/>
        <v>13 s.d. 16</v>
      </c>
      <c r="D6" s="43">
        <v>13</v>
      </c>
      <c r="E6" s="43">
        <v>14</v>
      </c>
      <c r="F6" s="43">
        <v>15</v>
      </c>
      <c r="G6" s="43">
        <v>16</v>
      </c>
      <c r="L6">
        <v>4</v>
      </c>
    </row>
    <row r="7" spans="2:12">
      <c r="B7" s="43">
        <v>5</v>
      </c>
      <c r="C7" s="43" t="str">
        <f t="shared" si="0"/>
        <v>17 s.d. 20</v>
      </c>
      <c r="D7" s="43">
        <v>17</v>
      </c>
      <c r="E7" s="43">
        <v>18</v>
      </c>
      <c r="F7" s="43">
        <v>19</v>
      </c>
      <c r="G7" s="43">
        <v>20</v>
      </c>
      <c r="L7">
        <v>5</v>
      </c>
    </row>
    <row r="8" spans="2:12">
      <c r="B8" s="43">
        <v>6</v>
      </c>
      <c r="C8" s="43" t="str">
        <f t="shared" si="0"/>
        <v>21 s.d. 24</v>
      </c>
      <c r="D8" s="43">
        <v>21</v>
      </c>
      <c r="E8" s="43">
        <v>22</v>
      </c>
      <c r="F8" s="43">
        <v>23</v>
      </c>
      <c r="G8" s="43">
        <v>24</v>
      </c>
      <c r="L8">
        <v>6</v>
      </c>
    </row>
    <row r="9" spans="2:12">
      <c r="B9" s="43">
        <v>7</v>
      </c>
      <c r="C9" s="43" t="str">
        <f t="shared" si="0"/>
        <v>25 s.d. 28</v>
      </c>
      <c r="D9" s="43">
        <v>25</v>
      </c>
      <c r="E9" s="43">
        <v>26</v>
      </c>
      <c r="F9" s="43">
        <v>27</v>
      </c>
      <c r="G9" s="43">
        <v>28</v>
      </c>
      <c r="L9">
        <v>7</v>
      </c>
    </row>
    <row r="10" spans="2:12">
      <c r="B10" s="43">
        <v>8</v>
      </c>
      <c r="C10" s="43" t="str">
        <f t="shared" si="0"/>
        <v>29 s.d. 32</v>
      </c>
      <c r="D10" s="43">
        <v>29</v>
      </c>
      <c r="E10" s="43">
        <v>30</v>
      </c>
      <c r="F10" s="43">
        <v>31</v>
      </c>
      <c r="G10" s="43">
        <v>32</v>
      </c>
      <c r="L10">
        <v>8</v>
      </c>
    </row>
    <row r="11" spans="2:12">
      <c r="B11" s="43">
        <v>9</v>
      </c>
      <c r="C11" s="43" t="str">
        <f t="shared" si="0"/>
        <v>33 s.d. 36</v>
      </c>
      <c r="D11" s="43">
        <v>33</v>
      </c>
      <c r="E11" s="43">
        <v>34</v>
      </c>
      <c r="F11" s="43">
        <v>35</v>
      </c>
      <c r="G11" s="43">
        <v>36</v>
      </c>
      <c r="L11">
        <v>9</v>
      </c>
    </row>
    <row r="12" spans="2:12">
      <c r="B12" s="43">
        <v>10</v>
      </c>
      <c r="C12" s="43" t="str">
        <f t="shared" si="0"/>
        <v>37 s.d. 40</v>
      </c>
      <c r="D12" s="43">
        <v>37</v>
      </c>
      <c r="E12" s="43">
        <v>38</v>
      </c>
      <c r="F12" s="43">
        <v>39</v>
      </c>
      <c r="G12" s="43">
        <v>40</v>
      </c>
      <c r="L12">
        <v>10</v>
      </c>
    </row>
    <row r="13" spans="2:12">
      <c r="L13">
        <v>11</v>
      </c>
    </row>
    <row r="14" spans="2:12">
      <c r="L14">
        <v>12</v>
      </c>
    </row>
    <row r="15" spans="2:12">
      <c r="L15">
        <v>13</v>
      </c>
    </row>
    <row r="16" spans="2:12">
      <c r="L16">
        <v>14</v>
      </c>
    </row>
    <row r="17" spans="12:12">
      <c r="L17">
        <v>15</v>
      </c>
    </row>
    <row r="18" spans="12:12">
      <c r="L18">
        <v>16</v>
      </c>
    </row>
    <row r="19" spans="12:12">
      <c r="L19">
        <v>17</v>
      </c>
    </row>
    <row r="20" spans="12:12">
      <c r="L20">
        <v>18</v>
      </c>
    </row>
    <row r="21" spans="12:12">
      <c r="L21">
        <v>19</v>
      </c>
    </row>
    <row r="22" spans="12:12">
      <c r="L22">
        <v>20</v>
      </c>
    </row>
    <row r="23" spans="12:12">
      <c r="L23">
        <v>21</v>
      </c>
    </row>
    <row r="24" spans="12:12">
      <c r="L24">
        <v>22</v>
      </c>
    </row>
    <row r="25" spans="12:12">
      <c r="L25">
        <v>23</v>
      </c>
    </row>
    <row r="26" spans="12:12">
      <c r="L26">
        <v>24</v>
      </c>
    </row>
    <row r="27" spans="12:12">
      <c r="L27">
        <v>25</v>
      </c>
    </row>
    <row r="28" spans="12:12">
      <c r="L28">
        <v>26</v>
      </c>
    </row>
    <row r="29" spans="12:12">
      <c r="L29">
        <v>27</v>
      </c>
    </row>
    <row r="30" spans="12:12">
      <c r="L30">
        <v>28</v>
      </c>
    </row>
    <row r="31" spans="12:12">
      <c r="L31">
        <v>29</v>
      </c>
    </row>
    <row r="32" spans="12:12">
      <c r="L32">
        <v>30</v>
      </c>
    </row>
    <row r="33" spans="12:12">
      <c r="L33">
        <v>31</v>
      </c>
    </row>
    <row r="34" spans="12:12">
      <c r="L34">
        <v>32</v>
      </c>
    </row>
    <row r="35" spans="12:12">
      <c r="L35">
        <v>33</v>
      </c>
    </row>
    <row r="36" spans="12:12">
      <c r="L36">
        <v>34</v>
      </c>
    </row>
    <row r="37" spans="12:12">
      <c r="L37">
        <v>35</v>
      </c>
    </row>
    <row r="38" spans="12:12">
      <c r="L38">
        <v>36</v>
      </c>
    </row>
    <row r="39" spans="12:12">
      <c r="L39">
        <v>37</v>
      </c>
    </row>
    <row r="40" spans="12:12">
      <c r="L40">
        <v>38</v>
      </c>
    </row>
    <row r="41" spans="12:12">
      <c r="L41">
        <v>39</v>
      </c>
    </row>
    <row r="42" spans="12:12">
      <c r="L42">
        <v>40</v>
      </c>
    </row>
  </sheetData>
  <mergeCells count="1">
    <mergeCell ref="D2:G2"/>
  </mergeCells>
  <pageMargins left="0.7" right="0.7" top="0.75" bottom="0.75" header="0.3" footer="0.3"/>
</worksheet>
</file>

<file path=xl/worksheets/sheet74.xml><?xml version="1.0" encoding="utf-8"?>
<worksheet xmlns="http://schemas.openxmlformats.org/spreadsheetml/2006/main" xmlns:r="http://schemas.openxmlformats.org/officeDocument/2006/relationships">
  <sheetPr codeName="Sheet71">
    <tabColor rgb="FF002060"/>
  </sheetPr>
  <dimension ref="A1:R69"/>
  <sheetViews>
    <sheetView showRowColHeaders="0" workbookViewId="0"/>
  </sheetViews>
  <sheetFormatPr defaultColWidth="0" defaultRowHeight="0" customHeight="1" zeroHeight="1"/>
  <cols>
    <col min="1" max="1" width="14.7109375" style="16" customWidth="1"/>
    <col min="2" max="2" width="4.42578125" style="16" customWidth="1"/>
    <col min="3" max="3" width="11.5703125" style="16" customWidth="1"/>
    <col min="4" max="5" width="14.7109375" style="16" customWidth="1"/>
    <col min="6" max="6" width="14.85546875" style="16" customWidth="1"/>
    <col min="7" max="8" width="14.7109375" style="16" customWidth="1"/>
    <col min="9" max="9" width="10" style="16" customWidth="1"/>
    <col min="10" max="10" width="13.85546875" style="16" customWidth="1"/>
    <col min="11" max="11" width="3" style="16" customWidth="1"/>
    <col min="12" max="12" width="4.140625" style="16" customWidth="1"/>
    <col min="13" max="18" width="0" style="16" hidden="1" customWidth="1"/>
    <col min="19" max="16384" width="9.140625" style="16" hidden="1"/>
  </cols>
  <sheetData>
    <row r="1" spans="1:12" ht="9.75" customHeight="1"/>
    <row r="2" spans="1:12" ht="23.25" customHeight="1">
      <c r="A2" s="1453" t="s">
        <v>431</v>
      </c>
      <c r="B2" s="1453"/>
      <c r="C2" s="1453"/>
      <c r="D2" s="1453"/>
      <c r="E2" s="1453"/>
      <c r="F2" s="1453"/>
      <c r="G2" s="1453"/>
      <c r="H2" s="1453"/>
      <c r="I2" s="1453"/>
      <c r="J2" s="1453"/>
      <c r="K2" s="1453"/>
      <c r="L2" s="1453"/>
    </row>
    <row r="3" spans="1:12" ht="17.25" customHeight="1">
      <c r="A3" s="1454" t="str">
        <f>_nama_sekolah</f>
        <v>SMP NEGERI 1 ABUNG SURAKARTA</v>
      </c>
      <c r="B3" s="1454"/>
      <c r="C3" s="1454"/>
      <c r="D3" s="1454"/>
      <c r="E3" s="1454"/>
      <c r="F3" s="1454"/>
      <c r="G3" s="1454"/>
      <c r="H3" s="1454"/>
      <c r="I3" s="1454"/>
      <c r="J3" s="1454"/>
      <c r="K3" s="1454"/>
      <c r="L3" s="1454"/>
    </row>
    <row r="4" spans="1:12" ht="16.5" customHeight="1">
      <c r="A4" s="1455" t="str">
        <f>_alamat_sekolah&amp;", "&amp;_kelurahan&amp;", "&amp;_kecamatan&amp;", "&amp;_kabupaten&amp;"- Kode Pos "&amp;_kode_pos</f>
        <v>Jl. Pendidikan No. 24, Tatakarya, Abung Surakarta, Lampung Utara- Kode Pos 34584</v>
      </c>
      <c r="B4" s="1455"/>
      <c r="C4" s="1455"/>
      <c r="D4" s="1455"/>
      <c r="E4" s="1455"/>
      <c r="F4" s="1455"/>
      <c r="G4" s="1455"/>
      <c r="H4" s="1455"/>
      <c r="I4" s="1455"/>
      <c r="J4" s="1455"/>
      <c r="K4" s="1455"/>
      <c r="L4" s="1455"/>
    </row>
    <row r="5" spans="1:12" s="22" customFormat="1" ht="6" customHeight="1">
      <c r="B5" s="478"/>
      <c r="C5" s="478"/>
      <c r="D5" s="478"/>
      <c r="E5" s="478"/>
      <c r="F5" s="478"/>
      <c r="G5" s="478"/>
      <c r="H5" s="478"/>
      <c r="I5" s="478"/>
      <c r="J5" s="478"/>
      <c r="K5" s="478"/>
    </row>
    <row r="6" spans="1:12" s="477" customFormat="1" ht="30.75" customHeight="1">
      <c r="A6" s="1450" t="str">
        <f>"KELAS "&amp;_kelas</f>
        <v>KELAS VIII A</v>
      </c>
      <c r="B6" s="1450"/>
      <c r="C6" s="1450"/>
      <c r="D6" s="1450"/>
      <c r="E6" s="1450"/>
      <c r="F6" s="1450"/>
      <c r="G6" s="1450"/>
      <c r="H6" s="1450"/>
      <c r="I6" s="1450"/>
      <c r="J6" s="1450"/>
      <c r="K6" s="1450"/>
      <c r="L6" s="1450"/>
    </row>
    <row r="7" spans="1:12" s="102" customFormat="1" ht="18.75">
      <c r="A7" s="1451" t="str">
        <f>"Tahun Pelajaran "&amp;_tahun_pelajaran</f>
        <v>Tahun Pelajaran 2018 / 2019</v>
      </c>
      <c r="B7" s="1451"/>
      <c r="C7" s="1451"/>
      <c r="D7" s="1451"/>
      <c r="E7" s="1451"/>
      <c r="F7" s="1451"/>
      <c r="G7" s="1451"/>
      <c r="H7" s="1451"/>
      <c r="I7" s="1451"/>
      <c r="J7" s="1451"/>
      <c r="K7" s="1451"/>
      <c r="L7" s="1451"/>
    </row>
    <row r="8" spans="1:12" ht="18.75">
      <c r="A8" s="1452" t="str">
        <f>"Semester "&amp;_smt_ganjil&amp;" &amp; Semester "&amp;_smt_genap</f>
        <v>Semester 3 (Tiga) &amp; Semester 4 (Empat)</v>
      </c>
      <c r="B8" s="1452"/>
      <c r="C8" s="1452"/>
      <c r="D8" s="1452"/>
      <c r="E8" s="1452"/>
      <c r="F8" s="1452"/>
      <c r="G8" s="1452"/>
      <c r="H8" s="1452"/>
      <c r="I8" s="1452"/>
      <c r="J8" s="1452"/>
      <c r="K8" s="1452"/>
      <c r="L8" s="1452"/>
    </row>
    <row r="9" spans="1:12" ht="1.5" customHeight="1">
      <c r="D9" s="1449"/>
      <c r="E9" s="1449"/>
      <c r="F9" s="1449"/>
      <c r="G9" s="1449"/>
      <c r="H9" s="1449"/>
      <c r="I9" s="1449"/>
    </row>
    <row r="10" spans="1:12" ht="26.25" customHeight="1"/>
    <row r="11" spans="1:12" ht="15">
      <c r="L11" s="479"/>
    </row>
    <row r="12" spans="1:12" ht="15">
      <c r="L12" s="479"/>
    </row>
    <row r="13" spans="1:12" ht="15">
      <c r="L13" s="479"/>
    </row>
    <row r="14" spans="1:12" ht="15">
      <c r="L14" s="479"/>
    </row>
    <row r="15" spans="1:12" ht="15">
      <c r="L15" s="479"/>
    </row>
    <row r="16" spans="1:12" ht="15">
      <c r="L16" s="479"/>
    </row>
    <row r="17" spans="12:12" ht="15">
      <c r="L17" s="479"/>
    </row>
    <row r="18" spans="12:12" ht="15">
      <c r="L18" s="479"/>
    </row>
    <row r="19" spans="12:12" ht="15">
      <c r="L19" s="479"/>
    </row>
    <row r="20" spans="12:12" ht="15">
      <c r="L20" s="479"/>
    </row>
    <row r="21" spans="12:12" ht="15"/>
    <row r="22" spans="12:12" ht="31.5" customHeight="1"/>
    <row r="23" spans="12:12" ht="15" hidden="1"/>
    <row r="24" spans="12:12" ht="15" hidden="1"/>
    <row r="25" spans="12:12" ht="15" hidden="1"/>
    <row r="26" spans="12:12" ht="15" hidden="1"/>
    <row r="27" spans="12:12" ht="15" hidden="1"/>
    <row r="28" spans="12:12" ht="15" hidden="1"/>
    <row r="29" spans="12:12" ht="15" hidden="1"/>
    <row r="30" spans="12:12" ht="15" hidden="1"/>
    <row r="31" spans="12:12" ht="15" hidden="1"/>
    <row r="32" spans="12:12" ht="15" hidden="1"/>
    <row r="33" ht="15" hidden="1"/>
    <row r="34" ht="15" hidden="1"/>
    <row r="35" ht="15" hidden="1"/>
    <row r="36" ht="15" hidden="1"/>
    <row r="37" ht="15" hidden="1"/>
    <row r="38" ht="15" hidden="1"/>
    <row r="39" ht="15" hidden="1"/>
    <row r="40" ht="15" hidden="1"/>
    <row r="41" ht="15" hidden="1"/>
    <row r="42" ht="15" hidden="1"/>
    <row r="43" ht="15" hidden="1"/>
    <row r="44" ht="15" hidden="1"/>
    <row r="45" ht="15" hidden="1"/>
    <row r="46" ht="15" hidden="1"/>
    <row r="47" ht="15" hidden="1"/>
    <row r="48" ht="29.25" hidden="1" customHeight="1"/>
    <row r="49" ht="15.75" hidden="1" customHeight="1"/>
    <row r="50" ht="15" hidden="1"/>
    <row r="51" ht="15" hidden="1"/>
    <row r="52" ht="15" hidden="1"/>
    <row r="53" ht="15" hidden="1"/>
    <row r="54" ht="15" hidden="1"/>
    <row r="55" ht="15" hidden="1"/>
    <row r="56" ht="15" hidden="1"/>
    <row r="57" ht="15" hidden="1"/>
    <row r="58" ht="15" hidden="1"/>
    <row r="59" ht="15" hidden="1"/>
    <row r="60" ht="15" hidden="1"/>
    <row r="61" ht="15" hidden="1"/>
    <row r="62" ht="15" hidden="1"/>
    <row r="63" ht="15" hidden="1"/>
    <row r="64" ht="15" hidden="1"/>
    <row r="65" ht="15" hidden="1"/>
    <row r="66" ht="15" hidden="1"/>
    <row r="67" ht="15" hidden="1"/>
    <row r="68" ht="15" hidden="1"/>
    <row r="69" s="468" customFormat="1" ht="15" hidden="1"/>
  </sheetData>
  <sheetProtection password="CF75" sheet="1" objects="1" scenarios="1" selectLockedCells="1"/>
  <mergeCells count="7">
    <mergeCell ref="D9:I9"/>
    <mergeCell ref="A6:L6"/>
    <mergeCell ref="A7:L7"/>
    <mergeCell ref="A8:L8"/>
    <mergeCell ref="A2:L2"/>
    <mergeCell ref="A3:L3"/>
    <mergeCell ref="A4:L4"/>
  </mergeCells>
  <pageMargins left="0.7" right="0.7" top="0.75" bottom="0.75" header="0.3" footer="0.3"/>
  <pageSetup orientation="portrait" r:id="rId1"/>
  <drawing r:id="rId2"/>
</worksheet>
</file>

<file path=xl/worksheets/sheet75.xml><?xml version="1.0" encoding="utf-8"?>
<worksheet xmlns="http://schemas.openxmlformats.org/spreadsheetml/2006/main" xmlns:r="http://schemas.openxmlformats.org/officeDocument/2006/relationships">
  <sheetPr codeName="Sheet72">
    <tabColor theme="3"/>
  </sheetPr>
  <dimension ref="A1:CB70"/>
  <sheetViews>
    <sheetView showRowColHeaders="0" workbookViewId="0">
      <pane xSplit="7" topLeftCell="BT1" activePane="topRight" state="frozenSplit"/>
      <selection pane="topRight"/>
    </sheetView>
  </sheetViews>
  <sheetFormatPr defaultColWidth="9.140625" defaultRowHeight="0" customHeight="1" zeroHeight="1"/>
  <cols>
    <col min="1" max="1" width="0.5703125" style="16" customWidth="1"/>
    <col min="2" max="2" width="16.7109375" style="16" customWidth="1"/>
    <col min="3" max="3" width="0.5703125" style="16" customWidth="1"/>
    <col min="4" max="4" width="5" style="16" customWidth="1"/>
    <col min="5" max="5" width="6.5703125" style="16" customWidth="1"/>
    <col min="6" max="6" width="12.85546875" style="16" customWidth="1"/>
    <col min="7" max="7" width="30.42578125" style="16" customWidth="1"/>
    <col min="8" max="8" width="11.42578125" style="16" bestFit="1" customWidth="1"/>
    <col min="9" max="9" width="13.28515625" style="16" bestFit="1" customWidth="1"/>
    <col min="10" max="10" width="13.42578125" style="16" customWidth="1"/>
    <col min="11" max="11" width="13.28515625" style="16" customWidth="1"/>
    <col min="12" max="12" width="9.85546875" style="16" customWidth="1"/>
    <col min="13" max="13" width="13.140625" style="16" customWidth="1"/>
    <col min="14" max="14" width="11" style="16" customWidth="1"/>
    <col min="15" max="15" width="15.42578125" style="16" customWidth="1"/>
    <col min="16" max="16" width="16.28515625" style="16" customWidth="1"/>
    <col min="17" max="17" width="10.140625" style="16" customWidth="1"/>
    <col min="18" max="18" width="9.42578125" style="16" customWidth="1"/>
    <col min="19" max="19" width="9.7109375" style="16" customWidth="1"/>
    <col min="20" max="20" width="10.42578125" style="16" customWidth="1"/>
    <col min="21" max="21" width="42.28515625" style="16" customWidth="1"/>
    <col min="22" max="22" width="14.5703125" style="16" bestFit="1" customWidth="1"/>
    <col min="23" max="23" width="14.140625" style="16" customWidth="1"/>
    <col min="24" max="24" width="13.42578125" style="16" customWidth="1"/>
    <col min="25" max="25" width="6.5703125" style="16" customWidth="1"/>
    <col min="26" max="26" width="13.42578125" style="16" customWidth="1"/>
    <col min="27" max="27" width="9.140625" style="16"/>
    <col min="28" max="29" width="7" style="16" customWidth="1"/>
    <col min="30" max="30" width="9.140625" style="16"/>
    <col min="31" max="31" width="13.85546875" style="16" bestFit="1" customWidth="1"/>
    <col min="32" max="32" width="13.140625" style="16" customWidth="1"/>
    <col min="33" max="33" width="23" style="16" customWidth="1"/>
    <col min="34" max="34" width="28.28515625" style="16" customWidth="1"/>
    <col min="35" max="35" width="14.7109375" style="16" customWidth="1"/>
    <col min="36" max="36" width="9.140625" style="16"/>
    <col min="37" max="37" width="10.5703125" style="16" customWidth="1"/>
    <col min="38" max="38" width="7.5703125" style="16" customWidth="1"/>
    <col min="39" max="40" width="9.140625" style="16"/>
    <col min="41" max="41" width="18.5703125" style="16" customWidth="1"/>
    <col min="42" max="42" width="18.140625" style="16" customWidth="1"/>
    <col min="43" max="43" width="32.42578125" style="16" customWidth="1"/>
    <col min="44" max="44" width="12.140625" style="16" bestFit="1" customWidth="1"/>
    <col min="45" max="45" width="29" style="16" customWidth="1"/>
    <col min="46" max="46" width="16.7109375" style="16" customWidth="1"/>
    <col min="47" max="47" width="12.28515625" style="16" bestFit="1" customWidth="1"/>
    <col min="48" max="48" width="27.28515625" style="16" customWidth="1"/>
    <col min="49" max="49" width="9.140625" style="16"/>
    <col min="50" max="50" width="11.28515625" style="16" customWidth="1"/>
    <col min="51" max="51" width="10.42578125" style="16" customWidth="1"/>
    <col min="52" max="52" width="12.7109375" style="16" customWidth="1"/>
    <col min="53" max="53" width="30.140625" style="16" customWidth="1"/>
    <col min="54" max="54" width="16" style="16" customWidth="1"/>
    <col min="55" max="55" width="25" style="16" customWidth="1"/>
    <col min="56" max="56" width="16" style="16" customWidth="1"/>
    <col min="57" max="57" width="13.140625" style="16" customWidth="1"/>
    <col min="58" max="58" width="18.42578125" style="16" customWidth="1"/>
    <col min="59" max="59" width="9.140625" style="16"/>
    <col min="60" max="60" width="10.140625" style="16" customWidth="1"/>
    <col min="61" max="61" width="10.7109375" style="16" customWidth="1"/>
    <col min="62" max="62" width="12.42578125" style="16" customWidth="1"/>
    <col min="63" max="63" width="30.7109375" style="16" customWidth="1"/>
    <col min="64" max="64" width="13.5703125" style="16" customWidth="1"/>
    <col min="65" max="65" width="17.140625" style="16" customWidth="1"/>
    <col min="66" max="66" width="11.85546875" style="16" bestFit="1" customWidth="1"/>
    <col min="67" max="67" width="21.28515625" style="16" customWidth="1"/>
    <col min="68" max="68" width="9.140625" style="16"/>
    <col min="69" max="69" width="13.28515625" style="16" customWidth="1"/>
    <col min="70" max="70" width="12.7109375" style="16" bestFit="1" customWidth="1"/>
    <col min="71" max="71" width="13.85546875" style="16" customWidth="1"/>
    <col min="72" max="74" width="12.140625" style="16" customWidth="1"/>
    <col min="75" max="75" width="17.28515625" style="16" customWidth="1"/>
    <col min="76" max="76" width="16.7109375" style="16" customWidth="1"/>
    <col min="77" max="77" width="9.140625" style="16"/>
    <col min="78" max="78" width="12.42578125" style="16" customWidth="1"/>
    <col min="79" max="79" width="13" style="16" customWidth="1"/>
    <col min="80" max="16384" width="9.140625" style="16"/>
  </cols>
  <sheetData>
    <row r="1" spans="1:80" ht="9.75" customHeight="1" thickBot="1"/>
    <row r="2" spans="1:80" ht="23.25" customHeight="1" thickBot="1">
      <c r="A2" s="480"/>
      <c r="B2" s="480"/>
      <c r="C2" s="480"/>
      <c r="D2" s="532" t="s">
        <v>490</v>
      </c>
      <c r="E2" s="532"/>
      <c r="F2" s="532"/>
      <c r="G2" s="480"/>
      <c r="H2" s="1475" t="s">
        <v>595</v>
      </c>
      <c r="I2" s="1476"/>
      <c r="J2" s="1476"/>
      <c r="K2" s="1476"/>
      <c r="L2" s="1476"/>
      <c r="M2" s="1476"/>
      <c r="N2" s="1476"/>
      <c r="O2" s="1476"/>
      <c r="P2" s="1477"/>
    </row>
    <row r="3" spans="1:80" ht="14.25" customHeight="1">
      <c r="A3" s="481"/>
      <c r="B3" s="481"/>
      <c r="C3" s="481"/>
      <c r="D3" s="537" t="str">
        <f>"KELAS "&amp;_kelas</f>
        <v>KELAS VIII A</v>
      </c>
      <c r="E3" s="537"/>
      <c r="F3" s="537"/>
      <c r="G3" s="481"/>
      <c r="H3" s="481"/>
      <c r="I3" s="481"/>
      <c r="J3" s="481"/>
      <c r="K3" s="481"/>
      <c r="O3" s="481"/>
      <c r="P3" s="481"/>
    </row>
    <row r="4" spans="1:80" ht="3.75" customHeight="1" thickBot="1">
      <c r="A4" s="482"/>
      <c r="B4" s="482"/>
      <c r="C4" s="482"/>
      <c r="D4" s="482"/>
      <c r="E4" s="482"/>
      <c r="F4" s="482"/>
      <c r="G4" s="482"/>
      <c r="H4" s="482"/>
      <c r="I4" s="482"/>
      <c r="J4" s="482"/>
      <c r="K4" s="482"/>
      <c r="O4" s="482"/>
      <c r="P4" s="482"/>
    </row>
    <row r="5" spans="1:80" s="483" customFormat="1" ht="18.75">
      <c r="B5" s="484"/>
      <c r="C5" s="484"/>
      <c r="D5" s="1461" t="s">
        <v>441</v>
      </c>
      <c r="E5" s="1462"/>
      <c r="F5" s="1462"/>
      <c r="G5" s="1463"/>
      <c r="H5" s="1458" t="s">
        <v>441</v>
      </c>
      <c r="I5" s="1459"/>
      <c r="J5" s="1459"/>
      <c r="K5" s="1459"/>
      <c r="L5" s="1459"/>
      <c r="M5" s="1459"/>
      <c r="N5" s="1459"/>
      <c r="O5" s="1459"/>
      <c r="P5" s="1459"/>
      <c r="Q5" s="1459"/>
      <c r="R5" s="1459"/>
      <c r="S5" s="1459"/>
      <c r="T5" s="1460"/>
      <c r="U5" s="1473" t="s">
        <v>442</v>
      </c>
      <c r="V5" s="1473"/>
      <c r="W5" s="1473"/>
      <c r="X5" s="1473"/>
      <c r="Y5" s="1465" t="s">
        <v>450</v>
      </c>
      <c r="Z5" s="1465"/>
      <c r="AA5" s="1465"/>
      <c r="AB5" s="1465"/>
      <c r="AC5" s="1465"/>
      <c r="AD5" s="1464" t="s">
        <v>451</v>
      </c>
      <c r="AE5" s="1464"/>
      <c r="AF5" s="1464"/>
      <c r="AG5" s="1465" t="s">
        <v>454</v>
      </c>
      <c r="AH5" s="1465"/>
      <c r="AI5" s="1465"/>
      <c r="AJ5" s="1465"/>
      <c r="AK5" s="1465"/>
      <c r="AL5" s="1465"/>
      <c r="AM5" s="1465"/>
      <c r="AN5" s="1465"/>
      <c r="AO5" s="1466" t="s">
        <v>463</v>
      </c>
      <c r="AP5" s="1466"/>
      <c r="AQ5" s="1467" t="s">
        <v>466</v>
      </c>
      <c r="AR5" s="1468"/>
      <c r="AS5" s="1468"/>
      <c r="AT5" s="1468"/>
      <c r="AU5" s="1468"/>
      <c r="AV5" s="1468"/>
      <c r="AW5" s="1468"/>
      <c r="AX5" s="1468"/>
      <c r="AY5" s="1468"/>
      <c r="AZ5" s="1469"/>
      <c r="BA5" s="1470" t="s">
        <v>474</v>
      </c>
      <c r="BB5" s="1471"/>
      <c r="BC5" s="1471"/>
      <c r="BD5" s="1471"/>
      <c r="BE5" s="1471"/>
      <c r="BF5" s="1471"/>
      <c r="BG5" s="1471"/>
      <c r="BH5" s="1471"/>
      <c r="BI5" s="1471"/>
      <c r="BJ5" s="1472"/>
      <c r="BK5" s="1467" t="s">
        <v>477</v>
      </c>
      <c r="BL5" s="1468"/>
      <c r="BM5" s="1468"/>
      <c r="BN5" s="1468"/>
      <c r="BO5" s="1468"/>
      <c r="BP5" s="1468"/>
      <c r="BQ5" s="1468"/>
      <c r="BR5" s="1468"/>
      <c r="BS5" s="1469"/>
      <c r="BT5" s="1464" t="s">
        <v>480</v>
      </c>
      <c r="BU5" s="1464"/>
      <c r="BV5" s="1464"/>
      <c r="BW5" s="1478" t="s">
        <v>488</v>
      </c>
      <c r="BX5" s="1478"/>
      <c r="BY5" s="1478"/>
      <c r="BZ5" s="1478"/>
      <c r="CA5" s="1456" t="s">
        <v>497</v>
      </c>
      <c r="CB5" s="1457"/>
    </row>
    <row r="6" spans="1:80" s="487" customFormat="1" ht="39.75" customHeight="1" thickBot="1">
      <c r="A6" s="488"/>
      <c r="B6" s="488"/>
      <c r="C6" s="488"/>
      <c r="D6" s="520" t="s">
        <v>50</v>
      </c>
      <c r="E6" s="521" t="s">
        <v>51</v>
      </c>
      <c r="F6" s="521" t="s">
        <v>87</v>
      </c>
      <c r="G6" s="522" t="s">
        <v>97</v>
      </c>
      <c r="H6" s="523" t="s">
        <v>134</v>
      </c>
      <c r="I6" s="523" t="s">
        <v>132</v>
      </c>
      <c r="J6" s="523" t="s">
        <v>133</v>
      </c>
      <c r="K6" s="523" t="s">
        <v>135</v>
      </c>
      <c r="L6" s="523" t="s">
        <v>434</v>
      </c>
      <c r="M6" s="523" t="s">
        <v>435</v>
      </c>
      <c r="N6" s="523" t="s">
        <v>439</v>
      </c>
      <c r="O6" s="523" t="s">
        <v>432</v>
      </c>
      <c r="P6" s="523" t="s">
        <v>433</v>
      </c>
      <c r="Q6" s="523" t="s">
        <v>436</v>
      </c>
      <c r="R6" s="523" t="s">
        <v>437</v>
      </c>
      <c r="S6" s="523" t="s">
        <v>438</v>
      </c>
      <c r="T6" s="523" t="s">
        <v>440</v>
      </c>
      <c r="U6" s="524" t="s">
        <v>143</v>
      </c>
      <c r="V6" s="524" t="s">
        <v>443</v>
      </c>
      <c r="W6" s="524" t="s">
        <v>444</v>
      </c>
      <c r="X6" s="524" t="s">
        <v>445</v>
      </c>
      <c r="Y6" s="525" t="s">
        <v>446</v>
      </c>
      <c r="Z6" s="525" t="s">
        <v>447</v>
      </c>
      <c r="AA6" s="525" t="s">
        <v>448</v>
      </c>
      <c r="AB6" s="1474" t="s">
        <v>449</v>
      </c>
      <c r="AC6" s="1474"/>
      <c r="AD6" s="526" t="s">
        <v>452</v>
      </c>
      <c r="AE6" s="526" t="s">
        <v>453</v>
      </c>
      <c r="AF6" s="526" t="s">
        <v>4</v>
      </c>
      <c r="AG6" s="527" t="s">
        <v>455</v>
      </c>
      <c r="AH6" s="527" t="s">
        <v>456</v>
      </c>
      <c r="AI6" s="527" t="s">
        <v>457</v>
      </c>
      <c r="AJ6" s="527" t="s">
        <v>458</v>
      </c>
      <c r="AK6" s="527" t="s">
        <v>459</v>
      </c>
      <c r="AL6" s="527" t="s">
        <v>460</v>
      </c>
      <c r="AM6" s="527" t="s">
        <v>461</v>
      </c>
      <c r="AN6" s="527" t="s">
        <v>462</v>
      </c>
      <c r="AO6" s="528" t="s">
        <v>464</v>
      </c>
      <c r="AP6" s="528" t="s">
        <v>465</v>
      </c>
      <c r="AQ6" s="523" t="s">
        <v>91</v>
      </c>
      <c r="AR6" s="523" t="s">
        <v>468</v>
      </c>
      <c r="AS6" s="523" t="s">
        <v>470</v>
      </c>
      <c r="AT6" s="523" t="s">
        <v>471</v>
      </c>
      <c r="AU6" s="523" t="s">
        <v>144</v>
      </c>
      <c r="AV6" s="523" t="s">
        <v>406</v>
      </c>
      <c r="AW6" s="523" t="s">
        <v>135</v>
      </c>
      <c r="AX6" s="523" t="s">
        <v>433</v>
      </c>
      <c r="AY6" s="523" t="s">
        <v>467</v>
      </c>
      <c r="AZ6" s="523" t="s">
        <v>469</v>
      </c>
      <c r="BA6" s="529" t="s">
        <v>93</v>
      </c>
      <c r="BB6" s="529" t="s">
        <v>475</v>
      </c>
      <c r="BC6" s="529" t="s">
        <v>476</v>
      </c>
      <c r="BD6" s="529" t="s">
        <v>471</v>
      </c>
      <c r="BE6" s="529" t="s">
        <v>144</v>
      </c>
      <c r="BF6" s="529" t="s">
        <v>406</v>
      </c>
      <c r="BG6" s="529" t="s">
        <v>135</v>
      </c>
      <c r="BH6" s="529" t="s">
        <v>433</v>
      </c>
      <c r="BI6" s="529" t="s">
        <v>467</v>
      </c>
      <c r="BJ6" s="529" t="s">
        <v>469</v>
      </c>
      <c r="BK6" s="527" t="s">
        <v>90</v>
      </c>
      <c r="BL6" s="527" t="s">
        <v>479</v>
      </c>
      <c r="BM6" s="527" t="s">
        <v>478</v>
      </c>
      <c r="BN6" s="527" t="s">
        <v>144</v>
      </c>
      <c r="BO6" s="527" t="s">
        <v>406</v>
      </c>
      <c r="BP6" s="527" t="s">
        <v>135</v>
      </c>
      <c r="BQ6" s="527" t="s">
        <v>433</v>
      </c>
      <c r="BR6" s="527" t="s">
        <v>467</v>
      </c>
      <c r="BS6" s="527" t="s">
        <v>469</v>
      </c>
      <c r="BT6" s="524" t="s">
        <v>481</v>
      </c>
      <c r="BU6" s="524" t="s">
        <v>482</v>
      </c>
      <c r="BV6" s="524" t="s">
        <v>483</v>
      </c>
      <c r="BW6" s="523" t="s">
        <v>484</v>
      </c>
      <c r="BX6" s="523" t="s">
        <v>485</v>
      </c>
      <c r="BY6" s="523" t="s">
        <v>487</v>
      </c>
      <c r="BZ6" s="523" t="s">
        <v>486</v>
      </c>
      <c r="CA6" s="525" t="s">
        <v>489</v>
      </c>
      <c r="CB6" s="530" t="s">
        <v>140</v>
      </c>
    </row>
    <row r="7" spans="1:80" s="487" customFormat="1" ht="15" customHeight="1" thickBot="1">
      <c r="A7" s="488"/>
      <c r="B7" s="94" t="s">
        <v>73</v>
      </c>
      <c r="C7" s="488"/>
      <c r="D7" s="549" t="s">
        <v>148</v>
      </c>
      <c r="E7" s="531">
        <v>2</v>
      </c>
      <c r="F7" s="531">
        <v>3</v>
      </c>
      <c r="G7" s="531">
        <v>4</v>
      </c>
      <c r="H7" s="531">
        <v>5</v>
      </c>
      <c r="I7" s="531">
        <v>6</v>
      </c>
      <c r="J7" s="531">
        <v>7</v>
      </c>
      <c r="K7" s="531">
        <v>8</v>
      </c>
      <c r="L7" s="531">
        <v>9</v>
      </c>
      <c r="M7" s="531">
        <v>10</v>
      </c>
      <c r="N7" s="531">
        <v>11</v>
      </c>
      <c r="O7" s="531">
        <v>12</v>
      </c>
      <c r="P7" s="531">
        <v>13</v>
      </c>
      <c r="Q7" s="531">
        <v>14</v>
      </c>
      <c r="R7" s="531">
        <v>15</v>
      </c>
      <c r="S7" s="531">
        <v>16</v>
      </c>
      <c r="T7" s="531">
        <v>17</v>
      </c>
      <c r="U7" s="531">
        <v>18</v>
      </c>
      <c r="V7" s="531">
        <v>19</v>
      </c>
      <c r="W7" s="531">
        <v>20</v>
      </c>
      <c r="X7" s="531">
        <v>21</v>
      </c>
      <c r="Y7" s="531">
        <v>22</v>
      </c>
      <c r="Z7" s="531">
        <v>23</v>
      </c>
      <c r="AA7" s="531">
        <v>24</v>
      </c>
      <c r="AB7" s="531">
        <v>25</v>
      </c>
      <c r="AC7" s="531">
        <v>26</v>
      </c>
      <c r="AD7" s="531">
        <v>27</v>
      </c>
      <c r="AE7" s="531">
        <v>28</v>
      </c>
      <c r="AF7" s="531">
        <v>29</v>
      </c>
      <c r="AG7" s="531">
        <v>30</v>
      </c>
      <c r="AH7" s="531">
        <v>31</v>
      </c>
      <c r="AI7" s="531">
        <v>32</v>
      </c>
      <c r="AJ7" s="531">
        <v>33</v>
      </c>
      <c r="AK7" s="531">
        <v>34</v>
      </c>
      <c r="AL7" s="531">
        <v>35</v>
      </c>
      <c r="AM7" s="531">
        <v>36</v>
      </c>
      <c r="AN7" s="531">
        <v>37</v>
      </c>
      <c r="AO7" s="531">
        <v>38</v>
      </c>
      <c r="AP7" s="531">
        <v>39</v>
      </c>
      <c r="AQ7" s="531">
        <v>40</v>
      </c>
      <c r="AR7" s="531">
        <v>41</v>
      </c>
      <c r="AS7" s="531">
        <v>42</v>
      </c>
      <c r="AT7" s="531">
        <v>43</v>
      </c>
      <c r="AU7" s="531">
        <v>44</v>
      </c>
      <c r="AV7" s="531">
        <v>45</v>
      </c>
      <c r="AW7" s="531">
        <v>46</v>
      </c>
      <c r="AX7" s="531">
        <v>47</v>
      </c>
      <c r="AY7" s="531">
        <v>48</v>
      </c>
      <c r="AZ7" s="531">
        <v>49</v>
      </c>
      <c r="BA7" s="531">
        <v>50</v>
      </c>
      <c r="BB7" s="531">
        <v>51</v>
      </c>
      <c r="BC7" s="531">
        <v>52</v>
      </c>
      <c r="BD7" s="531">
        <v>53</v>
      </c>
      <c r="BE7" s="531">
        <v>54</v>
      </c>
      <c r="BF7" s="531">
        <v>55</v>
      </c>
      <c r="BG7" s="531">
        <v>56</v>
      </c>
      <c r="BH7" s="531">
        <v>57</v>
      </c>
      <c r="BI7" s="531">
        <v>58</v>
      </c>
      <c r="BJ7" s="531">
        <v>59</v>
      </c>
      <c r="BK7" s="531">
        <v>60</v>
      </c>
      <c r="BL7" s="531">
        <v>61</v>
      </c>
      <c r="BM7" s="531">
        <v>62</v>
      </c>
      <c r="BN7" s="531">
        <v>63</v>
      </c>
      <c r="BO7" s="531">
        <v>64</v>
      </c>
      <c r="BP7" s="531">
        <v>65</v>
      </c>
      <c r="BQ7" s="531">
        <v>66</v>
      </c>
      <c r="BR7" s="531">
        <v>67</v>
      </c>
      <c r="BS7" s="531">
        <v>68</v>
      </c>
      <c r="BT7" s="531">
        <v>69</v>
      </c>
      <c r="BU7" s="531">
        <v>70</v>
      </c>
      <c r="BV7" s="531">
        <v>71</v>
      </c>
      <c r="BW7" s="531">
        <v>72</v>
      </c>
      <c r="BX7" s="531">
        <v>73</v>
      </c>
      <c r="BY7" s="531">
        <v>74</v>
      </c>
      <c r="BZ7" s="531">
        <v>75</v>
      </c>
      <c r="CA7" s="531">
        <v>76</v>
      </c>
      <c r="CB7" s="531">
        <v>77</v>
      </c>
    </row>
    <row r="8" spans="1:80" s="485" customFormat="1" ht="15" customHeight="1">
      <c r="B8" s="491" t="str">
        <f>H5</f>
        <v>DATA DIRI SISWA</v>
      </c>
      <c r="D8" s="513">
        <f>Biodata!B6</f>
        <v>1</v>
      </c>
      <c r="E8" s="514">
        <f t="shared" ref="E8:E47" si="0">IF(VLOOKUP(D8,_Biodata_Lengkap,2,FALSE)=0,"-",VLOOKUP(D8,_Biodata_Lengkap,2,FALSE))</f>
        <v>7057</v>
      </c>
      <c r="F8" s="514" t="str">
        <f t="shared" ref="F8:F47" si="1">IF(VLOOKUP($D8,_Biodata_Lengkap,3,FALSE)=0,"-",(VLOOKUP($D8,_Biodata_Lengkap,3,FALSE)))</f>
        <v>0061139155</v>
      </c>
      <c r="G8" s="515" t="str">
        <f t="shared" ref="G8:G47" si="2">IF(VLOOKUP($D8,_Biodata_Lengkap,4,FALSE)=0,"-",(PROPER(VLOOKUP($D8,_Biodata_Lengkap,4,FALSE))))</f>
        <v>Ahmad Zaki Aufa</v>
      </c>
      <c r="H8" s="516" t="str">
        <f t="shared" ref="H8:H47" si="3">IF(VLOOKUP($D8,_Biodata_Lengkap,7,FALSE)=0,"-",(VLOOKUP($D8,_Biodata_Lengkap,7,FALSE)))</f>
        <v>Laki-Laki</v>
      </c>
      <c r="I8" s="516" t="str">
        <f t="shared" ref="I8:I47" si="4">IF(VLOOKUP($D8,_Biodata_Lengkap,5,FALSE)=0,"-",(VLOOKUP($D8,_Biodata_Lengkap,5,FALSE)))</f>
        <v>SURAKARTA</v>
      </c>
      <c r="J8" s="516" t="str">
        <f t="shared" ref="J8:J47" si="5">IF(VLOOKUP($D8,_Biodata_Lengkap,6,FALSE)=0,"-",(VLOOKUP($D8,_Biodata_Lengkap,6,FALSE)))</f>
        <v>26/01/2006</v>
      </c>
      <c r="K8" s="514" t="str">
        <f t="shared" ref="K8:K47" si="6">IF(VLOOKUP($D8,_Biodata_Lengkap,8,FALSE)=0,"-",(VLOOKUP($D8,_Biodata_Lengkap,8,FALSE)))</f>
        <v>Islam</v>
      </c>
      <c r="L8" s="514" t="str">
        <f t="shared" ref="L8:L47" si="7">IF(VLOOKUP($D8,_Biodata_Lengkap,10,FALSE)=0,"-",(VLOOKUP($D8,_Biodata_Lengkap,10,FALSE)))</f>
        <v>2 (Dua)</v>
      </c>
      <c r="M8" s="514" t="str">
        <f t="shared" ref="M8:M47" si="8">IF(VLOOKUP($D8,_Biodata_Lengkap,9,FALSE)=0,"-",(VLOOKUP($D8,_Biodata_Lengkap,9,FALSE)))</f>
        <v>Anak Kandung</v>
      </c>
      <c r="N8" s="514" t="str">
        <f t="shared" ref="N8:N47" si="9">IF(AND(VLOOKUP(D8,_Biodata_Lengkap,20,FALSE)="Meninggal Dunia",VLOOKUP(D8,_Biodata_Lengkap,25,FALSE)="Meninggal Dunia"),"Yatim Piatu",IF(AND(VLOOKUP(D8,_Biodata_Lengkap,20,FALSE)="Masih Hidup",VLOOKUP(D8,_Biodata_Lengkap,25,FALSE)="Meninggal Dunia"),"Piatu",IF(AND(VLOOKUP(D8,_Biodata_Lengkap,20,FALSE)="Meninggal Dunia",VLOOKUP(D8,_Biodata_Lengkap,25,FALSE)="Masih Hidup"),"Yatim","-")))</f>
        <v>-</v>
      </c>
      <c r="O8" s="492"/>
      <c r="P8" s="493"/>
      <c r="Q8" s="493"/>
      <c r="R8" s="493"/>
      <c r="S8" s="493"/>
      <c r="T8" s="492"/>
      <c r="U8" s="533" t="str">
        <f t="shared" ref="U8:U47" si="10">IF(VLOOKUP($D8,_Biodata_Lengkap,11,FALSE)=0,"-",(VLOOKUP($D8,_Biodata_Lengkap,11,FALSE)))</f>
        <v>SURAKARTA</v>
      </c>
      <c r="V8" s="533" t="str">
        <f t="shared" ref="V8:V47" si="11">IF(VLOOKUP($D8,_Biodata_Lengkap,12,FALSE)=0,"-",(VLOOKUP($D8,_Biodata_Lengkap,12,FALSE)))</f>
        <v>-</v>
      </c>
      <c r="W8" s="493"/>
      <c r="X8" s="493"/>
      <c r="Y8" s="493"/>
      <c r="Z8" s="493"/>
      <c r="AA8" s="493"/>
      <c r="AB8" s="498">
        <v>0</v>
      </c>
      <c r="AC8" s="499">
        <v>0</v>
      </c>
      <c r="AD8" s="514" t="str">
        <f t="shared" ref="AD8:AD47" si="12">IF(VLOOKUP($D8,_Biodata_Lengkap,14,FALSE)=0,"-",(VLOOKUP($D8,_Biodata_Lengkap,14,FALSE)))</f>
        <v>VIII A</v>
      </c>
      <c r="AE8" s="514" t="str">
        <f t="shared" ref="AE8:AE47" si="13">IF(VLOOKUP($D8,_Biodata_Lengkap,15,FALSE)=0,"-",(VLOOKUP($D8,_Biodata_Lengkap,15,FALSE)))</f>
        <v>16/07/2018</v>
      </c>
      <c r="AF8" s="502"/>
      <c r="AG8" s="533" t="str">
        <f t="shared" ref="AG8:AG47" si="14">IF(VLOOKUP($D8,_Biodata_Lengkap,13,FALSE)=0,"-",(VLOOKUP($D8,_Biodata_Lengkap,13,FALSE)))</f>
        <v>SDN 1 Surakarta</v>
      </c>
      <c r="AH8" s="502"/>
      <c r="AI8" s="689"/>
      <c r="AJ8" s="502"/>
      <c r="AK8" s="689"/>
      <c r="AL8" s="502"/>
      <c r="AM8" s="502"/>
      <c r="AN8" s="505">
        <v>0</v>
      </c>
      <c r="AO8" s="502"/>
      <c r="AP8" s="502"/>
      <c r="AQ8" s="533" t="str">
        <f t="shared" ref="AQ8:AQ47" si="15">IF(VLOOKUP($D8,_Biodata_Lengkap,16,FALSE)=0,"-",(VLOOKUP($D8,_Biodata_Lengkap,16,FALSE)))</f>
        <v>ANDI CAWARMAN</v>
      </c>
      <c r="AR8" s="533" t="str">
        <f t="shared" ref="AR8:AR47" si="16">IF(VLOOKUP($D8,_Biodata_Lengkap,17,FALSE)=0,"-",(VLOOKUP($D8,_Biodata_Lengkap,17,FALSE)))</f>
        <v>Wiraswasta</v>
      </c>
      <c r="AS8" s="533" t="str">
        <f t="shared" ref="AS8:AS47" si="17">IF(VLOOKUP($D8,_Biodata_Lengkap,18,FALSE)=0,"-",(VLOOKUP($D8,_Biodata_Lengkap,18,FALSE)))</f>
        <v>SURAKARTA</v>
      </c>
      <c r="AT8" s="533" t="str">
        <f t="shared" ref="AT8:AT47" si="18">IF(VLOOKUP($D8,_Biodata_Lengkap,20,FALSE)=0,"-",(VLOOKUP($D8,_Biodata_Lengkap,20,FALSE)))</f>
        <v>Masih Hidup</v>
      </c>
      <c r="AU8" s="533" t="str">
        <f t="shared" ref="AU8:AU47" si="19">IF(VLOOKUP($D8,_Biodata_Lengkap,19,FALSE)=0,"-",(VLOOKUP($D8,_Biodata_Lengkap,19,FALSE)))</f>
        <v>-</v>
      </c>
      <c r="AV8" s="507"/>
      <c r="AW8" s="502" t="s">
        <v>472</v>
      </c>
      <c r="AX8" s="502" t="s">
        <v>473</v>
      </c>
      <c r="AY8" s="502"/>
      <c r="AZ8" s="508">
        <v>0</v>
      </c>
      <c r="BA8" s="533" t="str">
        <f t="shared" ref="BA8:BA47" si="20">IF(VLOOKUP($D8,_Biodata_Lengkap,21,FALSE)=0,"-",(VLOOKUP($D8,_Biodata_Lengkap,21,FALSE)))</f>
        <v>TRI HUSPITA SARI</v>
      </c>
      <c r="BB8" s="533" t="str">
        <f t="shared" ref="BB8:BB47" si="21">IF(VLOOKUP($D8,_Biodata_Lengkap,22,FALSE)=0,"-",(VLOOKUP($D8,_Biodata_Lengkap,22,FALSE)))</f>
        <v>Ibu Rumah Tangga</v>
      </c>
      <c r="BC8" s="533" t="str">
        <f t="shared" ref="BC8:BC47" si="22">IF(VLOOKUP($D8,_Biodata_Lengkap,23,FALSE)=0,"-",(VLOOKUP($D8,_Biodata_Lengkap,23,FALSE)))</f>
        <v>SURAKARTA</v>
      </c>
      <c r="BD8" s="533" t="str">
        <f t="shared" ref="BD8:BD47" si="23">IF(VLOOKUP($D8,_Biodata_Lengkap,25,FALSE)=0,"-",(VLOOKUP($D8,_Biodata_Lengkap,25,FALSE)))</f>
        <v>Masih Hidup</v>
      </c>
      <c r="BE8" s="533" t="str">
        <f t="shared" ref="BE8:BE47" si="24">IF(VLOOKUP($D8,_Biodata_Lengkap,24,FALSE)=0,"-",(VLOOKUP($D8,_Biodata_Lengkap,24,FALSE)))</f>
        <v>-</v>
      </c>
      <c r="BF8" s="503"/>
      <c r="BG8" s="502" t="s">
        <v>472</v>
      </c>
      <c r="BH8" s="502" t="s">
        <v>473</v>
      </c>
      <c r="BI8" s="502"/>
      <c r="BJ8" s="508">
        <v>0</v>
      </c>
      <c r="BK8" s="533" t="str">
        <f t="shared" ref="BK8:BK47" si="25">IF(VLOOKUP($D8,_Biodata_Lengkap,26,FALSE)=0,"-",(VLOOKUP($D8,_Biodata_Lengkap,26,FALSE)))</f>
        <v>-</v>
      </c>
      <c r="BL8" s="533" t="str">
        <f t="shared" ref="BL8:BL47" si="26">IF(VLOOKUP($D8,_Biodata_Lengkap,27,FALSE)=0,"-",(VLOOKUP($D8,_Biodata_Lengkap,27,FALSE)))</f>
        <v>-</v>
      </c>
      <c r="BM8" s="533" t="str">
        <f t="shared" ref="BM8:BM47" si="27">IF(VLOOKUP($D8,_Biodata_Lengkap,28,FALSE)=0,"-",(VLOOKUP($D8,_Biodata_Lengkap,28,FALSE)))</f>
        <v>-</v>
      </c>
      <c r="BN8" s="533" t="str">
        <f t="shared" ref="BN8:BN47" si="28">IF(VLOOKUP($D8,_Biodata_Lengkap,29,FALSE)=0,"-",(VLOOKUP($D8,_Biodata_Lengkap,29,FALSE)))</f>
        <v>-</v>
      </c>
      <c r="BO8" s="502"/>
      <c r="BP8" s="502" t="s">
        <v>472</v>
      </c>
      <c r="BQ8" s="502" t="s">
        <v>473</v>
      </c>
      <c r="BR8" s="502"/>
      <c r="BS8" s="508">
        <v>0</v>
      </c>
      <c r="BT8" s="502"/>
      <c r="BU8" s="502"/>
      <c r="BV8" s="502"/>
      <c r="BW8" s="502"/>
      <c r="BX8" s="502"/>
      <c r="BY8" s="502"/>
      <c r="BZ8" s="689"/>
      <c r="CA8" s="502"/>
      <c r="CB8" s="692"/>
    </row>
    <row r="9" spans="1:80" s="486" customFormat="1" ht="15" customHeight="1">
      <c r="A9" s="485"/>
      <c r="B9" s="491" t="str">
        <f>U5</f>
        <v>TEMPAT TINGGAL</v>
      </c>
      <c r="C9" s="485"/>
      <c r="D9" s="513">
        <f>Biodata!B7</f>
        <v>2</v>
      </c>
      <c r="E9" s="514">
        <f t="shared" si="0"/>
        <v>7058</v>
      </c>
      <c r="F9" s="514" t="str">
        <f t="shared" si="1"/>
        <v>0058537945</v>
      </c>
      <c r="G9" s="515" t="str">
        <f t="shared" si="2"/>
        <v>Anandhita Nafra Wilova</v>
      </c>
      <c r="H9" s="516" t="str">
        <f t="shared" si="3"/>
        <v>Perempuan</v>
      </c>
      <c r="I9" s="516" t="str">
        <f t="shared" si="4"/>
        <v>KOTABUMI</v>
      </c>
      <c r="J9" s="516" t="str">
        <f t="shared" si="5"/>
        <v>11/12/2005</v>
      </c>
      <c r="K9" s="514" t="str">
        <f t="shared" si="6"/>
        <v>Islam</v>
      </c>
      <c r="L9" s="514" t="str">
        <f t="shared" si="7"/>
        <v>2 (Dua)</v>
      </c>
      <c r="M9" s="514" t="str">
        <f t="shared" si="8"/>
        <v>Anak Kandung</v>
      </c>
      <c r="N9" s="514" t="str">
        <f t="shared" si="9"/>
        <v>-</v>
      </c>
      <c r="O9" s="492"/>
      <c r="P9" s="493"/>
      <c r="Q9" s="493"/>
      <c r="R9" s="493"/>
      <c r="S9" s="493"/>
      <c r="T9" s="493"/>
      <c r="U9" s="533" t="str">
        <f t="shared" si="10"/>
        <v>SURAKARTA</v>
      </c>
      <c r="V9" s="533" t="str">
        <f t="shared" si="11"/>
        <v>-</v>
      </c>
      <c r="W9" s="493"/>
      <c r="X9" s="493"/>
      <c r="Y9" s="493"/>
      <c r="Z9" s="493"/>
      <c r="AA9" s="493"/>
      <c r="AB9" s="498">
        <v>0</v>
      </c>
      <c r="AC9" s="499">
        <v>0</v>
      </c>
      <c r="AD9" s="514" t="str">
        <f t="shared" si="12"/>
        <v>VIII A</v>
      </c>
      <c r="AE9" s="514" t="str">
        <f t="shared" si="13"/>
        <v>16/07/2018</v>
      </c>
      <c r="AF9" s="502"/>
      <c r="AG9" s="533" t="str">
        <f t="shared" si="14"/>
        <v>SDN 1 Surakarta</v>
      </c>
      <c r="AH9" s="503"/>
      <c r="AI9" s="690"/>
      <c r="AJ9" s="503"/>
      <c r="AK9" s="690"/>
      <c r="AL9" s="503"/>
      <c r="AM9" s="503"/>
      <c r="AN9" s="505">
        <v>0</v>
      </c>
      <c r="AO9" s="503"/>
      <c r="AP9" s="503"/>
      <c r="AQ9" s="533" t="str">
        <f t="shared" si="15"/>
        <v>HASNAWI</v>
      </c>
      <c r="AR9" s="533" t="str">
        <f t="shared" si="16"/>
        <v>Petani</v>
      </c>
      <c r="AS9" s="533" t="str">
        <f t="shared" si="17"/>
        <v>SURAKARTA</v>
      </c>
      <c r="AT9" s="533" t="str">
        <f t="shared" si="18"/>
        <v>Masih Hidup</v>
      </c>
      <c r="AU9" s="533" t="str">
        <f t="shared" si="19"/>
        <v>-</v>
      </c>
      <c r="AV9" s="509"/>
      <c r="AW9" s="502" t="s">
        <v>472</v>
      </c>
      <c r="AX9" s="502" t="s">
        <v>473</v>
      </c>
      <c r="AY9" s="503"/>
      <c r="AZ9" s="508">
        <v>0</v>
      </c>
      <c r="BA9" s="533" t="str">
        <f t="shared" si="20"/>
        <v>ARMIYATI</v>
      </c>
      <c r="BB9" s="533" t="str">
        <f t="shared" si="21"/>
        <v>Ibu Rumah Tangga</v>
      </c>
      <c r="BC9" s="533" t="str">
        <f t="shared" si="22"/>
        <v>SURAKARTA</v>
      </c>
      <c r="BD9" s="533" t="str">
        <f t="shared" si="23"/>
        <v>Masih Hidup</v>
      </c>
      <c r="BE9" s="533" t="str">
        <f t="shared" si="24"/>
        <v>-</v>
      </c>
      <c r="BF9" s="503"/>
      <c r="BG9" s="502" t="s">
        <v>472</v>
      </c>
      <c r="BH9" s="502" t="s">
        <v>473</v>
      </c>
      <c r="BI9" s="503"/>
      <c r="BJ9" s="508">
        <v>0</v>
      </c>
      <c r="BK9" s="533" t="str">
        <f t="shared" si="25"/>
        <v>-</v>
      </c>
      <c r="BL9" s="533" t="str">
        <f t="shared" si="26"/>
        <v>-</v>
      </c>
      <c r="BM9" s="533" t="str">
        <f t="shared" si="27"/>
        <v>-</v>
      </c>
      <c r="BN9" s="533" t="str">
        <f t="shared" si="28"/>
        <v>-</v>
      </c>
      <c r="BO9" s="503"/>
      <c r="BP9" s="502" t="s">
        <v>472</v>
      </c>
      <c r="BQ9" s="502" t="s">
        <v>473</v>
      </c>
      <c r="BR9" s="502"/>
      <c r="BS9" s="508">
        <v>0</v>
      </c>
      <c r="BT9" s="503"/>
      <c r="BU9" s="503"/>
      <c r="BV9" s="503"/>
      <c r="BW9" s="503"/>
      <c r="BX9" s="503"/>
      <c r="BY9" s="503"/>
      <c r="BZ9" s="690"/>
      <c r="CA9" s="503"/>
      <c r="CB9" s="693"/>
    </row>
    <row r="10" spans="1:80" s="486" customFormat="1" ht="15" customHeight="1">
      <c r="B10" s="491" t="str">
        <f>Y5</f>
        <v>KESEHATAN</v>
      </c>
      <c r="D10" s="513">
        <f>Biodata!B8</f>
        <v>3</v>
      </c>
      <c r="E10" s="514">
        <f t="shared" si="0"/>
        <v>7059</v>
      </c>
      <c r="F10" s="514" t="str">
        <f t="shared" si="1"/>
        <v>0042577294</v>
      </c>
      <c r="G10" s="515" t="str">
        <f t="shared" si="2"/>
        <v>Andini Dwi Aryanti</v>
      </c>
      <c r="H10" s="516" t="str">
        <f t="shared" si="3"/>
        <v>Perempuan</v>
      </c>
      <c r="I10" s="516" t="str">
        <f t="shared" si="4"/>
        <v>TATAKARYA</v>
      </c>
      <c r="J10" s="516" t="str">
        <f t="shared" si="5"/>
        <v>05/08/2004</v>
      </c>
      <c r="K10" s="514" t="str">
        <f t="shared" si="6"/>
        <v>Islam</v>
      </c>
      <c r="L10" s="514" t="str">
        <f t="shared" si="7"/>
        <v>2 (Dua)</v>
      </c>
      <c r="M10" s="514" t="str">
        <f t="shared" si="8"/>
        <v>Anak Kandung</v>
      </c>
      <c r="N10" s="514" t="str">
        <f t="shared" si="9"/>
        <v>-</v>
      </c>
      <c r="O10" s="492"/>
      <c r="P10" s="494"/>
      <c r="Q10" s="494"/>
      <c r="R10" s="494"/>
      <c r="S10" s="494"/>
      <c r="T10" s="494"/>
      <c r="U10" s="533" t="str">
        <f t="shared" si="10"/>
        <v>TATAKARYA</v>
      </c>
      <c r="V10" s="533" t="str">
        <f t="shared" si="11"/>
        <v>-</v>
      </c>
      <c r="W10" s="494"/>
      <c r="X10" s="494"/>
      <c r="Y10" s="494"/>
      <c r="Z10" s="494"/>
      <c r="AA10" s="494"/>
      <c r="AB10" s="498">
        <v>0</v>
      </c>
      <c r="AC10" s="499">
        <v>0</v>
      </c>
      <c r="AD10" s="514" t="str">
        <f t="shared" si="12"/>
        <v>VIII A</v>
      </c>
      <c r="AE10" s="514" t="str">
        <f t="shared" si="13"/>
        <v>16/07/2018</v>
      </c>
      <c r="AF10" s="503"/>
      <c r="AG10" s="533" t="str">
        <f t="shared" si="14"/>
        <v>SDN 2 Tatakarya</v>
      </c>
      <c r="AH10" s="503"/>
      <c r="AI10" s="690"/>
      <c r="AJ10" s="503"/>
      <c r="AK10" s="690"/>
      <c r="AL10" s="503"/>
      <c r="AM10" s="503"/>
      <c r="AN10" s="505">
        <v>0</v>
      </c>
      <c r="AO10" s="503"/>
      <c r="AP10" s="503"/>
      <c r="AQ10" s="533" t="str">
        <f t="shared" si="15"/>
        <v>WALUYO</v>
      </c>
      <c r="AR10" s="533" t="str">
        <f t="shared" si="16"/>
        <v>Petani</v>
      </c>
      <c r="AS10" s="533" t="str">
        <f t="shared" si="17"/>
        <v>TATAKARYA</v>
      </c>
      <c r="AT10" s="533" t="str">
        <f t="shared" si="18"/>
        <v>Masih Hidup</v>
      </c>
      <c r="AU10" s="533" t="str">
        <f t="shared" si="19"/>
        <v>-</v>
      </c>
      <c r="AV10" s="509"/>
      <c r="AW10" s="502" t="s">
        <v>472</v>
      </c>
      <c r="AX10" s="502" t="s">
        <v>473</v>
      </c>
      <c r="AY10" s="503"/>
      <c r="AZ10" s="508">
        <v>0</v>
      </c>
      <c r="BA10" s="533" t="str">
        <f t="shared" si="20"/>
        <v>MUNAWAROH</v>
      </c>
      <c r="BB10" s="533" t="str">
        <f t="shared" si="21"/>
        <v>Ibu Rumah Tangga</v>
      </c>
      <c r="BC10" s="533" t="str">
        <f t="shared" si="22"/>
        <v>TATAKARYA</v>
      </c>
      <c r="BD10" s="533" t="str">
        <f t="shared" si="23"/>
        <v>Masih Hidup</v>
      </c>
      <c r="BE10" s="533" t="str">
        <f t="shared" si="24"/>
        <v>-</v>
      </c>
      <c r="BF10" s="503"/>
      <c r="BG10" s="502" t="s">
        <v>472</v>
      </c>
      <c r="BH10" s="502" t="s">
        <v>473</v>
      </c>
      <c r="BI10" s="503"/>
      <c r="BJ10" s="508">
        <v>0</v>
      </c>
      <c r="BK10" s="533" t="str">
        <f t="shared" si="25"/>
        <v>-</v>
      </c>
      <c r="BL10" s="533" t="str">
        <f t="shared" si="26"/>
        <v>-</v>
      </c>
      <c r="BM10" s="533" t="str">
        <f t="shared" si="27"/>
        <v>-</v>
      </c>
      <c r="BN10" s="533" t="str">
        <f t="shared" si="28"/>
        <v>-</v>
      </c>
      <c r="BO10" s="503"/>
      <c r="BP10" s="502" t="s">
        <v>472</v>
      </c>
      <c r="BQ10" s="502" t="s">
        <v>473</v>
      </c>
      <c r="BR10" s="502"/>
      <c r="BS10" s="508">
        <v>0</v>
      </c>
      <c r="BT10" s="503"/>
      <c r="BU10" s="503"/>
      <c r="BV10" s="503"/>
      <c r="BW10" s="503"/>
      <c r="BX10" s="503"/>
      <c r="BY10" s="503"/>
      <c r="BZ10" s="690"/>
      <c r="CA10" s="503"/>
      <c r="CB10" s="693"/>
    </row>
    <row r="11" spans="1:80" s="486" customFormat="1" ht="12.75">
      <c r="B11" s="491" t="s">
        <v>491</v>
      </c>
      <c r="D11" s="513">
        <f>Biodata!B9</f>
        <v>4</v>
      </c>
      <c r="E11" s="514">
        <f t="shared" si="0"/>
        <v>7060</v>
      </c>
      <c r="F11" s="514" t="str">
        <f t="shared" si="1"/>
        <v>0057109584</v>
      </c>
      <c r="G11" s="515" t="str">
        <f t="shared" si="2"/>
        <v>Anggun Suci Rahmadani</v>
      </c>
      <c r="H11" s="516" t="str">
        <f t="shared" si="3"/>
        <v>Perempuan</v>
      </c>
      <c r="I11" s="516" t="str">
        <f t="shared" si="4"/>
        <v>TATAKARYA</v>
      </c>
      <c r="J11" s="516" t="str">
        <f t="shared" si="5"/>
        <v>01/11/2005</v>
      </c>
      <c r="K11" s="514" t="str">
        <f t="shared" si="6"/>
        <v>Islam</v>
      </c>
      <c r="L11" s="514" t="str">
        <f t="shared" si="7"/>
        <v>4 (Empat)</v>
      </c>
      <c r="M11" s="514" t="str">
        <f t="shared" si="8"/>
        <v>Anak Kandung</v>
      </c>
      <c r="N11" s="514" t="str">
        <f t="shared" si="9"/>
        <v>-</v>
      </c>
      <c r="O11" s="495"/>
      <c r="P11" s="494"/>
      <c r="Q11" s="494"/>
      <c r="R11" s="494"/>
      <c r="S11" s="494"/>
      <c r="T11" s="494"/>
      <c r="U11" s="533" t="str">
        <f t="shared" si="10"/>
        <v>TATAKARYA</v>
      </c>
      <c r="V11" s="533" t="str">
        <f t="shared" si="11"/>
        <v>-</v>
      </c>
      <c r="W11" s="494"/>
      <c r="X11" s="494"/>
      <c r="Y11" s="494"/>
      <c r="Z11" s="494"/>
      <c r="AA11" s="494"/>
      <c r="AB11" s="498">
        <v>0</v>
      </c>
      <c r="AC11" s="499">
        <v>0</v>
      </c>
      <c r="AD11" s="514" t="str">
        <f t="shared" si="12"/>
        <v>VIII A</v>
      </c>
      <c r="AE11" s="514" t="str">
        <f t="shared" si="13"/>
        <v>16/07/2018</v>
      </c>
      <c r="AF11" s="503"/>
      <c r="AG11" s="533" t="str">
        <f t="shared" si="14"/>
        <v>MI Al Munawwarah</v>
      </c>
      <c r="AH11" s="503"/>
      <c r="AI11" s="690"/>
      <c r="AJ11" s="503"/>
      <c r="AK11" s="690"/>
      <c r="AL11" s="503"/>
      <c r="AM11" s="503"/>
      <c r="AN11" s="505">
        <v>0</v>
      </c>
      <c r="AO11" s="503"/>
      <c r="AP11" s="503"/>
      <c r="AQ11" s="533" t="str">
        <f t="shared" si="15"/>
        <v>SHOLIKHIN</v>
      </c>
      <c r="AR11" s="533" t="str">
        <f t="shared" si="16"/>
        <v>PNS</v>
      </c>
      <c r="AS11" s="533" t="str">
        <f t="shared" si="17"/>
        <v>TATAKARYA</v>
      </c>
      <c r="AT11" s="533" t="str">
        <f t="shared" si="18"/>
        <v>Masih Hidup</v>
      </c>
      <c r="AU11" s="533" t="str">
        <f t="shared" si="19"/>
        <v>-</v>
      </c>
      <c r="AV11" s="509"/>
      <c r="AW11" s="502" t="s">
        <v>472</v>
      </c>
      <c r="AX11" s="502" t="s">
        <v>473</v>
      </c>
      <c r="AY11" s="503"/>
      <c r="AZ11" s="508">
        <v>0</v>
      </c>
      <c r="BA11" s="533" t="str">
        <f t="shared" si="20"/>
        <v>SUMIATUN</v>
      </c>
      <c r="BB11" s="533" t="str">
        <f t="shared" si="21"/>
        <v>Ibu Rumah Tangga</v>
      </c>
      <c r="BC11" s="533" t="str">
        <f t="shared" si="22"/>
        <v>TATAKARYA</v>
      </c>
      <c r="BD11" s="533" t="str">
        <f t="shared" si="23"/>
        <v>Masih Hidup</v>
      </c>
      <c r="BE11" s="533" t="str">
        <f t="shared" si="24"/>
        <v>-</v>
      </c>
      <c r="BF11" s="503"/>
      <c r="BG11" s="502" t="s">
        <v>472</v>
      </c>
      <c r="BH11" s="502" t="s">
        <v>473</v>
      </c>
      <c r="BI11" s="503"/>
      <c r="BJ11" s="508">
        <v>0</v>
      </c>
      <c r="BK11" s="533" t="str">
        <f t="shared" si="25"/>
        <v>-</v>
      </c>
      <c r="BL11" s="533" t="str">
        <f t="shared" si="26"/>
        <v>-</v>
      </c>
      <c r="BM11" s="533" t="str">
        <f t="shared" si="27"/>
        <v>-</v>
      </c>
      <c r="BN11" s="533" t="str">
        <f t="shared" si="28"/>
        <v>-</v>
      </c>
      <c r="BO11" s="503"/>
      <c r="BP11" s="502" t="s">
        <v>472</v>
      </c>
      <c r="BQ11" s="502" t="s">
        <v>473</v>
      </c>
      <c r="BR11" s="502"/>
      <c r="BS11" s="508">
        <v>0</v>
      </c>
      <c r="BT11" s="503"/>
      <c r="BU11" s="503"/>
      <c r="BV11" s="503"/>
      <c r="BW11" s="503"/>
      <c r="BX11" s="503"/>
      <c r="BY11" s="503"/>
      <c r="BZ11" s="690"/>
      <c r="CA11" s="503"/>
      <c r="CB11" s="693"/>
    </row>
    <row r="12" spans="1:80" s="486" customFormat="1" ht="12.75">
      <c r="B12" s="491" t="s">
        <v>492</v>
      </c>
      <c r="D12" s="513">
        <f>Biodata!B10</f>
        <v>5</v>
      </c>
      <c r="E12" s="514">
        <f t="shared" si="0"/>
        <v>7061</v>
      </c>
      <c r="F12" s="514" t="str">
        <f t="shared" si="1"/>
        <v>0063116933</v>
      </c>
      <c r="G12" s="515" t="str">
        <f t="shared" si="2"/>
        <v>Anisa Julia Tasya</v>
      </c>
      <c r="H12" s="516" t="str">
        <f t="shared" si="3"/>
        <v>Perempuan</v>
      </c>
      <c r="I12" s="516" t="str">
        <f t="shared" si="4"/>
        <v>TATAKARYA</v>
      </c>
      <c r="J12" s="516" t="str">
        <f t="shared" si="5"/>
        <v>14/07/2004</v>
      </c>
      <c r="K12" s="514" t="str">
        <f t="shared" si="6"/>
        <v>Islam</v>
      </c>
      <c r="L12" s="514" t="str">
        <f t="shared" si="7"/>
        <v>1 (Satu)</v>
      </c>
      <c r="M12" s="514" t="str">
        <f t="shared" si="8"/>
        <v>Anak Kandung</v>
      </c>
      <c r="N12" s="514" t="str">
        <f t="shared" si="9"/>
        <v>-</v>
      </c>
      <c r="O12" s="495"/>
      <c r="P12" s="494"/>
      <c r="Q12" s="494"/>
      <c r="R12" s="494"/>
      <c r="S12" s="494"/>
      <c r="T12" s="494"/>
      <c r="U12" s="533" t="str">
        <f t="shared" si="10"/>
        <v>TATAKARYA</v>
      </c>
      <c r="V12" s="533" t="str">
        <f t="shared" si="11"/>
        <v>-</v>
      </c>
      <c r="W12" s="494"/>
      <c r="X12" s="494"/>
      <c r="Y12" s="494"/>
      <c r="Z12" s="494"/>
      <c r="AA12" s="494"/>
      <c r="AB12" s="498">
        <v>0</v>
      </c>
      <c r="AC12" s="499">
        <v>0</v>
      </c>
      <c r="AD12" s="514" t="str">
        <f t="shared" si="12"/>
        <v>VIII A</v>
      </c>
      <c r="AE12" s="514" t="str">
        <f t="shared" si="13"/>
        <v>16/07/2018</v>
      </c>
      <c r="AF12" s="503"/>
      <c r="AG12" s="533" t="str">
        <f t="shared" si="14"/>
        <v>MI Al Munawwarah</v>
      </c>
      <c r="AH12" s="503"/>
      <c r="AI12" s="690"/>
      <c r="AJ12" s="503"/>
      <c r="AK12" s="690"/>
      <c r="AL12" s="503"/>
      <c r="AM12" s="503"/>
      <c r="AN12" s="505">
        <v>0</v>
      </c>
      <c r="AO12" s="503"/>
      <c r="AP12" s="503"/>
      <c r="AQ12" s="533" t="str">
        <f t="shared" si="15"/>
        <v>SOLEH</v>
      </c>
      <c r="AR12" s="533" t="str">
        <f t="shared" si="16"/>
        <v>Buruh</v>
      </c>
      <c r="AS12" s="533" t="str">
        <f t="shared" si="17"/>
        <v>TATAKARYA</v>
      </c>
      <c r="AT12" s="533" t="str">
        <f t="shared" si="18"/>
        <v>Masih Hidup</v>
      </c>
      <c r="AU12" s="533" t="str">
        <f t="shared" si="19"/>
        <v>-</v>
      </c>
      <c r="AV12" s="509"/>
      <c r="AW12" s="502" t="s">
        <v>472</v>
      </c>
      <c r="AX12" s="502" t="s">
        <v>473</v>
      </c>
      <c r="AY12" s="503"/>
      <c r="AZ12" s="508">
        <v>0</v>
      </c>
      <c r="BA12" s="533" t="str">
        <f t="shared" si="20"/>
        <v>TUPARIYAH</v>
      </c>
      <c r="BB12" s="533" t="str">
        <f t="shared" si="21"/>
        <v>Ibu Rumah Tangga</v>
      </c>
      <c r="BC12" s="533" t="str">
        <f t="shared" si="22"/>
        <v>TATAKARYA</v>
      </c>
      <c r="BD12" s="533" t="str">
        <f t="shared" si="23"/>
        <v>Masih Hidup</v>
      </c>
      <c r="BE12" s="533" t="str">
        <f t="shared" si="24"/>
        <v>-</v>
      </c>
      <c r="BF12" s="503"/>
      <c r="BG12" s="502" t="s">
        <v>472</v>
      </c>
      <c r="BH12" s="502" t="s">
        <v>473</v>
      </c>
      <c r="BI12" s="503"/>
      <c r="BJ12" s="508">
        <v>0</v>
      </c>
      <c r="BK12" s="533" t="str">
        <f t="shared" si="25"/>
        <v>-</v>
      </c>
      <c r="BL12" s="533" t="str">
        <f t="shared" si="26"/>
        <v>-</v>
      </c>
      <c r="BM12" s="533" t="str">
        <f t="shared" si="27"/>
        <v>-</v>
      </c>
      <c r="BN12" s="533" t="str">
        <f t="shared" si="28"/>
        <v>-</v>
      </c>
      <c r="BO12" s="503"/>
      <c r="BP12" s="502" t="s">
        <v>472</v>
      </c>
      <c r="BQ12" s="502" t="s">
        <v>473</v>
      </c>
      <c r="BR12" s="502"/>
      <c r="BS12" s="508">
        <v>0</v>
      </c>
      <c r="BT12" s="503"/>
      <c r="BU12" s="503"/>
      <c r="BV12" s="503"/>
      <c r="BW12" s="503"/>
      <c r="BX12" s="503"/>
      <c r="BY12" s="503"/>
      <c r="BZ12" s="690"/>
      <c r="CA12" s="503"/>
      <c r="CB12" s="693"/>
    </row>
    <row r="13" spans="1:80" s="486" customFormat="1" ht="12.75">
      <c r="B13" s="491" t="str">
        <f>AO5</f>
        <v>PINDAHAN</v>
      </c>
      <c r="D13" s="513">
        <f>Biodata!B11</f>
        <v>6</v>
      </c>
      <c r="E13" s="514">
        <f t="shared" si="0"/>
        <v>7065</v>
      </c>
      <c r="F13" s="514" t="str">
        <f t="shared" si="1"/>
        <v>0051698770</v>
      </c>
      <c r="G13" s="515" t="str">
        <f t="shared" si="2"/>
        <v>Aulia Rahmawati</v>
      </c>
      <c r="H13" s="516" t="str">
        <f t="shared" si="3"/>
        <v>Perempuan</v>
      </c>
      <c r="I13" s="516" t="str">
        <f t="shared" si="4"/>
        <v>TATAKARYA</v>
      </c>
      <c r="J13" s="516" t="str">
        <f t="shared" si="5"/>
        <v>24/02/2005</v>
      </c>
      <c r="K13" s="514" t="str">
        <f t="shared" si="6"/>
        <v>Islam</v>
      </c>
      <c r="L13" s="514" t="str">
        <f t="shared" si="7"/>
        <v>2 (Dua)</v>
      </c>
      <c r="M13" s="514" t="str">
        <f t="shared" si="8"/>
        <v>Anak Kandung</v>
      </c>
      <c r="N13" s="514" t="str">
        <f t="shared" si="9"/>
        <v>-</v>
      </c>
      <c r="O13" s="495"/>
      <c r="P13" s="494"/>
      <c r="Q13" s="494"/>
      <c r="R13" s="494"/>
      <c r="S13" s="494"/>
      <c r="T13" s="494"/>
      <c r="U13" s="533" t="str">
        <f t="shared" si="10"/>
        <v>TATAKARYA</v>
      </c>
      <c r="V13" s="533" t="str">
        <f t="shared" si="11"/>
        <v>-</v>
      </c>
      <c r="W13" s="494"/>
      <c r="X13" s="494"/>
      <c r="Y13" s="494"/>
      <c r="Z13" s="494"/>
      <c r="AA13" s="494"/>
      <c r="AB13" s="498">
        <v>0</v>
      </c>
      <c r="AC13" s="499">
        <v>0</v>
      </c>
      <c r="AD13" s="514" t="str">
        <f t="shared" si="12"/>
        <v>VIII A</v>
      </c>
      <c r="AE13" s="514" t="str">
        <f t="shared" si="13"/>
        <v>16/07/2018</v>
      </c>
      <c r="AF13" s="503"/>
      <c r="AG13" s="533" t="str">
        <f t="shared" si="14"/>
        <v>SDN 2 Tatakarya</v>
      </c>
      <c r="AH13" s="503"/>
      <c r="AI13" s="690"/>
      <c r="AJ13" s="503"/>
      <c r="AK13" s="690"/>
      <c r="AL13" s="503"/>
      <c r="AM13" s="503"/>
      <c r="AN13" s="505">
        <v>0</v>
      </c>
      <c r="AO13" s="503"/>
      <c r="AP13" s="503"/>
      <c r="AQ13" s="533" t="str">
        <f t="shared" si="15"/>
        <v>ROMLAN</v>
      </c>
      <c r="AR13" s="533" t="str">
        <f t="shared" si="16"/>
        <v>Wiraswasta</v>
      </c>
      <c r="AS13" s="533" t="str">
        <f t="shared" si="17"/>
        <v>TATAKARYA</v>
      </c>
      <c r="AT13" s="533" t="str">
        <f t="shared" si="18"/>
        <v>Masih Hidup</v>
      </c>
      <c r="AU13" s="533" t="str">
        <f t="shared" si="19"/>
        <v>-</v>
      </c>
      <c r="AV13" s="509"/>
      <c r="AW13" s="502" t="s">
        <v>472</v>
      </c>
      <c r="AX13" s="502" t="s">
        <v>473</v>
      </c>
      <c r="AY13" s="503"/>
      <c r="AZ13" s="508">
        <v>0</v>
      </c>
      <c r="BA13" s="533" t="str">
        <f t="shared" si="20"/>
        <v>SUPRIHATIN</v>
      </c>
      <c r="BB13" s="533" t="str">
        <f t="shared" si="21"/>
        <v>Ibu Rumah Tangga</v>
      </c>
      <c r="BC13" s="533" t="str">
        <f t="shared" si="22"/>
        <v>TATAKARYA</v>
      </c>
      <c r="BD13" s="533" t="str">
        <f t="shared" si="23"/>
        <v>Masih Hidup</v>
      </c>
      <c r="BE13" s="533" t="str">
        <f t="shared" si="24"/>
        <v>-</v>
      </c>
      <c r="BF13" s="503"/>
      <c r="BG13" s="502" t="s">
        <v>472</v>
      </c>
      <c r="BH13" s="502" t="s">
        <v>473</v>
      </c>
      <c r="BI13" s="503"/>
      <c r="BJ13" s="508">
        <v>0</v>
      </c>
      <c r="BK13" s="533" t="str">
        <f t="shared" si="25"/>
        <v>-</v>
      </c>
      <c r="BL13" s="533" t="str">
        <f t="shared" si="26"/>
        <v>-</v>
      </c>
      <c r="BM13" s="533" t="str">
        <f t="shared" si="27"/>
        <v>-</v>
      </c>
      <c r="BN13" s="533" t="str">
        <f t="shared" si="28"/>
        <v>-</v>
      </c>
      <c r="BO13" s="503"/>
      <c r="BP13" s="502" t="s">
        <v>472</v>
      </c>
      <c r="BQ13" s="502" t="s">
        <v>473</v>
      </c>
      <c r="BR13" s="502"/>
      <c r="BS13" s="508">
        <v>0</v>
      </c>
      <c r="BT13" s="503"/>
      <c r="BU13" s="503"/>
      <c r="BV13" s="503"/>
      <c r="BW13" s="503"/>
      <c r="BX13" s="503"/>
      <c r="BY13" s="503"/>
      <c r="BZ13" s="690"/>
      <c r="CA13" s="503"/>
      <c r="CB13" s="693"/>
    </row>
    <row r="14" spans="1:80" s="486" customFormat="1" ht="12.75">
      <c r="B14" s="491" t="s">
        <v>493</v>
      </c>
      <c r="D14" s="513">
        <f>Biodata!B12</f>
        <v>7</v>
      </c>
      <c r="E14" s="514">
        <f t="shared" si="0"/>
        <v>7066</v>
      </c>
      <c r="F14" s="514" t="str">
        <f t="shared" si="1"/>
        <v>0051698761</v>
      </c>
      <c r="G14" s="515" t="str">
        <f t="shared" si="2"/>
        <v>Ayu Chumaira</v>
      </c>
      <c r="H14" s="516" t="str">
        <f t="shared" si="3"/>
        <v>Perempuan</v>
      </c>
      <c r="I14" s="516" t="str">
        <f t="shared" si="4"/>
        <v>BANDAR ABUNG</v>
      </c>
      <c r="J14" s="516" t="str">
        <f t="shared" si="5"/>
        <v>02/10/2005</v>
      </c>
      <c r="K14" s="514" t="str">
        <f t="shared" si="6"/>
        <v>Islam</v>
      </c>
      <c r="L14" s="514" t="str">
        <f t="shared" si="7"/>
        <v>1 (Satu)</v>
      </c>
      <c r="M14" s="514" t="str">
        <f t="shared" si="8"/>
        <v>Anak Kandung</v>
      </c>
      <c r="N14" s="514" t="str">
        <f t="shared" si="9"/>
        <v>-</v>
      </c>
      <c r="O14" s="495"/>
      <c r="P14" s="494"/>
      <c r="Q14" s="494"/>
      <c r="R14" s="494"/>
      <c r="S14" s="494"/>
      <c r="T14" s="494"/>
      <c r="U14" s="533" t="str">
        <f t="shared" si="10"/>
        <v>BANDAR ABUNG</v>
      </c>
      <c r="V14" s="533" t="str">
        <f t="shared" si="11"/>
        <v>-</v>
      </c>
      <c r="W14" s="494"/>
      <c r="X14" s="494"/>
      <c r="Y14" s="494"/>
      <c r="Z14" s="494"/>
      <c r="AA14" s="494"/>
      <c r="AB14" s="498">
        <v>0</v>
      </c>
      <c r="AC14" s="499">
        <v>0</v>
      </c>
      <c r="AD14" s="514" t="str">
        <f t="shared" si="12"/>
        <v>VIII A</v>
      </c>
      <c r="AE14" s="514" t="str">
        <f t="shared" si="13"/>
        <v>16/07/2018</v>
      </c>
      <c r="AF14" s="503"/>
      <c r="AG14" s="533" t="str">
        <f t="shared" si="14"/>
        <v>SDN Bandar Abung</v>
      </c>
      <c r="AH14" s="503"/>
      <c r="AI14" s="690"/>
      <c r="AJ14" s="503"/>
      <c r="AK14" s="690"/>
      <c r="AL14" s="503"/>
      <c r="AM14" s="503"/>
      <c r="AN14" s="505">
        <v>0</v>
      </c>
      <c r="AO14" s="503"/>
      <c r="AP14" s="503"/>
      <c r="AQ14" s="533" t="str">
        <f t="shared" si="15"/>
        <v>ALEK SAHDER</v>
      </c>
      <c r="AR14" s="533" t="str">
        <f t="shared" si="16"/>
        <v>PNS</v>
      </c>
      <c r="AS14" s="533" t="str">
        <f t="shared" si="17"/>
        <v>BANDAR ABUNG</v>
      </c>
      <c r="AT14" s="533" t="str">
        <f t="shared" si="18"/>
        <v>Masih Hidup</v>
      </c>
      <c r="AU14" s="533" t="str">
        <f t="shared" si="19"/>
        <v>-</v>
      </c>
      <c r="AV14" s="509"/>
      <c r="AW14" s="502" t="s">
        <v>472</v>
      </c>
      <c r="AX14" s="502" t="s">
        <v>473</v>
      </c>
      <c r="AY14" s="503"/>
      <c r="AZ14" s="508">
        <v>0</v>
      </c>
      <c r="BA14" s="533" t="str">
        <f t="shared" si="20"/>
        <v>YULIA</v>
      </c>
      <c r="BB14" s="533" t="str">
        <f t="shared" si="21"/>
        <v>Ibu Rumah Tangga</v>
      </c>
      <c r="BC14" s="533" t="str">
        <f t="shared" si="22"/>
        <v>BANDAR ABUNG</v>
      </c>
      <c r="BD14" s="533" t="str">
        <f t="shared" si="23"/>
        <v>Masih Hidup</v>
      </c>
      <c r="BE14" s="533" t="str">
        <f t="shared" si="24"/>
        <v>-</v>
      </c>
      <c r="BF14" s="503"/>
      <c r="BG14" s="502" t="s">
        <v>472</v>
      </c>
      <c r="BH14" s="502" t="s">
        <v>473</v>
      </c>
      <c r="BI14" s="503"/>
      <c r="BJ14" s="508">
        <v>0</v>
      </c>
      <c r="BK14" s="533" t="str">
        <f t="shared" si="25"/>
        <v>-</v>
      </c>
      <c r="BL14" s="533" t="str">
        <f t="shared" si="26"/>
        <v>-</v>
      </c>
      <c r="BM14" s="533" t="str">
        <f t="shared" si="27"/>
        <v>-</v>
      </c>
      <c r="BN14" s="533" t="str">
        <f t="shared" si="28"/>
        <v>-</v>
      </c>
      <c r="BO14" s="503"/>
      <c r="BP14" s="502" t="s">
        <v>472</v>
      </c>
      <c r="BQ14" s="502" t="s">
        <v>473</v>
      </c>
      <c r="BR14" s="502"/>
      <c r="BS14" s="508">
        <v>0</v>
      </c>
      <c r="BT14" s="503"/>
      <c r="BU14" s="503"/>
      <c r="BV14" s="503"/>
      <c r="BW14" s="503"/>
      <c r="BX14" s="503"/>
      <c r="BY14" s="503"/>
      <c r="BZ14" s="690"/>
      <c r="CA14" s="503"/>
      <c r="CB14" s="693"/>
    </row>
    <row r="15" spans="1:80" s="486" customFormat="1" ht="12.75">
      <c r="B15" s="491" t="s">
        <v>494</v>
      </c>
      <c r="D15" s="513">
        <f>Biodata!B13</f>
        <v>8</v>
      </c>
      <c r="E15" s="514">
        <f t="shared" si="0"/>
        <v>7067</v>
      </c>
      <c r="F15" s="514" t="str">
        <f t="shared" si="1"/>
        <v>0042024472</v>
      </c>
      <c r="G15" s="515" t="str">
        <f t="shared" si="2"/>
        <v>Ayu Emelia Putri</v>
      </c>
      <c r="H15" s="516" t="str">
        <f t="shared" si="3"/>
        <v>Perempuan</v>
      </c>
      <c r="I15" s="516" t="str">
        <f t="shared" si="4"/>
        <v>TANGERANG</v>
      </c>
      <c r="J15" s="516" t="str">
        <f t="shared" si="5"/>
        <v>09/09/2004</v>
      </c>
      <c r="K15" s="514" t="str">
        <f t="shared" si="6"/>
        <v>Islam</v>
      </c>
      <c r="L15" s="514" t="str">
        <f t="shared" si="7"/>
        <v>1 (Satu)</v>
      </c>
      <c r="M15" s="514" t="str">
        <f t="shared" si="8"/>
        <v>Anak Kandung</v>
      </c>
      <c r="N15" s="514" t="str">
        <f t="shared" si="9"/>
        <v>-</v>
      </c>
      <c r="O15" s="495"/>
      <c r="P15" s="494"/>
      <c r="Q15" s="494"/>
      <c r="R15" s="494"/>
      <c r="S15" s="494"/>
      <c r="T15" s="494"/>
      <c r="U15" s="533" t="str">
        <f t="shared" si="10"/>
        <v>BANGUN SARI</v>
      </c>
      <c r="V15" s="533" t="str">
        <f t="shared" si="11"/>
        <v>-</v>
      </c>
      <c r="W15" s="494"/>
      <c r="X15" s="494"/>
      <c r="Y15" s="494"/>
      <c r="Z15" s="494"/>
      <c r="AA15" s="494"/>
      <c r="AB15" s="498">
        <v>0</v>
      </c>
      <c r="AC15" s="499">
        <v>0</v>
      </c>
      <c r="AD15" s="514" t="str">
        <f t="shared" si="12"/>
        <v>VIII A</v>
      </c>
      <c r="AE15" s="514" t="str">
        <f t="shared" si="13"/>
        <v>16/07/2018</v>
      </c>
      <c r="AF15" s="503"/>
      <c r="AG15" s="533" t="str">
        <f t="shared" si="14"/>
        <v>SDN Bandar Abung</v>
      </c>
      <c r="AH15" s="503"/>
      <c r="AI15" s="690"/>
      <c r="AJ15" s="503"/>
      <c r="AK15" s="690"/>
      <c r="AL15" s="503"/>
      <c r="AM15" s="503"/>
      <c r="AN15" s="505">
        <v>0</v>
      </c>
      <c r="AO15" s="503"/>
      <c r="AP15" s="503"/>
      <c r="AQ15" s="533" t="str">
        <f t="shared" si="15"/>
        <v>SAMSUL BAHRI</v>
      </c>
      <c r="AR15" s="533" t="str">
        <f t="shared" si="16"/>
        <v>Petani</v>
      </c>
      <c r="AS15" s="533" t="str">
        <f t="shared" si="17"/>
        <v>SUTAN GAJAH</v>
      </c>
      <c r="AT15" s="533" t="str">
        <f t="shared" si="18"/>
        <v>Masih Hidup</v>
      </c>
      <c r="AU15" s="533" t="str">
        <f t="shared" si="19"/>
        <v>-</v>
      </c>
      <c r="AV15" s="509"/>
      <c r="AW15" s="502" t="s">
        <v>472</v>
      </c>
      <c r="AX15" s="502" t="s">
        <v>473</v>
      </c>
      <c r="AY15" s="503"/>
      <c r="AZ15" s="508">
        <v>0</v>
      </c>
      <c r="BA15" s="533" t="str">
        <f t="shared" si="20"/>
        <v>RATNA JUWITA</v>
      </c>
      <c r="BB15" s="533" t="str">
        <f t="shared" si="21"/>
        <v>Petani</v>
      </c>
      <c r="BC15" s="533" t="str">
        <f t="shared" si="22"/>
        <v>SUTAN GAJAH</v>
      </c>
      <c r="BD15" s="533" t="str">
        <f t="shared" si="23"/>
        <v>Masih Hidup</v>
      </c>
      <c r="BE15" s="533" t="str">
        <f t="shared" si="24"/>
        <v>-</v>
      </c>
      <c r="BF15" s="503"/>
      <c r="BG15" s="502" t="s">
        <v>472</v>
      </c>
      <c r="BH15" s="502" t="s">
        <v>473</v>
      </c>
      <c r="BI15" s="503"/>
      <c r="BJ15" s="508">
        <v>0</v>
      </c>
      <c r="BK15" s="533" t="str">
        <f t="shared" si="25"/>
        <v>-</v>
      </c>
      <c r="BL15" s="533" t="str">
        <f t="shared" si="26"/>
        <v>-</v>
      </c>
      <c r="BM15" s="533" t="str">
        <f t="shared" si="27"/>
        <v>-</v>
      </c>
      <c r="BN15" s="533" t="str">
        <f t="shared" si="28"/>
        <v>-</v>
      </c>
      <c r="BO15" s="503"/>
      <c r="BP15" s="502" t="s">
        <v>472</v>
      </c>
      <c r="BQ15" s="502" t="s">
        <v>473</v>
      </c>
      <c r="BR15" s="502"/>
      <c r="BS15" s="508">
        <v>0</v>
      </c>
      <c r="BT15" s="503"/>
      <c r="BU15" s="503"/>
      <c r="BV15" s="503"/>
      <c r="BW15" s="503"/>
      <c r="BX15" s="503"/>
      <c r="BY15" s="503"/>
      <c r="BZ15" s="690"/>
      <c r="CA15" s="503"/>
      <c r="CB15" s="693"/>
    </row>
    <row r="16" spans="1:80" s="486" customFormat="1" ht="12.75">
      <c r="B16" s="491" t="s">
        <v>495</v>
      </c>
      <c r="D16" s="513">
        <f>Biodata!B14</f>
        <v>9</v>
      </c>
      <c r="E16" s="514">
        <f t="shared" si="0"/>
        <v>7068</v>
      </c>
      <c r="F16" s="514" t="str">
        <f t="shared" si="1"/>
        <v>0058921491</v>
      </c>
      <c r="G16" s="515" t="str">
        <f t="shared" si="2"/>
        <v>Bayu Anggoro</v>
      </c>
      <c r="H16" s="516" t="str">
        <f t="shared" si="3"/>
        <v>Laki-laki</v>
      </c>
      <c r="I16" s="516" t="str">
        <f t="shared" si="4"/>
        <v>SURAKARTA</v>
      </c>
      <c r="J16" s="516" t="str">
        <f t="shared" si="5"/>
        <v>15/03/2005</v>
      </c>
      <c r="K16" s="514" t="str">
        <f t="shared" si="6"/>
        <v>Islam</v>
      </c>
      <c r="L16" s="514" t="str">
        <f t="shared" si="7"/>
        <v>3 (Tiga)</v>
      </c>
      <c r="M16" s="514" t="str">
        <f t="shared" si="8"/>
        <v>Anak Kandung</v>
      </c>
      <c r="N16" s="514" t="str">
        <f t="shared" si="9"/>
        <v>-</v>
      </c>
      <c r="O16" s="495"/>
      <c r="P16" s="494"/>
      <c r="Q16" s="494"/>
      <c r="R16" s="494"/>
      <c r="S16" s="494"/>
      <c r="T16" s="494"/>
      <c r="U16" s="533" t="str">
        <f t="shared" si="10"/>
        <v>BANGUN SARI</v>
      </c>
      <c r="V16" s="533" t="str">
        <f t="shared" si="11"/>
        <v>-</v>
      </c>
      <c r="W16" s="494"/>
      <c r="X16" s="494"/>
      <c r="Y16" s="494"/>
      <c r="Z16" s="494"/>
      <c r="AA16" s="494"/>
      <c r="AB16" s="498">
        <v>0</v>
      </c>
      <c r="AC16" s="499">
        <v>0</v>
      </c>
      <c r="AD16" s="514" t="str">
        <f t="shared" si="12"/>
        <v>VIII A</v>
      </c>
      <c r="AE16" s="514" t="str">
        <f t="shared" si="13"/>
        <v>16/07/2018</v>
      </c>
      <c r="AF16" s="503"/>
      <c r="AG16" s="533" t="str">
        <f t="shared" si="14"/>
        <v>SDN 1 Surakarta</v>
      </c>
      <c r="AH16" s="503"/>
      <c r="AI16" s="690"/>
      <c r="AJ16" s="503"/>
      <c r="AK16" s="690"/>
      <c r="AL16" s="503"/>
      <c r="AM16" s="503"/>
      <c r="AN16" s="505">
        <v>0</v>
      </c>
      <c r="AO16" s="503"/>
      <c r="AP16" s="503"/>
      <c r="AQ16" s="533" t="str">
        <f t="shared" si="15"/>
        <v>KARTONO</v>
      </c>
      <c r="AR16" s="533" t="str">
        <f t="shared" si="16"/>
        <v>Buruh</v>
      </c>
      <c r="AS16" s="533" t="str">
        <f t="shared" si="17"/>
        <v>SURAKARTA</v>
      </c>
      <c r="AT16" s="533" t="str">
        <f t="shared" si="18"/>
        <v>Masih Hidup</v>
      </c>
      <c r="AU16" s="533" t="str">
        <f t="shared" si="19"/>
        <v>-</v>
      </c>
      <c r="AV16" s="509"/>
      <c r="AW16" s="502" t="s">
        <v>472</v>
      </c>
      <c r="AX16" s="502" t="s">
        <v>473</v>
      </c>
      <c r="AY16" s="503"/>
      <c r="AZ16" s="508">
        <v>0</v>
      </c>
      <c r="BA16" s="533" t="str">
        <f t="shared" si="20"/>
        <v>SRI HALINA</v>
      </c>
      <c r="BB16" s="533" t="str">
        <f t="shared" si="21"/>
        <v>Ibu Rumah Tangga</v>
      </c>
      <c r="BC16" s="533" t="str">
        <f t="shared" si="22"/>
        <v>SURAKARTA</v>
      </c>
      <c r="BD16" s="533" t="str">
        <f t="shared" si="23"/>
        <v>Masih Hidup</v>
      </c>
      <c r="BE16" s="533" t="str">
        <f t="shared" si="24"/>
        <v>-</v>
      </c>
      <c r="BF16" s="503"/>
      <c r="BG16" s="502" t="s">
        <v>472</v>
      </c>
      <c r="BH16" s="502" t="s">
        <v>473</v>
      </c>
      <c r="BI16" s="503"/>
      <c r="BJ16" s="508">
        <v>0</v>
      </c>
      <c r="BK16" s="533" t="str">
        <f t="shared" si="25"/>
        <v>-</v>
      </c>
      <c r="BL16" s="533" t="str">
        <f t="shared" si="26"/>
        <v>-</v>
      </c>
      <c r="BM16" s="533" t="str">
        <f t="shared" si="27"/>
        <v>-</v>
      </c>
      <c r="BN16" s="533" t="str">
        <f t="shared" si="28"/>
        <v>-</v>
      </c>
      <c r="BO16" s="503"/>
      <c r="BP16" s="502" t="s">
        <v>472</v>
      </c>
      <c r="BQ16" s="502" t="s">
        <v>473</v>
      </c>
      <c r="BR16" s="502"/>
      <c r="BS16" s="508">
        <v>0</v>
      </c>
      <c r="BT16" s="503"/>
      <c r="BU16" s="503"/>
      <c r="BV16" s="503"/>
      <c r="BW16" s="503"/>
      <c r="BX16" s="503"/>
      <c r="BY16" s="503"/>
      <c r="BZ16" s="690"/>
      <c r="CA16" s="503"/>
      <c r="CB16" s="693"/>
    </row>
    <row r="17" spans="2:80" s="486" customFormat="1" ht="12.75">
      <c r="B17" s="491" t="str">
        <f>BT5</f>
        <v>KEGEMARAN</v>
      </c>
      <c r="D17" s="513">
        <f>Biodata!B15</f>
        <v>10</v>
      </c>
      <c r="E17" s="514">
        <f t="shared" si="0"/>
        <v>7069</v>
      </c>
      <c r="F17" s="514" t="str">
        <f t="shared" si="1"/>
        <v>0055373501</v>
      </c>
      <c r="G17" s="515" t="str">
        <f t="shared" si="2"/>
        <v>Calissta Sabrina Salwa Aurelia</v>
      </c>
      <c r="H17" s="516" t="str">
        <f t="shared" si="3"/>
        <v>Perempuan</v>
      </c>
      <c r="I17" s="516" t="str">
        <f t="shared" si="4"/>
        <v>TATAKARYA</v>
      </c>
      <c r="J17" s="516" t="str">
        <f t="shared" si="5"/>
        <v>07/10/2005</v>
      </c>
      <c r="K17" s="514" t="str">
        <f t="shared" si="6"/>
        <v>Islam</v>
      </c>
      <c r="L17" s="514" t="str">
        <f t="shared" si="7"/>
        <v>2 (Dua)</v>
      </c>
      <c r="M17" s="514" t="str">
        <f t="shared" si="8"/>
        <v>Anak Kandung</v>
      </c>
      <c r="N17" s="514" t="str">
        <f t="shared" si="9"/>
        <v>-</v>
      </c>
      <c r="O17" s="495"/>
      <c r="P17" s="494"/>
      <c r="Q17" s="494"/>
      <c r="R17" s="494"/>
      <c r="S17" s="494"/>
      <c r="T17" s="494"/>
      <c r="U17" s="533" t="str">
        <f t="shared" si="10"/>
        <v>TATAKARYA</v>
      </c>
      <c r="V17" s="533" t="str">
        <f t="shared" si="11"/>
        <v>-</v>
      </c>
      <c r="W17" s="494"/>
      <c r="X17" s="494"/>
      <c r="Y17" s="494"/>
      <c r="Z17" s="494"/>
      <c r="AA17" s="494"/>
      <c r="AB17" s="498">
        <v>0</v>
      </c>
      <c r="AC17" s="499">
        <v>0</v>
      </c>
      <c r="AD17" s="514" t="str">
        <f t="shared" si="12"/>
        <v>VIII A</v>
      </c>
      <c r="AE17" s="514" t="str">
        <f t="shared" si="13"/>
        <v>16/07/2018</v>
      </c>
      <c r="AF17" s="503"/>
      <c r="AG17" s="533" t="str">
        <f t="shared" si="14"/>
        <v>SDN 2 Tatakarya</v>
      </c>
      <c r="AH17" s="503"/>
      <c r="AI17" s="690"/>
      <c r="AJ17" s="503"/>
      <c r="AK17" s="690"/>
      <c r="AL17" s="503"/>
      <c r="AM17" s="503"/>
      <c r="AN17" s="505">
        <v>0</v>
      </c>
      <c r="AO17" s="503"/>
      <c r="AP17" s="503"/>
      <c r="AQ17" s="533" t="str">
        <f t="shared" si="15"/>
        <v>HERRY SUWANTO</v>
      </c>
      <c r="AR17" s="533" t="str">
        <f t="shared" si="16"/>
        <v>Wiraswasta</v>
      </c>
      <c r="AS17" s="533" t="str">
        <f t="shared" si="17"/>
        <v>TATAKARYA</v>
      </c>
      <c r="AT17" s="533" t="str">
        <f t="shared" si="18"/>
        <v>Masih Hidup</v>
      </c>
      <c r="AU17" s="533" t="str">
        <f t="shared" si="19"/>
        <v>-</v>
      </c>
      <c r="AV17" s="509"/>
      <c r="AW17" s="502" t="s">
        <v>472</v>
      </c>
      <c r="AX17" s="502" t="s">
        <v>473</v>
      </c>
      <c r="AY17" s="503"/>
      <c r="AZ17" s="508">
        <v>0</v>
      </c>
      <c r="BA17" s="533" t="str">
        <f t="shared" si="20"/>
        <v>MARSINAH</v>
      </c>
      <c r="BB17" s="533" t="str">
        <f t="shared" si="21"/>
        <v>Ibu Rumah Tangga</v>
      </c>
      <c r="BC17" s="533" t="str">
        <f t="shared" si="22"/>
        <v>TATAKARYA</v>
      </c>
      <c r="BD17" s="533" t="str">
        <f t="shared" si="23"/>
        <v>Masih Hidup</v>
      </c>
      <c r="BE17" s="533" t="str">
        <f t="shared" si="24"/>
        <v>-</v>
      </c>
      <c r="BF17" s="503"/>
      <c r="BG17" s="502" t="s">
        <v>472</v>
      </c>
      <c r="BH17" s="502" t="s">
        <v>473</v>
      </c>
      <c r="BI17" s="503"/>
      <c r="BJ17" s="508">
        <v>0</v>
      </c>
      <c r="BK17" s="533" t="str">
        <f t="shared" si="25"/>
        <v>-</v>
      </c>
      <c r="BL17" s="533" t="str">
        <f t="shared" si="26"/>
        <v>-</v>
      </c>
      <c r="BM17" s="533" t="str">
        <f t="shared" si="27"/>
        <v>-</v>
      </c>
      <c r="BN17" s="533" t="str">
        <f t="shared" si="28"/>
        <v>-</v>
      </c>
      <c r="BO17" s="503"/>
      <c r="BP17" s="502" t="s">
        <v>472</v>
      </c>
      <c r="BQ17" s="502" t="s">
        <v>473</v>
      </c>
      <c r="BR17" s="502"/>
      <c r="BS17" s="508">
        <v>0</v>
      </c>
      <c r="BT17" s="503"/>
      <c r="BU17" s="503"/>
      <c r="BV17" s="503"/>
      <c r="BW17" s="503"/>
      <c r="BX17" s="503"/>
      <c r="BY17" s="503"/>
      <c r="BZ17" s="690"/>
      <c r="CA17" s="503"/>
      <c r="CB17" s="693"/>
    </row>
    <row r="18" spans="2:80" s="486" customFormat="1" ht="12.75">
      <c r="B18" s="491" t="s">
        <v>496</v>
      </c>
      <c r="D18" s="513">
        <f>Biodata!B16</f>
        <v>11</v>
      </c>
      <c r="E18" s="514">
        <f t="shared" si="0"/>
        <v>7074</v>
      </c>
      <c r="F18" s="514" t="str">
        <f t="shared" si="1"/>
        <v>0051698793</v>
      </c>
      <c r="G18" s="515" t="str">
        <f t="shared" si="2"/>
        <v>Dea Safitri</v>
      </c>
      <c r="H18" s="516" t="str">
        <f t="shared" si="3"/>
        <v>Perempuan</v>
      </c>
      <c r="I18" s="516" t="str">
        <f t="shared" si="4"/>
        <v>TATAKARYA</v>
      </c>
      <c r="J18" s="516" t="str">
        <f t="shared" si="5"/>
        <v>04/12/2005</v>
      </c>
      <c r="K18" s="514" t="str">
        <f t="shared" si="6"/>
        <v>Islam</v>
      </c>
      <c r="L18" s="514" t="str">
        <f t="shared" si="7"/>
        <v>3 (Tiga)</v>
      </c>
      <c r="M18" s="514" t="str">
        <f t="shared" si="8"/>
        <v>Anak Kandung</v>
      </c>
      <c r="N18" s="514" t="str">
        <f t="shared" si="9"/>
        <v>-</v>
      </c>
      <c r="O18" s="495"/>
      <c r="P18" s="494"/>
      <c r="Q18" s="494"/>
      <c r="R18" s="494"/>
      <c r="S18" s="494"/>
      <c r="T18" s="494"/>
      <c r="U18" s="533" t="str">
        <f t="shared" si="10"/>
        <v>TATAKARYA</v>
      </c>
      <c r="V18" s="533" t="str">
        <f t="shared" si="11"/>
        <v>-</v>
      </c>
      <c r="W18" s="494"/>
      <c r="X18" s="494"/>
      <c r="Y18" s="494"/>
      <c r="Z18" s="494"/>
      <c r="AA18" s="494"/>
      <c r="AB18" s="498">
        <v>0</v>
      </c>
      <c r="AC18" s="499">
        <v>0</v>
      </c>
      <c r="AD18" s="514" t="str">
        <f t="shared" si="12"/>
        <v>VIII A</v>
      </c>
      <c r="AE18" s="514" t="str">
        <f t="shared" si="13"/>
        <v>16/07/2018</v>
      </c>
      <c r="AF18" s="503"/>
      <c r="AG18" s="533" t="str">
        <f t="shared" si="14"/>
        <v>SDN 2 Tatakarya</v>
      </c>
      <c r="AH18" s="503"/>
      <c r="AI18" s="690"/>
      <c r="AJ18" s="503"/>
      <c r="AK18" s="690"/>
      <c r="AL18" s="503"/>
      <c r="AM18" s="503"/>
      <c r="AN18" s="505">
        <v>0</v>
      </c>
      <c r="AO18" s="503"/>
      <c r="AP18" s="503"/>
      <c r="AQ18" s="533" t="str">
        <f t="shared" si="15"/>
        <v>SUYITNO</v>
      </c>
      <c r="AR18" s="533" t="str">
        <f t="shared" si="16"/>
        <v>PNS</v>
      </c>
      <c r="AS18" s="533" t="str">
        <f t="shared" si="17"/>
        <v>TATAKARYA</v>
      </c>
      <c r="AT18" s="533" t="str">
        <f t="shared" si="18"/>
        <v>Masih Hidup</v>
      </c>
      <c r="AU18" s="533" t="str">
        <f t="shared" si="19"/>
        <v>-</v>
      </c>
      <c r="AV18" s="509"/>
      <c r="AW18" s="502" t="s">
        <v>472</v>
      </c>
      <c r="AX18" s="502" t="s">
        <v>473</v>
      </c>
      <c r="AY18" s="503"/>
      <c r="AZ18" s="508">
        <v>0</v>
      </c>
      <c r="BA18" s="533" t="str">
        <f t="shared" si="20"/>
        <v>ENI SULISTIA NINGSIH</v>
      </c>
      <c r="BB18" s="533" t="str">
        <f t="shared" si="21"/>
        <v>Ibu Rumah Tangga</v>
      </c>
      <c r="BC18" s="533" t="str">
        <f t="shared" si="22"/>
        <v>TATAKARYA</v>
      </c>
      <c r="BD18" s="533" t="str">
        <f t="shared" si="23"/>
        <v>Masih Hidup</v>
      </c>
      <c r="BE18" s="533" t="str">
        <f t="shared" si="24"/>
        <v>-</v>
      </c>
      <c r="BF18" s="503"/>
      <c r="BG18" s="502" t="s">
        <v>472</v>
      </c>
      <c r="BH18" s="502" t="s">
        <v>473</v>
      </c>
      <c r="BI18" s="503"/>
      <c r="BJ18" s="508">
        <v>0</v>
      </c>
      <c r="BK18" s="533" t="str">
        <f t="shared" si="25"/>
        <v>-</v>
      </c>
      <c r="BL18" s="533" t="str">
        <f t="shared" si="26"/>
        <v>-</v>
      </c>
      <c r="BM18" s="533" t="str">
        <f t="shared" si="27"/>
        <v>-</v>
      </c>
      <c r="BN18" s="533" t="str">
        <f t="shared" si="28"/>
        <v>-</v>
      </c>
      <c r="BO18" s="503"/>
      <c r="BP18" s="502" t="s">
        <v>472</v>
      </c>
      <c r="BQ18" s="502" t="s">
        <v>473</v>
      </c>
      <c r="BR18" s="502"/>
      <c r="BS18" s="508">
        <v>0</v>
      </c>
      <c r="BT18" s="503"/>
      <c r="BU18" s="503"/>
      <c r="BV18" s="503"/>
      <c r="BW18" s="503"/>
      <c r="BX18" s="503"/>
      <c r="BY18" s="503"/>
      <c r="BZ18" s="690"/>
      <c r="CA18" s="503"/>
      <c r="CB18" s="693"/>
    </row>
    <row r="19" spans="2:80" s="486" customFormat="1" ht="12.75">
      <c r="B19" s="491" t="s">
        <v>497</v>
      </c>
      <c r="D19" s="513">
        <f>Biodata!B17</f>
        <v>12</v>
      </c>
      <c r="E19" s="514">
        <f t="shared" si="0"/>
        <v>7080</v>
      </c>
      <c r="F19" s="514" t="str">
        <f t="shared" si="1"/>
        <v>0042577296</v>
      </c>
      <c r="G19" s="515" t="str">
        <f t="shared" si="2"/>
        <v>Dewi Wulandari</v>
      </c>
      <c r="H19" s="516" t="str">
        <f t="shared" si="3"/>
        <v>Perempuan</v>
      </c>
      <c r="I19" s="516" t="str">
        <f t="shared" si="4"/>
        <v>TATAKARYA</v>
      </c>
      <c r="J19" s="516" t="str">
        <f t="shared" si="5"/>
        <v>24/09/2004</v>
      </c>
      <c r="K19" s="514" t="str">
        <f t="shared" si="6"/>
        <v>Islam</v>
      </c>
      <c r="L19" s="514" t="str">
        <f t="shared" si="7"/>
        <v>7 (Tujuh)</v>
      </c>
      <c r="M19" s="514" t="str">
        <f t="shared" si="8"/>
        <v>Anak Kandung</v>
      </c>
      <c r="N19" s="514" t="str">
        <f t="shared" si="9"/>
        <v>-</v>
      </c>
      <c r="O19" s="495"/>
      <c r="P19" s="494"/>
      <c r="Q19" s="494"/>
      <c r="R19" s="494"/>
      <c r="S19" s="494"/>
      <c r="T19" s="494"/>
      <c r="U19" s="533" t="str">
        <f t="shared" si="10"/>
        <v>TATAKARYA</v>
      </c>
      <c r="V19" s="533" t="str">
        <f t="shared" si="11"/>
        <v>-</v>
      </c>
      <c r="W19" s="494"/>
      <c r="X19" s="494"/>
      <c r="Y19" s="494"/>
      <c r="Z19" s="494"/>
      <c r="AA19" s="494"/>
      <c r="AB19" s="498">
        <v>0</v>
      </c>
      <c r="AC19" s="499">
        <v>0</v>
      </c>
      <c r="AD19" s="514" t="str">
        <f t="shared" si="12"/>
        <v>VIII A</v>
      </c>
      <c r="AE19" s="514" t="str">
        <f t="shared" si="13"/>
        <v>16/07/2018</v>
      </c>
      <c r="AF19" s="503"/>
      <c r="AG19" s="533" t="str">
        <f t="shared" si="14"/>
        <v>SDN 2 Tatakarya</v>
      </c>
      <c r="AH19" s="503"/>
      <c r="AI19" s="690"/>
      <c r="AJ19" s="503"/>
      <c r="AK19" s="690"/>
      <c r="AL19" s="503"/>
      <c r="AM19" s="503"/>
      <c r="AN19" s="505">
        <v>0</v>
      </c>
      <c r="AO19" s="503"/>
      <c r="AP19" s="503"/>
      <c r="AQ19" s="533" t="str">
        <f t="shared" si="15"/>
        <v>KOSIM</v>
      </c>
      <c r="AR19" s="533" t="str">
        <f t="shared" si="16"/>
        <v>-</v>
      </c>
      <c r="AS19" s="533" t="str">
        <f t="shared" si="17"/>
        <v>TATAKARYA</v>
      </c>
      <c r="AT19" s="533" t="str">
        <f t="shared" si="18"/>
        <v>Masih Hidup</v>
      </c>
      <c r="AU19" s="533" t="str">
        <f t="shared" si="19"/>
        <v>-</v>
      </c>
      <c r="AV19" s="509"/>
      <c r="AW19" s="502" t="s">
        <v>472</v>
      </c>
      <c r="AX19" s="502" t="s">
        <v>473</v>
      </c>
      <c r="AY19" s="503"/>
      <c r="AZ19" s="508">
        <v>0</v>
      </c>
      <c r="BA19" s="533" t="str">
        <f t="shared" si="20"/>
        <v>DASMINI</v>
      </c>
      <c r="BB19" s="533" t="str">
        <f t="shared" si="21"/>
        <v>Petani</v>
      </c>
      <c r="BC19" s="533" t="str">
        <f t="shared" si="22"/>
        <v>TATAKARYA</v>
      </c>
      <c r="BD19" s="533" t="str">
        <f t="shared" si="23"/>
        <v>Masih Hidup</v>
      </c>
      <c r="BE19" s="533" t="str">
        <f t="shared" si="24"/>
        <v>-</v>
      </c>
      <c r="BF19" s="503"/>
      <c r="BG19" s="502" t="s">
        <v>472</v>
      </c>
      <c r="BH19" s="502" t="s">
        <v>473</v>
      </c>
      <c r="BI19" s="503"/>
      <c r="BJ19" s="508">
        <v>0</v>
      </c>
      <c r="BK19" s="533" t="str">
        <f t="shared" si="25"/>
        <v>-</v>
      </c>
      <c r="BL19" s="533" t="str">
        <f t="shared" si="26"/>
        <v>-</v>
      </c>
      <c r="BM19" s="533" t="str">
        <f t="shared" si="27"/>
        <v>-</v>
      </c>
      <c r="BN19" s="533" t="str">
        <f t="shared" si="28"/>
        <v>-</v>
      </c>
      <c r="BO19" s="503"/>
      <c r="BP19" s="502" t="s">
        <v>472</v>
      </c>
      <c r="BQ19" s="502" t="s">
        <v>473</v>
      </c>
      <c r="BR19" s="502"/>
      <c r="BS19" s="508">
        <v>0</v>
      </c>
      <c r="BT19" s="503"/>
      <c r="BU19" s="503"/>
      <c r="BV19" s="503"/>
      <c r="BW19" s="503"/>
      <c r="BX19" s="503"/>
      <c r="BY19" s="503"/>
      <c r="BZ19" s="690"/>
      <c r="CA19" s="503"/>
      <c r="CB19" s="693"/>
    </row>
    <row r="20" spans="2:80" s="486" customFormat="1" ht="12.75">
      <c r="D20" s="513">
        <f>Biodata!B18</f>
        <v>13</v>
      </c>
      <c r="E20" s="514">
        <f t="shared" si="0"/>
        <v>7084</v>
      </c>
      <c r="F20" s="514" t="str">
        <f t="shared" si="1"/>
        <v>0054049953</v>
      </c>
      <c r="G20" s="515" t="str">
        <f t="shared" si="2"/>
        <v>Dony Pratama</v>
      </c>
      <c r="H20" s="516" t="str">
        <f t="shared" si="3"/>
        <v>Laki-Laki</v>
      </c>
      <c r="I20" s="516" t="str">
        <f t="shared" si="4"/>
        <v>SURAKARTA</v>
      </c>
      <c r="J20" s="516" t="str">
        <f t="shared" si="5"/>
        <v>10/09/2005</v>
      </c>
      <c r="K20" s="514" t="str">
        <f t="shared" si="6"/>
        <v>Islam</v>
      </c>
      <c r="L20" s="514" t="str">
        <f t="shared" si="7"/>
        <v>1 (Satu)</v>
      </c>
      <c r="M20" s="514" t="str">
        <f t="shared" si="8"/>
        <v>Anak Kandung</v>
      </c>
      <c r="N20" s="514" t="str">
        <f t="shared" si="9"/>
        <v>-</v>
      </c>
      <c r="O20" s="495"/>
      <c r="P20" s="494"/>
      <c r="Q20" s="494"/>
      <c r="R20" s="494"/>
      <c r="S20" s="494"/>
      <c r="T20" s="494"/>
      <c r="U20" s="533" t="str">
        <f t="shared" si="10"/>
        <v>SURAKARTA</v>
      </c>
      <c r="V20" s="533" t="str">
        <f t="shared" si="11"/>
        <v>-</v>
      </c>
      <c r="W20" s="494"/>
      <c r="X20" s="494"/>
      <c r="Y20" s="494"/>
      <c r="Z20" s="494"/>
      <c r="AA20" s="494"/>
      <c r="AB20" s="498">
        <v>0</v>
      </c>
      <c r="AC20" s="499">
        <v>0</v>
      </c>
      <c r="AD20" s="514" t="str">
        <f t="shared" si="12"/>
        <v>VIII A</v>
      </c>
      <c r="AE20" s="514" t="str">
        <f t="shared" si="13"/>
        <v>16/07/2018</v>
      </c>
      <c r="AF20" s="503"/>
      <c r="AG20" s="533" t="str">
        <f t="shared" si="14"/>
        <v>SDN 1 Surakarta</v>
      </c>
      <c r="AH20" s="503"/>
      <c r="AI20" s="690"/>
      <c r="AJ20" s="503"/>
      <c r="AK20" s="690"/>
      <c r="AL20" s="503"/>
      <c r="AM20" s="503"/>
      <c r="AN20" s="505">
        <v>0</v>
      </c>
      <c r="AO20" s="503"/>
      <c r="AP20" s="503"/>
      <c r="AQ20" s="533" t="str">
        <f t="shared" si="15"/>
        <v>PAISOL</v>
      </c>
      <c r="AR20" s="533" t="str">
        <f t="shared" si="16"/>
        <v>Petani</v>
      </c>
      <c r="AS20" s="533" t="str">
        <f t="shared" si="17"/>
        <v>SURAKARTA</v>
      </c>
      <c r="AT20" s="533" t="str">
        <f t="shared" si="18"/>
        <v>Masih Hidup</v>
      </c>
      <c r="AU20" s="533" t="str">
        <f t="shared" si="19"/>
        <v>-</v>
      </c>
      <c r="AV20" s="509"/>
      <c r="AW20" s="502" t="s">
        <v>472</v>
      </c>
      <c r="AX20" s="502" t="s">
        <v>473</v>
      </c>
      <c r="AY20" s="503"/>
      <c r="AZ20" s="508">
        <v>0</v>
      </c>
      <c r="BA20" s="533" t="str">
        <f t="shared" si="20"/>
        <v>NURMAH</v>
      </c>
      <c r="BB20" s="533" t="str">
        <f t="shared" si="21"/>
        <v>Petani</v>
      </c>
      <c r="BC20" s="533" t="str">
        <f t="shared" si="22"/>
        <v>SURAKARTA</v>
      </c>
      <c r="BD20" s="533" t="str">
        <f t="shared" si="23"/>
        <v>Masih Hidup</v>
      </c>
      <c r="BE20" s="533" t="str">
        <f t="shared" si="24"/>
        <v>-</v>
      </c>
      <c r="BF20" s="503"/>
      <c r="BG20" s="502" t="s">
        <v>472</v>
      </c>
      <c r="BH20" s="502" t="s">
        <v>473</v>
      </c>
      <c r="BI20" s="503"/>
      <c r="BJ20" s="508">
        <v>0</v>
      </c>
      <c r="BK20" s="533" t="str">
        <f t="shared" si="25"/>
        <v>-</v>
      </c>
      <c r="BL20" s="533" t="str">
        <f t="shared" si="26"/>
        <v>-</v>
      </c>
      <c r="BM20" s="533" t="str">
        <f t="shared" si="27"/>
        <v>-</v>
      </c>
      <c r="BN20" s="533" t="str">
        <f t="shared" si="28"/>
        <v>-</v>
      </c>
      <c r="BO20" s="503"/>
      <c r="BP20" s="502" t="s">
        <v>472</v>
      </c>
      <c r="BQ20" s="502" t="s">
        <v>473</v>
      </c>
      <c r="BR20" s="502"/>
      <c r="BS20" s="508">
        <v>0</v>
      </c>
      <c r="BT20" s="503"/>
      <c r="BU20" s="503"/>
      <c r="BV20" s="503"/>
      <c r="BW20" s="503"/>
      <c r="BX20" s="503"/>
      <c r="BY20" s="503"/>
      <c r="BZ20" s="690"/>
      <c r="CA20" s="503"/>
      <c r="CB20" s="693"/>
    </row>
    <row r="21" spans="2:80" s="486" customFormat="1" ht="12.75">
      <c r="D21" s="513">
        <f>Biodata!B19</f>
        <v>14</v>
      </c>
      <c r="E21" s="514">
        <f t="shared" si="0"/>
        <v>7089</v>
      </c>
      <c r="F21" s="514" t="str">
        <f t="shared" si="1"/>
        <v>0053269368</v>
      </c>
      <c r="G21" s="515" t="str">
        <f t="shared" si="2"/>
        <v>Faris Febram</v>
      </c>
      <c r="H21" s="516" t="str">
        <f t="shared" si="3"/>
        <v>Laki-Laki</v>
      </c>
      <c r="I21" s="516" t="str">
        <f t="shared" si="4"/>
        <v>TATAKARYA</v>
      </c>
      <c r="J21" s="516" t="str">
        <f t="shared" si="5"/>
        <v>22/05/2005</v>
      </c>
      <c r="K21" s="514" t="str">
        <f t="shared" si="6"/>
        <v>Islam</v>
      </c>
      <c r="L21" s="514" t="str">
        <f t="shared" si="7"/>
        <v>1 (Satu)</v>
      </c>
      <c r="M21" s="514" t="str">
        <f t="shared" si="8"/>
        <v>Anak Kandung</v>
      </c>
      <c r="N21" s="514" t="str">
        <f t="shared" si="9"/>
        <v>-</v>
      </c>
      <c r="O21" s="495"/>
      <c r="P21" s="494"/>
      <c r="Q21" s="494"/>
      <c r="R21" s="494"/>
      <c r="S21" s="494"/>
      <c r="T21" s="494"/>
      <c r="U21" s="533" t="str">
        <f t="shared" si="10"/>
        <v>TATAKARYA</v>
      </c>
      <c r="V21" s="533" t="str">
        <f t="shared" si="11"/>
        <v>-</v>
      </c>
      <c r="W21" s="494"/>
      <c r="X21" s="494"/>
      <c r="Y21" s="494"/>
      <c r="Z21" s="494"/>
      <c r="AA21" s="494"/>
      <c r="AB21" s="498">
        <v>0</v>
      </c>
      <c r="AC21" s="499">
        <v>0</v>
      </c>
      <c r="AD21" s="514" t="str">
        <f t="shared" si="12"/>
        <v>VIII A</v>
      </c>
      <c r="AE21" s="514" t="str">
        <f t="shared" si="13"/>
        <v>16/07/2018</v>
      </c>
      <c r="AF21" s="503"/>
      <c r="AG21" s="533" t="str">
        <f t="shared" si="14"/>
        <v>SDN 3 Tatakarya</v>
      </c>
      <c r="AH21" s="503"/>
      <c r="AI21" s="690"/>
      <c r="AJ21" s="503"/>
      <c r="AK21" s="690"/>
      <c r="AL21" s="503"/>
      <c r="AM21" s="503"/>
      <c r="AN21" s="505">
        <v>0</v>
      </c>
      <c r="AO21" s="503"/>
      <c r="AP21" s="503"/>
      <c r="AQ21" s="533" t="str">
        <f t="shared" si="15"/>
        <v>JUMADI</v>
      </c>
      <c r="AR21" s="533" t="str">
        <f t="shared" si="16"/>
        <v>Petani</v>
      </c>
      <c r="AS21" s="533" t="str">
        <f t="shared" si="17"/>
        <v>TATAKARYA</v>
      </c>
      <c r="AT21" s="533" t="str">
        <f t="shared" si="18"/>
        <v>Masih Hidup</v>
      </c>
      <c r="AU21" s="533" t="str">
        <f t="shared" si="19"/>
        <v>-</v>
      </c>
      <c r="AV21" s="509"/>
      <c r="AW21" s="502" t="s">
        <v>472</v>
      </c>
      <c r="AX21" s="502" t="s">
        <v>473</v>
      </c>
      <c r="AY21" s="503"/>
      <c r="AZ21" s="508">
        <v>0</v>
      </c>
      <c r="BA21" s="533" t="str">
        <f t="shared" si="20"/>
        <v>SUPARMI</v>
      </c>
      <c r="BB21" s="533" t="str">
        <f t="shared" si="21"/>
        <v>Petani</v>
      </c>
      <c r="BC21" s="533" t="str">
        <f t="shared" si="22"/>
        <v>TATAKARYA</v>
      </c>
      <c r="BD21" s="533" t="str">
        <f t="shared" si="23"/>
        <v>Masih Hidup</v>
      </c>
      <c r="BE21" s="533" t="str">
        <f t="shared" si="24"/>
        <v>-</v>
      </c>
      <c r="BF21" s="503"/>
      <c r="BG21" s="502" t="s">
        <v>472</v>
      </c>
      <c r="BH21" s="502" t="s">
        <v>473</v>
      </c>
      <c r="BI21" s="503"/>
      <c r="BJ21" s="508">
        <v>0</v>
      </c>
      <c r="BK21" s="533" t="str">
        <f t="shared" si="25"/>
        <v>-</v>
      </c>
      <c r="BL21" s="533" t="str">
        <f t="shared" si="26"/>
        <v>-</v>
      </c>
      <c r="BM21" s="533" t="str">
        <f t="shared" si="27"/>
        <v>-</v>
      </c>
      <c r="BN21" s="533" t="str">
        <f t="shared" si="28"/>
        <v>-</v>
      </c>
      <c r="BO21" s="503"/>
      <c r="BP21" s="502" t="s">
        <v>472</v>
      </c>
      <c r="BQ21" s="502" t="s">
        <v>473</v>
      </c>
      <c r="BR21" s="502"/>
      <c r="BS21" s="508">
        <v>0</v>
      </c>
      <c r="BT21" s="503"/>
      <c r="BU21" s="503"/>
      <c r="BV21" s="503"/>
      <c r="BW21" s="503"/>
      <c r="BX21" s="503"/>
      <c r="BY21" s="503"/>
      <c r="BZ21" s="690"/>
      <c r="CA21" s="503"/>
      <c r="CB21" s="693"/>
    </row>
    <row r="22" spans="2:80" s="486" customFormat="1" ht="12.75">
      <c r="D22" s="513">
        <f>Biodata!B20</f>
        <v>15</v>
      </c>
      <c r="E22" s="514">
        <f t="shared" si="0"/>
        <v>7095</v>
      </c>
      <c r="F22" s="514" t="str">
        <f t="shared" si="1"/>
        <v>0045430012</v>
      </c>
      <c r="G22" s="515" t="str">
        <f t="shared" si="2"/>
        <v>Hikmatullah Umar Malik Abdul Aziz</v>
      </c>
      <c r="H22" s="516" t="str">
        <f t="shared" si="3"/>
        <v>Laki-laki</v>
      </c>
      <c r="I22" s="516" t="str">
        <f t="shared" si="4"/>
        <v>TATAKARYA</v>
      </c>
      <c r="J22" s="516" t="str">
        <f t="shared" si="5"/>
        <v>24/09/2004</v>
      </c>
      <c r="K22" s="514" t="str">
        <f t="shared" si="6"/>
        <v>Islam</v>
      </c>
      <c r="L22" s="514" t="str">
        <f t="shared" si="7"/>
        <v>4 (Empat)</v>
      </c>
      <c r="M22" s="514" t="str">
        <f t="shared" si="8"/>
        <v>Anak Kandung</v>
      </c>
      <c r="N22" s="514" t="str">
        <f t="shared" si="9"/>
        <v>Yatim</v>
      </c>
      <c r="O22" s="495"/>
      <c r="P22" s="494"/>
      <c r="Q22" s="494"/>
      <c r="R22" s="494"/>
      <c r="S22" s="494"/>
      <c r="T22" s="494"/>
      <c r="U22" s="533" t="str">
        <f t="shared" si="10"/>
        <v>TATAKARYA</v>
      </c>
      <c r="V22" s="533" t="str">
        <f t="shared" si="11"/>
        <v>-</v>
      </c>
      <c r="W22" s="494"/>
      <c r="X22" s="494"/>
      <c r="Y22" s="494"/>
      <c r="Z22" s="494"/>
      <c r="AA22" s="494"/>
      <c r="AB22" s="498">
        <v>0</v>
      </c>
      <c r="AC22" s="499">
        <v>0</v>
      </c>
      <c r="AD22" s="514" t="str">
        <f t="shared" si="12"/>
        <v>VIII A</v>
      </c>
      <c r="AE22" s="514" t="str">
        <f t="shared" si="13"/>
        <v>16/07/2018</v>
      </c>
      <c r="AF22" s="503"/>
      <c r="AG22" s="533" t="str">
        <f t="shared" si="14"/>
        <v>SDN 1 Tatakarya</v>
      </c>
      <c r="AH22" s="503"/>
      <c r="AI22" s="690"/>
      <c r="AJ22" s="503"/>
      <c r="AK22" s="690"/>
      <c r="AL22" s="503"/>
      <c r="AM22" s="503"/>
      <c r="AN22" s="505">
        <v>0</v>
      </c>
      <c r="AO22" s="503"/>
      <c r="AP22" s="503"/>
      <c r="AQ22" s="533" t="str">
        <f t="shared" si="15"/>
        <v>SRI HARTATI</v>
      </c>
      <c r="AR22" s="533" t="str">
        <f t="shared" si="16"/>
        <v>-</v>
      </c>
      <c r="AS22" s="533" t="str">
        <f t="shared" si="17"/>
        <v>TATAKARYA</v>
      </c>
      <c r="AT22" s="533" t="str">
        <f t="shared" si="18"/>
        <v>Meninggal Dunia</v>
      </c>
      <c r="AU22" s="533" t="str">
        <f t="shared" si="19"/>
        <v>-</v>
      </c>
      <c r="AV22" s="509"/>
      <c r="AW22" s="502" t="s">
        <v>472</v>
      </c>
      <c r="AX22" s="502" t="s">
        <v>473</v>
      </c>
      <c r="AY22" s="503"/>
      <c r="AZ22" s="508">
        <v>0</v>
      </c>
      <c r="BA22" s="533" t="str">
        <f t="shared" si="20"/>
        <v>SRI HARTATI</v>
      </c>
      <c r="BB22" s="533" t="str">
        <f t="shared" si="21"/>
        <v>PNS</v>
      </c>
      <c r="BC22" s="533" t="str">
        <f t="shared" si="22"/>
        <v>TATAKARYA</v>
      </c>
      <c r="BD22" s="533" t="str">
        <f t="shared" si="23"/>
        <v>Masih Hidup</v>
      </c>
      <c r="BE22" s="533" t="str">
        <f t="shared" si="24"/>
        <v>-</v>
      </c>
      <c r="BF22" s="503"/>
      <c r="BG22" s="502" t="s">
        <v>472</v>
      </c>
      <c r="BH22" s="502" t="s">
        <v>473</v>
      </c>
      <c r="BI22" s="503"/>
      <c r="BJ22" s="508">
        <v>0</v>
      </c>
      <c r="BK22" s="533" t="str">
        <f t="shared" si="25"/>
        <v>-</v>
      </c>
      <c r="BL22" s="533" t="str">
        <f t="shared" si="26"/>
        <v>-</v>
      </c>
      <c r="BM22" s="533" t="str">
        <f t="shared" si="27"/>
        <v>-</v>
      </c>
      <c r="BN22" s="533" t="str">
        <f t="shared" si="28"/>
        <v>-</v>
      </c>
      <c r="BO22" s="503"/>
      <c r="BP22" s="502" t="s">
        <v>472</v>
      </c>
      <c r="BQ22" s="502" t="s">
        <v>473</v>
      </c>
      <c r="BR22" s="502"/>
      <c r="BS22" s="508">
        <v>0</v>
      </c>
      <c r="BT22" s="503"/>
      <c r="BU22" s="503"/>
      <c r="BV22" s="503"/>
      <c r="BW22" s="503"/>
      <c r="BX22" s="503"/>
      <c r="BY22" s="503"/>
      <c r="BZ22" s="690"/>
      <c r="CA22" s="503"/>
      <c r="CB22" s="693"/>
    </row>
    <row r="23" spans="2:80" s="486" customFormat="1" ht="12.75">
      <c r="D23" s="513">
        <f>Biodata!B21</f>
        <v>16</v>
      </c>
      <c r="E23" s="514">
        <f t="shared" si="0"/>
        <v>7096</v>
      </c>
      <c r="F23" s="514" t="str">
        <f t="shared" si="1"/>
        <v>0058585843</v>
      </c>
      <c r="G23" s="515" t="str">
        <f t="shared" si="2"/>
        <v>Indah Purnama Ningsih</v>
      </c>
      <c r="H23" s="516" t="str">
        <f t="shared" si="3"/>
        <v>Perempuan</v>
      </c>
      <c r="I23" s="516" t="str">
        <f t="shared" si="4"/>
        <v>TATAKARYA</v>
      </c>
      <c r="J23" s="516" t="str">
        <f t="shared" si="5"/>
        <v>22/05/2005</v>
      </c>
      <c r="K23" s="514" t="str">
        <f t="shared" si="6"/>
        <v>Islam</v>
      </c>
      <c r="L23" s="514" t="str">
        <f t="shared" si="7"/>
        <v>1 (Satu)</v>
      </c>
      <c r="M23" s="514" t="str">
        <f t="shared" si="8"/>
        <v>Anak Kandung</v>
      </c>
      <c r="N23" s="514" t="str">
        <f t="shared" si="9"/>
        <v>-</v>
      </c>
      <c r="O23" s="495"/>
      <c r="P23" s="494"/>
      <c r="Q23" s="494"/>
      <c r="R23" s="494"/>
      <c r="S23" s="494"/>
      <c r="T23" s="494"/>
      <c r="U23" s="533" t="str">
        <f t="shared" si="10"/>
        <v>TATAKARYA</v>
      </c>
      <c r="V23" s="533" t="str">
        <f t="shared" si="11"/>
        <v>-</v>
      </c>
      <c r="W23" s="494"/>
      <c r="X23" s="494"/>
      <c r="Y23" s="494"/>
      <c r="Z23" s="494"/>
      <c r="AA23" s="494"/>
      <c r="AB23" s="498">
        <v>0</v>
      </c>
      <c r="AC23" s="499">
        <v>0</v>
      </c>
      <c r="AD23" s="514" t="str">
        <f t="shared" si="12"/>
        <v>VIII A</v>
      </c>
      <c r="AE23" s="514" t="str">
        <f t="shared" si="13"/>
        <v>16/07/2018</v>
      </c>
      <c r="AF23" s="503"/>
      <c r="AG23" s="533" t="str">
        <f t="shared" si="14"/>
        <v>SDN 3 Tatakarya</v>
      </c>
      <c r="AH23" s="503"/>
      <c r="AI23" s="690"/>
      <c r="AJ23" s="503"/>
      <c r="AK23" s="690"/>
      <c r="AL23" s="503"/>
      <c r="AM23" s="503"/>
      <c r="AN23" s="505">
        <v>0</v>
      </c>
      <c r="AO23" s="503"/>
      <c r="AP23" s="503"/>
      <c r="AQ23" s="533" t="str">
        <f t="shared" si="15"/>
        <v>JUMADI</v>
      </c>
      <c r="AR23" s="533" t="str">
        <f t="shared" si="16"/>
        <v>Petani</v>
      </c>
      <c r="AS23" s="533" t="str">
        <f t="shared" si="17"/>
        <v>TATAKARYA</v>
      </c>
      <c r="AT23" s="533" t="str">
        <f t="shared" si="18"/>
        <v>Masih Hidup</v>
      </c>
      <c r="AU23" s="533" t="str">
        <f t="shared" si="19"/>
        <v>-</v>
      </c>
      <c r="AV23" s="509"/>
      <c r="AW23" s="502" t="s">
        <v>472</v>
      </c>
      <c r="AX23" s="502" t="s">
        <v>473</v>
      </c>
      <c r="AY23" s="503"/>
      <c r="AZ23" s="508">
        <v>0</v>
      </c>
      <c r="BA23" s="533" t="str">
        <f t="shared" si="20"/>
        <v>SUPARMI</v>
      </c>
      <c r="BB23" s="533" t="str">
        <f t="shared" si="21"/>
        <v>Petani</v>
      </c>
      <c r="BC23" s="533" t="str">
        <f t="shared" si="22"/>
        <v>TATAKARYA</v>
      </c>
      <c r="BD23" s="533" t="str">
        <f t="shared" si="23"/>
        <v>Masih Hidup</v>
      </c>
      <c r="BE23" s="533" t="str">
        <f t="shared" si="24"/>
        <v>-</v>
      </c>
      <c r="BF23" s="503"/>
      <c r="BG23" s="502" t="s">
        <v>472</v>
      </c>
      <c r="BH23" s="502" t="s">
        <v>473</v>
      </c>
      <c r="BI23" s="503"/>
      <c r="BJ23" s="508">
        <v>0</v>
      </c>
      <c r="BK23" s="533" t="str">
        <f t="shared" si="25"/>
        <v>-</v>
      </c>
      <c r="BL23" s="533" t="str">
        <f t="shared" si="26"/>
        <v>-</v>
      </c>
      <c r="BM23" s="533" t="str">
        <f t="shared" si="27"/>
        <v>-</v>
      </c>
      <c r="BN23" s="533" t="str">
        <f t="shared" si="28"/>
        <v>-</v>
      </c>
      <c r="BO23" s="503"/>
      <c r="BP23" s="502" t="s">
        <v>472</v>
      </c>
      <c r="BQ23" s="502" t="s">
        <v>473</v>
      </c>
      <c r="BR23" s="502"/>
      <c r="BS23" s="508">
        <v>0</v>
      </c>
      <c r="BT23" s="503"/>
      <c r="BU23" s="503"/>
      <c r="BV23" s="503"/>
      <c r="BW23" s="503"/>
      <c r="BX23" s="503"/>
      <c r="BY23" s="503"/>
      <c r="BZ23" s="690"/>
      <c r="CA23" s="503"/>
      <c r="CB23" s="693"/>
    </row>
    <row r="24" spans="2:80" s="486" customFormat="1" ht="12.75">
      <c r="D24" s="513">
        <f>Biodata!B22</f>
        <v>17</v>
      </c>
      <c r="E24" s="514">
        <f t="shared" si="0"/>
        <v>7098</v>
      </c>
      <c r="F24" s="514" t="str">
        <f t="shared" si="1"/>
        <v>0051698787</v>
      </c>
      <c r="G24" s="515" t="str">
        <f t="shared" si="2"/>
        <v>Ladiva Nurrosa Laila</v>
      </c>
      <c r="H24" s="516" t="str">
        <f t="shared" si="3"/>
        <v>Perempuan</v>
      </c>
      <c r="I24" s="516" t="str">
        <f t="shared" si="4"/>
        <v>KOTABUMI</v>
      </c>
      <c r="J24" s="516" t="str">
        <f t="shared" si="5"/>
        <v>21/07/2005</v>
      </c>
      <c r="K24" s="514" t="str">
        <f t="shared" si="6"/>
        <v>Islam</v>
      </c>
      <c r="L24" s="514" t="str">
        <f t="shared" si="7"/>
        <v>1 (Satu)</v>
      </c>
      <c r="M24" s="514" t="str">
        <f t="shared" si="8"/>
        <v>Anak Kandung</v>
      </c>
      <c r="N24" s="514" t="str">
        <f t="shared" si="9"/>
        <v>-</v>
      </c>
      <c r="O24" s="495"/>
      <c r="P24" s="494"/>
      <c r="Q24" s="494"/>
      <c r="R24" s="494"/>
      <c r="S24" s="494"/>
      <c r="T24" s="494"/>
      <c r="U24" s="533" t="str">
        <f t="shared" si="10"/>
        <v>TATAKARYA</v>
      </c>
      <c r="V24" s="533" t="str">
        <f t="shared" si="11"/>
        <v>-</v>
      </c>
      <c r="W24" s="494"/>
      <c r="X24" s="494"/>
      <c r="Y24" s="494"/>
      <c r="Z24" s="494"/>
      <c r="AA24" s="494"/>
      <c r="AB24" s="498">
        <v>0</v>
      </c>
      <c r="AC24" s="499">
        <v>0</v>
      </c>
      <c r="AD24" s="514" t="str">
        <f t="shared" si="12"/>
        <v>VIII A</v>
      </c>
      <c r="AE24" s="514" t="str">
        <f t="shared" si="13"/>
        <v>16/07/2018</v>
      </c>
      <c r="AF24" s="503"/>
      <c r="AG24" s="533" t="str">
        <f t="shared" si="14"/>
        <v>SDN 2 Tatakarya</v>
      </c>
      <c r="AH24" s="503"/>
      <c r="AI24" s="690"/>
      <c r="AJ24" s="503"/>
      <c r="AK24" s="690"/>
      <c r="AL24" s="503"/>
      <c r="AM24" s="503"/>
      <c r="AN24" s="505">
        <v>0</v>
      </c>
      <c r="AO24" s="503"/>
      <c r="AP24" s="503"/>
      <c r="AQ24" s="533" t="str">
        <f t="shared" si="15"/>
        <v>EDI SURYANTO</v>
      </c>
      <c r="AR24" s="533" t="str">
        <f t="shared" si="16"/>
        <v>Petani</v>
      </c>
      <c r="AS24" s="533" t="str">
        <f t="shared" si="17"/>
        <v>TATAKARYA</v>
      </c>
      <c r="AT24" s="533" t="str">
        <f t="shared" si="18"/>
        <v>Masih Hidup</v>
      </c>
      <c r="AU24" s="533" t="str">
        <f t="shared" si="19"/>
        <v>-</v>
      </c>
      <c r="AV24" s="509"/>
      <c r="AW24" s="502" t="s">
        <v>472</v>
      </c>
      <c r="AX24" s="502" t="s">
        <v>473</v>
      </c>
      <c r="AY24" s="503"/>
      <c r="AZ24" s="508">
        <v>0</v>
      </c>
      <c r="BA24" s="533" t="str">
        <f t="shared" si="20"/>
        <v>ISGIYANTI</v>
      </c>
      <c r="BB24" s="533" t="str">
        <f t="shared" si="21"/>
        <v>Petani</v>
      </c>
      <c r="BC24" s="533" t="str">
        <f t="shared" si="22"/>
        <v>TATAKARYA</v>
      </c>
      <c r="BD24" s="533" t="str">
        <f t="shared" si="23"/>
        <v>Masih Hidup</v>
      </c>
      <c r="BE24" s="533" t="str">
        <f t="shared" si="24"/>
        <v>-</v>
      </c>
      <c r="BF24" s="503"/>
      <c r="BG24" s="502" t="s">
        <v>472</v>
      </c>
      <c r="BH24" s="502" t="s">
        <v>473</v>
      </c>
      <c r="BI24" s="503"/>
      <c r="BJ24" s="508">
        <v>0</v>
      </c>
      <c r="BK24" s="533" t="str">
        <f t="shared" si="25"/>
        <v>-</v>
      </c>
      <c r="BL24" s="533" t="str">
        <f t="shared" si="26"/>
        <v>-</v>
      </c>
      <c r="BM24" s="533" t="str">
        <f t="shared" si="27"/>
        <v>-</v>
      </c>
      <c r="BN24" s="533" t="str">
        <f t="shared" si="28"/>
        <v>-</v>
      </c>
      <c r="BO24" s="503"/>
      <c r="BP24" s="502" t="s">
        <v>472</v>
      </c>
      <c r="BQ24" s="502" t="s">
        <v>473</v>
      </c>
      <c r="BR24" s="502"/>
      <c r="BS24" s="508">
        <v>0</v>
      </c>
      <c r="BT24" s="503"/>
      <c r="BU24" s="503"/>
      <c r="BV24" s="503"/>
      <c r="BW24" s="503"/>
      <c r="BX24" s="503"/>
      <c r="BY24" s="503"/>
      <c r="BZ24" s="690"/>
      <c r="CA24" s="503"/>
      <c r="CB24" s="693"/>
    </row>
    <row r="25" spans="2:80" s="486" customFormat="1" ht="12.75">
      <c r="D25" s="513">
        <f>Biodata!B23</f>
        <v>18</v>
      </c>
      <c r="E25" s="514">
        <f t="shared" si="0"/>
        <v>7101</v>
      </c>
      <c r="F25" s="514" t="str">
        <f t="shared" si="1"/>
        <v>0045430015</v>
      </c>
      <c r="G25" s="515" t="str">
        <f t="shared" si="2"/>
        <v>Mefa Novita Putri</v>
      </c>
      <c r="H25" s="516" t="str">
        <f t="shared" si="3"/>
        <v>Perempuan</v>
      </c>
      <c r="I25" s="516" t="str">
        <f t="shared" si="4"/>
        <v>TATAKARYA</v>
      </c>
      <c r="J25" s="516" t="str">
        <f t="shared" si="5"/>
        <v>10/11/2004</v>
      </c>
      <c r="K25" s="514" t="str">
        <f t="shared" si="6"/>
        <v>Islam</v>
      </c>
      <c r="L25" s="514" t="str">
        <f t="shared" si="7"/>
        <v>1 (Satu)</v>
      </c>
      <c r="M25" s="514" t="str">
        <f t="shared" si="8"/>
        <v>Anak Kandung</v>
      </c>
      <c r="N25" s="514" t="str">
        <f t="shared" si="9"/>
        <v>-</v>
      </c>
      <c r="O25" s="495"/>
      <c r="P25" s="494"/>
      <c r="Q25" s="494"/>
      <c r="R25" s="494"/>
      <c r="S25" s="494"/>
      <c r="T25" s="494"/>
      <c r="U25" s="533" t="str">
        <f t="shared" si="10"/>
        <v>TATAKARYA</v>
      </c>
      <c r="V25" s="533" t="str">
        <f t="shared" si="11"/>
        <v>-</v>
      </c>
      <c r="W25" s="494"/>
      <c r="X25" s="494"/>
      <c r="Y25" s="494"/>
      <c r="Z25" s="494"/>
      <c r="AA25" s="494"/>
      <c r="AB25" s="498">
        <v>0</v>
      </c>
      <c r="AC25" s="499">
        <v>0</v>
      </c>
      <c r="AD25" s="514" t="str">
        <f t="shared" si="12"/>
        <v>VIII A</v>
      </c>
      <c r="AE25" s="514" t="str">
        <f t="shared" si="13"/>
        <v>16/07/2018</v>
      </c>
      <c r="AF25" s="503"/>
      <c r="AG25" s="533" t="str">
        <f t="shared" si="14"/>
        <v>SDN 1 Tatakarya</v>
      </c>
      <c r="AH25" s="503"/>
      <c r="AI25" s="690"/>
      <c r="AJ25" s="503"/>
      <c r="AK25" s="690"/>
      <c r="AL25" s="503"/>
      <c r="AM25" s="503"/>
      <c r="AN25" s="505">
        <v>0</v>
      </c>
      <c r="AO25" s="503"/>
      <c r="AP25" s="503"/>
      <c r="AQ25" s="533" t="str">
        <f t="shared" si="15"/>
        <v>FAISOL</v>
      </c>
      <c r="AR25" s="533" t="str">
        <f t="shared" si="16"/>
        <v>Petani</v>
      </c>
      <c r="AS25" s="533" t="str">
        <f t="shared" si="17"/>
        <v>TATAKARYA</v>
      </c>
      <c r="AT25" s="533" t="str">
        <f t="shared" si="18"/>
        <v>Masih Hidup</v>
      </c>
      <c r="AU25" s="533" t="str">
        <f t="shared" si="19"/>
        <v>-</v>
      </c>
      <c r="AV25" s="509"/>
      <c r="AW25" s="502" t="s">
        <v>472</v>
      </c>
      <c r="AX25" s="502" t="s">
        <v>473</v>
      </c>
      <c r="AY25" s="503"/>
      <c r="AZ25" s="508">
        <v>0</v>
      </c>
      <c r="BA25" s="533" t="str">
        <f t="shared" si="20"/>
        <v>MEDIA WATI</v>
      </c>
      <c r="BB25" s="533" t="str">
        <f t="shared" si="21"/>
        <v>Ibu Rumah Tangga</v>
      </c>
      <c r="BC25" s="533" t="str">
        <f t="shared" si="22"/>
        <v>TATAKARYA</v>
      </c>
      <c r="BD25" s="533" t="str">
        <f t="shared" si="23"/>
        <v>Masih Hidup</v>
      </c>
      <c r="BE25" s="533" t="str">
        <f t="shared" si="24"/>
        <v>-</v>
      </c>
      <c r="BF25" s="503"/>
      <c r="BG25" s="502" t="s">
        <v>472</v>
      </c>
      <c r="BH25" s="502" t="s">
        <v>473</v>
      </c>
      <c r="BI25" s="503"/>
      <c r="BJ25" s="508">
        <v>0</v>
      </c>
      <c r="BK25" s="533" t="str">
        <f t="shared" si="25"/>
        <v>-</v>
      </c>
      <c r="BL25" s="533" t="str">
        <f t="shared" si="26"/>
        <v>-</v>
      </c>
      <c r="BM25" s="533" t="str">
        <f t="shared" si="27"/>
        <v>-</v>
      </c>
      <c r="BN25" s="533" t="str">
        <f t="shared" si="28"/>
        <v>-</v>
      </c>
      <c r="BO25" s="503"/>
      <c r="BP25" s="502" t="s">
        <v>472</v>
      </c>
      <c r="BQ25" s="502" t="s">
        <v>473</v>
      </c>
      <c r="BR25" s="502"/>
      <c r="BS25" s="508">
        <v>0</v>
      </c>
      <c r="BT25" s="503"/>
      <c r="BU25" s="503"/>
      <c r="BV25" s="503"/>
      <c r="BW25" s="503"/>
      <c r="BX25" s="503"/>
      <c r="BY25" s="503"/>
      <c r="BZ25" s="690"/>
      <c r="CA25" s="503"/>
      <c r="CB25" s="693"/>
    </row>
    <row r="26" spans="2:80" s="486" customFormat="1" ht="12.75">
      <c r="D26" s="513">
        <f>Biodata!B24</f>
        <v>19</v>
      </c>
      <c r="E26" s="514">
        <f t="shared" si="0"/>
        <v>7104</v>
      </c>
      <c r="F26" s="514" t="str">
        <f t="shared" si="1"/>
        <v>0058622820</v>
      </c>
      <c r="G26" s="515" t="str">
        <f t="shared" si="2"/>
        <v>Mellanie Bunga Aprilia</v>
      </c>
      <c r="H26" s="516" t="str">
        <f t="shared" si="3"/>
        <v>Perempuan</v>
      </c>
      <c r="I26" s="516" t="str">
        <f t="shared" si="4"/>
        <v>TATAKARYA</v>
      </c>
      <c r="J26" s="516" t="str">
        <f t="shared" si="5"/>
        <v>24/04/2005</v>
      </c>
      <c r="K26" s="514" t="str">
        <f t="shared" si="6"/>
        <v>Islam</v>
      </c>
      <c r="L26" s="514" t="str">
        <f t="shared" si="7"/>
        <v>5 (Lima)</v>
      </c>
      <c r="M26" s="514" t="str">
        <f t="shared" si="8"/>
        <v>Anak Kandung</v>
      </c>
      <c r="N26" s="514" t="str">
        <f t="shared" si="9"/>
        <v>-</v>
      </c>
      <c r="O26" s="495"/>
      <c r="P26" s="494"/>
      <c r="Q26" s="494"/>
      <c r="R26" s="494"/>
      <c r="S26" s="494"/>
      <c r="T26" s="494"/>
      <c r="U26" s="533" t="str">
        <f t="shared" si="10"/>
        <v>TATAKARYA</v>
      </c>
      <c r="V26" s="533" t="str">
        <f t="shared" si="11"/>
        <v>-</v>
      </c>
      <c r="W26" s="494"/>
      <c r="X26" s="494"/>
      <c r="Y26" s="494"/>
      <c r="Z26" s="494"/>
      <c r="AA26" s="494"/>
      <c r="AB26" s="498">
        <v>0</v>
      </c>
      <c r="AC26" s="499">
        <v>0</v>
      </c>
      <c r="AD26" s="514" t="str">
        <f t="shared" si="12"/>
        <v>VIII A</v>
      </c>
      <c r="AE26" s="514" t="str">
        <f t="shared" si="13"/>
        <v>16/07/2018</v>
      </c>
      <c r="AF26" s="503"/>
      <c r="AG26" s="533" t="str">
        <f t="shared" si="14"/>
        <v>SDN 2 Tatakarya</v>
      </c>
      <c r="AH26" s="503"/>
      <c r="AI26" s="690"/>
      <c r="AJ26" s="503"/>
      <c r="AK26" s="690"/>
      <c r="AL26" s="503"/>
      <c r="AM26" s="503"/>
      <c r="AN26" s="505">
        <v>0</v>
      </c>
      <c r="AO26" s="503"/>
      <c r="AP26" s="503"/>
      <c r="AQ26" s="533" t="str">
        <f t="shared" si="15"/>
        <v>JA'UN</v>
      </c>
      <c r="AR26" s="533" t="str">
        <f t="shared" si="16"/>
        <v>Pensiunan PNS</v>
      </c>
      <c r="AS26" s="533" t="str">
        <f t="shared" si="17"/>
        <v>TATAKARYA</v>
      </c>
      <c r="AT26" s="533" t="str">
        <f t="shared" si="18"/>
        <v>Masih Hidup</v>
      </c>
      <c r="AU26" s="533" t="str">
        <f t="shared" si="19"/>
        <v>-</v>
      </c>
      <c r="AV26" s="509"/>
      <c r="AW26" s="502" t="s">
        <v>472</v>
      </c>
      <c r="AX26" s="502" t="s">
        <v>473</v>
      </c>
      <c r="AY26" s="503"/>
      <c r="AZ26" s="508">
        <v>0</v>
      </c>
      <c r="BA26" s="533" t="str">
        <f t="shared" si="20"/>
        <v>KURNIA WATI</v>
      </c>
      <c r="BB26" s="533" t="str">
        <f t="shared" si="21"/>
        <v>Ibu Rumah Tangga</v>
      </c>
      <c r="BC26" s="533" t="str">
        <f t="shared" si="22"/>
        <v>TATAKARYA</v>
      </c>
      <c r="BD26" s="533" t="str">
        <f t="shared" si="23"/>
        <v>Masih Hidup</v>
      </c>
      <c r="BE26" s="533" t="str">
        <f t="shared" si="24"/>
        <v>-</v>
      </c>
      <c r="BF26" s="503"/>
      <c r="BG26" s="502" t="s">
        <v>472</v>
      </c>
      <c r="BH26" s="502" t="s">
        <v>473</v>
      </c>
      <c r="BI26" s="503"/>
      <c r="BJ26" s="508">
        <v>0</v>
      </c>
      <c r="BK26" s="533" t="str">
        <f t="shared" si="25"/>
        <v>-</v>
      </c>
      <c r="BL26" s="533" t="str">
        <f t="shared" si="26"/>
        <v>-</v>
      </c>
      <c r="BM26" s="533" t="str">
        <f t="shared" si="27"/>
        <v>-</v>
      </c>
      <c r="BN26" s="533" t="str">
        <f t="shared" si="28"/>
        <v>-</v>
      </c>
      <c r="BO26" s="503"/>
      <c r="BP26" s="502" t="s">
        <v>472</v>
      </c>
      <c r="BQ26" s="502" t="s">
        <v>473</v>
      </c>
      <c r="BR26" s="502"/>
      <c r="BS26" s="508">
        <v>0</v>
      </c>
      <c r="BT26" s="503"/>
      <c r="BU26" s="503"/>
      <c r="BV26" s="503"/>
      <c r="BW26" s="503"/>
      <c r="BX26" s="503"/>
      <c r="BY26" s="503"/>
      <c r="BZ26" s="690"/>
      <c r="CA26" s="503"/>
      <c r="CB26" s="693"/>
    </row>
    <row r="27" spans="2:80" s="486" customFormat="1" ht="12.75">
      <c r="D27" s="513">
        <f>Biodata!B25</f>
        <v>20</v>
      </c>
      <c r="E27" s="514">
        <f t="shared" si="0"/>
        <v>7105</v>
      </c>
      <c r="F27" s="514" t="str">
        <f t="shared" si="1"/>
        <v>0051698692</v>
      </c>
      <c r="G27" s="515" t="str">
        <f t="shared" si="2"/>
        <v>Mirra Tusolickak</v>
      </c>
      <c r="H27" s="516" t="str">
        <f t="shared" si="3"/>
        <v>Perempuan</v>
      </c>
      <c r="I27" s="516" t="str">
        <f t="shared" si="4"/>
        <v>TATAKARYA</v>
      </c>
      <c r="J27" s="516" t="str">
        <f t="shared" si="5"/>
        <v>03/08/2005</v>
      </c>
      <c r="K27" s="514" t="str">
        <f t="shared" si="6"/>
        <v>Islam</v>
      </c>
      <c r="L27" s="514" t="str">
        <f t="shared" si="7"/>
        <v>1 (Satu)</v>
      </c>
      <c r="M27" s="514" t="str">
        <f t="shared" si="8"/>
        <v>Anak Kandung</v>
      </c>
      <c r="N27" s="514" t="str">
        <f t="shared" si="9"/>
        <v>-</v>
      </c>
      <c r="O27" s="495"/>
      <c r="P27" s="494"/>
      <c r="Q27" s="494"/>
      <c r="R27" s="494"/>
      <c r="S27" s="494"/>
      <c r="T27" s="494"/>
      <c r="U27" s="533" t="str">
        <f t="shared" si="10"/>
        <v>TATAKARYA</v>
      </c>
      <c r="V27" s="533" t="str">
        <f t="shared" si="11"/>
        <v>-</v>
      </c>
      <c r="W27" s="494"/>
      <c r="X27" s="494"/>
      <c r="Y27" s="494"/>
      <c r="Z27" s="494"/>
      <c r="AA27" s="494"/>
      <c r="AB27" s="498">
        <v>0</v>
      </c>
      <c r="AC27" s="499">
        <v>0</v>
      </c>
      <c r="AD27" s="514" t="str">
        <f t="shared" si="12"/>
        <v>VIII A</v>
      </c>
      <c r="AE27" s="514" t="str">
        <f t="shared" si="13"/>
        <v>16/07/2018</v>
      </c>
      <c r="AF27" s="503"/>
      <c r="AG27" s="533" t="str">
        <f t="shared" si="14"/>
        <v>SDN 3 Tatakarya</v>
      </c>
      <c r="AH27" s="503"/>
      <c r="AI27" s="690"/>
      <c r="AJ27" s="503"/>
      <c r="AK27" s="690"/>
      <c r="AL27" s="503"/>
      <c r="AM27" s="503"/>
      <c r="AN27" s="505">
        <v>0</v>
      </c>
      <c r="AO27" s="503"/>
      <c r="AP27" s="503"/>
      <c r="AQ27" s="533" t="str">
        <f t="shared" si="15"/>
        <v>M. TOYEB</v>
      </c>
      <c r="AR27" s="533" t="str">
        <f t="shared" si="16"/>
        <v>Petani</v>
      </c>
      <c r="AS27" s="533" t="str">
        <f t="shared" si="17"/>
        <v>TATAKARYA</v>
      </c>
      <c r="AT27" s="533" t="str">
        <f t="shared" si="18"/>
        <v>Masih Hidup</v>
      </c>
      <c r="AU27" s="533" t="str">
        <f t="shared" si="19"/>
        <v>-</v>
      </c>
      <c r="AV27" s="509"/>
      <c r="AW27" s="502" t="s">
        <v>472</v>
      </c>
      <c r="AX27" s="502" t="s">
        <v>473</v>
      </c>
      <c r="AY27" s="503"/>
      <c r="AZ27" s="508">
        <v>0</v>
      </c>
      <c r="BA27" s="533" t="str">
        <f t="shared" si="20"/>
        <v>SARNI</v>
      </c>
      <c r="BB27" s="533" t="str">
        <f t="shared" si="21"/>
        <v>Petani</v>
      </c>
      <c r="BC27" s="533" t="str">
        <f t="shared" si="22"/>
        <v>TATAKARYA</v>
      </c>
      <c r="BD27" s="533" t="str">
        <f t="shared" si="23"/>
        <v>Masih Hidup</v>
      </c>
      <c r="BE27" s="533" t="str">
        <f t="shared" si="24"/>
        <v>-</v>
      </c>
      <c r="BF27" s="503"/>
      <c r="BG27" s="502" t="s">
        <v>472</v>
      </c>
      <c r="BH27" s="502" t="s">
        <v>473</v>
      </c>
      <c r="BI27" s="503"/>
      <c r="BJ27" s="508">
        <v>0</v>
      </c>
      <c r="BK27" s="533" t="str">
        <f t="shared" si="25"/>
        <v>-</v>
      </c>
      <c r="BL27" s="533" t="str">
        <f t="shared" si="26"/>
        <v>-</v>
      </c>
      <c r="BM27" s="533" t="str">
        <f t="shared" si="27"/>
        <v>-</v>
      </c>
      <c r="BN27" s="533" t="str">
        <f t="shared" si="28"/>
        <v>-</v>
      </c>
      <c r="BO27" s="503"/>
      <c r="BP27" s="502" t="s">
        <v>472</v>
      </c>
      <c r="BQ27" s="502" t="s">
        <v>473</v>
      </c>
      <c r="BR27" s="502"/>
      <c r="BS27" s="508">
        <v>0</v>
      </c>
      <c r="BT27" s="503"/>
      <c r="BU27" s="503"/>
      <c r="BV27" s="503"/>
      <c r="BW27" s="503"/>
      <c r="BX27" s="503"/>
      <c r="BY27" s="503"/>
      <c r="BZ27" s="690"/>
      <c r="CA27" s="503"/>
      <c r="CB27" s="693"/>
    </row>
    <row r="28" spans="2:80" s="486" customFormat="1" ht="12.75">
      <c r="D28" s="513">
        <f>Biodata!B26</f>
        <v>21</v>
      </c>
      <c r="E28" s="514">
        <f t="shared" si="0"/>
        <v>7107</v>
      </c>
      <c r="F28" s="514" t="str">
        <f t="shared" si="1"/>
        <v>0051698781</v>
      </c>
      <c r="G28" s="515" t="str">
        <f t="shared" si="2"/>
        <v>Muhammad Daffa Rifa'I</v>
      </c>
      <c r="H28" s="516" t="str">
        <f t="shared" si="3"/>
        <v>Laki-laki</v>
      </c>
      <c r="I28" s="516" t="str">
        <f t="shared" si="4"/>
        <v>KOTABUMI</v>
      </c>
      <c r="J28" s="516" t="str">
        <f t="shared" si="5"/>
        <v>09/05/2005</v>
      </c>
      <c r="K28" s="514" t="str">
        <f t="shared" si="6"/>
        <v>Islam</v>
      </c>
      <c r="L28" s="514" t="str">
        <f t="shared" si="7"/>
        <v>1 (Satu)</v>
      </c>
      <c r="M28" s="514" t="str">
        <f t="shared" si="8"/>
        <v>Anak Kandung</v>
      </c>
      <c r="N28" s="514" t="str">
        <f t="shared" si="9"/>
        <v>-</v>
      </c>
      <c r="O28" s="495"/>
      <c r="P28" s="494"/>
      <c r="Q28" s="494"/>
      <c r="R28" s="494"/>
      <c r="S28" s="494"/>
      <c r="T28" s="494"/>
      <c r="U28" s="533" t="str">
        <f t="shared" si="10"/>
        <v>TATAKARYA</v>
      </c>
      <c r="V28" s="533" t="str">
        <f t="shared" si="11"/>
        <v>-</v>
      </c>
      <c r="W28" s="494"/>
      <c r="X28" s="494"/>
      <c r="Y28" s="494"/>
      <c r="Z28" s="494"/>
      <c r="AA28" s="494"/>
      <c r="AB28" s="498">
        <v>0</v>
      </c>
      <c r="AC28" s="499">
        <v>0</v>
      </c>
      <c r="AD28" s="514" t="str">
        <f t="shared" si="12"/>
        <v>VIII A</v>
      </c>
      <c r="AE28" s="514" t="str">
        <f t="shared" si="13"/>
        <v>16/07/2018</v>
      </c>
      <c r="AF28" s="503"/>
      <c r="AG28" s="533" t="str">
        <f t="shared" si="14"/>
        <v>SDN 2 Tatakarya</v>
      </c>
      <c r="AH28" s="503"/>
      <c r="AI28" s="690"/>
      <c r="AJ28" s="503"/>
      <c r="AK28" s="690"/>
      <c r="AL28" s="503"/>
      <c r="AM28" s="503"/>
      <c r="AN28" s="505">
        <v>0</v>
      </c>
      <c r="AO28" s="503"/>
      <c r="AP28" s="503"/>
      <c r="AQ28" s="533" t="str">
        <f t="shared" si="15"/>
        <v>ARIF RAHMAN</v>
      </c>
      <c r="AR28" s="533" t="str">
        <f t="shared" si="16"/>
        <v>Petani</v>
      </c>
      <c r="AS28" s="533" t="str">
        <f t="shared" si="17"/>
        <v>TATAKARYA</v>
      </c>
      <c r="AT28" s="533" t="str">
        <f t="shared" si="18"/>
        <v>Masih Hidup</v>
      </c>
      <c r="AU28" s="533" t="str">
        <f t="shared" si="19"/>
        <v>-</v>
      </c>
      <c r="AV28" s="509"/>
      <c r="AW28" s="502" t="s">
        <v>472</v>
      </c>
      <c r="AX28" s="502" t="s">
        <v>473</v>
      </c>
      <c r="AY28" s="503"/>
      <c r="AZ28" s="508">
        <v>0</v>
      </c>
      <c r="BA28" s="533" t="str">
        <f t="shared" si="20"/>
        <v>PARTINAH</v>
      </c>
      <c r="BB28" s="533" t="str">
        <f t="shared" si="21"/>
        <v>Petani</v>
      </c>
      <c r="BC28" s="533" t="str">
        <f t="shared" si="22"/>
        <v>TATAKARYA</v>
      </c>
      <c r="BD28" s="533" t="str">
        <f t="shared" si="23"/>
        <v>Masih Hidup</v>
      </c>
      <c r="BE28" s="533" t="str">
        <f t="shared" si="24"/>
        <v>-</v>
      </c>
      <c r="BF28" s="503"/>
      <c r="BG28" s="502" t="s">
        <v>472</v>
      </c>
      <c r="BH28" s="502" t="s">
        <v>473</v>
      </c>
      <c r="BI28" s="503"/>
      <c r="BJ28" s="508">
        <v>0</v>
      </c>
      <c r="BK28" s="533" t="str">
        <f t="shared" si="25"/>
        <v>-</v>
      </c>
      <c r="BL28" s="533" t="str">
        <f t="shared" si="26"/>
        <v>-</v>
      </c>
      <c r="BM28" s="533" t="str">
        <f t="shared" si="27"/>
        <v>-</v>
      </c>
      <c r="BN28" s="533" t="str">
        <f t="shared" si="28"/>
        <v>-</v>
      </c>
      <c r="BO28" s="503"/>
      <c r="BP28" s="502" t="s">
        <v>472</v>
      </c>
      <c r="BQ28" s="502" t="s">
        <v>473</v>
      </c>
      <c r="BR28" s="502"/>
      <c r="BS28" s="508">
        <v>0</v>
      </c>
      <c r="BT28" s="503"/>
      <c r="BU28" s="503"/>
      <c r="BV28" s="503"/>
      <c r="BW28" s="503"/>
      <c r="BX28" s="503"/>
      <c r="BY28" s="503"/>
      <c r="BZ28" s="690"/>
      <c r="CA28" s="503"/>
      <c r="CB28" s="693"/>
    </row>
    <row r="29" spans="2:80" s="486" customFormat="1" ht="12.75">
      <c r="D29" s="513">
        <f>Biodata!B27</f>
        <v>22</v>
      </c>
      <c r="E29" s="514">
        <f t="shared" si="0"/>
        <v>7108</v>
      </c>
      <c r="F29" s="514" t="str">
        <f t="shared" si="1"/>
        <v>0036168520</v>
      </c>
      <c r="G29" s="515" t="str">
        <f t="shared" si="2"/>
        <v>Muhammad Jaupanto</v>
      </c>
      <c r="H29" s="516" t="str">
        <f t="shared" si="3"/>
        <v>Laki-Laki</v>
      </c>
      <c r="I29" s="516" t="str">
        <f t="shared" si="4"/>
        <v>BANGUN SARI</v>
      </c>
      <c r="J29" s="516" t="str">
        <f t="shared" si="5"/>
        <v>18/03/2003</v>
      </c>
      <c r="K29" s="514" t="str">
        <f t="shared" si="6"/>
        <v>Islam</v>
      </c>
      <c r="L29" s="514" t="str">
        <f t="shared" si="7"/>
        <v>6 (Enam )</v>
      </c>
      <c r="M29" s="514" t="str">
        <f t="shared" si="8"/>
        <v>Anak Kandung</v>
      </c>
      <c r="N29" s="514" t="str">
        <f t="shared" si="9"/>
        <v>-</v>
      </c>
      <c r="O29" s="495"/>
      <c r="P29" s="494"/>
      <c r="Q29" s="494"/>
      <c r="R29" s="494"/>
      <c r="S29" s="494"/>
      <c r="T29" s="494"/>
      <c r="U29" s="533" t="str">
        <f t="shared" si="10"/>
        <v>BANGUN SARI</v>
      </c>
      <c r="V29" s="533" t="str">
        <f t="shared" si="11"/>
        <v>-</v>
      </c>
      <c r="W29" s="494"/>
      <c r="X29" s="494"/>
      <c r="Y29" s="494"/>
      <c r="Z29" s="494"/>
      <c r="AA29" s="494"/>
      <c r="AB29" s="498">
        <v>0</v>
      </c>
      <c r="AC29" s="499">
        <v>0</v>
      </c>
      <c r="AD29" s="514" t="str">
        <f t="shared" si="12"/>
        <v>VIII A</v>
      </c>
      <c r="AE29" s="514" t="str">
        <f t="shared" si="13"/>
        <v>16/07/2018</v>
      </c>
      <c r="AF29" s="503"/>
      <c r="AG29" s="533" t="str">
        <f t="shared" si="14"/>
        <v>SDN 1 Bangun Sari</v>
      </c>
      <c r="AH29" s="503"/>
      <c r="AI29" s="690"/>
      <c r="AJ29" s="503"/>
      <c r="AK29" s="690"/>
      <c r="AL29" s="503"/>
      <c r="AM29" s="503"/>
      <c r="AN29" s="505">
        <v>0</v>
      </c>
      <c r="AO29" s="503"/>
      <c r="AP29" s="503"/>
      <c r="AQ29" s="533" t="str">
        <f t="shared" si="15"/>
        <v>NUR SALIM</v>
      </c>
      <c r="AR29" s="533" t="str">
        <f t="shared" si="16"/>
        <v>Petani</v>
      </c>
      <c r="AS29" s="533" t="str">
        <f t="shared" si="17"/>
        <v>BANGUN SARI</v>
      </c>
      <c r="AT29" s="533" t="str">
        <f t="shared" si="18"/>
        <v>Masih Hidup</v>
      </c>
      <c r="AU29" s="533" t="str">
        <f t="shared" si="19"/>
        <v>-</v>
      </c>
      <c r="AV29" s="509"/>
      <c r="AW29" s="502" t="s">
        <v>472</v>
      </c>
      <c r="AX29" s="502" t="s">
        <v>473</v>
      </c>
      <c r="AY29" s="503"/>
      <c r="AZ29" s="508">
        <v>0</v>
      </c>
      <c r="BA29" s="533" t="str">
        <f t="shared" si="20"/>
        <v>BONIAH</v>
      </c>
      <c r="BB29" s="533" t="str">
        <f t="shared" si="21"/>
        <v>Petani</v>
      </c>
      <c r="BC29" s="533" t="str">
        <f t="shared" si="22"/>
        <v>BANGUN SARI</v>
      </c>
      <c r="BD29" s="533" t="str">
        <f t="shared" si="23"/>
        <v>Masih Hidup</v>
      </c>
      <c r="BE29" s="533" t="str">
        <f t="shared" si="24"/>
        <v>-</v>
      </c>
      <c r="BF29" s="503"/>
      <c r="BG29" s="502" t="s">
        <v>472</v>
      </c>
      <c r="BH29" s="502" t="s">
        <v>473</v>
      </c>
      <c r="BI29" s="503"/>
      <c r="BJ29" s="508">
        <v>0</v>
      </c>
      <c r="BK29" s="533" t="str">
        <f t="shared" si="25"/>
        <v>-</v>
      </c>
      <c r="BL29" s="533" t="str">
        <f t="shared" si="26"/>
        <v>-</v>
      </c>
      <c r="BM29" s="533" t="str">
        <f t="shared" si="27"/>
        <v>-</v>
      </c>
      <c r="BN29" s="533" t="str">
        <f t="shared" si="28"/>
        <v>-</v>
      </c>
      <c r="BO29" s="503"/>
      <c r="BP29" s="502" t="s">
        <v>472</v>
      </c>
      <c r="BQ29" s="502" t="s">
        <v>473</v>
      </c>
      <c r="BR29" s="502"/>
      <c r="BS29" s="508">
        <v>0</v>
      </c>
      <c r="BT29" s="503"/>
      <c r="BU29" s="503"/>
      <c r="BV29" s="503"/>
      <c r="BW29" s="503"/>
      <c r="BX29" s="503"/>
      <c r="BY29" s="503"/>
      <c r="BZ29" s="690"/>
      <c r="CA29" s="503"/>
      <c r="CB29" s="693"/>
    </row>
    <row r="30" spans="2:80" s="486" customFormat="1" ht="12.75">
      <c r="D30" s="513">
        <f>Biodata!B28</f>
        <v>23</v>
      </c>
      <c r="E30" s="514">
        <f t="shared" si="0"/>
        <v>7111</v>
      </c>
      <c r="F30" s="514" t="str">
        <f t="shared" si="1"/>
        <v>0051698775</v>
      </c>
      <c r="G30" s="515" t="str">
        <f t="shared" si="2"/>
        <v>Nova Laila Khusna</v>
      </c>
      <c r="H30" s="516" t="str">
        <f t="shared" si="3"/>
        <v>Perempuan</v>
      </c>
      <c r="I30" s="516" t="str">
        <f t="shared" si="4"/>
        <v>TATAKARYA</v>
      </c>
      <c r="J30" s="516" t="str">
        <f t="shared" si="5"/>
        <v>02/04/2005</v>
      </c>
      <c r="K30" s="514" t="str">
        <f t="shared" si="6"/>
        <v>Islam</v>
      </c>
      <c r="L30" s="514" t="str">
        <f t="shared" si="7"/>
        <v>5 (Lima)</v>
      </c>
      <c r="M30" s="514" t="str">
        <f t="shared" si="8"/>
        <v>Anak Kandung</v>
      </c>
      <c r="N30" s="514" t="str">
        <f t="shared" si="9"/>
        <v>-</v>
      </c>
      <c r="O30" s="495"/>
      <c r="P30" s="494"/>
      <c r="Q30" s="494"/>
      <c r="R30" s="494"/>
      <c r="S30" s="494"/>
      <c r="T30" s="494"/>
      <c r="U30" s="533" t="str">
        <f t="shared" si="10"/>
        <v>TATAKARYA</v>
      </c>
      <c r="V30" s="533" t="str">
        <f t="shared" si="11"/>
        <v>-</v>
      </c>
      <c r="W30" s="494"/>
      <c r="X30" s="494"/>
      <c r="Y30" s="494"/>
      <c r="Z30" s="494"/>
      <c r="AA30" s="494"/>
      <c r="AB30" s="498">
        <v>0</v>
      </c>
      <c r="AC30" s="499">
        <v>0</v>
      </c>
      <c r="AD30" s="514" t="str">
        <f t="shared" si="12"/>
        <v>VIII A</v>
      </c>
      <c r="AE30" s="514" t="str">
        <f t="shared" si="13"/>
        <v>16/07/2018</v>
      </c>
      <c r="AF30" s="503"/>
      <c r="AG30" s="533" t="str">
        <f t="shared" si="14"/>
        <v>SDN 2 Tatakarya</v>
      </c>
      <c r="AH30" s="503"/>
      <c r="AI30" s="690"/>
      <c r="AJ30" s="503"/>
      <c r="AK30" s="690"/>
      <c r="AL30" s="503"/>
      <c r="AM30" s="503"/>
      <c r="AN30" s="505">
        <v>0</v>
      </c>
      <c r="AO30" s="503"/>
      <c r="AP30" s="503"/>
      <c r="AQ30" s="533" t="str">
        <f t="shared" si="15"/>
        <v>MARKUAT</v>
      </c>
      <c r="AR30" s="533" t="str">
        <f t="shared" si="16"/>
        <v>Petani</v>
      </c>
      <c r="AS30" s="533" t="str">
        <f t="shared" si="17"/>
        <v>TATAKARYA</v>
      </c>
      <c r="AT30" s="533" t="str">
        <f t="shared" si="18"/>
        <v>Masih Hidup</v>
      </c>
      <c r="AU30" s="533" t="str">
        <f t="shared" si="19"/>
        <v>-</v>
      </c>
      <c r="AV30" s="509"/>
      <c r="AW30" s="502" t="s">
        <v>472</v>
      </c>
      <c r="AX30" s="502" t="s">
        <v>473</v>
      </c>
      <c r="AY30" s="503"/>
      <c r="AZ30" s="508">
        <v>0</v>
      </c>
      <c r="BA30" s="533" t="str">
        <f t="shared" si="20"/>
        <v>SARIKEM</v>
      </c>
      <c r="BB30" s="533" t="str">
        <f t="shared" si="21"/>
        <v>Petani</v>
      </c>
      <c r="BC30" s="533" t="str">
        <f t="shared" si="22"/>
        <v>TATAKARYA</v>
      </c>
      <c r="BD30" s="533" t="str">
        <f t="shared" si="23"/>
        <v>Masih Hidup</v>
      </c>
      <c r="BE30" s="533" t="str">
        <f t="shared" si="24"/>
        <v>-</v>
      </c>
      <c r="BF30" s="503"/>
      <c r="BG30" s="502" t="s">
        <v>472</v>
      </c>
      <c r="BH30" s="502" t="s">
        <v>473</v>
      </c>
      <c r="BI30" s="503"/>
      <c r="BJ30" s="508">
        <v>0</v>
      </c>
      <c r="BK30" s="533" t="str">
        <f t="shared" si="25"/>
        <v>HAMYUDI</v>
      </c>
      <c r="BL30" s="533" t="str">
        <f t="shared" si="26"/>
        <v>petani</v>
      </c>
      <c r="BM30" s="533" t="str">
        <f t="shared" si="27"/>
        <v>TATAKARYA</v>
      </c>
      <c r="BN30" s="533" t="str">
        <f t="shared" si="28"/>
        <v>082314017905</v>
      </c>
      <c r="BO30" s="503"/>
      <c r="BP30" s="502" t="s">
        <v>472</v>
      </c>
      <c r="BQ30" s="502" t="s">
        <v>473</v>
      </c>
      <c r="BR30" s="502"/>
      <c r="BS30" s="508">
        <v>0</v>
      </c>
      <c r="BT30" s="503"/>
      <c r="BU30" s="503"/>
      <c r="BV30" s="503"/>
      <c r="BW30" s="503"/>
      <c r="BX30" s="503"/>
      <c r="BY30" s="503"/>
      <c r="BZ30" s="690"/>
      <c r="CA30" s="503"/>
      <c r="CB30" s="693"/>
    </row>
    <row r="31" spans="2:80" s="486" customFormat="1" ht="12.75">
      <c r="D31" s="513">
        <f>Biodata!B29</f>
        <v>24</v>
      </c>
      <c r="E31" s="514">
        <f t="shared" si="0"/>
        <v>7126</v>
      </c>
      <c r="F31" s="514" t="str">
        <f t="shared" si="1"/>
        <v>0041028078</v>
      </c>
      <c r="G31" s="515" t="str">
        <f t="shared" si="2"/>
        <v>Sawal Ramadian</v>
      </c>
      <c r="H31" s="516" t="str">
        <f t="shared" si="3"/>
        <v>Laki-laki</v>
      </c>
      <c r="I31" s="516" t="str">
        <f t="shared" si="4"/>
        <v>TATAKARYA</v>
      </c>
      <c r="J31" s="516" t="str">
        <f t="shared" si="5"/>
        <v>06/12/2005</v>
      </c>
      <c r="K31" s="514" t="str">
        <f t="shared" si="6"/>
        <v>Islam</v>
      </c>
      <c r="L31" s="514" t="str">
        <f t="shared" si="7"/>
        <v>5 (Lima)</v>
      </c>
      <c r="M31" s="514" t="str">
        <f t="shared" si="8"/>
        <v>Anak Kandung</v>
      </c>
      <c r="N31" s="514" t="str">
        <f t="shared" si="9"/>
        <v>-</v>
      </c>
      <c r="O31" s="495"/>
      <c r="P31" s="494"/>
      <c r="Q31" s="494"/>
      <c r="R31" s="494"/>
      <c r="S31" s="494"/>
      <c r="T31" s="494"/>
      <c r="U31" s="533" t="str">
        <f t="shared" si="10"/>
        <v>TATAKARYA</v>
      </c>
      <c r="V31" s="533" t="str">
        <f t="shared" si="11"/>
        <v>-</v>
      </c>
      <c r="W31" s="494"/>
      <c r="X31" s="494"/>
      <c r="Y31" s="494"/>
      <c r="Z31" s="494"/>
      <c r="AA31" s="494"/>
      <c r="AB31" s="498">
        <v>0</v>
      </c>
      <c r="AC31" s="499">
        <v>0</v>
      </c>
      <c r="AD31" s="514" t="str">
        <f t="shared" si="12"/>
        <v>VIII A</v>
      </c>
      <c r="AE31" s="514" t="str">
        <f t="shared" si="13"/>
        <v>16/07/2018</v>
      </c>
      <c r="AF31" s="503"/>
      <c r="AG31" s="533" t="str">
        <f t="shared" si="14"/>
        <v>SDN 1 Tatakarya</v>
      </c>
      <c r="AH31" s="503"/>
      <c r="AI31" s="690"/>
      <c r="AJ31" s="503"/>
      <c r="AK31" s="690"/>
      <c r="AL31" s="503"/>
      <c r="AM31" s="503"/>
      <c r="AN31" s="505">
        <v>0</v>
      </c>
      <c r="AO31" s="503"/>
      <c r="AP31" s="503"/>
      <c r="AQ31" s="533" t="str">
        <f t="shared" si="15"/>
        <v>SENEN EFENDI</v>
      </c>
      <c r="AR31" s="533" t="str">
        <f t="shared" si="16"/>
        <v>Petani</v>
      </c>
      <c r="AS31" s="533" t="str">
        <f t="shared" si="17"/>
        <v>TATAKARYA</v>
      </c>
      <c r="AT31" s="533" t="str">
        <f t="shared" si="18"/>
        <v>Masih Hidup</v>
      </c>
      <c r="AU31" s="533" t="str">
        <f t="shared" si="19"/>
        <v>-</v>
      </c>
      <c r="AV31" s="509"/>
      <c r="AW31" s="502" t="s">
        <v>472</v>
      </c>
      <c r="AX31" s="502" t="s">
        <v>473</v>
      </c>
      <c r="AY31" s="503"/>
      <c r="AZ31" s="508">
        <v>0</v>
      </c>
      <c r="BA31" s="533" t="str">
        <f t="shared" si="20"/>
        <v>KARLENA</v>
      </c>
      <c r="BB31" s="533" t="str">
        <f t="shared" si="21"/>
        <v>Ibu Rumah Tangga</v>
      </c>
      <c r="BC31" s="533" t="str">
        <f t="shared" si="22"/>
        <v>TATAKARYA</v>
      </c>
      <c r="BD31" s="533" t="str">
        <f t="shared" si="23"/>
        <v>Masih Hidup</v>
      </c>
      <c r="BE31" s="533" t="str">
        <f t="shared" si="24"/>
        <v>-</v>
      </c>
      <c r="BF31" s="503"/>
      <c r="BG31" s="502" t="s">
        <v>472</v>
      </c>
      <c r="BH31" s="502" t="s">
        <v>473</v>
      </c>
      <c r="BI31" s="503"/>
      <c r="BJ31" s="508">
        <v>0</v>
      </c>
      <c r="BK31" s="533" t="str">
        <f t="shared" si="25"/>
        <v>-</v>
      </c>
      <c r="BL31" s="533" t="str">
        <f t="shared" si="26"/>
        <v>-</v>
      </c>
      <c r="BM31" s="533" t="str">
        <f t="shared" si="27"/>
        <v>-</v>
      </c>
      <c r="BN31" s="533" t="str">
        <f t="shared" si="28"/>
        <v>-</v>
      </c>
      <c r="BO31" s="503"/>
      <c r="BP31" s="502" t="s">
        <v>472</v>
      </c>
      <c r="BQ31" s="502" t="s">
        <v>473</v>
      </c>
      <c r="BR31" s="502"/>
      <c r="BS31" s="508">
        <v>0</v>
      </c>
      <c r="BT31" s="503"/>
      <c r="BU31" s="503"/>
      <c r="BV31" s="503"/>
      <c r="BW31" s="503"/>
      <c r="BX31" s="503"/>
      <c r="BY31" s="503"/>
      <c r="BZ31" s="690"/>
      <c r="CA31" s="503"/>
      <c r="CB31" s="693"/>
    </row>
    <row r="32" spans="2:80" s="486" customFormat="1" ht="12.75">
      <c r="D32" s="513">
        <f>Biodata!B30</f>
        <v>25</v>
      </c>
      <c r="E32" s="514">
        <f t="shared" si="0"/>
        <v>7130</v>
      </c>
      <c r="F32" s="514" t="str">
        <f t="shared" si="1"/>
        <v>0039684656</v>
      </c>
      <c r="G32" s="515" t="str">
        <f t="shared" si="2"/>
        <v>Sofyan Romansyah</v>
      </c>
      <c r="H32" s="516" t="str">
        <f t="shared" si="3"/>
        <v>Laki-Laki</v>
      </c>
      <c r="I32" s="516" t="str">
        <f t="shared" si="4"/>
        <v>TATAKARYA</v>
      </c>
      <c r="J32" s="516" t="str">
        <f t="shared" si="5"/>
        <v>05/12/2003</v>
      </c>
      <c r="K32" s="514" t="str">
        <f t="shared" si="6"/>
        <v>Islam</v>
      </c>
      <c r="L32" s="514" t="str">
        <f t="shared" si="7"/>
        <v>2 (Dua)</v>
      </c>
      <c r="M32" s="514" t="str">
        <f t="shared" si="8"/>
        <v>Anak Kandung</v>
      </c>
      <c r="N32" s="514" t="str">
        <f t="shared" si="9"/>
        <v>-</v>
      </c>
      <c r="O32" s="495"/>
      <c r="P32" s="494"/>
      <c r="Q32" s="494"/>
      <c r="R32" s="494"/>
      <c r="S32" s="494"/>
      <c r="T32" s="494"/>
      <c r="U32" s="533" t="str">
        <f t="shared" si="10"/>
        <v>TATAKARYA</v>
      </c>
      <c r="V32" s="533" t="str">
        <f t="shared" si="11"/>
        <v>-</v>
      </c>
      <c r="W32" s="494"/>
      <c r="X32" s="494"/>
      <c r="Y32" s="494"/>
      <c r="Z32" s="494"/>
      <c r="AA32" s="494"/>
      <c r="AB32" s="498">
        <v>0</v>
      </c>
      <c r="AC32" s="499">
        <v>0</v>
      </c>
      <c r="AD32" s="514" t="str">
        <f t="shared" si="12"/>
        <v>VIII A</v>
      </c>
      <c r="AE32" s="514" t="str">
        <f t="shared" si="13"/>
        <v>16/07/2018</v>
      </c>
      <c r="AF32" s="503"/>
      <c r="AG32" s="533" t="str">
        <f t="shared" si="14"/>
        <v>SDN 1 Tatakarya</v>
      </c>
      <c r="AH32" s="503"/>
      <c r="AI32" s="690"/>
      <c r="AJ32" s="503"/>
      <c r="AK32" s="690"/>
      <c r="AL32" s="503"/>
      <c r="AM32" s="503"/>
      <c r="AN32" s="505">
        <v>0</v>
      </c>
      <c r="AO32" s="503"/>
      <c r="AP32" s="503"/>
      <c r="AQ32" s="533" t="str">
        <f t="shared" si="15"/>
        <v>SENEN EFENDI</v>
      </c>
      <c r="AR32" s="533" t="str">
        <f t="shared" si="16"/>
        <v>Petani</v>
      </c>
      <c r="AS32" s="533" t="str">
        <f t="shared" si="17"/>
        <v>TATAKARYA</v>
      </c>
      <c r="AT32" s="533" t="str">
        <f t="shared" si="18"/>
        <v>Masih Hidup</v>
      </c>
      <c r="AU32" s="533" t="str">
        <f t="shared" si="19"/>
        <v>-</v>
      </c>
      <c r="AV32" s="509"/>
      <c r="AW32" s="502" t="s">
        <v>472</v>
      </c>
      <c r="AX32" s="502" t="s">
        <v>473</v>
      </c>
      <c r="AY32" s="503"/>
      <c r="AZ32" s="508">
        <v>0</v>
      </c>
      <c r="BA32" s="533" t="str">
        <f t="shared" si="20"/>
        <v>KARLENA</v>
      </c>
      <c r="BB32" s="533" t="str">
        <f t="shared" si="21"/>
        <v>Ibu Rumah Tangga</v>
      </c>
      <c r="BC32" s="533" t="str">
        <f t="shared" si="22"/>
        <v>TATAKARYA</v>
      </c>
      <c r="BD32" s="533" t="str">
        <f t="shared" si="23"/>
        <v>Masih Hidup</v>
      </c>
      <c r="BE32" s="533" t="str">
        <f t="shared" si="24"/>
        <v>-</v>
      </c>
      <c r="BF32" s="503"/>
      <c r="BG32" s="502" t="s">
        <v>472</v>
      </c>
      <c r="BH32" s="502" t="s">
        <v>473</v>
      </c>
      <c r="BI32" s="503"/>
      <c r="BJ32" s="508">
        <v>0</v>
      </c>
      <c r="BK32" s="533" t="str">
        <f t="shared" si="25"/>
        <v>-</v>
      </c>
      <c r="BL32" s="533" t="str">
        <f t="shared" si="26"/>
        <v>-</v>
      </c>
      <c r="BM32" s="533" t="str">
        <f t="shared" si="27"/>
        <v>-</v>
      </c>
      <c r="BN32" s="533" t="str">
        <f t="shared" si="28"/>
        <v>-</v>
      </c>
      <c r="BO32" s="503"/>
      <c r="BP32" s="502" t="s">
        <v>472</v>
      </c>
      <c r="BQ32" s="502" t="s">
        <v>473</v>
      </c>
      <c r="BR32" s="502"/>
      <c r="BS32" s="508">
        <v>0</v>
      </c>
      <c r="BT32" s="503"/>
      <c r="BU32" s="503"/>
      <c r="BV32" s="503"/>
      <c r="BW32" s="503"/>
      <c r="BX32" s="503"/>
      <c r="BY32" s="503"/>
      <c r="BZ32" s="690"/>
      <c r="CA32" s="503"/>
      <c r="CB32" s="693"/>
    </row>
    <row r="33" spans="4:80" s="486" customFormat="1" ht="12.75">
      <c r="D33" s="513">
        <f>Biodata!B31</f>
        <v>26</v>
      </c>
      <c r="E33" s="514">
        <f t="shared" si="0"/>
        <v>7132</v>
      </c>
      <c r="F33" s="514" t="str">
        <f t="shared" si="1"/>
        <v>0055783779</v>
      </c>
      <c r="G33" s="515" t="str">
        <f t="shared" si="2"/>
        <v>Tio Ardinata</v>
      </c>
      <c r="H33" s="516" t="str">
        <f t="shared" si="3"/>
        <v>Laki-laki</v>
      </c>
      <c r="I33" s="516" t="str">
        <f t="shared" si="4"/>
        <v>PENAGAN RATU</v>
      </c>
      <c r="J33" s="516" t="str">
        <f t="shared" si="5"/>
        <v>28/02/2005</v>
      </c>
      <c r="K33" s="514" t="str">
        <f t="shared" si="6"/>
        <v>Islam</v>
      </c>
      <c r="L33" s="514" t="str">
        <f t="shared" si="7"/>
        <v>1 (Satu)</v>
      </c>
      <c r="M33" s="514" t="str">
        <f t="shared" si="8"/>
        <v>Anak Kandung</v>
      </c>
      <c r="N33" s="514" t="str">
        <f t="shared" si="9"/>
        <v>-</v>
      </c>
      <c r="O33" s="495"/>
      <c r="P33" s="494"/>
      <c r="Q33" s="494"/>
      <c r="R33" s="494"/>
      <c r="S33" s="494"/>
      <c r="T33" s="494"/>
      <c r="U33" s="533" t="str">
        <f t="shared" si="10"/>
        <v>TATAKARYA</v>
      </c>
      <c r="V33" s="533" t="str">
        <f t="shared" si="11"/>
        <v>-</v>
      </c>
      <c r="W33" s="494"/>
      <c r="X33" s="494"/>
      <c r="Y33" s="494"/>
      <c r="Z33" s="494"/>
      <c r="AA33" s="494"/>
      <c r="AB33" s="498">
        <v>0</v>
      </c>
      <c r="AC33" s="499">
        <v>0</v>
      </c>
      <c r="AD33" s="514" t="str">
        <f t="shared" si="12"/>
        <v>VIII A</v>
      </c>
      <c r="AE33" s="514" t="str">
        <f t="shared" si="13"/>
        <v>16/07/2018</v>
      </c>
      <c r="AF33" s="503"/>
      <c r="AG33" s="533" t="str">
        <f t="shared" si="14"/>
        <v>MI Negeri 1 LU</v>
      </c>
      <c r="AH33" s="503"/>
      <c r="AI33" s="690"/>
      <c r="AJ33" s="503"/>
      <c r="AK33" s="690"/>
      <c r="AL33" s="503"/>
      <c r="AM33" s="503"/>
      <c r="AN33" s="505">
        <v>0</v>
      </c>
      <c r="AO33" s="503"/>
      <c r="AP33" s="503"/>
      <c r="AQ33" s="533" t="str">
        <f t="shared" si="15"/>
        <v>TARZI MUKRAM</v>
      </c>
      <c r="AR33" s="533" t="str">
        <f t="shared" si="16"/>
        <v>Karyawan Swasta</v>
      </c>
      <c r="AS33" s="533" t="str">
        <f t="shared" si="17"/>
        <v>PENAGAN RATU</v>
      </c>
      <c r="AT33" s="533" t="str">
        <f t="shared" si="18"/>
        <v>Masih Hidup</v>
      </c>
      <c r="AU33" s="533" t="str">
        <f t="shared" si="19"/>
        <v>-</v>
      </c>
      <c r="AV33" s="509"/>
      <c r="AW33" s="502" t="s">
        <v>472</v>
      </c>
      <c r="AX33" s="502" t="s">
        <v>473</v>
      </c>
      <c r="AY33" s="503"/>
      <c r="AZ33" s="508">
        <v>0</v>
      </c>
      <c r="BA33" s="533" t="str">
        <f t="shared" si="20"/>
        <v>MASNONA YESI S.</v>
      </c>
      <c r="BB33" s="533" t="str">
        <f t="shared" si="21"/>
        <v>Ibu Rumah Tangga</v>
      </c>
      <c r="BC33" s="533" t="str">
        <f t="shared" si="22"/>
        <v>TATAKARYA</v>
      </c>
      <c r="BD33" s="533" t="str">
        <f t="shared" si="23"/>
        <v>Masih Hidup</v>
      </c>
      <c r="BE33" s="533" t="str">
        <f t="shared" si="24"/>
        <v>-</v>
      </c>
      <c r="BF33" s="503"/>
      <c r="BG33" s="502" t="s">
        <v>472</v>
      </c>
      <c r="BH33" s="502" t="s">
        <v>473</v>
      </c>
      <c r="BI33" s="503"/>
      <c r="BJ33" s="508">
        <v>0</v>
      </c>
      <c r="BK33" s="533" t="str">
        <f t="shared" si="25"/>
        <v>-</v>
      </c>
      <c r="BL33" s="533" t="str">
        <f t="shared" si="26"/>
        <v>-</v>
      </c>
      <c r="BM33" s="533" t="str">
        <f t="shared" si="27"/>
        <v>-</v>
      </c>
      <c r="BN33" s="533" t="str">
        <f t="shared" si="28"/>
        <v>-</v>
      </c>
      <c r="BO33" s="503"/>
      <c r="BP33" s="502" t="s">
        <v>472</v>
      </c>
      <c r="BQ33" s="502" t="s">
        <v>473</v>
      </c>
      <c r="BR33" s="502"/>
      <c r="BS33" s="508">
        <v>0</v>
      </c>
      <c r="BT33" s="503"/>
      <c r="BU33" s="503"/>
      <c r="BV33" s="503"/>
      <c r="BW33" s="503"/>
      <c r="BX33" s="503"/>
      <c r="BY33" s="503"/>
      <c r="BZ33" s="690"/>
      <c r="CA33" s="503"/>
      <c r="CB33" s="693"/>
    </row>
    <row r="34" spans="4:80" s="486" customFormat="1" ht="12.75">
      <c r="D34" s="513">
        <f>Biodata!B32</f>
        <v>27</v>
      </c>
      <c r="E34" s="514">
        <f t="shared" si="0"/>
        <v>7133</v>
      </c>
      <c r="F34" s="514" t="str">
        <f t="shared" si="1"/>
        <v>0045430128</v>
      </c>
      <c r="G34" s="515" t="str">
        <f t="shared" si="2"/>
        <v>Tutik Dillayanti</v>
      </c>
      <c r="H34" s="516" t="str">
        <f t="shared" si="3"/>
        <v>Perempuan</v>
      </c>
      <c r="I34" s="516" t="str">
        <f t="shared" si="4"/>
        <v>TATAKARYA</v>
      </c>
      <c r="J34" s="516" t="str">
        <f t="shared" si="5"/>
        <v>27/04/2004</v>
      </c>
      <c r="K34" s="514" t="str">
        <f t="shared" si="6"/>
        <v>Islam</v>
      </c>
      <c r="L34" s="514" t="str">
        <f t="shared" si="7"/>
        <v>5 (Lima)</v>
      </c>
      <c r="M34" s="514" t="str">
        <f t="shared" si="8"/>
        <v>Anak Kandung</v>
      </c>
      <c r="N34" s="514" t="str">
        <f t="shared" si="9"/>
        <v>-</v>
      </c>
      <c r="O34" s="495"/>
      <c r="P34" s="494"/>
      <c r="Q34" s="494"/>
      <c r="R34" s="494"/>
      <c r="S34" s="494"/>
      <c r="T34" s="494"/>
      <c r="U34" s="533" t="str">
        <f t="shared" si="10"/>
        <v>TATAKARYA</v>
      </c>
      <c r="V34" s="533" t="str">
        <f t="shared" si="11"/>
        <v>-</v>
      </c>
      <c r="W34" s="494"/>
      <c r="X34" s="494"/>
      <c r="Y34" s="494"/>
      <c r="Z34" s="494"/>
      <c r="AA34" s="494"/>
      <c r="AB34" s="498">
        <v>0</v>
      </c>
      <c r="AC34" s="499">
        <v>0</v>
      </c>
      <c r="AD34" s="514" t="str">
        <f t="shared" si="12"/>
        <v>VIII A</v>
      </c>
      <c r="AE34" s="514" t="str">
        <f t="shared" si="13"/>
        <v>16/07/2018</v>
      </c>
      <c r="AF34" s="503"/>
      <c r="AG34" s="533" t="str">
        <f t="shared" si="14"/>
        <v>SDN 2 Tatakarya</v>
      </c>
      <c r="AH34" s="503"/>
      <c r="AI34" s="690"/>
      <c r="AJ34" s="503"/>
      <c r="AK34" s="690"/>
      <c r="AL34" s="503"/>
      <c r="AM34" s="503"/>
      <c r="AN34" s="505">
        <v>0</v>
      </c>
      <c r="AO34" s="503"/>
      <c r="AP34" s="503"/>
      <c r="AQ34" s="533" t="str">
        <f t="shared" si="15"/>
        <v>DARMANTO</v>
      </c>
      <c r="AR34" s="533" t="str">
        <f t="shared" si="16"/>
        <v>Petani</v>
      </c>
      <c r="AS34" s="533" t="str">
        <f t="shared" si="17"/>
        <v>TATAKARYA</v>
      </c>
      <c r="AT34" s="533" t="str">
        <f t="shared" si="18"/>
        <v>Masih Hidup</v>
      </c>
      <c r="AU34" s="533" t="str">
        <f t="shared" si="19"/>
        <v>-</v>
      </c>
      <c r="AV34" s="509"/>
      <c r="AW34" s="502" t="s">
        <v>472</v>
      </c>
      <c r="AX34" s="502" t="s">
        <v>473</v>
      </c>
      <c r="AY34" s="503"/>
      <c r="AZ34" s="508">
        <v>0</v>
      </c>
      <c r="BA34" s="533" t="str">
        <f t="shared" si="20"/>
        <v>NANIK</v>
      </c>
      <c r="BB34" s="533" t="str">
        <f t="shared" si="21"/>
        <v>Ibu Rumah Tangga</v>
      </c>
      <c r="BC34" s="533" t="str">
        <f t="shared" si="22"/>
        <v>TATAKARYA</v>
      </c>
      <c r="BD34" s="533" t="str">
        <f t="shared" si="23"/>
        <v>Masih Hidup</v>
      </c>
      <c r="BE34" s="533" t="str">
        <f t="shared" si="24"/>
        <v>-</v>
      </c>
      <c r="BF34" s="503"/>
      <c r="BG34" s="502" t="s">
        <v>472</v>
      </c>
      <c r="BH34" s="502" t="s">
        <v>473</v>
      </c>
      <c r="BI34" s="503"/>
      <c r="BJ34" s="508">
        <v>0</v>
      </c>
      <c r="BK34" s="533" t="str">
        <f t="shared" si="25"/>
        <v>-</v>
      </c>
      <c r="BL34" s="533" t="str">
        <f t="shared" si="26"/>
        <v>-</v>
      </c>
      <c r="BM34" s="533" t="str">
        <f t="shared" si="27"/>
        <v>-</v>
      </c>
      <c r="BN34" s="533" t="str">
        <f t="shared" si="28"/>
        <v>-</v>
      </c>
      <c r="BO34" s="503"/>
      <c r="BP34" s="502" t="s">
        <v>472</v>
      </c>
      <c r="BQ34" s="502" t="s">
        <v>473</v>
      </c>
      <c r="BR34" s="502"/>
      <c r="BS34" s="508">
        <v>0</v>
      </c>
      <c r="BT34" s="503"/>
      <c r="BU34" s="503"/>
      <c r="BV34" s="503"/>
      <c r="BW34" s="503"/>
      <c r="BX34" s="503"/>
      <c r="BY34" s="503"/>
      <c r="BZ34" s="690"/>
      <c r="CA34" s="503"/>
      <c r="CB34" s="693"/>
    </row>
    <row r="35" spans="4:80" s="486" customFormat="1" ht="12.75">
      <c r="D35" s="513">
        <f>Biodata!B33</f>
        <v>28</v>
      </c>
      <c r="E35" s="514">
        <f t="shared" si="0"/>
        <v>7142</v>
      </c>
      <c r="F35" s="514" t="str">
        <f t="shared" si="1"/>
        <v>0053308281</v>
      </c>
      <c r="G35" s="515" t="str">
        <f t="shared" si="2"/>
        <v>I Gede Nyoman Bagiyasa</v>
      </c>
      <c r="H35" s="516" t="str">
        <f t="shared" si="3"/>
        <v>Laki-Laki</v>
      </c>
      <c r="I35" s="516" t="str">
        <f t="shared" si="4"/>
        <v>TATAKARYA</v>
      </c>
      <c r="J35" s="516" t="str">
        <f t="shared" si="5"/>
        <v>26/06/2005</v>
      </c>
      <c r="K35" s="514" t="str">
        <f t="shared" si="6"/>
        <v>Hindu</v>
      </c>
      <c r="L35" s="514" t="str">
        <f t="shared" si="7"/>
        <v>1 (Satu)</v>
      </c>
      <c r="M35" s="514" t="str">
        <f t="shared" si="8"/>
        <v>Anak Kandung</v>
      </c>
      <c r="N35" s="514" t="str">
        <f t="shared" si="9"/>
        <v>-</v>
      </c>
      <c r="O35" s="495"/>
      <c r="P35" s="494"/>
      <c r="Q35" s="494"/>
      <c r="R35" s="494"/>
      <c r="S35" s="494"/>
      <c r="T35" s="494"/>
      <c r="U35" s="533" t="str">
        <f t="shared" si="10"/>
        <v>TATAKARYA</v>
      </c>
      <c r="V35" s="533" t="str">
        <f t="shared" si="11"/>
        <v>-</v>
      </c>
      <c r="W35" s="494"/>
      <c r="X35" s="494"/>
      <c r="Y35" s="494"/>
      <c r="Z35" s="494"/>
      <c r="AA35" s="494"/>
      <c r="AB35" s="498">
        <v>0</v>
      </c>
      <c r="AC35" s="499">
        <v>0</v>
      </c>
      <c r="AD35" s="514" t="str">
        <f t="shared" si="12"/>
        <v>VIII A</v>
      </c>
      <c r="AE35" s="514" t="str">
        <f t="shared" si="13"/>
        <v>16/07/2018</v>
      </c>
      <c r="AF35" s="503"/>
      <c r="AG35" s="533" t="str">
        <f t="shared" si="14"/>
        <v>SDN 2 Pakuan Agung</v>
      </c>
      <c r="AH35" s="503"/>
      <c r="AI35" s="690"/>
      <c r="AJ35" s="503"/>
      <c r="AK35" s="690"/>
      <c r="AL35" s="503"/>
      <c r="AM35" s="503"/>
      <c r="AN35" s="505">
        <v>0</v>
      </c>
      <c r="AO35" s="503"/>
      <c r="AP35" s="503"/>
      <c r="AQ35" s="533" t="str">
        <f t="shared" si="15"/>
        <v>WAYAN SOTER</v>
      </c>
      <c r="AR35" s="533" t="str">
        <f t="shared" si="16"/>
        <v>Wiraswasta</v>
      </c>
      <c r="AS35" s="533" t="str">
        <f t="shared" si="17"/>
        <v>TATAKARYA</v>
      </c>
      <c r="AT35" s="533" t="str">
        <f t="shared" si="18"/>
        <v>Masih Hidup</v>
      </c>
      <c r="AU35" s="533" t="str">
        <f t="shared" si="19"/>
        <v>-</v>
      </c>
      <c r="AV35" s="509"/>
      <c r="AW35" s="502" t="s">
        <v>472</v>
      </c>
      <c r="AX35" s="502" t="s">
        <v>473</v>
      </c>
      <c r="AY35" s="503"/>
      <c r="AZ35" s="508">
        <v>0</v>
      </c>
      <c r="BA35" s="533" t="str">
        <f t="shared" si="20"/>
        <v>SUPRIANATIN</v>
      </c>
      <c r="BB35" s="533" t="str">
        <f t="shared" si="21"/>
        <v>Wiraswasta</v>
      </c>
      <c r="BC35" s="533" t="str">
        <f t="shared" si="22"/>
        <v>TATAKARYA</v>
      </c>
      <c r="BD35" s="533" t="str">
        <f t="shared" si="23"/>
        <v>Masih Hidup</v>
      </c>
      <c r="BE35" s="533" t="str">
        <f t="shared" si="24"/>
        <v>-</v>
      </c>
      <c r="BF35" s="503"/>
      <c r="BG35" s="502" t="s">
        <v>472</v>
      </c>
      <c r="BH35" s="502" t="s">
        <v>473</v>
      </c>
      <c r="BI35" s="503"/>
      <c r="BJ35" s="508">
        <v>0</v>
      </c>
      <c r="BK35" s="533" t="str">
        <f t="shared" si="25"/>
        <v>-</v>
      </c>
      <c r="BL35" s="533" t="str">
        <f t="shared" si="26"/>
        <v>-</v>
      </c>
      <c r="BM35" s="533" t="str">
        <f t="shared" si="27"/>
        <v>-</v>
      </c>
      <c r="BN35" s="533" t="str">
        <f t="shared" si="28"/>
        <v>-</v>
      </c>
      <c r="BO35" s="503"/>
      <c r="BP35" s="502" t="s">
        <v>472</v>
      </c>
      <c r="BQ35" s="502" t="s">
        <v>473</v>
      </c>
      <c r="BR35" s="502"/>
      <c r="BS35" s="508">
        <v>0</v>
      </c>
      <c r="BT35" s="503"/>
      <c r="BU35" s="503"/>
      <c r="BV35" s="503"/>
      <c r="BW35" s="503"/>
      <c r="BX35" s="503"/>
      <c r="BY35" s="503"/>
      <c r="BZ35" s="690"/>
      <c r="CA35" s="503"/>
      <c r="CB35" s="693"/>
    </row>
    <row r="36" spans="4:80" s="486" customFormat="1" ht="12.75">
      <c r="D36" s="513">
        <f>Biodata!B34</f>
        <v>29</v>
      </c>
      <c r="E36" s="514" t="str">
        <f t="shared" si="0"/>
        <v>-</v>
      </c>
      <c r="F36" s="514" t="str">
        <f t="shared" si="1"/>
        <v>0059735742</v>
      </c>
      <c r="G36" s="515" t="str">
        <f t="shared" si="2"/>
        <v>Melati Sabilla Rochmah</v>
      </c>
      <c r="H36" s="516" t="str">
        <f t="shared" si="3"/>
        <v>Perempuan</v>
      </c>
      <c r="I36" s="516" t="str">
        <f t="shared" si="4"/>
        <v>SERANG</v>
      </c>
      <c r="J36" s="516" t="str">
        <f t="shared" si="5"/>
        <v>04/02/2005</v>
      </c>
      <c r="K36" s="514" t="str">
        <f t="shared" si="6"/>
        <v>Islam</v>
      </c>
      <c r="L36" s="514" t="str">
        <f t="shared" si="7"/>
        <v>1 (Satu)</v>
      </c>
      <c r="M36" s="514" t="str">
        <f t="shared" si="8"/>
        <v>Anak Kandung</v>
      </c>
      <c r="N36" s="514" t="str">
        <f t="shared" si="9"/>
        <v>-</v>
      </c>
      <c r="O36" s="495"/>
      <c r="P36" s="494"/>
      <c r="Q36" s="494"/>
      <c r="R36" s="494"/>
      <c r="S36" s="494"/>
      <c r="T36" s="494"/>
      <c r="U36" s="533" t="str">
        <f t="shared" si="10"/>
        <v>TATAKARYA</v>
      </c>
      <c r="V36" s="533" t="str">
        <f t="shared" si="11"/>
        <v>-</v>
      </c>
      <c r="W36" s="494"/>
      <c r="X36" s="494"/>
      <c r="Y36" s="494"/>
      <c r="Z36" s="494"/>
      <c r="AA36" s="494"/>
      <c r="AB36" s="498">
        <v>0</v>
      </c>
      <c r="AC36" s="499">
        <v>0</v>
      </c>
      <c r="AD36" s="514" t="str">
        <f t="shared" si="12"/>
        <v>VIII A</v>
      </c>
      <c r="AE36" s="514" t="str">
        <f t="shared" si="13"/>
        <v>16/07/2018</v>
      </c>
      <c r="AF36" s="503"/>
      <c r="AG36" s="533" t="str">
        <f t="shared" si="14"/>
        <v>SDN KEMANG</v>
      </c>
      <c r="AH36" s="503"/>
      <c r="AI36" s="690"/>
      <c r="AJ36" s="503"/>
      <c r="AK36" s="690"/>
      <c r="AL36" s="503"/>
      <c r="AM36" s="503"/>
      <c r="AN36" s="505">
        <v>0</v>
      </c>
      <c r="AO36" s="503"/>
      <c r="AP36" s="503"/>
      <c r="AQ36" s="533" t="str">
        <f t="shared" si="15"/>
        <v>YUSUF ABADI</v>
      </c>
      <c r="AR36" s="533" t="str">
        <f t="shared" si="16"/>
        <v>Karyawan Swasta</v>
      </c>
      <c r="AS36" s="533" t="str">
        <f t="shared" si="17"/>
        <v>LING.KEPANDEAN</v>
      </c>
      <c r="AT36" s="533" t="str">
        <f t="shared" si="18"/>
        <v>Masih Hidup</v>
      </c>
      <c r="AU36" s="533" t="str">
        <f t="shared" si="19"/>
        <v>-</v>
      </c>
      <c r="AV36" s="509"/>
      <c r="AW36" s="502" t="s">
        <v>472</v>
      </c>
      <c r="AX36" s="502" t="s">
        <v>473</v>
      </c>
      <c r="AY36" s="503"/>
      <c r="AZ36" s="508">
        <v>0</v>
      </c>
      <c r="BA36" s="533" t="str">
        <f t="shared" si="20"/>
        <v>MIRA M</v>
      </c>
      <c r="BB36" s="533" t="str">
        <f t="shared" si="21"/>
        <v>Ibu Rumah Tangga</v>
      </c>
      <c r="BC36" s="533" t="str">
        <f t="shared" si="22"/>
        <v>LING.KEPANDEAN</v>
      </c>
      <c r="BD36" s="533" t="str">
        <f t="shared" si="23"/>
        <v>Masih Hidup</v>
      </c>
      <c r="BE36" s="533" t="str">
        <f t="shared" si="24"/>
        <v>-</v>
      </c>
      <c r="BF36" s="503"/>
      <c r="BG36" s="502" t="s">
        <v>472</v>
      </c>
      <c r="BH36" s="502" t="s">
        <v>473</v>
      </c>
      <c r="BI36" s="503"/>
      <c r="BJ36" s="508">
        <v>0</v>
      </c>
      <c r="BK36" s="533" t="str">
        <f t="shared" si="25"/>
        <v>-</v>
      </c>
      <c r="BL36" s="533" t="str">
        <f t="shared" si="26"/>
        <v>-</v>
      </c>
      <c r="BM36" s="533" t="str">
        <f t="shared" si="27"/>
        <v>-</v>
      </c>
      <c r="BN36" s="533" t="str">
        <f t="shared" si="28"/>
        <v>-</v>
      </c>
      <c r="BO36" s="503"/>
      <c r="BP36" s="502" t="s">
        <v>472</v>
      </c>
      <c r="BQ36" s="502" t="s">
        <v>473</v>
      </c>
      <c r="BR36" s="502"/>
      <c r="BS36" s="508">
        <v>0</v>
      </c>
      <c r="BT36" s="503"/>
      <c r="BU36" s="503"/>
      <c r="BV36" s="503"/>
      <c r="BW36" s="503"/>
      <c r="BX36" s="503"/>
      <c r="BY36" s="503"/>
      <c r="BZ36" s="690"/>
      <c r="CA36" s="503"/>
      <c r="CB36" s="693"/>
    </row>
    <row r="37" spans="4:80" s="486" customFormat="1" ht="12.75">
      <c r="D37" s="513" t="str">
        <f>Biodata!B35</f>
        <v/>
      </c>
      <c r="E37" s="514" t="str">
        <f t="shared" si="0"/>
        <v>-</v>
      </c>
      <c r="F37" s="514" t="str">
        <f t="shared" si="1"/>
        <v>-</v>
      </c>
      <c r="G37" s="515" t="str">
        <f t="shared" si="2"/>
        <v>-</v>
      </c>
      <c r="H37" s="516" t="str">
        <f t="shared" si="3"/>
        <v>-</v>
      </c>
      <c r="I37" s="516" t="str">
        <f t="shared" si="4"/>
        <v>-</v>
      </c>
      <c r="J37" s="516" t="str">
        <f t="shared" si="5"/>
        <v>-</v>
      </c>
      <c r="K37" s="514" t="str">
        <f t="shared" si="6"/>
        <v>-</v>
      </c>
      <c r="L37" s="514" t="str">
        <f t="shared" si="7"/>
        <v>-</v>
      </c>
      <c r="M37" s="514" t="str">
        <f t="shared" si="8"/>
        <v>-</v>
      </c>
      <c r="N37" s="514" t="str">
        <f t="shared" si="9"/>
        <v>-</v>
      </c>
      <c r="O37" s="495"/>
      <c r="P37" s="494"/>
      <c r="Q37" s="494"/>
      <c r="R37" s="494"/>
      <c r="S37" s="494"/>
      <c r="T37" s="494"/>
      <c r="U37" s="533" t="str">
        <f t="shared" si="10"/>
        <v>-</v>
      </c>
      <c r="V37" s="533" t="str">
        <f t="shared" si="11"/>
        <v>-</v>
      </c>
      <c r="W37" s="494"/>
      <c r="X37" s="494"/>
      <c r="Y37" s="494"/>
      <c r="Z37" s="494"/>
      <c r="AA37" s="494"/>
      <c r="AB37" s="498">
        <v>0</v>
      </c>
      <c r="AC37" s="499">
        <v>0</v>
      </c>
      <c r="AD37" s="514" t="str">
        <f t="shared" si="12"/>
        <v>-</v>
      </c>
      <c r="AE37" s="514" t="str">
        <f t="shared" si="13"/>
        <v>-</v>
      </c>
      <c r="AF37" s="503"/>
      <c r="AG37" s="533" t="str">
        <f t="shared" si="14"/>
        <v>-</v>
      </c>
      <c r="AH37" s="503"/>
      <c r="AI37" s="690"/>
      <c r="AJ37" s="503"/>
      <c r="AK37" s="690"/>
      <c r="AL37" s="503"/>
      <c r="AM37" s="503"/>
      <c r="AN37" s="505">
        <v>0</v>
      </c>
      <c r="AO37" s="503"/>
      <c r="AP37" s="503"/>
      <c r="AQ37" s="533" t="str">
        <f t="shared" si="15"/>
        <v>-</v>
      </c>
      <c r="AR37" s="533" t="str">
        <f t="shared" si="16"/>
        <v>-</v>
      </c>
      <c r="AS37" s="533" t="str">
        <f t="shared" si="17"/>
        <v>-</v>
      </c>
      <c r="AT37" s="533" t="str">
        <f t="shared" si="18"/>
        <v>-</v>
      </c>
      <c r="AU37" s="533" t="str">
        <f t="shared" si="19"/>
        <v>-</v>
      </c>
      <c r="AV37" s="509"/>
      <c r="AW37" s="502" t="s">
        <v>472</v>
      </c>
      <c r="AX37" s="502" t="s">
        <v>473</v>
      </c>
      <c r="AY37" s="503"/>
      <c r="AZ37" s="508">
        <v>0</v>
      </c>
      <c r="BA37" s="533" t="str">
        <f t="shared" si="20"/>
        <v>-</v>
      </c>
      <c r="BB37" s="533" t="str">
        <f t="shared" si="21"/>
        <v>-</v>
      </c>
      <c r="BC37" s="533" t="str">
        <f t="shared" si="22"/>
        <v>-</v>
      </c>
      <c r="BD37" s="533" t="str">
        <f t="shared" si="23"/>
        <v>-</v>
      </c>
      <c r="BE37" s="533" t="str">
        <f t="shared" si="24"/>
        <v>-</v>
      </c>
      <c r="BF37" s="503"/>
      <c r="BG37" s="502" t="s">
        <v>472</v>
      </c>
      <c r="BH37" s="502" t="s">
        <v>473</v>
      </c>
      <c r="BI37" s="503"/>
      <c r="BJ37" s="508">
        <v>0</v>
      </c>
      <c r="BK37" s="533" t="str">
        <f t="shared" si="25"/>
        <v>-</v>
      </c>
      <c r="BL37" s="533" t="str">
        <f t="shared" si="26"/>
        <v>-</v>
      </c>
      <c r="BM37" s="533" t="str">
        <f t="shared" si="27"/>
        <v>-</v>
      </c>
      <c r="BN37" s="533" t="str">
        <f t="shared" si="28"/>
        <v>-</v>
      </c>
      <c r="BO37" s="503"/>
      <c r="BP37" s="502" t="s">
        <v>472</v>
      </c>
      <c r="BQ37" s="502" t="s">
        <v>473</v>
      </c>
      <c r="BR37" s="502"/>
      <c r="BS37" s="508">
        <v>0</v>
      </c>
      <c r="BT37" s="503"/>
      <c r="BU37" s="503"/>
      <c r="BV37" s="503"/>
      <c r="BW37" s="503"/>
      <c r="BX37" s="503"/>
      <c r="BY37" s="503"/>
      <c r="BZ37" s="690"/>
      <c r="CA37" s="503"/>
      <c r="CB37" s="693"/>
    </row>
    <row r="38" spans="4:80" s="486" customFormat="1" ht="12.75">
      <c r="D38" s="513" t="str">
        <f>Biodata!B36</f>
        <v/>
      </c>
      <c r="E38" s="514" t="str">
        <f t="shared" si="0"/>
        <v>-</v>
      </c>
      <c r="F38" s="514" t="str">
        <f t="shared" si="1"/>
        <v>-</v>
      </c>
      <c r="G38" s="515" t="str">
        <f t="shared" si="2"/>
        <v>-</v>
      </c>
      <c r="H38" s="516" t="str">
        <f t="shared" si="3"/>
        <v>-</v>
      </c>
      <c r="I38" s="516" t="str">
        <f t="shared" si="4"/>
        <v>-</v>
      </c>
      <c r="J38" s="516" t="str">
        <f t="shared" si="5"/>
        <v>-</v>
      </c>
      <c r="K38" s="514" t="str">
        <f t="shared" si="6"/>
        <v>-</v>
      </c>
      <c r="L38" s="514" t="str">
        <f t="shared" si="7"/>
        <v>-</v>
      </c>
      <c r="M38" s="514" t="str">
        <f t="shared" si="8"/>
        <v>-</v>
      </c>
      <c r="N38" s="514" t="str">
        <f t="shared" si="9"/>
        <v>-</v>
      </c>
      <c r="O38" s="495"/>
      <c r="P38" s="494"/>
      <c r="Q38" s="494"/>
      <c r="R38" s="494"/>
      <c r="S38" s="494"/>
      <c r="T38" s="494"/>
      <c r="U38" s="533" t="str">
        <f t="shared" si="10"/>
        <v>-</v>
      </c>
      <c r="V38" s="533" t="str">
        <f t="shared" si="11"/>
        <v>-</v>
      </c>
      <c r="W38" s="494"/>
      <c r="X38" s="494"/>
      <c r="Y38" s="494"/>
      <c r="Z38" s="494"/>
      <c r="AA38" s="494"/>
      <c r="AB38" s="498">
        <v>0</v>
      </c>
      <c r="AC38" s="499">
        <v>0</v>
      </c>
      <c r="AD38" s="514" t="str">
        <f t="shared" si="12"/>
        <v>-</v>
      </c>
      <c r="AE38" s="514" t="str">
        <f t="shared" si="13"/>
        <v>-</v>
      </c>
      <c r="AF38" s="503"/>
      <c r="AG38" s="533" t="str">
        <f t="shared" si="14"/>
        <v>-</v>
      </c>
      <c r="AH38" s="503"/>
      <c r="AI38" s="690"/>
      <c r="AJ38" s="503"/>
      <c r="AK38" s="690"/>
      <c r="AL38" s="503"/>
      <c r="AM38" s="503"/>
      <c r="AN38" s="505">
        <v>0</v>
      </c>
      <c r="AO38" s="503"/>
      <c r="AP38" s="503"/>
      <c r="AQ38" s="533" t="str">
        <f t="shared" si="15"/>
        <v>-</v>
      </c>
      <c r="AR38" s="533" t="str">
        <f t="shared" si="16"/>
        <v>-</v>
      </c>
      <c r="AS38" s="533" t="str">
        <f t="shared" si="17"/>
        <v>-</v>
      </c>
      <c r="AT38" s="533" t="str">
        <f t="shared" si="18"/>
        <v>-</v>
      </c>
      <c r="AU38" s="533" t="str">
        <f t="shared" si="19"/>
        <v>-</v>
      </c>
      <c r="AV38" s="509"/>
      <c r="AW38" s="502" t="s">
        <v>472</v>
      </c>
      <c r="AX38" s="502" t="s">
        <v>473</v>
      </c>
      <c r="AY38" s="503"/>
      <c r="AZ38" s="508">
        <v>0</v>
      </c>
      <c r="BA38" s="533" t="str">
        <f t="shared" si="20"/>
        <v>-</v>
      </c>
      <c r="BB38" s="533" t="str">
        <f t="shared" si="21"/>
        <v>-</v>
      </c>
      <c r="BC38" s="533" t="str">
        <f t="shared" si="22"/>
        <v>-</v>
      </c>
      <c r="BD38" s="533" t="str">
        <f t="shared" si="23"/>
        <v>-</v>
      </c>
      <c r="BE38" s="533" t="str">
        <f t="shared" si="24"/>
        <v>-</v>
      </c>
      <c r="BF38" s="503"/>
      <c r="BG38" s="502" t="s">
        <v>472</v>
      </c>
      <c r="BH38" s="502" t="s">
        <v>473</v>
      </c>
      <c r="BI38" s="503"/>
      <c r="BJ38" s="508">
        <v>0</v>
      </c>
      <c r="BK38" s="533" t="str">
        <f t="shared" si="25"/>
        <v>-</v>
      </c>
      <c r="BL38" s="533" t="str">
        <f t="shared" si="26"/>
        <v>-</v>
      </c>
      <c r="BM38" s="533" t="str">
        <f t="shared" si="27"/>
        <v>-</v>
      </c>
      <c r="BN38" s="533" t="str">
        <f t="shared" si="28"/>
        <v>-</v>
      </c>
      <c r="BO38" s="503"/>
      <c r="BP38" s="502" t="s">
        <v>472</v>
      </c>
      <c r="BQ38" s="502" t="s">
        <v>473</v>
      </c>
      <c r="BR38" s="502"/>
      <c r="BS38" s="508">
        <v>0</v>
      </c>
      <c r="BT38" s="503"/>
      <c r="BU38" s="503"/>
      <c r="BV38" s="503"/>
      <c r="BW38" s="503"/>
      <c r="BX38" s="503"/>
      <c r="BY38" s="503"/>
      <c r="BZ38" s="690"/>
      <c r="CA38" s="503"/>
      <c r="CB38" s="693"/>
    </row>
    <row r="39" spans="4:80" s="486" customFormat="1" ht="12.75">
      <c r="D39" s="513" t="str">
        <f>Biodata!B37</f>
        <v/>
      </c>
      <c r="E39" s="514" t="str">
        <f t="shared" si="0"/>
        <v>-</v>
      </c>
      <c r="F39" s="514" t="str">
        <f t="shared" si="1"/>
        <v>-</v>
      </c>
      <c r="G39" s="515" t="str">
        <f t="shared" si="2"/>
        <v>-</v>
      </c>
      <c r="H39" s="516" t="str">
        <f t="shared" si="3"/>
        <v>-</v>
      </c>
      <c r="I39" s="516" t="str">
        <f t="shared" si="4"/>
        <v>-</v>
      </c>
      <c r="J39" s="516" t="str">
        <f t="shared" si="5"/>
        <v>-</v>
      </c>
      <c r="K39" s="514" t="str">
        <f t="shared" si="6"/>
        <v>-</v>
      </c>
      <c r="L39" s="514" t="str">
        <f t="shared" si="7"/>
        <v>-</v>
      </c>
      <c r="M39" s="514" t="str">
        <f t="shared" si="8"/>
        <v>-</v>
      </c>
      <c r="N39" s="514" t="str">
        <f t="shared" si="9"/>
        <v>-</v>
      </c>
      <c r="O39" s="495"/>
      <c r="P39" s="494"/>
      <c r="Q39" s="494"/>
      <c r="R39" s="494"/>
      <c r="S39" s="494"/>
      <c r="T39" s="494"/>
      <c r="U39" s="533" t="str">
        <f t="shared" si="10"/>
        <v>-</v>
      </c>
      <c r="V39" s="533" t="str">
        <f t="shared" si="11"/>
        <v>-</v>
      </c>
      <c r="W39" s="494"/>
      <c r="X39" s="494"/>
      <c r="Y39" s="494"/>
      <c r="Z39" s="494"/>
      <c r="AA39" s="494"/>
      <c r="AB39" s="498">
        <v>0</v>
      </c>
      <c r="AC39" s="499">
        <v>0</v>
      </c>
      <c r="AD39" s="514" t="str">
        <f t="shared" si="12"/>
        <v>-</v>
      </c>
      <c r="AE39" s="514" t="str">
        <f t="shared" si="13"/>
        <v>-</v>
      </c>
      <c r="AF39" s="503"/>
      <c r="AG39" s="533" t="str">
        <f t="shared" si="14"/>
        <v>-</v>
      </c>
      <c r="AH39" s="503"/>
      <c r="AI39" s="690"/>
      <c r="AJ39" s="503"/>
      <c r="AK39" s="690"/>
      <c r="AL39" s="503"/>
      <c r="AM39" s="503"/>
      <c r="AN39" s="505">
        <v>0</v>
      </c>
      <c r="AO39" s="503"/>
      <c r="AP39" s="503"/>
      <c r="AQ39" s="533" t="str">
        <f t="shared" si="15"/>
        <v>-</v>
      </c>
      <c r="AR39" s="533" t="str">
        <f t="shared" si="16"/>
        <v>-</v>
      </c>
      <c r="AS39" s="533" t="str">
        <f t="shared" si="17"/>
        <v>-</v>
      </c>
      <c r="AT39" s="533" t="str">
        <f t="shared" si="18"/>
        <v>-</v>
      </c>
      <c r="AU39" s="533" t="str">
        <f t="shared" si="19"/>
        <v>-</v>
      </c>
      <c r="AV39" s="509"/>
      <c r="AW39" s="502" t="s">
        <v>472</v>
      </c>
      <c r="AX39" s="502" t="s">
        <v>473</v>
      </c>
      <c r="AY39" s="503"/>
      <c r="AZ39" s="508">
        <v>0</v>
      </c>
      <c r="BA39" s="533" t="str">
        <f t="shared" si="20"/>
        <v>-</v>
      </c>
      <c r="BB39" s="533" t="str">
        <f t="shared" si="21"/>
        <v>-</v>
      </c>
      <c r="BC39" s="533" t="str">
        <f t="shared" si="22"/>
        <v>-</v>
      </c>
      <c r="BD39" s="533" t="str">
        <f t="shared" si="23"/>
        <v>-</v>
      </c>
      <c r="BE39" s="533" t="str">
        <f t="shared" si="24"/>
        <v>-</v>
      </c>
      <c r="BF39" s="503"/>
      <c r="BG39" s="502" t="s">
        <v>472</v>
      </c>
      <c r="BH39" s="502" t="s">
        <v>473</v>
      </c>
      <c r="BI39" s="503"/>
      <c r="BJ39" s="508">
        <v>0</v>
      </c>
      <c r="BK39" s="533" t="str">
        <f t="shared" si="25"/>
        <v>-</v>
      </c>
      <c r="BL39" s="533" t="str">
        <f t="shared" si="26"/>
        <v>-</v>
      </c>
      <c r="BM39" s="533" t="str">
        <f t="shared" si="27"/>
        <v>-</v>
      </c>
      <c r="BN39" s="533" t="str">
        <f t="shared" si="28"/>
        <v>-</v>
      </c>
      <c r="BO39" s="503"/>
      <c r="BP39" s="502" t="s">
        <v>472</v>
      </c>
      <c r="BQ39" s="502" t="s">
        <v>473</v>
      </c>
      <c r="BR39" s="502"/>
      <c r="BS39" s="508">
        <v>0</v>
      </c>
      <c r="BT39" s="503"/>
      <c r="BU39" s="503"/>
      <c r="BV39" s="503"/>
      <c r="BW39" s="503"/>
      <c r="BX39" s="503"/>
      <c r="BY39" s="503"/>
      <c r="BZ39" s="690"/>
      <c r="CA39" s="503"/>
      <c r="CB39" s="693"/>
    </row>
    <row r="40" spans="4:80" s="486" customFormat="1" ht="12.75">
      <c r="D40" s="513" t="str">
        <f>Biodata!B38</f>
        <v/>
      </c>
      <c r="E40" s="514" t="str">
        <f t="shared" si="0"/>
        <v>-</v>
      </c>
      <c r="F40" s="514" t="str">
        <f t="shared" si="1"/>
        <v>-</v>
      </c>
      <c r="G40" s="515" t="str">
        <f t="shared" si="2"/>
        <v>-</v>
      </c>
      <c r="H40" s="516" t="str">
        <f t="shared" si="3"/>
        <v>-</v>
      </c>
      <c r="I40" s="516" t="str">
        <f t="shared" si="4"/>
        <v>-</v>
      </c>
      <c r="J40" s="516" t="str">
        <f t="shared" si="5"/>
        <v>-</v>
      </c>
      <c r="K40" s="514" t="str">
        <f t="shared" si="6"/>
        <v>-</v>
      </c>
      <c r="L40" s="514" t="str">
        <f t="shared" si="7"/>
        <v>-</v>
      </c>
      <c r="M40" s="514" t="str">
        <f t="shared" si="8"/>
        <v>-</v>
      </c>
      <c r="N40" s="514" t="str">
        <f t="shared" si="9"/>
        <v>-</v>
      </c>
      <c r="O40" s="495"/>
      <c r="P40" s="494"/>
      <c r="Q40" s="494"/>
      <c r="R40" s="494"/>
      <c r="S40" s="494"/>
      <c r="T40" s="494"/>
      <c r="U40" s="533" t="str">
        <f t="shared" si="10"/>
        <v>-</v>
      </c>
      <c r="V40" s="533" t="str">
        <f t="shared" si="11"/>
        <v>-</v>
      </c>
      <c r="W40" s="494"/>
      <c r="X40" s="494"/>
      <c r="Y40" s="494"/>
      <c r="Z40" s="494"/>
      <c r="AA40" s="494"/>
      <c r="AB40" s="498">
        <v>0</v>
      </c>
      <c r="AC40" s="499">
        <v>0</v>
      </c>
      <c r="AD40" s="514" t="str">
        <f t="shared" si="12"/>
        <v>-</v>
      </c>
      <c r="AE40" s="514" t="str">
        <f t="shared" si="13"/>
        <v>-</v>
      </c>
      <c r="AF40" s="503"/>
      <c r="AG40" s="533" t="str">
        <f t="shared" si="14"/>
        <v>-</v>
      </c>
      <c r="AH40" s="503"/>
      <c r="AI40" s="690"/>
      <c r="AJ40" s="503"/>
      <c r="AK40" s="690"/>
      <c r="AL40" s="503"/>
      <c r="AM40" s="503"/>
      <c r="AN40" s="505">
        <v>0</v>
      </c>
      <c r="AO40" s="503"/>
      <c r="AP40" s="503"/>
      <c r="AQ40" s="533" t="str">
        <f t="shared" si="15"/>
        <v>-</v>
      </c>
      <c r="AR40" s="533" t="str">
        <f t="shared" si="16"/>
        <v>-</v>
      </c>
      <c r="AS40" s="533" t="str">
        <f t="shared" si="17"/>
        <v>-</v>
      </c>
      <c r="AT40" s="533" t="str">
        <f t="shared" si="18"/>
        <v>-</v>
      </c>
      <c r="AU40" s="533" t="str">
        <f t="shared" si="19"/>
        <v>-</v>
      </c>
      <c r="AV40" s="509"/>
      <c r="AW40" s="502" t="s">
        <v>472</v>
      </c>
      <c r="AX40" s="502" t="s">
        <v>473</v>
      </c>
      <c r="AY40" s="503"/>
      <c r="AZ40" s="508">
        <v>0</v>
      </c>
      <c r="BA40" s="533" t="str">
        <f t="shared" si="20"/>
        <v>-</v>
      </c>
      <c r="BB40" s="533" t="str">
        <f t="shared" si="21"/>
        <v>-</v>
      </c>
      <c r="BC40" s="533" t="str">
        <f t="shared" si="22"/>
        <v>-</v>
      </c>
      <c r="BD40" s="533" t="str">
        <f t="shared" si="23"/>
        <v>-</v>
      </c>
      <c r="BE40" s="533" t="str">
        <f t="shared" si="24"/>
        <v>-</v>
      </c>
      <c r="BF40" s="503"/>
      <c r="BG40" s="502" t="s">
        <v>472</v>
      </c>
      <c r="BH40" s="502" t="s">
        <v>473</v>
      </c>
      <c r="BI40" s="503"/>
      <c r="BJ40" s="508">
        <v>0</v>
      </c>
      <c r="BK40" s="533" t="str">
        <f t="shared" si="25"/>
        <v>-</v>
      </c>
      <c r="BL40" s="533" t="str">
        <f t="shared" si="26"/>
        <v>-</v>
      </c>
      <c r="BM40" s="533" t="str">
        <f t="shared" si="27"/>
        <v>-</v>
      </c>
      <c r="BN40" s="533" t="str">
        <f t="shared" si="28"/>
        <v>-</v>
      </c>
      <c r="BO40" s="503"/>
      <c r="BP40" s="502" t="s">
        <v>472</v>
      </c>
      <c r="BQ40" s="502" t="s">
        <v>473</v>
      </c>
      <c r="BR40" s="502"/>
      <c r="BS40" s="508">
        <v>0</v>
      </c>
      <c r="BT40" s="503"/>
      <c r="BU40" s="503"/>
      <c r="BV40" s="503"/>
      <c r="BW40" s="503"/>
      <c r="BX40" s="503"/>
      <c r="BY40" s="503"/>
      <c r="BZ40" s="690"/>
      <c r="CA40" s="503"/>
      <c r="CB40" s="693"/>
    </row>
    <row r="41" spans="4:80" s="486" customFormat="1" ht="12.75">
      <c r="D41" s="513" t="str">
        <f>Biodata!B39</f>
        <v/>
      </c>
      <c r="E41" s="514" t="str">
        <f t="shared" si="0"/>
        <v>-</v>
      </c>
      <c r="F41" s="514" t="str">
        <f t="shared" si="1"/>
        <v>-</v>
      </c>
      <c r="G41" s="515" t="str">
        <f t="shared" si="2"/>
        <v>-</v>
      </c>
      <c r="H41" s="516" t="str">
        <f t="shared" si="3"/>
        <v>-</v>
      </c>
      <c r="I41" s="516" t="str">
        <f t="shared" si="4"/>
        <v>-</v>
      </c>
      <c r="J41" s="516" t="str">
        <f t="shared" si="5"/>
        <v>-</v>
      </c>
      <c r="K41" s="514" t="str">
        <f t="shared" si="6"/>
        <v>-</v>
      </c>
      <c r="L41" s="514" t="str">
        <f t="shared" si="7"/>
        <v>-</v>
      </c>
      <c r="M41" s="514" t="str">
        <f t="shared" si="8"/>
        <v>-</v>
      </c>
      <c r="N41" s="514" t="str">
        <f t="shared" si="9"/>
        <v>-</v>
      </c>
      <c r="O41" s="495"/>
      <c r="P41" s="494"/>
      <c r="Q41" s="494"/>
      <c r="R41" s="494"/>
      <c r="S41" s="494"/>
      <c r="T41" s="494"/>
      <c r="U41" s="533" t="str">
        <f t="shared" si="10"/>
        <v>-</v>
      </c>
      <c r="V41" s="533" t="str">
        <f t="shared" si="11"/>
        <v>-</v>
      </c>
      <c r="W41" s="494"/>
      <c r="X41" s="494"/>
      <c r="Y41" s="494"/>
      <c r="Z41" s="494"/>
      <c r="AA41" s="494"/>
      <c r="AB41" s="498">
        <v>0</v>
      </c>
      <c r="AC41" s="499">
        <v>0</v>
      </c>
      <c r="AD41" s="514" t="str">
        <f t="shared" si="12"/>
        <v>-</v>
      </c>
      <c r="AE41" s="514" t="str">
        <f t="shared" si="13"/>
        <v>-</v>
      </c>
      <c r="AF41" s="503"/>
      <c r="AG41" s="533" t="str">
        <f t="shared" si="14"/>
        <v>-</v>
      </c>
      <c r="AH41" s="503"/>
      <c r="AI41" s="690"/>
      <c r="AJ41" s="503"/>
      <c r="AK41" s="690"/>
      <c r="AL41" s="503"/>
      <c r="AM41" s="503"/>
      <c r="AN41" s="505">
        <v>0</v>
      </c>
      <c r="AO41" s="503"/>
      <c r="AP41" s="503"/>
      <c r="AQ41" s="533" t="str">
        <f t="shared" si="15"/>
        <v>-</v>
      </c>
      <c r="AR41" s="533" t="str">
        <f t="shared" si="16"/>
        <v>-</v>
      </c>
      <c r="AS41" s="533" t="str">
        <f t="shared" si="17"/>
        <v>-</v>
      </c>
      <c r="AT41" s="533" t="str">
        <f t="shared" si="18"/>
        <v>-</v>
      </c>
      <c r="AU41" s="533" t="str">
        <f t="shared" si="19"/>
        <v>-</v>
      </c>
      <c r="AV41" s="509"/>
      <c r="AW41" s="502" t="s">
        <v>472</v>
      </c>
      <c r="AX41" s="502" t="s">
        <v>473</v>
      </c>
      <c r="AY41" s="503"/>
      <c r="AZ41" s="508">
        <v>0</v>
      </c>
      <c r="BA41" s="533" t="str">
        <f t="shared" si="20"/>
        <v>-</v>
      </c>
      <c r="BB41" s="533" t="str">
        <f t="shared" si="21"/>
        <v>-</v>
      </c>
      <c r="BC41" s="533" t="str">
        <f t="shared" si="22"/>
        <v>-</v>
      </c>
      <c r="BD41" s="533" t="str">
        <f t="shared" si="23"/>
        <v>-</v>
      </c>
      <c r="BE41" s="533" t="str">
        <f t="shared" si="24"/>
        <v>-</v>
      </c>
      <c r="BF41" s="503"/>
      <c r="BG41" s="502" t="s">
        <v>472</v>
      </c>
      <c r="BH41" s="502" t="s">
        <v>473</v>
      </c>
      <c r="BI41" s="503"/>
      <c r="BJ41" s="508">
        <v>0</v>
      </c>
      <c r="BK41" s="533" t="str">
        <f t="shared" si="25"/>
        <v>-</v>
      </c>
      <c r="BL41" s="533" t="str">
        <f t="shared" si="26"/>
        <v>-</v>
      </c>
      <c r="BM41" s="533" t="str">
        <f t="shared" si="27"/>
        <v>-</v>
      </c>
      <c r="BN41" s="533" t="str">
        <f t="shared" si="28"/>
        <v>-</v>
      </c>
      <c r="BO41" s="503"/>
      <c r="BP41" s="502" t="s">
        <v>472</v>
      </c>
      <c r="BQ41" s="502" t="s">
        <v>473</v>
      </c>
      <c r="BR41" s="502"/>
      <c r="BS41" s="508">
        <v>0</v>
      </c>
      <c r="BT41" s="503"/>
      <c r="BU41" s="503"/>
      <c r="BV41" s="503"/>
      <c r="BW41" s="503"/>
      <c r="BX41" s="503"/>
      <c r="BY41" s="503"/>
      <c r="BZ41" s="690"/>
      <c r="CA41" s="503"/>
      <c r="CB41" s="693"/>
    </row>
    <row r="42" spans="4:80" s="486" customFormat="1" ht="12.75">
      <c r="D42" s="513" t="str">
        <f>Biodata!B40</f>
        <v/>
      </c>
      <c r="E42" s="514" t="str">
        <f t="shared" si="0"/>
        <v>-</v>
      </c>
      <c r="F42" s="514" t="str">
        <f t="shared" si="1"/>
        <v>-</v>
      </c>
      <c r="G42" s="515" t="str">
        <f t="shared" si="2"/>
        <v>-</v>
      </c>
      <c r="H42" s="516" t="str">
        <f t="shared" si="3"/>
        <v>-</v>
      </c>
      <c r="I42" s="516" t="str">
        <f t="shared" si="4"/>
        <v>-</v>
      </c>
      <c r="J42" s="516" t="str">
        <f t="shared" si="5"/>
        <v>-</v>
      </c>
      <c r="K42" s="514" t="str">
        <f t="shared" si="6"/>
        <v>-</v>
      </c>
      <c r="L42" s="514" t="str">
        <f t="shared" si="7"/>
        <v>-</v>
      </c>
      <c r="M42" s="514" t="str">
        <f t="shared" si="8"/>
        <v>-</v>
      </c>
      <c r="N42" s="514" t="str">
        <f t="shared" si="9"/>
        <v>-</v>
      </c>
      <c r="O42" s="495"/>
      <c r="P42" s="494"/>
      <c r="Q42" s="494"/>
      <c r="R42" s="494"/>
      <c r="S42" s="494"/>
      <c r="T42" s="494"/>
      <c r="U42" s="533" t="str">
        <f t="shared" si="10"/>
        <v>-</v>
      </c>
      <c r="V42" s="533" t="str">
        <f t="shared" si="11"/>
        <v>-</v>
      </c>
      <c r="W42" s="494"/>
      <c r="X42" s="494"/>
      <c r="Y42" s="494"/>
      <c r="Z42" s="494"/>
      <c r="AA42" s="494"/>
      <c r="AB42" s="498">
        <v>0</v>
      </c>
      <c r="AC42" s="499">
        <v>0</v>
      </c>
      <c r="AD42" s="514" t="str">
        <f t="shared" si="12"/>
        <v>-</v>
      </c>
      <c r="AE42" s="514" t="str">
        <f t="shared" si="13"/>
        <v>-</v>
      </c>
      <c r="AF42" s="503"/>
      <c r="AG42" s="533" t="str">
        <f t="shared" si="14"/>
        <v>-</v>
      </c>
      <c r="AH42" s="503"/>
      <c r="AI42" s="690"/>
      <c r="AJ42" s="503"/>
      <c r="AK42" s="690"/>
      <c r="AL42" s="503"/>
      <c r="AM42" s="503"/>
      <c r="AN42" s="505">
        <v>0</v>
      </c>
      <c r="AO42" s="503"/>
      <c r="AP42" s="503"/>
      <c r="AQ42" s="533" t="str">
        <f t="shared" si="15"/>
        <v>-</v>
      </c>
      <c r="AR42" s="533" t="str">
        <f t="shared" si="16"/>
        <v>-</v>
      </c>
      <c r="AS42" s="533" t="str">
        <f t="shared" si="17"/>
        <v>-</v>
      </c>
      <c r="AT42" s="533" t="str">
        <f t="shared" si="18"/>
        <v>-</v>
      </c>
      <c r="AU42" s="533" t="str">
        <f t="shared" si="19"/>
        <v>-</v>
      </c>
      <c r="AV42" s="509"/>
      <c r="AW42" s="502" t="s">
        <v>472</v>
      </c>
      <c r="AX42" s="502" t="s">
        <v>473</v>
      </c>
      <c r="AY42" s="503"/>
      <c r="AZ42" s="508">
        <v>0</v>
      </c>
      <c r="BA42" s="533" t="str">
        <f t="shared" si="20"/>
        <v>-</v>
      </c>
      <c r="BB42" s="533" t="str">
        <f t="shared" si="21"/>
        <v>-</v>
      </c>
      <c r="BC42" s="533" t="str">
        <f t="shared" si="22"/>
        <v>-</v>
      </c>
      <c r="BD42" s="533" t="str">
        <f t="shared" si="23"/>
        <v>-</v>
      </c>
      <c r="BE42" s="533" t="str">
        <f t="shared" si="24"/>
        <v>-</v>
      </c>
      <c r="BF42" s="503"/>
      <c r="BG42" s="502" t="s">
        <v>472</v>
      </c>
      <c r="BH42" s="502" t="s">
        <v>473</v>
      </c>
      <c r="BI42" s="503"/>
      <c r="BJ42" s="508">
        <v>0</v>
      </c>
      <c r="BK42" s="533" t="str">
        <f t="shared" si="25"/>
        <v>-</v>
      </c>
      <c r="BL42" s="533" t="str">
        <f t="shared" si="26"/>
        <v>-</v>
      </c>
      <c r="BM42" s="533" t="str">
        <f t="shared" si="27"/>
        <v>-</v>
      </c>
      <c r="BN42" s="533" t="str">
        <f t="shared" si="28"/>
        <v>-</v>
      </c>
      <c r="BO42" s="503"/>
      <c r="BP42" s="502" t="s">
        <v>472</v>
      </c>
      <c r="BQ42" s="502" t="s">
        <v>473</v>
      </c>
      <c r="BR42" s="502"/>
      <c r="BS42" s="508">
        <v>0</v>
      </c>
      <c r="BT42" s="503"/>
      <c r="BU42" s="503"/>
      <c r="BV42" s="503"/>
      <c r="BW42" s="503"/>
      <c r="BX42" s="503"/>
      <c r="BY42" s="503"/>
      <c r="BZ42" s="690"/>
      <c r="CA42" s="503"/>
      <c r="CB42" s="693"/>
    </row>
    <row r="43" spans="4:80" s="486" customFormat="1" ht="12.75">
      <c r="D43" s="513" t="str">
        <f>Biodata!B41</f>
        <v/>
      </c>
      <c r="E43" s="514" t="str">
        <f t="shared" si="0"/>
        <v>-</v>
      </c>
      <c r="F43" s="514" t="str">
        <f t="shared" si="1"/>
        <v>-</v>
      </c>
      <c r="G43" s="515" t="str">
        <f t="shared" si="2"/>
        <v>-</v>
      </c>
      <c r="H43" s="516" t="str">
        <f t="shared" si="3"/>
        <v>-</v>
      </c>
      <c r="I43" s="516" t="str">
        <f t="shared" si="4"/>
        <v>-</v>
      </c>
      <c r="J43" s="516" t="str">
        <f t="shared" si="5"/>
        <v>-</v>
      </c>
      <c r="K43" s="514" t="str">
        <f t="shared" si="6"/>
        <v>-</v>
      </c>
      <c r="L43" s="514" t="str">
        <f t="shared" si="7"/>
        <v>-</v>
      </c>
      <c r="M43" s="514" t="str">
        <f t="shared" si="8"/>
        <v>-</v>
      </c>
      <c r="N43" s="514" t="str">
        <f t="shared" si="9"/>
        <v>-</v>
      </c>
      <c r="O43" s="495"/>
      <c r="P43" s="494"/>
      <c r="Q43" s="494"/>
      <c r="R43" s="494"/>
      <c r="S43" s="494"/>
      <c r="T43" s="494"/>
      <c r="U43" s="533" t="str">
        <f t="shared" si="10"/>
        <v>-</v>
      </c>
      <c r="V43" s="533" t="str">
        <f t="shared" si="11"/>
        <v>-</v>
      </c>
      <c r="W43" s="494"/>
      <c r="X43" s="494"/>
      <c r="Y43" s="494"/>
      <c r="Z43" s="494"/>
      <c r="AA43" s="494"/>
      <c r="AB43" s="498">
        <v>0</v>
      </c>
      <c r="AC43" s="499">
        <v>0</v>
      </c>
      <c r="AD43" s="514" t="str">
        <f t="shared" si="12"/>
        <v>-</v>
      </c>
      <c r="AE43" s="514" t="str">
        <f t="shared" si="13"/>
        <v>-</v>
      </c>
      <c r="AF43" s="503"/>
      <c r="AG43" s="533" t="str">
        <f t="shared" si="14"/>
        <v>-</v>
      </c>
      <c r="AH43" s="503"/>
      <c r="AI43" s="690"/>
      <c r="AJ43" s="503"/>
      <c r="AK43" s="690"/>
      <c r="AL43" s="503"/>
      <c r="AM43" s="503"/>
      <c r="AN43" s="505">
        <v>0</v>
      </c>
      <c r="AO43" s="503"/>
      <c r="AP43" s="503"/>
      <c r="AQ43" s="533" t="str">
        <f t="shared" si="15"/>
        <v>-</v>
      </c>
      <c r="AR43" s="533" t="str">
        <f t="shared" si="16"/>
        <v>-</v>
      </c>
      <c r="AS43" s="533" t="str">
        <f t="shared" si="17"/>
        <v>-</v>
      </c>
      <c r="AT43" s="533" t="str">
        <f t="shared" si="18"/>
        <v>-</v>
      </c>
      <c r="AU43" s="533" t="str">
        <f t="shared" si="19"/>
        <v>-</v>
      </c>
      <c r="AV43" s="509"/>
      <c r="AW43" s="502" t="s">
        <v>472</v>
      </c>
      <c r="AX43" s="502" t="s">
        <v>473</v>
      </c>
      <c r="AY43" s="503"/>
      <c r="AZ43" s="508">
        <v>0</v>
      </c>
      <c r="BA43" s="533" t="str">
        <f t="shared" si="20"/>
        <v>-</v>
      </c>
      <c r="BB43" s="533" t="str">
        <f t="shared" si="21"/>
        <v>-</v>
      </c>
      <c r="BC43" s="533" t="str">
        <f t="shared" si="22"/>
        <v>-</v>
      </c>
      <c r="BD43" s="533" t="str">
        <f t="shared" si="23"/>
        <v>-</v>
      </c>
      <c r="BE43" s="533" t="str">
        <f t="shared" si="24"/>
        <v>-</v>
      </c>
      <c r="BF43" s="503"/>
      <c r="BG43" s="502" t="s">
        <v>472</v>
      </c>
      <c r="BH43" s="502" t="s">
        <v>473</v>
      </c>
      <c r="BI43" s="503"/>
      <c r="BJ43" s="508">
        <v>0</v>
      </c>
      <c r="BK43" s="533" t="str">
        <f t="shared" si="25"/>
        <v>-</v>
      </c>
      <c r="BL43" s="533" t="str">
        <f t="shared" si="26"/>
        <v>-</v>
      </c>
      <c r="BM43" s="533" t="str">
        <f t="shared" si="27"/>
        <v>-</v>
      </c>
      <c r="BN43" s="533" t="str">
        <f t="shared" si="28"/>
        <v>-</v>
      </c>
      <c r="BO43" s="503"/>
      <c r="BP43" s="502" t="s">
        <v>472</v>
      </c>
      <c r="BQ43" s="502" t="s">
        <v>473</v>
      </c>
      <c r="BR43" s="502"/>
      <c r="BS43" s="508">
        <v>0</v>
      </c>
      <c r="BT43" s="503"/>
      <c r="BU43" s="503"/>
      <c r="BV43" s="503"/>
      <c r="BW43" s="503"/>
      <c r="BX43" s="503"/>
      <c r="BY43" s="503"/>
      <c r="BZ43" s="690"/>
      <c r="CA43" s="503"/>
      <c r="CB43" s="693"/>
    </row>
    <row r="44" spans="4:80" s="486" customFormat="1" ht="12.75">
      <c r="D44" s="513" t="str">
        <f>Biodata!B42</f>
        <v/>
      </c>
      <c r="E44" s="514" t="str">
        <f t="shared" si="0"/>
        <v>-</v>
      </c>
      <c r="F44" s="514" t="str">
        <f t="shared" si="1"/>
        <v>-</v>
      </c>
      <c r="G44" s="515" t="str">
        <f t="shared" si="2"/>
        <v>-</v>
      </c>
      <c r="H44" s="516" t="str">
        <f t="shared" si="3"/>
        <v>-</v>
      </c>
      <c r="I44" s="516" t="str">
        <f t="shared" si="4"/>
        <v>-</v>
      </c>
      <c r="J44" s="516" t="str">
        <f t="shared" si="5"/>
        <v>-</v>
      </c>
      <c r="K44" s="514" t="str">
        <f t="shared" si="6"/>
        <v>-</v>
      </c>
      <c r="L44" s="514" t="str">
        <f t="shared" si="7"/>
        <v>-</v>
      </c>
      <c r="M44" s="514" t="str">
        <f t="shared" si="8"/>
        <v>-</v>
      </c>
      <c r="N44" s="514" t="str">
        <f t="shared" si="9"/>
        <v>-</v>
      </c>
      <c r="O44" s="495"/>
      <c r="P44" s="494"/>
      <c r="Q44" s="494"/>
      <c r="R44" s="494"/>
      <c r="S44" s="494"/>
      <c r="T44" s="494"/>
      <c r="U44" s="533" t="str">
        <f t="shared" si="10"/>
        <v>-</v>
      </c>
      <c r="V44" s="533" t="str">
        <f t="shared" si="11"/>
        <v>-</v>
      </c>
      <c r="W44" s="494"/>
      <c r="X44" s="494"/>
      <c r="Y44" s="494"/>
      <c r="Z44" s="494"/>
      <c r="AA44" s="494"/>
      <c r="AB44" s="498">
        <v>0</v>
      </c>
      <c r="AC44" s="499">
        <v>0</v>
      </c>
      <c r="AD44" s="514" t="str">
        <f t="shared" si="12"/>
        <v>-</v>
      </c>
      <c r="AE44" s="514" t="str">
        <f t="shared" si="13"/>
        <v>-</v>
      </c>
      <c r="AF44" s="503"/>
      <c r="AG44" s="533" t="str">
        <f t="shared" si="14"/>
        <v>-</v>
      </c>
      <c r="AH44" s="503"/>
      <c r="AI44" s="690"/>
      <c r="AJ44" s="503"/>
      <c r="AK44" s="690"/>
      <c r="AL44" s="503"/>
      <c r="AM44" s="503"/>
      <c r="AN44" s="505">
        <v>0</v>
      </c>
      <c r="AO44" s="503"/>
      <c r="AP44" s="503"/>
      <c r="AQ44" s="533" t="str">
        <f t="shared" si="15"/>
        <v>-</v>
      </c>
      <c r="AR44" s="533" t="str">
        <f t="shared" si="16"/>
        <v>-</v>
      </c>
      <c r="AS44" s="533" t="str">
        <f t="shared" si="17"/>
        <v>-</v>
      </c>
      <c r="AT44" s="533" t="str">
        <f t="shared" si="18"/>
        <v>-</v>
      </c>
      <c r="AU44" s="533" t="str">
        <f t="shared" si="19"/>
        <v>-</v>
      </c>
      <c r="AV44" s="509"/>
      <c r="AW44" s="502" t="s">
        <v>472</v>
      </c>
      <c r="AX44" s="502" t="s">
        <v>473</v>
      </c>
      <c r="AY44" s="503"/>
      <c r="AZ44" s="508">
        <v>0</v>
      </c>
      <c r="BA44" s="533" t="str">
        <f t="shared" si="20"/>
        <v>-</v>
      </c>
      <c r="BB44" s="533" t="str">
        <f t="shared" si="21"/>
        <v>-</v>
      </c>
      <c r="BC44" s="533" t="str">
        <f t="shared" si="22"/>
        <v>-</v>
      </c>
      <c r="BD44" s="533" t="str">
        <f t="shared" si="23"/>
        <v>-</v>
      </c>
      <c r="BE44" s="533" t="str">
        <f t="shared" si="24"/>
        <v>-</v>
      </c>
      <c r="BF44" s="503"/>
      <c r="BG44" s="502" t="s">
        <v>472</v>
      </c>
      <c r="BH44" s="502" t="s">
        <v>473</v>
      </c>
      <c r="BI44" s="503"/>
      <c r="BJ44" s="508">
        <v>0</v>
      </c>
      <c r="BK44" s="533" t="str">
        <f t="shared" si="25"/>
        <v>-</v>
      </c>
      <c r="BL44" s="533" t="str">
        <f t="shared" si="26"/>
        <v>-</v>
      </c>
      <c r="BM44" s="533" t="str">
        <f t="shared" si="27"/>
        <v>-</v>
      </c>
      <c r="BN44" s="533" t="str">
        <f t="shared" si="28"/>
        <v>-</v>
      </c>
      <c r="BO44" s="503"/>
      <c r="BP44" s="502" t="s">
        <v>472</v>
      </c>
      <c r="BQ44" s="502" t="s">
        <v>473</v>
      </c>
      <c r="BR44" s="502"/>
      <c r="BS44" s="508">
        <v>0</v>
      </c>
      <c r="BT44" s="503"/>
      <c r="BU44" s="503"/>
      <c r="BV44" s="503"/>
      <c r="BW44" s="503"/>
      <c r="BX44" s="503"/>
      <c r="BY44" s="503"/>
      <c r="BZ44" s="690"/>
      <c r="CA44" s="503"/>
      <c r="CB44" s="693"/>
    </row>
    <row r="45" spans="4:80" s="486" customFormat="1" ht="12.75">
      <c r="D45" s="513" t="str">
        <f>Biodata!B43</f>
        <v/>
      </c>
      <c r="E45" s="514" t="str">
        <f t="shared" si="0"/>
        <v>-</v>
      </c>
      <c r="F45" s="514" t="str">
        <f t="shared" si="1"/>
        <v>-</v>
      </c>
      <c r="G45" s="515" t="str">
        <f t="shared" si="2"/>
        <v>-</v>
      </c>
      <c r="H45" s="516" t="str">
        <f t="shared" si="3"/>
        <v>-</v>
      </c>
      <c r="I45" s="516" t="str">
        <f t="shared" si="4"/>
        <v>-</v>
      </c>
      <c r="J45" s="516" t="str">
        <f t="shared" si="5"/>
        <v>-</v>
      </c>
      <c r="K45" s="514" t="str">
        <f t="shared" si="6"/>
        <v>-</v>
      </c>
      <c r="L45" s="514" t="str">
        <f t="shared" si="7"/>
        <v>-</v>
      </c>
      <c r="M45" s="514" t="str">
        <f t="shared" si="8"/>
        <v>-</v>
      </c>
      <c r="N45" s="514" t="str">
        <f t="shared" si="9"/>
        <v>-</v>
      </c>
      <c r="O45" s="495"/>
      <c r="P45" s="494"/>
      <c r="Q45" s="494"/>
      <c r="R45" s="494"/>
      <c r="S45" s="494"/>
      <c r="T45" s="494"/>
      <c r="U45" s="533" t="str">
        <f t="shared" si="10"/>
        <v>-</v>
      </c>
      <c r="V45" s="533" t="str">
        <f t="shared" si="11"/>
        <v>-</v>
      </c>
      <c r="W45" s="494"/>
      <c r="X45" s="494"/>
      <c r="Y45" s="494"/>
      <c r="Z45" s="494"/>
      <c r="AA45" s="494"/>
      <c r="AB45" s="498">
        <v>0</v>
      </c>
      <c r="AC45" s="499">
        <v>0</v>
      </c>
      <c r="AD45" s="514" t="str">
        <f t="shared" si="12"/>
        <v>-</v>
      </c>
      <c r="AE45" s="514" t="str">
        <f t="shared" si="13"/>
        <v>-</v>
      </c>
      <c r="AF45" s="503"/>
      <c r="AG45" s="533" t="str">
        <f t="shared" si="14"/>
        <v>-</v>
      </c>
      <c r="AH45" s="503"/>
      <c r="AI45" s="690"/>
      <c r="AJ45" s="503"/>
      <c r="AK45" s="690"/>
      <c r="AL45" s="503"/>
      <c r="AM45" s="503"/>
      <c r="AN45" s="505">
        <v>0</v>
      </c>
      <c r="AO45" s="503"/>
      <c r="AP45" s="503"/>
      <c r="AQ45" s="533" t="str">
        <f t="shared" si="15"/>
        <v>-</v>
      </c>
      <c r="AR45" s="533" t="str">
        <f t="shared" si="16"/>
        <v>-</v>
      </c>
      <c r="AS45" s="533" t="str">
        <f t="shared" si="17"/>
        <v>-</v>
      </c>
      <c r="AT45" s="533" t="str">
        <f t="shared" si="18"/>
        <v>-</v>
      </c>
      <c r="AU45" s="533" t="str">
        <f t="shared" si="19"/>
        <v>-</v>
      </c>
      <c r="AV45" s="509"/>
      <c r="AW45" s="502" t="s">
        <v>472</v>
      </c>
      <c r="AX45" s="502" t="s">
        <v>473</v>
      </c>
      <c r="AY45" s="503"/>
      <c r="AZ45" s="508">
        <v>0</v>
      </c>
      <c r="BA45" s="533" t="str">
        <f t="shared" si="20"/>
        <v>-</v>
      </c>
      <c r="BB45" s="533" t="str">
        <f t="shared" si="21"/>
        <v>-</v>
      </c>
      <c r="BC45" s="533" t="str">
        <f t="shared" si="22"/>
        <v>-</v>
      </c>
      <c r="BD45" s="533" t="str">
        <f t="shared" si="23"/>
        <v>-</v>
      </c>
      <c r="BE45" s="533" t="str">
        <f t="shared" si="24"/>
        <v>-</v>
      </c>
      <c r="BF45" s="503"/>
      <c r="BG45" s="502" t="s">
        <v>472</v>
      </c>
      <c r="BH45" s="502" t="s">
        <v>473</v>
      </c>
      <c r="BI45" s="503"/>
      <c r="BJ45" s="508">
        <v>0</v>
      </c>
      <c r="BK45" s="533" t="str">
        <f t="shared" si="25"/>
        <v>-</v>
      </c>
      <c r="BL45" s="533" t="str">
        <f t="shared" si="26"/>
        <v>-</v>
      </c>
      <c r="BM45" s="533" t="str">
        <f t="shared" si="27"/>
        <v>-</v>
      </c>
      <c r="BN45" s="533" t="str">
        <f t="shared" si="28"/>
        <v>-</v>
      </c>
      <c r="BO45" s="503"/>
      <c r="BP45" s="502" t="s">
        <v>472</v>
      </c>
      <c r="BQ45" s="502" t="s">
        <v>473</v>
      </c>
      <c r="BR45" s="502"/>
      <c r="BS45" s="508">
        <v>0</v>
      </c>
      <c r="BT45" s="503"/>
      <c r="BU45" s="503"/>
      <c r="BV45" s="503"/>
      <c r="BW45" s="503"/>
      <c r="BX45" s="503"/>
      <c r="BY45" s="503"/>
      <c r="BZ45" s="690"/>
      <c r="CA45" s="503"/>
      <c r="CB45" s="693"/>
    </row>
    <row r="46" spans="4:80" s="486" customFormat="1" ht="12.75">
      <c r="D46" s="513" t="str">
        <f>Biodata!B44</f>
        <v/>
      </c>
      <c r="E46" s="514" t="str">
        <f t="shared" si="0"/>
        <v>-</v>
      </c>
      <c r="F46" s="514" t="str">
        <f t="shared" si="1"/>
        <v>-</v>
      </c>
      <c r="G46" s="515" t="str">
        <f t="shared" si="2"/>
        <v>-</v>
      </c>
      <c r="H46" s="516" t="str">
        <f t="shared" si="3"/>
        <v>-</v>
      </c>
      <c r="I46" s="516" t="str">
        <f t="shared" si="4"/>
        <v>-</v>
      </c>
      <c r="J46" s="516" t="str">
        <f t="shared" si="5"/>
        <v>-</v>
      </c>
      <c r="K46" s="514" t="str">
        <f t="shared" si="6"/>
        <v>-</v>
      </c>
      <c r="L46" s="514" t="str">
        <f t="shared" si="7"/>
        <v>-</v>
      </c>
      <c r="M46" s="514" t="str">
        <f t="shared" si="8"/>
        <v>-</v>
      </c>
      <c r="N46" s="514" t="str">
        <f t="shared" si="9"/>
        <v>-</v>
      </c>
      <c r="O46" s="495"/>
      <c r="P46" s="494"/>
      <c r="Q46" s="494"/>
      <c r="R46" s="494"/>
      <c r="S46" s="494"/>
      <c r="T46" s="494"/>
      <c r="U46" s="533" t="str">
        <f t="shared" si="10"/>
        <v>-</v>
      </c>
      <c r="V46" s="533" t="str">
        <f t="shared" si="11"/>
        <v>-</v>
      </c>
      <c r="W46" s="494"/>
      <c r="X46" s="494"/>
      <c r="Y46" s="494"/>
      <c r="Z46" s="494"/>
      <c r="AA46" s="494"/>
      <c r="AB46" s="498">
        <v>0</v>
      </c>
      <c r="AC46" s="499">
        <v>0</v>
      </c>
      <c r="AD46" s="514" t="str">
        <f t="shared" si="12"/>
        <v>-</v>
      </c>
      <c r="AE46" s="514" t="str">
        <f t="shared" si="13"/>
        <v>-</v>
      </c>
      <c r="AF46" s="503"/>
      <c r="AG46" s="533" t="str">
        <f t="shared" si="14"/>
        <v>-</v>
      </c>
      <c r="AH46" s="503"/>
      <c r="AI46" s="690"/>
      <c r="AJ46" s="503"/>
      <c r="AK46" s="690"/>
      <c r="AL46" s="503"/>
      <c r="AM46" s="503"/>
      <c r="AN46" s="505">
        <v>0</v>
      </c>
      <c r="AO46" s="503"/>
      <c r="AP46" s="503"/>
      <c r="AQ46" s="533" t="str">
        <f t="shared" si="15"/>
        <v>-</v>
      </c>
      <c r="AR46" s="533" t="str">
        <f t="shared" si="16"/>
        <v>-</v>
      </c>
      <c r="AS46" s="533" t="str">
        <f t="shared" si="17"/>
        <v>-</v>
      </c>
      <c r="AT46" s="533" t="str">
        <f t="shared" si="18"/>
        <v>-</v>
      </c>
      <c r="AU46" s="533" t="str">
        <f t="shared" si="19"/>
        <v>-</v>
      </c>
      <c r="AV46" s="509"/>
      <c r="AW46" s="502" t="s">
        <v>472</v>
      </c>
      <c r="AX46" s="502" t="s">
        <v>473</v>
      </c>
      <c r="AY46" s="503"/>
      <c r="AZ46" s="508">
        <v>0</v>
      </c>
      <c r="BA46" s="533" t="str">
        <f t="shared" si="20"/>
        <v>-</v>
      </c>
      <c r="BB46" s="533" t="str">
        <f t="shared" si="21"/>
        <v>-</v>
      </c>
      <c r="BC46" s="533" t="str">
        <f t="shared" si="22"/>
        <v>-</v>
      </c>
      <c r="BD46" s="533" t="str">
        <f t="shared" si="23"/>
        <v>-</v>
      </c>
      <c r="BE46" s="533" t="str">
        <f t="shared" si="24"/>
        <v>-</v>
      </c>
      <c r="BF46" s="503"/>
      <c r="BG46" s="502" t="s">
        <v>472</v>
      </c>
      <c r="BH46" s="502" t="s">
        <v>473</v>
      </c>
      <c r="BI46" s="503"/>
      <c r="BJ46" s="508">
        <v>0</v>
      </c>
      <c r="BK46" s="533" t="str">
        <f t="shared" si="25"/>
        <v>-</v>
      </c>
      <c r="BL46" s="533" t="str">
        <f t="shared" si="26"/>
        <v>-</v>
      </c>
      <c r="BM46" s="533" t="str">
        <f t="shared" si="27"/>
        <v>-</v>
      </c>
      <c r="BN46" s="533" t="str">
        <f t="shared" si="28"/>
        <v>-</v>
      </c>
      <c r="BO46" s="503"/>
      <c r="BP46" s="502" t="s">
        <v>472</v>
      </c>
      <c r="BQ46" s="502" t="s">
        <v>473</v>
      </c>
      <c r="BR46" s="502"/>
      <c r="BS46" s="508">
        <v>0</v>
      </c>
      <c r="BT46" s="503"/>
      <c r="BU46" s="503"/>
      <c r="BV46" s="503"/>
      <c r="BW46" s="503"/>
      <c r="BX46" s="503"/>
      <c r="BY46" s="503"/>
      <c r="BZ46" s="690"/>
      <c r="CA46" s="503"/>
      <c r="CB46" s="693"/>
    </row>
    <row r="47" spans="4:80" s="486" customFormat="1" ht="13.5" thickBot="1">
      <c r="D47" s="517" t="str">
        <f>Biodata!B45</f>
        <v/>
      </c>
      <c r="E47" s="518" t="str">
        <f t="shared" si="0"/>
        <v>-</v>
      </c>
      <c r="F47" s="518" t="str">
        <f t="shared" si="1"/>
        <v>-</v>
      </c>
      <c r="G47" s="688" t="str">
        <f t="shared" si="2"/>
        <v>-</v>
      </c>
      <c r="H47" s="519" t="str">
        <f t="shared" si="3"/>
        <v>-</v>
      </c>
      <c r="I47" s="519" t="str">
        <f t="shared" si="4"/>
        <v>-</v>
      </c>
      <c r="J47" s="519" t="str">
        <f t="shared" si="5"/>
        <v>-</v>
      </c>
      <c r="K47" s="518" t="str">
        <f t="shared" si="6"/>
        <v>-</v>
      </c>
      <c r="L47" s="518" t="str">
        <f t="shared" si="7"/>
        <v>-</v>
      </c>
      <c r="M47" s="518" t="str">
        <f t="shared" si="8"/>
        <v>-</v>
      </c>
      <c r="N47" s="518" t="str">
        <f t="shared" si="9"/>
        <v>-</v>
      </c>
      <c r="O47" s="496"/>
      <c r="P47" s="497"/>
      <c r="Q47" s="497"/>
      <c r="R47" s="497"/>
      <c r="S47" s="497"/>
      <c r="T47" s="497"/>
      <c r="U47" s="534" t="str">
        <f t="shared" si="10"/>
        <v>-</v>
      </c>
      <c r="V47" s="534" t="str">
        <f t="shared" si="11"/>
        <v>-</v>
      </c>
      <c r="W47" s="497"/>
      <c r="X47" s="497"/>
      <c r="Y47" s="497"/>
      <c r="Z47" s="497"/>
      <c r="AA47" s="497"/>
      <c r="AB47" s="500">
        <v>0</v>
      </c>
      <c r="AC47" s="501">
        <v>0</v>
      </c>
      <c r="AD47" s="518" t="str">
        <f t="shared" si="12"/>
        <v>-</v>
      </c>
      <c r="AE47" s="518" t="str">
        <f t="shared" si="13"/>
        <v>-</v>
      </c>
      <c r="AF47" s="504"/>
      <c r="AG47" s="534" t="str">
        <f t="shared" si="14"/>
        <v>-</v>
      </c>
      <c r="AH47" s="504"/>
      <c r="AI47" s="691"/>
      <c r="AJ47" s="504"/>
      <c r="AK47" s="691"/>
      <c r="AL47" s="504"/>
      <c r="AM47" s="504"/>
      <c r="AN47" s="506">
        <v>0</v>
      </c>
      <c r="AO47" s="504"/>
      <c r="AP47" s="504"/>
      <c r="AQ47" s="534" t="str">
        <f t="shared" si="15"/>
        <v>-</v>
      </c>
      <c r="AR47" s="534" t="str">
        <f t="shared" si="16"/>
        <v>-</v>
      </c>
      <c r="AS47" s="534" t="str">
        <f t="shared" si="17"/>
        <v>-</v>
      </c>
      <c r="AT47" s="534" t="str">
        <f t="shared" si="18"/>
        <v>-</v>
      </c>
      <c r="AU47" s="534" t="str">
        <f t="shared" si="19"/>
        <v>-</v>
      </c>
      <c r="AV47" s="510"/>
      <c r="AW47" s="511" t="s">
        <v>472</v>
      </c>
      <c r="AX47" s="511" t="s">
        <v>473</v>
      </c>
      <c r="AY47" s="504"/>
      <c r="AZ47" s="512">
        <v>0</v>
      </c>
      <c r="BA47" s="534" t="str">
        <f t="shared" si="20"/>
        <v>-</v>
      </c>
      <c r="BB47" s="534" t="str">
        <f t="shared" si="21"/>
        <v>-</v>
      </c>
      <c r="BC47" s="534" t="str">
        <f t="shared" si="22"/>
        <v>-</v>
      </c>
      <c r="BD47" s="534" t="str">
        <f t="shared" si="23"/>
        <v>-</v>
      </c>
      <c r="BE47" s="534" t="str">
        <f t="shared" si="24"/>
        <v>-</v>
      </c>
      <c r="BF47" s="504"/>
      <c r="BG47" s="511" t="s">
        <v>472</v>
      </c>
      <c r="BH47" s="511" t="s">
        <v>473</v>
      </c>
      <c r="BI47" s="504"/>
      <c r="BJ47" s="512">
        <v>0</v>
      </c>
      <c r="BK47" s="534" t="str">
        <f t="shared" si="25"/>
        <v>-</v>
      </c>
      <c r="BL47" s="534" t="str">
        <f t="shared" si="26"/>
        <v>-</v>
      </c>
      <c r="BM47" s="534" t="str">
        <f t="shared" si="27"/>
        <v>-</v>
      </c>
      <c r="BN47" s="534" t="str">
        <f t="shared" si="28"/>
        <v>-</v>
      </c>
      <c r="BO47" s="504"/>
      <c r="BP47" s="511" t="s">
        <v>472</v>
      </c>
      <c r="BQ47" s="511" t="s">
        <v>473</v>
      </c>
      <c r="BR47" s="511"/>
      <c r="BS47" s="512">
        <v>0</v>
      </c>
      <c r="BT47" s="504"/>
      <c r="BU47" s="504"/>
      <c r="BV47" s="504"/>
      <c r="BW47" s="504"/>
      <c r="BX47" s="504"/>
      <c r="BY47" s="504"/>
      <c r="BZ47" s="691"/>
      <c r="CA47" s="504"/>
      <c r="CB47" s="694"/>
    </row>
    <row r="48" spans="4:80" ht="15"/>
    <row r="49" ht="15"/>
    <row r="50" ht="15.75" customHeight="1"/>
    <row r="51" ht="15"/>
    <row r="52" ht="15"/>
    <row r="53" ht="15"/>
    <row r="54" ht="15"/>
    <row r="55" ht="15"/>
    <row r="56" ht="15"/>
    <row r="57" ht="15"/>
    <row r="58" ht="15"/>
    <row r="59" ht="15"/>
    <row r="60" ht="15"/>
    <row r="61" ht="15"/>
    <row r="62" ht="15"/>
    <row r="63" ht="15"/>
    <row r="64" ht="15"/>
    <row r="65" ht="15"/>
    <row r="66" ht="15"/>
    <row r="67" ht="15"/>
    <row r="68" ht="15"/>
    <row r="69" ht="15"/>
    <row r="70" s="473" customFormat="1" ht="15"/>
  </sheetData>
  <sheetProtection password="CE75" sheet="1" objects="1" scenarios="1"/>
  <mergeCells count="15">
    <mergeCell ref="AB6:AC6"/>
    <mergeCell ref="Y5:AC5"/>
    <mergeCell ref="H2:P2"/>
    <mergeCell ref="BT5:BV5"/>
    <mergeCell ref="BW5:BZ5"/>
    <mergeCell ref="CA5:CB5"/>
    <mergeCell ref="H5:T5"/>
    <mergeCell ref="D5:G5"/>
    <mergeCell ref="AD5:AF5"/>
    <mergeCell ref="AG5:AN5"/>
    <mergeCell ref="AO5:AP5"/>
    <mergeCell ref="AQ5:AZ5"/>
    <mergeCell ref="BA5:BJ5"/>
    <mergeCell ref="BK5:BS5"/>
    <mergeCell ref="U5:X5"/>
  </mergeCells>
  <dataValidations count="1">
    <dataValidation type="list" allowBlank="1" showInputMessage="1" showErrorMessage="1" sqref="BP8:BP47 BG8:BG47 AW8:AW47">
      <formula1>"Islam, Kristen, Katolik, Hindu, Budha"</formula1>
    </dataValidation>
  </dataValidations>
  <hyperlinks>
    <hyperlink ref="B8" location="Bio_Bk_Induk!H5" display="Bio_Bk_Induk!H5"/>
    <hyperlink ref="B9" location="Bio_Bk_Induk!U5" display="Bio_Bk_Induk!U5"/>
    <hyperlink ref="B10" location="Bio_Bk_Induk!Y5" display="Bio_Bk_Induk!Y5"/>
    <hyperlink ref="B11" location="Bio_Bk_Induk!AD5" display="DITERIMA DISINI"/>
    <hyperlink ref="B12" location="Bio_Bk_Induk!AG5" display="PEND. SEBELUMNYA"/>
    <hyperlink ref="B13" location="Bio_Bk_Induk!AO5" display="Bio_Bk_Induk!AO5"/>
    <hyperlink ref="B14" location="Bio_Bk_Induk!AQ5" display="DATA AYAH"/>
    <hyperlink ref="B15" location="Bio_Bk_Induk!BA5" display="DATA IBU"/>
    <hyperlink ref="B16" location="Bio_Bk_Induk!BK5" display="DATA WALI"/>
    <hyperlink ref="B17" location="Bio_Bk_Induk!BT5" display="Bio_Bk_Induk!BT5"/>
    <hyperlink ref="B18" location="Bio_Bk_Induk!BW5" display="PERKEMBANGAN"/>
    <hyperlink ref="B19" location="Bio_Bk_Induk!CA5" display="SETELAH SEKOLAH"/>
  </hyperlinks>
  <pageMargins left="0.7" right="0.7" top="0.75" bottom="0.75" header="0.3" footer="0.3"/>
  <pageSetup orientation="portrait" r:id="rId1"/>
  <ignoredErrors>
    <ignoredError sqref="D7" numberStoredAsText="1"/>
  </ignoredErrors>
  <drawing r:id="rId2"/>
</worksheet>
</file>

<file path=xl/worksheets/sheet76.xml><?xml version="1.0" encoding="utf-8"?>
<worksheet xmlns="http://schemas.openxmlformats.org/spreadsheetml/2006/main" xmlns:r="http://schemas.openxmlformats.org/officeDocument/2006/relationships">
  <sheetPr codeName="Sheet73">
    <tabColor theme="3"/>
  </sheetPr>
  <dimension ref="A1:BR237"/>
  <sheetViews>
    <sheetView showGridLines="0" showRowColHeaders="0" zoomScaleSheetLayoutView="100" workbookViewId="0"/>
  </sheetViews>
  <sheetFormatPr defaultColWidth="0" defaultRowHeight="0" customHeight="1" zeroHeight="1"/>
  <cols>
    <col min="1" max="1" width="14.7109375" style="16" customWidth="1"/>
    <col min="2" max="12" width="3.28515625" style="99" customWidth="1"/>
    <col min="13" max="13" width="3.28515625" style="158" customWidth="1"/>
    <col min="14" max="18" width="3.28515625" style="99" customWidth="1"/>
    <col min="19" max="19" width="2.5703125" style="99" customWidth="1"/>
    <col min="20" max="20" width="1.28515625" style="99" customWidth="1"/>
    <col min="21" max="21" width="3.140625" style="99" customWidth="1"/>
    <col min="22" max="23" width="3.28515625" style="99" customWidth="1"/>
    <col min="24" max="24" width="3" style="99" customWidth="1"/>
    <col min="25" max="25" width="3.28515625" style="99" customWidth="1"/>
    <col min="26" max="26" width="4.28515625" style="99" customWidth="1"/>
    <col min="27" max="36" width="3.28515625" style="99" customWidth="1"/>
    <col min="37" max="37" width="3.28515625" style="158" customWidth="1"/>
    <col min="38" max="47" width="3.28515625" style="99" customWidth="1"/>
    <col min="48" max="48" width="4.140625" style="16" customWidth="1"/>
    <col min="49" max="49" width="4.7109375" style="16" customWidth="1"/>
    <col min="50" max="50" width="9.140625" style="16" customWidth="1"/>
    <col min="51" max="51" width="7.28515625" style="16" customWidth="1"/>
    <col min="52" max="52" width="9.140625" style="16" customWidth="1"/>
    <col min="53" max="53" width="12.28515625" style="16" customWidth="1"/>
    <col min="54" max="70" width="0" style="16" hidden="1" customWidth="1"/>
    <col min="71" max="16384" width="9.140625" style="16" hidden="1"/>
  </cols>
  <sheetData>
    <row r="1" spans="1:65" ht="7.5" customHeight="1">
      <c r="A1" s="195"/>
      <c r="B1" s="98"/>
      <c r="C1" s="98"/>
      <c r="D1" s="98"/>
      <c r="E1" s="98"/>
      <c r="F1" s="98"/>
      <c r="G1" s="98"/>
      <c r="H1" s="98"/>
      <c r="I1" s="98"/>
      <c r="J1" s="98"/>
      <c r="K1" s="98"/>
      <c r="L1" s="98"/>
      <c r="M1" s="546"/>
      <c r="N1" s="98"/>
      <c r="O1" s="98"/>
      <c r="P1" s="98"/>
      <c r="Q1" s="98"/>
      <c r="R1" s="98"/>
      <c r="S1" s="98"/>
      <c r="T1" s="98"/>
      <c r="U1" s="98"/>
      <c r="V1" s="98"/>
      <c r="W1" s="98"/>
      <c r="X1" s="98"/>
      <c r="Y1" s="98"/>
      <c r="Z1" s="98"/>
      <c r="AA1" s="98"/>
      <c r="AB1" s="98"/>
      <c r="AC1" s="98"/>
      <c r="AD1" s="98"/>
      <c r="AE1" s="98"/>
      <c r="AF1" s="98"/>
      <c r="AG1" s="98"/>
      <c r="AH1" s="98"/>
      <c r="AI1" s="98"/>
      <c r="AJ1" s="98"/>
      <c r="AK1" s="546"/>
      <c r="AL1" s="98"/>
      <c r="AM1" s="98"/>
      <c r="AN1" s="98"/>
      <c r="AO1" s="98"/>
      <c r="AP1" s="98"/>
      <c r="AQ1" s="98"/>
      <c r="AR1" s="98"/>
      <c r="AS1" s="98"/>
      <c r="AT1" s="98"/>
      <c r="AU1" s="98"/>
    </row>
    <row r="2" spans="1:65" ht="18.75" customHeight="1">
      <c r="B2" s="532" t="s">
        <v>498</v>
      </c>
      <c r="C2" s="98"/>
      <c r="D2" s="98"/>
      <c r="E2" s="98"/>
      <c r="F2" s="98"/>
      <c r="G2" s="98"/>
      <c r="H2" s="98"/>
      <c r="I2" s="98"/>
      <c r="J2" s="98"/>
      <c r="K2" s="98"/>
      <c r="L2" s="98"/>
      <c r="M2" s="546"/>
      <c r="N2" s="98"/>
      <c r="O2" s="98"/>
      <c r="P2" s="98"/>
      <c r="Q2" s="98"/>
      <c r="R2" s="98"/>
      <c r="S2" s="98"/>
      <c r="T2" s="98"/>
      <c r="U2" s="98"/>
      <c r="V2" s="98"/>
      <c r="W2" s="98"/>
      <c r="X2" s="98"/>
      <c r="Y2" s="98"/>
      <c r="Z2" s="98"/>
      <c r="AA2" s="98"/>
      <c r="AB2" s="98"/>
      <c r="AC2" s="98"/>
      <c r="AD2" s="98"/>
      <c r="AE2" s="98"/>
      <c r="AF2" s="98"/>
      <c r="AG2" s="98"/>
      <c r="AH2" s="98"/>
      <c r="AI2" s="98"/>
      <c r="AJ2" s="98"/>
      <c r="AK2" s="546"/>
      <c r="AL2" s="98"/>
      <c r="AM2" s="98"/>
      <c r="AN2" s="98"/>
      <c r="AO2" s="98"/>
      <c r="AP2" s="98"/>
      <c r="AQ2" s="98"/>
      <c r="AR2" s="98"/>
      <c r="AS2" s="98"/>
      <c r="AT2" s="98"/>
      <c r="AU2" s="98"/>
    </row>
    <row r="3" spans="1:65" ht="21" customHeight="1" thickBot="1">
      <c r="B3" s="538" t="str">
        <f>"KELAS "&amp;_kelas&amp;" - Semester "&amp;_smt_ganjil&amp;" dan Semester "&amp;_smt_genap</f>
        <v>KELAS VIII A - Semester 3 (Tiga) dan Semester 4 (Empat)</v>
      </c>
      <c r="C3" s="98"/>
      <c r="D3" s="98"/>
      <c r="E3" s="98"/>
      <c r="F3" s="98"/>
      <c r="G3" s="98"/>
      <c r="H3" s="98"/>
      <c r="I3" s="98"/>
      <c r="J3" s="98"/>
      <c r="K3" s="98"/>
      <c r="L3" s="98"/>
      <c r="M3" s="546"/>
      <c r="N3" s="98"/>
      <c r="O3" s="98"/>
      <c r="P3" s="98"/>
      <c r="Q3" s="98"/>
      <c r="R3" s="98"/>
      <c r="S3" s="98"/>
      <c r="T3" s="98"/>
      <c r="U3" s="98"/>
      <c r="V3" s="98"/>
      <c r="W3" s="98"/>
      <c r="X3" s="98"/>
      <c r="Y3" s="98"/>
      <c r="Z3" s="98"/>
      <c r="AA3" s="98"/>
      <c r="AB3" s="98"/>
      <c r="AC3" s="98"/>
      <c r="AD3" s="98"/>
      <c r="AE3" s="98"/>
      <c r="AF3" s="98"/>
      <c r="AG3" s="98"/>
      <c r="AH3" s="98"/>
      <c r="AI3" s="98"/>
      <c r="AJ3" s="98"/>
      <c r="AK3" s="546"/>
      <c r="AL3" s="98"/>
      <c r="AM3" s="98"/>
      <c r="AN3" s="98"/>
      <c r="AO3" s="98"/>
      <c r="AP3" s="98"/>
      <c r="AQ3" s="98"/>
      <c r="AR3" s="98"/>
      <c r="AS3" s="98"/>
      <c r="AT3" s="98"/>
      <c r="AU3" s="98"/>
      <c r="AW3" s="1236"/>
      <c r="AX3" s="1236"/>
    </row>
    <row r="4" spans="1:65" s="98" customFormat="1" ht="18.75">
      <c r="B4" s="1483" t="s">
        <v>499</v>
      </c>
      <c r="C4" s="1483"/>
      <c r="D4" s="1483"/>
      <c r="E4" s="1483"/>
      <c r="F4" s="1483"/>
      <c r="G4" s="1483"/>
      <c r="H4" s="1483"/>
      <c r="I4" s="1483"/>
      <c r="J4" s="1483"/>
      <c r="K4" s="1483"/>
      <c r="L4" s="1483"/>
      <c r="M4" s="1483"/>
      <c r="N4" s="1483"/>
      <c r="O4" s="1483"/>
      <c r="P4" s="1483"/>
      <c r="Q4" s="1483"/>
      <c r="R4" s="1483"/>
      <c r="S4" s="1483"/>
      <c r="T4" s="1483"/>
      <c r="U4" s="1483"/>
      <c r="V4" s="1483"/>
      <c r="W4" s="1483"/>
      <c r="X4" s="1483"/>
      <c r="Y4" s="1483"/>
      <c r="Z4" s="1483"/>
      <c r="AA4" s="1483"/>
      <c r="AB4" s="1483"/>
      <c r="AC4" s="1483"/>
      <c r="AD4" s="1483"/>
      <c r="AE4" s="1483"/>
      <c r="AF4" s="1483"/>
      <c r="AG4" s="1483"/>
      <c r="AH4" s="1483"/>
      <c r="AI4" s="1483"/>
      <c r="AJ4" s="1483"/>
      <c r="AK4" s="1483"/>
      <c r="AL4" s="1483"/>
      <c r="AM4" s="1483"/>
      <c r="AN4" s="1483"/>
      <c r="AO4" s="1483"/>
      <c r="AP4" s="1483"/>
      <c r="AQ4" s="1483"/>
      <c r="AR4" s="1483"/>
      <c r="AS4" s="1483"/>
      <c r="AT4" s="1483"/>
      <c r="AU4" s="1483"/>
      <c r="AW4" s="1117">
        <v>1</v>
      </c>
      <c r="AX4" s="1119"/>
    </row>
    <row r="5" spans="1:65" s="535" customFormat="1" ht="15.75">
      <c r="B5" s="1484" t="str">
        <f>UPPER(_sekolah_label)</f>
        <v>SMP NEGERI 1 ABUNG SURAKARTA</v>
      </c>
      <c r="C5" s="1484"/>
      <c r="D5" s="1484"/>
      <c r="E5" s="1484"/>
      <c r="F5" s="1484"/>
      <c r="G5" s="1484"/>
      <c r="H5" s="1484"/>
      <c r="I5" s="1484"/>
      <c r="J5" s="1484"/>
      <c r="K5" s="1484"/>
      <c r="L5" s="1484"/>
      <c r="M5" s="1484"/>
      <c r="N5" s="1484"/>
      <c r="O5" s="1484"/>
      <c r="P5" s="1484"/>
      <c r="Q5" s="1484"/>
      <c r="R5" s="1484"/>
      <c r="S5" s="1484"/>
      <c r="T5" s="1484"/>
      <c r="U5" s="1484"/>
      <c r="V5" s="1484"/>
      <c r="W5" s="1484"/>
      <c r="X5" s="1484"/>
      <c r="Y5" s="1484"/>
      <c r="Z5" s="1484"/>
      <c r="AA5" s="1484"/>
      <c r="AB5" s="1484"/>
      <c r="AC5" s="1484"/>
      <c r="AD5" s="1484"/>
      <c r="AE5" s="1484"/>
      <c r="AF5" s="1484"/>
      <c r="AG5" s="1484"/>
      <c r="AH5" s="1484"/>
      <c r="AI5" s="1484"/>
      <c r="AJ5" s="1484"/>
      <c r="AK5" s="1484"/>
      <c r="AL5" s="1484"/>
      <c r="AM5" s="1484"/>
      <c r="AN5" s="1484"/>
      <c r="AO5" s="1484"/>
      <c r="AP5" s="1484"/>
      <c r="AQ5" s="1484"/>
      <c r="AR5" s="1484"/>
      <c r="AS5" s="1484"/>
      <c r="AT5" s="1484"/>
      <c r="AU5" s="1484"/>
      <c r="AW5" s="1120"/>
      <c r="AX5" s="1122"/>
      <c r="AZ5" s="98"/>
      <c r="BA5" s="98"/>
      <c r="BB5" s="98"/>
      <c r="BC5" s="98"/>
      <c r="BD5" s="98"/>
      <c r="BE5" s="98"/>
      <c r="BF5" s="98"/>
      <c r="BG5" s="98"/>
      <c r="BH5" s="98"/>
      <c r="BI5" s="98"/>
      <c r="BJ5" s="98"/>
      <c r="BK5" s="98"/>
      <c r="BL5" s="98"/>
      <c r="BM5" s="98"/>
    </row>
    <row r="6" spans="1:65" s="98" customFormat="1" ht="15">
      <c r="B6" s="1485" t="str">
        <f>IFERROR("NIS/NISN : "&amp;VLOOKUP($AW$4,_Biodata_Lengkap,2,FALSE)&amp;"/"&amp;VLOOKUP($AW$4,_Biodata_Lengkap,3,FALSE),"-")</f>
        <v>NIS/NISN : 7057/0061139155</v>
      </c>
      <c r="C6" s="1485"/>
      <c r="D6" s="1485"/>
      <c r="E6" s="1485"/>
      <c r="F6" s="1485"/>
      <c r="G6" s="1485"/>
      <c r="H6" s="1485"/>
      <c r="I6" s="1485"/>
      <c r="J6" s="1485"/>
      <c r="K6" s="1485"/>
      <c r="L6" s="1485"/>
      <c r="M6" s="1485"/>
      <c r="N6" s="1485"/>
      <c r="O6" s="1485"/>
      <c r="P6" s="1485"/>
      <c r="Q6" s="1485"/>
      <c r="R6" s="1485"/>
      <c r="S6" s="1485"/>
      <c r="T6" s="1485"/>
      <c r="U6" s="1485"/>
      <c r="V6" s="1485"/>
      <c r="W6" s="1485"/>
      <c r="X6" s="1485"/>
      <c r="Y6" s="1485"/>
      <c r="Z6" s="1485"/>
      <c r="AA6" s="1485"/>
      <c r="AB6" s="1485"/>
      <c r="AC6" s="1485"/>
      <c r="AD6" s="1485"/>
      <c r="AE6" s="1485"/>
      <c r="AF6" s="1485"/>
      <c r="AG6" s="1485"/>
      <c r="AH6" s="1485"/>
      <c r="AI6" s="1485"/>
      <c r="AJ6" s="1485"/>
      <c r="AK6" s="1485"/>
      <c r="AL6" s="1485"/>
      <c r="AM6" s="1485"/>
      <c r="AN6" s="1485"/>
      <c r="AO6" s="1485"/>
      <c r="AP6" s="1485"/>
      <c r="AQ6" s="1485"/>
      <c r="AR6" s="1485"/>
      <c r="AS6" s="1485"/>
      <c r="AT6" s="1485"/>
      <c r="AU6" s="1485"/>
      <c r="AW6" s="1120"/>
      <c r="AX6" s="1122"/>
    </row>
    <row r="7" spans="1:65" s="98" customFormat="1" ht="15.75" thickBot="1">
      <c r="B7" s="100"/>
      <c r="C7" s="100"/>
      <c r="D7" s="100"/>
      <c r="E7" s="100"/>
      <c r="F7" s="100"/>
      <c r="G7" s="100"/>
      <c r="H7" s="100"/>
      <c r="I7" s="100"/>
      <c r="J7" s="100"/>
      <c r="K7" s="100"/>
      <c r="L7" s="100"/>
      <c r="M7" s="476"/>
      <c r="N7" s="100"/>
      <c r="O7" s="100"/>
      <c r="P7" s="100"/>
      <c r="Q7" s="100"/>
      <c r="R7" s="100"/>
      <c r="S7" s="100"/>
      <c r="T7" s="100"/>
      <c r="U7" s="100"/>
      <c r="V7" s="100"/>
      <c r="W7" s="100"/>
      <c r="X7" s="100"/>
      <c r="Y7" s="100"/>
      <c r="Z7" s="100"/>
      <c r="AA7" s="100"/>
      <c r="AB7" s="100"/>
      <c r="AC7" s="100"/>
      <c r="AD7" s="100"/>
      <c r="AE7" s="100"/>
      <c r="AF7" s="100"/>
      <c r="AG7" s="100"/>
      <c r="AH7" s="100"/>
      <c r="AI7" s="100"/>
      <c r="AJ7" s="100"/>
      <c r="AK7" s="476"/>
      <c r="AL7" s="100"/>
      <c r="AM7" s="100"/>
      <c r="AN7" s="100"/>
      <c r="AO7" s="100"/>
      <c r="AP7" s="100"/>
      <c r="AQ7" s="100"/>
      <c r="AR7" s="100"/>
      <c r="AS7" s="100"/>
      <c r="AT7" s="100"/>
      <c r="AU7" s="100"/>
      <c r="AW7" s="1123"/>
      <c r="AX7" s="1125"/>
    </row>
    <row r="8" spans="1:65" s="483" customFormat="1" ht="12" customHeight="1">
      <c r="B8" s="542" t="s">
        <v>500</v>
      </c>
      <c r="C8" s="542" t="s">
        <v>501</v>
      </c>
      <c r="D8" s="542"/>
      <c r="E8" s="542"/>
      <c r="F8" s="542"/>
      <c r="G8" s="542"/>
      <c r="H8" s="542"/>
      <c r="I8" s="542"/>
      <c r="J8" s="542"/>
      <c r="K8" s="542"/>
      <c r="L8" s="542"/>
      <c r="M8" s="547"/>
      <c r="N8" s="542"/>
      <c r="O8" s="542"/>
      <c r="P8" s="542"/>
      <c r="Q8" s="542"/>
      <c r="R8" s="542"/>
      <c r="S8" s="542"/>
      <c r="T8" s="542"/>
      <c r="U8" s="542"/>
      <c r="V8" s="542"/>
      <c r="W8" s="542"/>
      <c r="X8" s="542"/>
      <c r="Y8" s="542" t="s">
        <v>554</v>
      </c>
      <c r="Z8" s="542" t="s">
        <v>541</v>
      </c>
      <c r="AA8" s="542"/>
      <c r="AB8" s="542"/>
      <c r="AC8" s="542"/>
      <c r="AD8" s="542"/>
      <c r="AE8" s="542"/>
      <c r="AF8" s="542"/>
      <c r="AG8" s="542"/>
      <c r="AH8" s="542"/>
      <c r="AI8" s="542"/>
      <c r="AJ8" s="542"/>
      <c r="AK8" s="547"/>
      <c r="AL8" s="542"/>
      <c r="AM8" s="542"/>
      <c r="AN8" s="542"/>
      <c r="AO8" s="542"/>
      <c r="AP8" s="542"/>
      <c r="AQ8" s="542"/>
      <c r="AR8" s="542"/>
      <c r="AS8" s="542"/>
      <c r="AT8" s="542"/>
      <c r="AU8" s="542"/>
      <c r="AZ8" s="1479"/>
      <c r="BA8" s="1479"/>
    </row>
    <row r="9" spans="1:65" s="483" customFormat="1" ht="12" customHeight="1">
      <c r="B9" s="539"/>
      <c r="C9" s="543" t="s">
        <v>303</v>
      </c>
      <c r="D9" s="539" t="s">
        <v>278</v>
      </c>
      <c r="E9" s="539"/>
      <c r="F9" s="539"/>
      <c r="G9" s="539"/>
      <c r="H9" s="539"/>
      <c r="I9" s="539"/>
      <c r="J9" s="539"/>
      <c r="K9" s="539"/>
      <c r="L9" s="539"/>
      <c r="M9" s="543"/>
      <c r="N9" s="539"/>
      <c r="O9" s="539"/>
      <c r="P9" s="539"/>
      <c r="Q9" s="539"/>
      <c r="R9" s="539"/>
      <c r="S9" s="539"/>
      <c r="T9" s="539"/>
      <c r="U9" s="539"/>
      <c r="V9" s="539"/>
      <c r="W9" s="539"/>
      <c r="X9" s="539"/>
      <c r="Y9" s="539"/>
      <c r="Z9" s="539" t="s">
        <v>545</v>
      </c>
      <c r="AA9" s="539" t="s">
        <v>100</v>
      </c>
      <c r="AB9" s="539"/>
      <c r="AC9" s="539"/>
      <c r="AD9" s="539"/>
      <c r="AE9" s="539"/>
      <c r="AF9" s="539"/>
      <c r="AG9" s="539"/>
      <c r="AH9" s="539"/>
      <c r="AI9" s="539"/>
      <c r="AJ9" s="540" t="s">
        <v>2</v>
      </c>
      <c r="AK9" s="1480" t="str">
        <f>IFERROR(IF(VLOOKUP($AW$4,_bio_bk_induk,40,FALSE)=0,"-",(VLOOKUP($AW$4,_bio_bk_induk,40,FALSE))),"-")</f>
        <v>ANDI CAWARMAN</v>
      </c>
      <c r="AL9" s="1480"/>
      <c r="AM9" s="1480"/>
      <c r="AN9" s="1480"/>
      <c r="AO9" s="1480"/>
      <c r="AP9" s="1480"/>
      <c r="AQ9" s="1480"/>
      <c r="AR9" s="1480"/>
      <c r="AS9" s="1480"/>
      <c r="AT9" s="1480"/>
      <c r="AU9" s="1480"/>
    </row>
    <row r="10" spans="1:65" s="483" customFormat="1" ht="12" customHeight="1">
      <c r="B10" s="539"/>
      <c r="C10" s="539"/>
      <c r="D10" s="539" t="s">
        <v>288</v>
      </c>
      <c r="E10" s="539" t="s">
        <v>52</v>
      </c>
      <c r="F10" s="539"/>
      <c r="G10" s="539"/>
      <c r="H10" s="539"/>
      <c r="I10" s="539"/>
      <c r="J10" s="539"/>
      <c r="K10" s="539"/>
      <c r="L10" s="540" t="s">
        <v>2</v>
      </c>
      <c r="M10" s="1480" t="str">
        <f>IFERROR(IF(VLOOKUP($AW$4,_bio_bk_induk,4,FALSE)=0,"-",(VLOOKUP($AW$4,_bio_bk_induk,4,FALSE))),"-")</f>
        <v>Ahmad Zaki Aufa</v>
      </c>
      <c r="N10" s="1480"/>
      <c r="O10" s="1480"/>
      <c r="P10" s="1480"/>
      <c r="Q10" s="1480"/>
      <c r="R10" s="1480"/>
      <c r="S10" s="1480"/>
      <c r="T10" s="1480"/>
      <c r="U10" s="1480"/>
      <c r="V10" s="1480"/>
      <c r="W10" s="1480"/>
      <c r="X10" s="1480"/>
      <c r="Y10" s="539"/>
      <c r="Z10" s="539" t="s">
        <v>546</v>
      </c>
      <c r="AA10" s="539" t="s">
        <v>502</v>
      </c>
      <c r="AB10" s="539"/>
      <c r="AC10" s="539"/>
      <c r="AD10" s="539"/>
      <c r="AE10" s="539"/>
      <c r="AF10" s="539"/>
      <c r="AG10" s="539"/>
      <c r="AH10" s="539"/>
      <c r="AI10" s="539"/>
      <c r="AJ10" s="540" t="s">
        <v>2</v>
      </c>
      <c r="AK10" s="1480" t="str">
        <f>IFERROR(IF(VLOOKUP($AW$4,_bio_bk_induk,45,FALSE)=0,"-",(VLOOKUP($AW$4,_bio_bk_induk,45,FALSE))),"-")</f>
        <v>-</v>
      </c>
      <c r="AL10" s="1480"/>
      <c r="AM10" s="1480"/>
      <c r="AN10" s="1480"/>
      <c r="AO10" s="1480"/>
      <c r="AP10" s="1480"/>
      <c r="AQ10" s="1480"/>
      <c r="AR10" s="1480"/>
      <c r="AS10" s="1480"/>
      <c r="AT10" s="1480"/>
      <c r="AU10" s="1480"/>
    </row>
    <row r="11" spans="1:65" s="483" customFormat="1" ht="12" customHeight="1">
      <c r="B11" s="539"/>
      <c r="C11" s="539"/>
      <c r="D11" s="539" t="s">
        <v>289</v>
      </c>
      <c r="E11" s="539" t="s">
        <v>432</v>
      </c>
      <c r="F11" s="539"/>
      <c r="G11" s="539"/>
      <c r="H11" s="539"/>
      <c r="I11" s="539"/>
      <c r="J11" s="539"/>
      <c r="K11" s="539"/>
      <c r="L11" s="540" t="s">
        <v>2</v>
      </c>
      <c r="M11" s="1480" t="str">
        <f>IFERROR(IF(VLOOKUP($AW$4,_bio_bk_induk,12,FALSE)=0,"-",(VLOOKUP($AW$4,_bio_bk_induk,12,FALSE))),"-")</f>
        <v>-</v>
      </c>
      <c r="N11" s="1480"/>
      <c r="O11" s="1480"/>
      <c r="P11" s="1480"/>
      <c r="Q11" s="1480"/>
      <c r="R11" s="1480"/>
      <c r="S11" s="1480"/>
      <c r="T11" s="1480"/>
      <c r="U11" s="1480"/>
      <c r="V11" s="1480"/>
      <c r="W11" s="1480"/>
      <c r="X11" s="1480"/>
      <c r="Y11" s="539"/>
      <c r="Z11" s="539" t="s">
        <v>547</v>
      </c>
      <c r="AA11" s="539" t="s">
        <v>135</v>
      </c>
      <c r="AB11" s="539"/>
      <c r="AC11" s="539"/>
      <c r="AD11" s="539"/>
      <c r="AE11" s="539"/>
      <c r="AF11" s="539"/>
      <c r="AG11" s="539"/>
      <c r="AH11" s="539"/>
      <c r="AI11" s="539"/>
      <c r="AJ11" s="540" t="s">
        <v>2</v>
      </c>
      <c r="AK11" s="1480" t="str">
        <f>IFERROR(IF(VLOOKUP($AW$4,_bio_bk_induk,46,FALSE)=0,"-",(VLOOKUP($AW$4,_bio_bk_induk,46,FALSE))),"-")</f>
        <v>Islam</v>
      </c>
      <c r="AL11" s="1480"/>
      <c r="AM11" s="1480"/>
      <c r="AN11" s="1480"/>
      <c r="AO11" s="1480"/>
      <c r="AP11" s="1480"/>
      <c r="AQ11" s="1480"/>
      <c r="AR11" s="1480"/>
      <c r="AS11" s="1480"/>
      <c r="AT11" s="1480"/>
      <c r="AU11" s="1480"/>
    </row>
    <row r="12" spans="1:65" s="483" customFormat="1" ht="12" customHeight="1">
      <c r="B12" s="539"/>
      <c r="C12" s="539" t="s">
        <v>316</v>
      </c>
      <c r="D12" s="539" t="s">
        <v>134</v>
      </c>
      <c r="E12" s="539"/>
      <c r="F12" s="539"/>
      <c r="G12" s="539"/>
      <c r="H12" s="539"/>
      <c r="I12" s="539"/>
      <c r="J12" s="539"/>
      <c r="K12" s="539"/>
      <c r="L12" s="540" t="s">
        <v>2</v>
      </c>
      <c r="M12" s="1480" t="str">
        <f>IFERROR(IF(VLOOKUP($AW$4,_bio_bk_induk,5,FALSE)=0,"-",(VLOOKUP($AW$4,_bio_bk_induk,5,FALSE))),"-")</f>
        <v>Laki-Laki</v>
      </c>
      <c r="N12" s="1480"/>
      <c r="O12" s="1480"/>
      <c r="P12" s="1480"/>
      <c r="Q12" s="1480"/>
      <c r="R12" s="1480"/>
      <c r="S12" s="1480"/>
      <c r="T12" s="1480"/>
      <c r="U12" s="1480"/>
      <c r="V12" s="1480"/>
      <c r="W12" s="1480"/>
      <c r="X12" s="1480"/>
      <c r="Y12" s="539"/>
      <c r="Z12" s="539" t="s">
        <v>548</v>
      </c>
      <c r="AA12" s="539" t="s">
        <v>433</v>
      </c>
      <c r="AB12" s="539"/>
      <c r="AC12" s="539"/>
      <c r="AD12" s="539"/>
      <c r="AE12" s="539"/>
      <c r="AF12" s="539"/>
      <c r="AG12" s="539"/>
      <c r="AH12" s="539"/>
      <c r="AI12" s="539"/>
      <c r="AJ12" s="540" t="s">
        <v>2</v>
      </c>
      <c r="AK12" s="1480" t="str">
        <f>IFERROR(IF(VLOOKUP($AW$4,_bio_bk_induk,47,FALSE)=0,"-",(VLOOKUP($AW$4,_bio_bk_induk,47,FALSE))),"-")</f>
        <v>Indonesia</v>
      </c>
      <c r="AL12" s="1480"/>
      <c r="AM12" s="1480"/>
      <c r="AN12" s="1480"/>
      <c r="AO12" s="1480"/>
      <c r="AP12" s="1480"/>
      <c r="AQ12" s="1480"/>
      <c r="AR12" s="1480"/>
      <c r="AS12" s="1480"/>
      <c r="AT12" s="1480"/>
      <c r="AU12" s="1480"/>
    </row>
    <row r="13" spans="1:65" s="483" customFormat="1" ht="12" customHeight="1">
      <c r="B13" s="539"/>
      <c r="C13" s="539" t="s">
        <v>327</v>
      </c>
      <c r="D13" s="539" t="s">
        <v>502</v>
      </c>
      <c r="E13" s="539"/>
      <c r="F13" s="539"/>
      <c r="G13" s="539"/>
      <c r="H13" s="539"/>
      <c r="I13" s="539"/>
      <c r="J13" s="539"/>
      <c r="K13" s="539"/>
      <c r="L13" s="540" t="s">
        <v>2</v>
      </c>
      <c r="M13" s="550" t="str">
        <f>IFERROR(IF(VLOOKUP($AW$4,_bio_bk_induk,6,FALSE)=0,"-",(VLOOKUP($AW$4,_bio_bk_induk,6,FALSE)))&amp;", "&amp;IF(VLOOKUP($AW$4,_bio_bk_induk,7,FALSE)=0,"-",(VLOOKUP($AW$4,_bio_bk_induk,7,FALSE))),"-")</f>
        <v>SURAKARTA, 26/01/2006</v>
      </c>
      <c r="N13" s="550"/>
      <c r="O13" s="550"/>
      <c r="P13" s="550"/>
      <c r="Q13" s="550"/>
      <c r="R13" s="550"/>
      <c r="S13" s="550"/>
      <c r="T13" s="550"/>
      <c r="U13" s="550"/>
      <c r="V13" s="550"/>
      <c r="W13" s="550"/>
      <c r="X13" s="550"/>
      <c r="Y13" s="539"/>
      <c r="Z13" s="539" t="s">
        <v>550</v>
      </c>
      <c r="AA13" s="539" t="s">
        <v>467</v>
      </c>
      <c r="AB13" s="539"/>
      <c r="AC13" s="539"/>
      <c r="AD13" s="539"/>
      <c r="AE13" s="539"/>
      <c r="AF13" s="539"/>
      <c r="AG13" s="539"/>
      <c r="AH13" s="539"/>
      <c r="AI13" s="539"/>
      <c r="AJ13" s="540" t="s">
        <v>2</v>
      </c>
      <c r="AK13" s="1480" t="str">
        <f>IFERROR(IF(VLOOKUP($AW$4,_bio_bk_induk,48,FALSE)=0,"-",(VLOOKUP($AW$4,_bio_bk_induk,48,FALSE))),"-")</f>
        <v>-</v>
      </c>
      <c r="AL13" s="1480"/>
      <c r="AM13" s="1480"/>
      <c r="AN13" s="1480"/>
      <c r="AO13" s="1480"/>
      <c r="AP13" s="1480"/>
      <c r="AQ13" s="1480"/>
      <c r="AR13" s="1480"/>
      <c r="AS13" s="1480"/>
      <c r="AT13" s="1480"/>
      <c r="AU13" s="1480"/>
    </row>
    <row r="14" spans="1:65" s="483" customFormat="1" ht="12" customHeight="1">
      <c r="B14" s="539"/>
      <c r="C14" s="539" t="s">
        <v>410</v>
      </c>
      <c r="D14" s="539" t="s">
        <v>135</v>
      </c>
      <c r="E14" s="539"/>
      <c r="F14" s="544"/>
      <c r="G14" s="544"/>
      <c r="H14" s="544"/>
      <c r="I14" s="544"/>
      <c r="J14" s="544"/>
      <c r="K14" s="544"/>
      <c r="L14" s="540" t="s">
        <v>2</v>
      </c>
      <c r="M14" s="1480" t="str">
        <f>IFERROR(IF(VLOOKUP($AW$4,_bio_bk_induk,8,FALSE)=0,"-",(VLOOKUP($AW$4,_bio_bk_induk,8,FALSE))),"-")</f>
        <v>Islam</v>
      </c>
      <c r="N14" s="1480"/>
      <c r="O14" s="1480"/>
      <c r="P14" s="1480"/>
      <c r="Q14" s="1480"/>
      <c r="R14" s="1480"/>
      <c r="S14" s="1480"/>
      <c r="T14" s="1480"/>
      <c r="U14" s="1480"/>
      <c r="V14" s="1480"/>
      <c r="W14" s="1480"/>
      <c r="X14" s="1480"/>
      <c r="Y14" s="544"/>
      <c r="Z14" s="539" t="s">
        <v>552</v>
      </c>
      <c r="AA14" s="539" t="s">
        <v>142</v>
      </c>
      <c r="AB14" s="544"/>
      <c r="AC14" s="544"/>
      <c r="AD14" s="544"/>
      <c r="AE14" s="544"/>
      <c r="AF14" s="544"/>
      <c r="AG14" s="544"/>
      <c r="AH14" s="539"/>
      <c r="AI14" s="539"/>
      <c r="AJ14" s="540" t="s">
        <v>2</v>
      </c>
      <c r="AK14" s="1480" t="str">
        <f>IFERROR(IF(VLOOKUP($AW$4,_bio_bk_induk,41,FALSE)=0,"-",(VLOOKUP($AW$4,_bio_bk_induk,41,FALSE))),"-")</f>
        <v>Wiraswasta</v>
      </c>
      <c r="AL14" s="1480"/>
      <c r="AM14" s="1480"/>
      <c r="AN14" s="1480"/>
      <c r="AO14" s="1480"/>
      <c r="AP14" s="1480"/>
      <c r="AQ14" s="1480"/>
      <c r="AR14" s="1480"/>
      <c r="AS14" s="1480"/>
      <c r="AT14" s="1480"/>
      <c r="AU14" s="1480"/>
    </row>
    <row r="15" spans="1:65" s="483" customFormat="1" ht="12" customHeight="1">
      <c r="B15" s="539"/>
      <c r="C15" s="539" t="s">
        <v>411</v>
      </c>
      <c r="D15" s="539" t="s">
        <v>433</v>
      </c>
      <c r="E15" s="539"/>
      <c r="F15" s="544"/>
      <c r="G15" s="544"/>
      <c r="H15" s="544"/>
      <c r="I15" s="544"/>
      <c r="J15" s="544"/>
      <c r="K15" s="544"/>
      <c r="L15" s="540" t="s">
        <v>2</v>
      </c>
      <c r="M15" s="1480" t="str">
        <f>IFERROR(IF(VLOOKUP($AW$4,_bio_bk_induk,13,FALSE)=0,"-",(VLOOKUP($AW$4,_bio_bk_induk,13,FALSE))),"-")</f>
        <v>-</v>
      </c>
      <c r="N15" s="1480"/>
      <c r="O15" s="1480"/>
      <c r="P15" s="1480"/>
      <c r="Q15" s="1480"/>
      <c r="R15" s="1480"/>
      <c r="S15" s="1480"/>
      <c r="T15" s="1480"/>
      <c r="U15" s="1480"/>
      <c r="V15" s="1480"/>
      <c r="W15" s="1480"/>
      <c r="X15" s="1480"/>
      <c r="Y15" s="544"/>
      <c r="Z15" s="539" t="s">
        <v>555</v>
      </c>
      <c r="AA15" s="539" t="s">
        <v>549</v>
      </c>
      <c r="AB15" s="539"/>
      <c r="AC15" s="539"/>
      <c r="AD15" s="539"/>
      <c r="AE15" s="539"/>
      <c r="AF15" s="539"/>
      <c r="AG15" s="539"/>
      <c r="AH15" s="539"/>
      <c r="AI15" s="539"/>
      <c r="AJ15" s="540" t="s">
        <v>2</v>
      </c>
      <c r="AK15" s="1486" t="str">
        <f>IFERROR(IF(VLOOKUP($AW$4,_bio_bk_induk,49,FALSE)=0,"-",(VLOOKUP($AW$4,_bio_bk_induk,49,FALSE))),"-")</f>
        <v>-</v>
      </c>
      <c r="AL15" s="1486"/>
      <c r="AM15" s="1486"/>
      <c r="AN15" s="1486"/>
      <c r="AO15" s="1486"/>
      <c r="AP15" s="1486"/>
      <c r="AQ15" s="1486"/>
      <c r="AR15" s="1486"/>
      <c r="AS15" s="1486"/>
      <c r="AT15" s="1486"/>
      <c r="AU15" s="1486"/>
    </row>
    <row r="16" spans="1:65" s="483" customFormat="1" ht="12" customHeight="1">
      <c r="B16" s="539"/>
      <c r="C16" s="539" t="s">
        <v>503</v>
      </c>
      <c r="D16" s="539" t="s">
        <v>504</v>
      </c>
      <c r="E16" s="539"/>
      <c r="F16" s="544"/>
      <c r="G16" s="544"/>
      <c r="H16" s="544"/>
      <c r="I16" s="544"/>
      <c r="J16" s="544"/>
      <c r="K16" s="544"/>
      <c r="L16" s="540" t="s">
        <v>2</v>
      </c>
      <c r="M16" s="1480" t="str">
        <f>IFERROR(IF(VLOOKUP($AW$4,_bio_bk_induk,9,FALSE)=0,"-",(VLOOKUP($AW$4,_bio_bk_induk,9,FALSE))),"-")</f>
        <v>2 (Dua)</v>
      </c>
      <c r="N16" s="1480"/>
      <c r="O16" s="1480"/>
      <c r="P16" s="1480"/>
      <c r="Q16" s="1480"/>
      <c r="R16" s="1480"/>
      <c r="S16" s="1480"/>
      <c r="T16" s="1480"/>
      <c r="U16" s="1480"/>
      <c r="V16" s="1480"/>
      <c r="W16" s="1480"/>
      <c r="X16" s="1480"/>
      <c r="Y16" s="544"/>
      <c r="Z16" s="544" t="s">
        <v>556</v>
      </c>
      <c r="AA16" s="539" t="s">
        <v>551</v>
      </c>
      <c r="AB16" s="539"/>
      <c r="AC16" s="539"/>
      <c r="AD16" s="539"/>
      <c r="AE16" s="539"/>
      <c r="AF16" s="539"/>
      <c r="AG16" s="539"/>
      <c r="AH16" s="539"/>
      <c r="AI16" s="539"/>
      <c r="AJ16" s="540" t="s">
        <v>2</v>
      </c>
      <c r="AK16" s="1481" t="str">
        <f>IFERROR(IF(VLOOKUP($AW$4,_bio_bk_induk,42,FALSE)=0,"-",(VLOOKUP($AW$4,_bio_bk_induk,42,FALSE))),"-")</f>
        <v>SURAKARTA</v>
      </c>
      <c r="AL16" s="1481"/>
      <c r="AM16" s="1481"/>
      <c r="AN16" s="1481"/>
      <c r="AO16" s="1481"/>
      <c r="AP16" s="1481"/>
      <c r="AQ16" s="1481"/>
      <c r="AR16" s="1481"/>
      <c r="AS16" s="1481"/>
      <c r="AT16" s="1481"/>
      <c r="AU16" s="1481"/>
    </row>
    <row r="17" spans="2:47" s="483" customFormat="1" ht="12" customHeight="1">
      <c r="B17" s="539"/>
      <c r="C17" s="539" t="s">
        <v>505</v>
      </c>
      <c r="D17" s="539" t="s">
        <v>506</v>
      </c>
      <c r="E17" s="539"/>
      <c r="F17" s="539"/>
      <c r="G17" s="539"/>
      <c r="H17" s="539"/>
      <c r="I17" s="539"/>
      <c r="J17" s="539"/>
      <c r="K17" s="539"/>
      <c r="L17" s="540" t="s">
        <v>2</v>
      </c>
      <c r="M17" s="1480" t="str">
        <f>IFERROR(IF(VLOOKUP($AW$4,_bio_bk_induk,14,FALSE)=0,"-",(VLOOKUP($AW$4,_bio_bk_induk,14,FALSE))),"-")</f>
        <v>-</v>
      </c>
      <c r="N17" s="1480"/>
      <c r="O17" s="1480"/>
      <c r="P17" s="1480"/>
      <c r="Q17" s="1480"/>
      <c r="R17" s="1480"/>
      <c r="S17" s="1480"/>
      <c r="T17" s="1480"/>
      <c r="U17" s="1480"/>
      <c r="V17" s="1480"/>
      <c r="W17" s="1480"/>
      <c r="X17" s="1480"/>
      <c r="Y17" s="539"/>
      <c r="Z17" s="539"/>
      <c r="AA17" s="539"/>
      <c r="AB17" s="539"/>
      <c r="AC17" s="539"/>
      <c r="AD17" s="539"/>
      <c r="AE17" s="539"/>
      <c r="AF17" s="539"/>
      <c r="AG17" s="539"/>
      <c r="AH17" s="539"/>
      <c r="AI17" s="539"/>
      <c r="AJ17" s="540"/>
      <c r="AK17" s="1481"/>
      <c r="AL17" s="1481"/>
      <c r="AM17" s="1481"/>
      <c r="AN17" s="1481"/>
      <c r="AO17" s="1481"/>
      <c r="AP17" s="1481"/>
      <c r="AQ17" s="1481"/>
      <c r="AR17" s="1481"/>
      <c r="AS17" s="1481"/>
      <c r="AT17" s="1481"/>
      <c r="AU17" s="1481"/>
    </row>
    <row r="18" spans="2:47" s="483" customFormat="1" ht="12" customHeight="1">
      <c r="B18" s="539"/>
      <c r="C18" s="539" t="s">
        <v>507</v>
      </c>
      <c r="D18" s="539" t="s">
        <v>508</v>
      </c>
      <c r="E18" s="539"/>
      <c r="F18" s="539"/>
      <c r="G18" s="539"/>
      <c r="H18" s="539"/>
      <c r="I18" s="539"/>
      <c r="J18" s="539"/>
      <c r="K18" s="539"/>
      <c r="L18" s="540" t="s">
        <v>2</v>
      </c>
      <c r="M18" s="1480" t="str">
        <f>IFERROR(IF(VLOOKUP($AW$4,_bio_bk_induk,15,FALSE)=0,"-",(VLOOKUP($AW$4,_bio_bk_induk,15,FALSE))),"-")</f>
        <v>-</v>
      </c>
      <c r="N18" s="1480"/>
      <c r="O18" s="1480"/>
      <c r="P18" s="1480"/>
      <c r="Q18" s="1480"/>
      <c r="R18" s="1480"/>
      <c r="S18" s="1480"/>
      <c r="T18" s="1480"/>
      <c r="U18" s="1480"/>
      <c r="V18" s="1480"/>
      <c r="W18" s="1480"/>
      <c r="X18" s="1480"/>
      <c r="Y18" s="539"/>
      <c r="Z18" s="539" t="s">
        <v>557</v>
      </c>
      <c r="AA18" s="539" t="s">
        <v>553</v>
      </c>
      <c r="AB18" s="539"/>
      <c r="AC18" s="539"/>
      <c r="AD18" s="539"/>
      <c r="AE18" s="539"/>
      <c r="AF18" s="539"/>
      <c r="AG18" s="539"/>
      <c r="AH18" s="539"/>
      <c r="AI18" s="539"/>
      <c r="AJ18" s="540" t="s">
        <v>2</v>
      </c>
      <c r="AK18" s="1480" t="str">
        <f>IFERROR(IF(VLOOKUP($AW$4,_bio_bk_induk,43,FALSE)=0,"-",(VLOOKUP($AW$4,_bio_bk_induk,43,FALSE))),"-")</f>
        <v>Masih Hidup</v>
      </c>
      <c r="AL18" s="1480"/>
      <c r="AM18" s="1480"/>
      <c r="AN18" s="1480"/>
      <c r="AO18" s="1480"/>
      <c r="AP18" s="1480"/>
      <c r="AQ18" s="1480"/>
      <c r="AR18" s="1480"/>
      <c r="AS18" s="1480"/>
      <c r="AT18" s="1480"/>
      <c r="AU18" s="1480"/>
    </row>
    <row r="19" spans="2:47" s="483" customFormat="1" ht="12" customHeight="1">
      <c r="B19" s="539"/>
      <c r="C19" s="539" t="s">
        <v>509</v>
      </c>
      <c r="D19" s="539" t="s">
        <v>510</v>
      </c>
      <c r="E19" s="539"/>
      <c r="F19" s="539"/>
      <c r="G19" s="539"/>
      <c r="H19" s="539"/>
      <c r="I19" s="539"/>
      <c r="J19" s="539"/>
      <c r="K19" s="539"/>
      <c r="L19" s="540" t="s">
        <v>2</v>
      </c>
      <c r="M19" s="1480" t="str">
        <f>IFERROR(IF(VLOOKUP($AW$4,_bio_bk_induk,16,FALSE)=0,"-",(VLOOKUP($AW$4,_bio_bk_induk,16,FALSE))),"-")</f>
        <v>-</v>
      </c>
      <c r="N19" s="1480"/>
      <c r="O19" s="1480"/>
      <c r="P19" s="1480"/>
      <c r="Q19" s="1480"/>
      <c r="R19" s="1480"/>
      <c r="S19" s="1480"/>
      <c r="T19" s="1480"/>
      <c r="U19" s="1480"/>
      <c r="V19" s="1480"/>
      <c r="W19" s="1480"/>
      <c r="X19" s="1480"/>
      <c r="Y19" s="539"/>
      <c r="Z19" s="539"/>
      <c r="AA19" s="539"/>
      <c r="AB19" s="539"/>
      <c r="AC19" s="539"/>
      <c r="AD19" s="539"/>
      <c r="AE19" s="539"/>
      <c r="AF19" s="539"/>
      <c r="AG19" s="539"/>
      <c r="AH19" s="539"/>
      <c r="AI19" s="539"/>
      <c r="AJ19" s="539"/>
      <c r="AK19" s="553"/>
      <c r="AL19" s="550"/>
      <c r="AM19" s="550"/>
      <c r="AN19" s="550"/>
      <c r="AO19" s="550"/>
      <c r="AP19" s="550"/>
      <c r="AQ19" s="550"/>
      <c r="AR19" s="550"/>
      <c r="AS19" s="550"/>
      <c r="AT19" s="550"/>
      <c r="AU19" s="550"/>
    </row>
    <row r="20" spans="2:47" s="483" customFormat="1" ht="12" customHeight="1">
      <c r="B20" s="539"/>
      <c r="C20" s="539" t="s">
        <v>511</v>
      </c>
      <c r="D20" s="539" t="s">
        <v>512</v>
      </c>
      <c r="E20" s="539"/>
      <c r="F20" s="539"/>
      <c r="G20" s="539"/>
      <c r="H20" s="539"/>
      <c r="I20" s="539"/>
      <c r="J20" s="539"/>
      <c r="K20" s="539"/>
      <c r="L20" s="540" t="s">
        <v>2</v>
      </c>
      <c r="M20" s="1480" t="str">
        <f>IFERROR(IF(VLOOKUP($AW$4,_bio_bk_induk,17,FALSE)=0,"-",(VLOOKUP($AW$4,_bio_bk_induk,17,FALSE))),"-")</f>
        <v>-</v>
      </c>
      <c r="N20" s="1480"/>
      <c r="O20" s="1480"/>
      <c r="P20" s="1480"/>
      <c r="Q20" s="1480"/>
      <c r="R20" s="1480"/>
      <c r="S20" s="1480"/>
      <c r="T20" s="1480"/>
      <c r="U20" s="1480"/>
      <c r="V20" s="1480"/>
      <c r="W20" s="1480"/>
      <c r="X20" s="1480"/>
      <c r="Y20" s="542" t="s">
        <v>564</v>
      </c>
      <c r="Z20" s="542" t="s">
        <v>611</v>
      </c>
      <c r="AA20" s="539"/>
      <c r="AB20" s="539"/>
      <c r="AC20" s="539"/>
      <c r="AD20" s="539"/>
      <c r="AE20" s="539"/>
      <c r="AF20" s="539"/>
      <c r="AG20" s="539"/>
      <c r="AH20" s="539"/>
      <c r="AI20" s="539"/>
      <c r="AJ20" s="539"/>
      <c r="AK20" s="553"/>
      <c r="AL20" s="550"/>
      <c r="AM20" s="550"/>
      <c r="AN20" s="550"/>
      <c r="AO20" s="550"/>
      <c r="AP20" s="550"/>
      <c r="AQ20" s="550"/>
      <c r="AR20" s="550"/>
      <c r="AS20" s="550"/>
      <c r="AT20" s="550"/>
      <c r="AU20" s="550"/>
    </row>
    <row r="21" spans="2:47" s="483" customFormat="1" ht="12" customHeight="1">
      <c r="B21" s="539"/>
      <c r="C21" s="539"/>
      <c r="D21" s="539"/>
      <c r="E21" s="539"/>
      <c r="F21" s="544"/>
      <c r="G21" s="544"/>
      <c r="H21" s="544"/>
      <c r="I21" s="544"/>
      <c r="J21" s="544"/>
      <c r="K21" s="544"/>
      <c r="L21" s="545"/>
      <c r="M21" s="551"/>
      <c r="N21" s="552"/>
      <c r="O21" s="552"/>
      <c r="P21" s="552"/>
      <c r="Q21" s="552"/>
      <c r="R21" s="552"/>
      <c r="S21" s="552"/>
      <c r="T21" s="552"/>
      <c r="U21" s="552"/>
      <c r="V21" s="552"/>
      <c r="W21" s="552"/>
      <c r="X21" s="552"/>
      <c r="Y21" s="544"/>
      <c r="Z21" s="544" t="s">
        <v>558</v>
      </c>
      <c r="AA21" s="539" t="s">
        <v>100</v>
      </c>
      <c r="AB21" s="539"/>
      <c r="AC21" s="539"/>
      <c r="AD21" s="539"/>
      <c r="AE21" s="539"/>
      <c r="AF21" s="539"/>
      <c r="AG21" s="539"/>
      <c r="AH21" s="539"/>
      <c r="AI21" s="539"/>
      <c r="AJ21" s="540" t="s">
        <v>2</v>
      </c>
      <c r="AK21" s="1480" t="str">
        <f>IFERROR(IF(VLOOKUP($AW$4,_bio_bk_induk,50,FALSE)=0,"-",(VLOOKUP($AW$4,_bio_bk_induk,50,FALSE))),"-")</f>
        <v>TRI HUSPITA SARI</v>
      </c>
      <c r="AL21" s="1480"/>
      <c r="AM21" s="1480"/>
      <c r="AN21" s="1480"/>
      <c r="AO21" s="1480"/>
      <c r="AP21" s="1480"/>
      <c r="AQ21" s="1480"/>
      <c r="AR21" s="1480"/>
      <c r="AS21" s="1480"/>
      <c r="AT21" s="1480"/>
      <c r="AU21" s="1480"/>
    </row>
    <row r="22" spans="2:47" s="483" customFormat="1" ht="12" customHeight="1">
      <c r="B22" s="541" t="s">
        <v>513</v>
      </c>
      <c r="C22" s="541" t="s">
        <v>514</v>
      </c>
      <c r="D22" s="539"/>
      <c r="E22" s="539"/>
      <c r="F22" s="544"/>
      <c r="G22" s="544"/>
      <c r="H22" s="544"/>
      <c r="I22" s="544"/>
      <c r="J22" s="544"/>
      <c r="K22" s="544"/>
      <c r="L22" s="545"/>
      <c r="M22" s="551"/>
      <c r="N22" s="552"/>
      <c r="O22" s="552"/>
      <c r="P22" s="552"/>
      <c r="Q22" s="552"/>
      <c r="R22" s="552"/>
      <c r="S22" s="552"/>
      <c r="T22" s="552"/>
      <c r="U22" s="552"/>
      <c r="V22" s="552"/>
      <c r="W22" s="552"/>
      <c r="X22" s="552"/>
      <c r="Y22" s="544"/>
      <c r="Z22" s="544" t="s">
        <v>559</v>
      </c>
      <c r="AA22" s="539" t="s">
        <v>502</v>
      </c>
      <c r="AB22" s="539"/>
      <c r="AC22" s="539"/>
      <c r="AD22" s="539"/>
      <c r="AE22" s="539"/>
      <c r="AF22" s="539"/>
      <c r="AG22" s="539"/>
      <c r="AH22" s="539"/>
      <c r="AI22" s="539"/>
      <c r="AJ22" s="540" t="s">
        <v>2</v>
      </c>
      <c r="AK22" s="1480" t="str">
        <f>IFERROR(IF(VLOOKUP($AW$4,_bio_bk_induk,55,FALSE)=0,"-",(VLOOKUP($AW$4,_bio_bk_induk,55,FALSE))),"-")</f>
        <v>-</v>
      </c>
      <c r="AL22" s="1480"/>
      <c r="AM22" s="1480"/>
      <c r="AN22" s="1480"/>
      <c r="AO22" s="1480"/>
      <c r="AP22" s="1480"/>
      <c r="AQ22" s="1480"/>
      <c r="AR22" s="1480"/>
      <c r="AS22" s="1480"/>
      <c r="AT22" s="1480"/>
      <c r="AU22" s="1480"/>
    </row>
    <row r="23" spans="2:47" s="483" customFormat="1" ht="12" customHeight="1">
      <c r="B23" s="539"/>
      <c r="C23" s="539" t="s">
        <v>515</v>
      </c>
      <c r="D23" s="539" t="s">
        <v>143</v>
      </c>
      <c r="E23" s="539"/>
      <c r="F23" s="539"/>
      <c r="G23" s="539"/>
      <c r="H23" s="539"/>
      <c r="I23" s="539"/>
      <c r="J23" s="539"/>
      <c r="K23" s="539"/>
      <c r="L23" s="540" t="s">
        <v>2</v>
      </c>
      <c r="M23" s="1481" t="str">
        <f>IFERROR(IF(VLOOKUP($AW$4,_bio_bk_induk,18,FALSE)=0,"-",(VLOOKUP($AW$4,_bio_bk_induk,18,FALSE))),"-")</f>
        <v>SURAKARTA</v>
      </c>
      <c r="N23" s="1481"/>
      <c r="O23" s="1481"/>
      <c r="P23" s="1481"/>
      <c r="Q23" s="1481"/>
      <c r="R23" s="1481"/>
      <c r="S23" s="1481"/>
      <c r="T23" s="1481"/>
      <c r="U23" s="1481"/>
      <c r="V23" s="1481"/>
      <c r="W23" s="1481"/>
      <c r="X23" s="1481"/>
      <c r="Y23" s="539"/>
      <c r="Z23" s="539" t="s">
        <v>560</v>
      </c>
      <c r="AA23" s="539" t="s">
        <v>135</v>
      </c>
      <c r="AB23" s="539"/>
      <c r="AC23" s="539"/>
      <c r="AD23" s="539"/>
      <c r="AE23" s="539"/>
      <c r="AF23" s="539"/>
      <c r="AG23" s="539"/>
      <c r="AH23" s="539"/>
      <c r="AI23" s="539"/>
      <c r="AJ23" s="540" t="s">
        <v>2</v>
      </c>
      <c r="AK23" s="1480" t="str">
        <f>IFERROR(IF(VLOOKUP($AW$4,_bio_bk_induk,56,FALSE)=0,"-",(VLOOKUP($AW$4,_bio_bk_induk,56,FALSE))),"-")</f>
        <v>Islam</v>
      </c>
      <c r="AL23" s="1480"/>
      <c r="AM23" s="1480"/>
      <c r="AN23" s="1480"/>
      <c r="AO23" s="1480"/>
      <c r="AP23" s="1480"/>
      <c r="AQ23" s="1480"/>
      <c r="AR23" s="1480"/>
      <c r="AS23" s="1480"/>
      <c r="AT23" s="1480"/>
      <c r="AU23" s="1480"/>
    </row>
    <row r="24" spans="2:47" s="483" customFormat="1" ht="12" customHeight="1">
      <c r="B24" s="539"/>
      <c r="C24" s="539"/>
      <c r="D24" s="539"/>
      <c r="E24" s="539"/>
      <c r="F24" s="539"/>
      <c r="G24" s="539"/>
      <c r="H24" s="539"/>
      <c r="I24" s="539"/>
      <c r="J24" s="539"/>
      <c r="K24" s="539"/>
      <c r="L24" s="540"/>
      <c r="M24" s="1481"/>
      <c r="N24" s="1481"/>
      <c r="O24" s="1481"/>
      <c r="P24" s="1481"/>
      <c r="Q24" s="1481"/>
      <c r="R24" s="1481"/>
      <c r="S24" s="1481"/>
      <c r="T24" s="1481"/>
      <c r="U24" s="1481"/>
      <c r="V24" s="1481"/>
      <c r="W24" s="1481"/>
      <c r="X24" s="1481"/>
      <c r="Y24" s="539"/>
      <c r="Z24" s="539" t="s">
        <v>561</v>
      </c>
      <c r="AA24" s="539" t="s">
        <v>433</v>
      </c>
      <c r="AB24" s="539"/>
      <c r="AC24" s="539"/>
      <c r="AD24" s="539"/>
      <c r="AE24" s="539"/>
      <c r="AF24" s="539"/>
      <c r="AG24" s="539"/>
      <c r="AH24" s="539"/>
      <c r="AI24" s="539"/>
      <c r="AJ24" s="540" t="s">
        <v>2</v>
      </c>
      <c r="AK24" s="1480" t="str">
        <f>IFERROR(IF(VLOOKUP($AW$4,_bio_bk_induk,57,FALSE)=0,"-",(VLOOKUP($AW$4,_bio_bk_induk,57,FALSE))),"-")</f>
        <v>Indonesia</v>
      </c>
      <c r="AL24" s="1480"/>
      <c r="AM24" s="1480"/>
      <c r="AN24" s="1480"/>
      <c r="AO24" s="1480"/>
      <c r="AP24" s="1480"/>
      <c r="AQ24" s="1480"/>
      <c r="AR24" s="1480"/>
      <c r="AS24" s="1480"/>
      <c r="AT24" s="1480"/>
      <c r="AU24" s="1480"/>
    </row>
    <row r="25" spans="2:47" s="483" customFormat="1" ht="12" customHeight="1">
      <c r="B25" s="539"/>
      <c r="C25" s="539" t="s">
        <v>516</v>
      </c>
      <c r="D25" s="539" t="s">
        <v>146</v>
      </c>
      <c r="E25" s="539"/>
      <c r="F25" s="539"/>
      <c r="G25" s="539"/>
      <c r="H25" s="539"/>
      <c r="I25" s="539"/>
      <c r="J25" s="539"/>
      <c r="K25" s="539"/>
      <c r="L25" s="540" t="s">
        <v>2</v>
      </c>
      <c r="M25" s="1480" t="str">
        <f>IFERROR(IF(VLOOKUP($AW$4,_bio_bk_induk,19,FALSE)=0,"-",(VLOOKUP($AW$4,_bio_bk_induk,19,FALSE))),"-")</f>
        <v>-</v>
      </c>
      <c r="N25" s="1480"/>
      <c r="O25" s="1480"/>
      <c r="P25" s="1480"/>
      <c r="Q25" s="1480"/>
      <c r="R25" s="1480"/>
      <c r="S25" s="1480"/>
      <c r="T25" s="1480"/>
      <c r="U25" s="1480"/>
      <c r="V25" s="1480"/>
      <c r="W25" s="1480"/>
      <c r="X25" s="1480"/>
      <c r="Y25" s="539"/>
      <c r="Z25" s="539" t="s">
        <v>562</v>
      </c>
      <c r="AA25" s="539" t="s">
        <v>467</v>
      </c>
      <c r="AB25" s="539"/>
      <c r="AC25" s="539"/>
      <c r="AD25" s="539"/>
      <c r="AE25" s="539"/>
      <c r="AF25" s="539"/>
      <c r="AG25" s="539"/>
      <c r="AH25" s="539"/>
      <c r="AI25" s="539"/>
      <c r="AJ25" s="540" t="s">
        <v>2</v>
      </c>
      <c r="AK25" s="1480" t="str">
        <f>IFERROR(IF(VLOOKUP($AW$4,_bio_bk_induk,58,FALSE)=0,"-",(VLOOKUP($AW$4,_bio_bk_induk,58,FALSE))),"-")</f>
        <v>-</v>
      </c>
      <c r="AL25" s="1480"/>
      <c r="AM25" s="1480"/>
      <c r="AN25" s="1480"/>
      <c r="AO25" s="1480"/>
      <c r="AP25" s="1480"/>
      <c r="AQ25" s="1480"/>
      <c r="AR25" s="1480"/>
      <c r="AS25" s="1480"/>
      <c r="AT25" s="1480"/>
      <c r="AU25" s="1480"/>
    </row>
    <row r="26" spans="2:47" s="483" customFormat="1" ht="12" customHeight="1">
      <c r="B26" s="539"/>
      <c r="C26" s="539" t="s">
        <v>517</v>
      </c>
      <c r="D26" s="539" t="s">
        <v>519</v>
      </c>
      <c r="E26" s="539"/>
      <c r="F26" s="539"/>
      <c r="G26" s="539"/>
      <c r="H26" s="539"/>
      <c r="I26" s="539"/>
      <c r="J26" s="539"/>
      <c r="K26" s="539"/>
      <c r="L26" s="540" t="s">
        <v>2</v>
      </c>
      <c r="M26" s="1480" t="str">
        <f>IFERROR(IF(VLOOKUP($AW$4,_bio_bk_induk,20,FALSE)=0,"-",(VLOOKUP($AW$4,_bio_bk_induk,20,FALSE))),"-")</f>
        <v>-</v>
      </c>
      <c r="N26" s="1480"/>
      <c r="O26" s="1480"/>
      <c r="P26" s="1480"/>
      <c r="Q26" s="1480"/>
      <c r="R26" s="1480"/>
      <c r="S26" s="1480"/>
      <c r="T26" s="1480"/>
      <c r="U26" s="1480"/>
      <c r="V26" s="1480"/>
      <c r="W26" s="1480"/>
      <c r="X26" s="1480"/>
      <c r="Y26" s="539"/>
      <c r="Z26" s="539" t="s">
        <v>576</v>
      </c>
      <c r="AA26" s="539" t="s">
        <v>142</v>
      </c>
      <c r="AB26" s="544"/>
      <c r="AC26" s="539"/>
      <c r="AD26" s="539"/>
      <c r="AE26" s="539"/>
      <c r="AF26" s="539"/>
      <c r="AG26" s="539"/>
      <c r="AH26" s="539"/>
      <c r="AI26" s="539"/>
      <c r="AJ26" s="540" t="s">
        <v>2</v>
      </c>
      <c r="AK26" s="1480" t="str">
        <f>IFERROR(IF(VLOOKUP($AW$4,_bio_bk_induk,51,FALSE)=0,"-",(VLOOKUP($AW$4,_bio_bk_induk,51,FALSE))),"-")</f>
        <v>Ibu Rumah Tangga</v>
      </c>
      <c r="AL26" s="1480"/>
      <c r="AM26" s="1480"/>
      <c r="AN26" s="1480"/>
      <c r="AO26" s="1480"/>
      <c r="AP26" s="1480"/>
      <c r="AQ26" s="1480"/>
      <c r="AR26" s="1480"/>
      <c r="AS26" s="1480"/>
      <c r="AT26" s="1480"/>
      <c r="AU26" s="1480"/>
    </row>
    <row r="27" spans="2:47" s="483" customFormat="1" ht="12" customHeight="1">
      <c r="B27" s="539"/>
      <c r="C27" s="539" t="s">
        <v>518</v>
      </c>
      <c r="D27" s="539" t="s">
        <v>520</v>
      </c>
      <c r="E27" s="539"/>
      <c r="F27" s="539"/>
      <c r="G27" s="539"/>
      <c r="H27" s="539"/>
      <c r="I27" s="539"/>
      <c r="J27" s="539"/>
      <c r="K27" s="539"/>
      <c r="L27" s="540" t="s">
        <v>2</v>
      </c>
      <c r="M27" s="1480" t="str">
        <f>IFERROR(IF(VLOOKUP($AW$4,_bio_bk_induk,21,FALSE)=0,"-",(VLOOKUP($AW$4,_bio_bk_induk,21,FALSE))),"-")</f>
        <v>-</v>
      </c>
      <c r="N27" s="1480"/>
      <c r="O27" s="1480"/>
      <c r="P27" s="1480"/>
      <c r="Q27" s="1480"/>
      <c r="R27" s="1480"/>
      <c r="S27" s="1480"/>
      <c r="T27" s="1480"/>
      <c r="U27" s="1480"/>
      <c r="V27" s="1480"/>
      <c r="W27" s="1480"/>
      <c r="X27" s="1480"/>
      <c r="Y27" s="539"/>
      <c r="Z27" s="539" t="s">
        <v>563</v>
      </c>
      <c r="AA27" s="539" t="s">
        <v>549</v>
      </c>
      <c r="AB27" s="539"/>
      <c r="AC27" s="539"/>
      <c r="AD27" s="539"/>
      <c r="AE27" s="539"/>
      <c r="AF27" s="539"/>
      <c r="AG27" s="539"/>
      <c r="AH27" s="539"/>
      <c r="AI27" s="539"/>
      <c r="AJ27" s="540" t="s">
        <v>2</v>
      </c>
      <c r="AK27" s="1487" t="str">
        <f>IFERROR(IF(VLOOKUP($AW$4,_bio_bk_induk,59,FALSE)=0,"-",(VLOOKUP($AW$4,_bio_bk_induk,59,FALSE))),"-")</f>
        <v>-</v>
      </c>
      <c r="AL27" s="1487"/>
      <c r="AM27" s="1487"/>
      <c r="AN27" s="1487"/>
      <c r="AO27" s="1487"/>
      <c r="AP27" s="1487"/>
      <c r="AQ27" s="1487"/>
      <c r="AR27" s="1487"/>
      <c r="AS27" s="1487"/>
      <c r="AT27" s="1487"/>
      <c r="AU27" s="1487"/>
    </row>
    <row r="28" spans="2:47" s="483" customFormat="1" ht="12" customHeight="1">
      <c r="B28" s="539"/>
      <c r="C28" s="539"/>
      <c r="D28" s="539"/>
      <c r="E28" s="539"/>
      <c r="F28" s="539"/>
      <c r="G28" s="539"/>
      <c r="H28" s="539"/>
      <c r="I28" s="539"/>
      <c r="J28" s="539"/>
      <c r="K28" s="539"/>
      <c r="L28" s="540"/>
      <c r="M28" s="553"/>
      <c r="N28" s="550"/>
      <c r="O28" s="550"/>
      <c r="P28" s="550"/>
      <c r="Q28" s="550"/>
      <c r="R28" s="550"/>
      <c r="S28" s="550"/>
      <c r="T28" s="550"/>
      <c r="U28" s="550"/>
      <c r="V28" s="550"/>
      <c r="W28" s="550"/>
      <c r="X28" s="550"/>
      <c r="Y28" s="539"/>
      <c r="Z28" s="539" t="s">
        <v>577</v>
      </c>
      <c r="AA28" s="539" t="s">
        <v>551</v>
      </c>
      <c r="AB28" s="539"/>
      <c r="AC28" s="539"/>
      <c r="AD28" s="539"/>
      <c r="AE28" s="539"/>
      <c r="AF28" s="539"/>
      <c r="AG28" s="539"/>
      <c r="AH28" s="539"/>
      <c r="AI28" s="539"/>
      <c r="AJ28" s="540" t="s">
        <v>2</v>
      </c>
      <c r="AK28" s="1481" t="str">
        <f>IFERROR(IF(VLOOKUP($AW$4,_bio_bk_induk,52,FALSE)=0,"-",(VLOOKUP($AW$4,_bio_bk_induk,52,FALSE))),"-")</f>
        <v>SURAKARTA</v>
      </c>
      <c r="AL28" s="1481"/>
      <c r="AM28" s="1481"/>
      <c r="AN28" s="1481"/>
      <c r="AO28" s="1481"/>
      <c r="AP28" s="1481"/>
      <c r="AQ28" s="1481"/>
      <c r="AR28" s="1481"/>
      <c r="AS28" s="1481"/>
      <c r="AT28" s="1481"/>
      <c r="AU28" s="1481"/>
    </row>
    <row r="29" spans="2:47" s="483" customFormat="1" ht="12" customHeight="1">
      <c r="B29" s="541" t="s">
        <v>522</v>
      </c>
      <c r="C29" s="541" t="s">
        <v>521</v>
      </c>
      <c r="D29" s="539"/>
      <c r="E29" s="539"/>
      <c r="F29" s="539"/>
      <c r="G29" s="539"/>
      <c r="H29" s="539"/>
      <c r="I29" s="539"/>
      <c r="J29" s="539"/>
      <c r="K29" s="539"/>
      <c r="L29" s="540"/>
      <c r="M29" s="553"/>
      <c r="N29" s="550"/>
      <c r="O29" s="550"/>
      <c r="P29" s="550"/>
      <c r="Q29" s="550"/>
      <c r="R29" s="550"/>
      <c r="S29" s="550"/>
      <c r="T29" s="550"/>
      <c r="U29" s="550"/>
      <c r="V29" s="550"/>
      <c r="W29" s="550"/>
      <c r="X29" s="550"/>
      <c r="Y29" s="539"/>
      <c r="Z29" s="539"/>
      <c r="AA29" s="539"/>
      <c r="AB29" s="539"/>
      <c r="AC29" s="539"/>
      <c r="AD29" s="539"/>
      <c r="AE29" s="539"/>
      <c r="AF29" s="539"/>
      <c r="AG29" s="539"/>
      <c r="AH29" s="539"/>
      <c r="AI29" s="539"/>
      <c r="AJ29" s="540"/>
      <c r="AK29" s="1481"/>
      <c r="AL29" s="1481"/>
      <c r="AM29" s="1481"/>
      <c r="AN29" s="1481"/>
      <c r="AO29" s="1481"/>
      <c r="AP29" s="1481"/>
      <c r="AQ29" s="1481"/>
      <c r="AR29" s="1481"/>
      <c r="AS29" s="1481"/>
      <c r="AT29" s="1481"/>
      <c r="AU29" s="1481"/>
    </row>
    <row r="30" spans="2:47" s="483" customFormat="1" ht="12" customHeight="1">
      <c r="B30" s="539"/>
      <c r="C30" s="539" t="s">
        <v>523</v>
      </c>
      <c r="D30" s="539" t="s">
        <v>524</v>
      </c>
      <c r="E30" s="539"/>
      <c r="F30" s="539"/>
      <c r="G30" s="539"/>
      <c r="H30" s="539"/>
      <c r="I30" s="539"/>
      <c r="J30" s="539"/>
      <c r="K30" s="539"/>
      <c r="L30" s="540" t="s">
        <v>2</v>
      </c>
      <c r="M30" s="1480" t="str">
        <f>IFERROR(IF(VLOOKUP($AW$4,_bio_bk_induk,22,FALSE)=0,"-",(VLOOKUP($AW$4,_bio_bk_induk,22,FALSE))),"-")</f>
        <v>-</v>
      </c>
      <c r="N30" s="1480"/>
      <c r="O30" s="1480"/>
      <c r="P30" s="1480"/>
      <c r="Q30" s="1480"/>
      <c r="R30" s="1480"/>
      <c r="S30" s="1480"/>
      <c r="T30" s="1480"/>
      <c r="U30" s="1480"/>
      <c r="V30" s="1480"/>
      <c r="W30" s="1480"/>
      <c r="X30" s="1480"/>
      <c r="Y30" s="539"/>
      <c r="Z30" s="539" t="s">
        <v>566</v>
      </c>
      <c r="AA30" s="539" t="s">
        <v>553</v>
      </c>
      <c r="AB30" s="539"/>
      <c r="AC30" s="539"/>
      <c r="AD30" s="539"/>
      <c r="AE30" s="539"/>
      <c r="AF30" s="539"/>
      <c r="AG30" s="539"/>
      <c r="AH30" s="539"/>
      <c r="AI30" s="539"/>
      <c r="AJ30" s="540" t="s">
        <v>2</v>
      </c>
      <c r="AK30" s="1480" t="str">
        <f>IFERROR(IF(VLOOKUP($AW$4,_bio_bk_induk,53,FALSE)=0,"-",(VLOOKUP($AW$4,_bio_bk_induk,53,FALSE))),"-")</f>
        <v>Masih Hidup</v>
      </c>
      <c r="AL30" s="1480"/>
      <c r="AM30" s="1480"/>
      <c r="AN30" s="1480"/>
      <c r="AO30" s="1480"/>
      <c r="AP30" s="1480"/>
      <c r="AQ30" s="1480"/>
      <c r="AR30" s="1480"/>
      <c r="AS30" s="1480"/>
      <c r="AT30" s="1480"/>
      <c r="AU30" s="1480"/>
    </row>
    <row r="31" spans="2:47" s="483" customFormat="1" ht="12" customHeight="1">
      <c r="B31" s="539"/>
      <c r="C31" s="539" t="s">
        <v>525</v>
      </c>
      <c r="D31" s="539" t="s">
        <v>526</v>
      </c>
      <c r="E31" s="539"/>
      <c r="F31" s="539"/>
      <c r="G31" s="539"/>
      <c r="H31" s="539"/>
      <c r="I31" s="539"/>
      <c r="J31" s="539"/>
      <c r="K31" s="539"/>
      <c r="L31" s="540" t="s">
        <v>2</v>
      </c>
      <c r="M31" s="1480" t="str">
        <f>IFERROR(IF(VLOOKUP($AW$4,_bio_bk_induk,23,FALSE)=0,"-",(VLOOKUP($AW$4,_bio_bk_induk,23,FALSE))),"-")</f>
        <v>-</v>
      </c>
      <c r="N31" s="1480"/>
      <c r="O31" s="1480"/>
      <c r="P31" s="1480"/>
      <c r="Q31" s="1480"/>
      <c r="R31" s="1480"/>
      <c r="S31" s="1480"/>
      <c r="T31" s="1480"/>
      <c r="U31" s="1480"/>
      <c r="V31" s="1480"/>
      <c r="W31" s="1480"/>
      <c r="X31" s="1480"/>
      <c r="Y31" s="539"/>
      <c r="Z31" s="539"/>
      <c r="AA31" s="539"/>
      <c r="AB31" s="539"/>
      <c r="AC31" s="539"/>
      <c r="AD31" s="539"/>
      <c r="AE31" s="539"/>
      <c r="AF31" s="539"/>
      <c r="AG31" s="539"/>
      <c r="AH31" s="539"/>
      <c r="AI31" s="539"/>
      <c r="AJ31" s="539"/>
      <c r="AK31" s="553"/>
      <c r="AL31" s="550"/>
      <c r="AM31" s="550"/>
      <c r="AN31" s="550"/>
      <c r="AO31" s="550"/>
      <c r="AP31" s="550"/>
      <c r="AQ31" s="550"/>
      <c r="AR31" s="550"/>
      <c r="AS31" s="550"/>
      <c r="AT31" s="550"/>
      <c r="AU31" s="550"/>
    </row>
    <row r="32" spans="2:47" s="483" customFormat="1" ht="12" customHeight="1">
      <c r="B32" s="540"/>
      <c r="C32" s="539" t="s">
        <v>527</v>
      </c>
      <c r="D32" s="539" t="s">
        <v>448</v>
      </c>
      <c r="E32" s="539"/>
      <c r="F32" s="539"/>
      <c r="G32" s="539"/>
      <c r="H32" s="539"/>
      <c r="I32" s="539"/>
      <c r="J32" s="539"/>
      <c r="K32" s="539"/>
      <c r="L32" s="540" t="s">
        <v>2</v>
      </c>
      <c r="M32" s="1480" t="str">
        <f>IFERROR(IF(VLOOKUP($AW$4,_bio_bk_induk,24,FALSE)=0,"-",(VLOOKUP($AW$4,_bio_bk_induk,24,FALSE))),"-")</f>
        <v>-</v>
      </c>
      <c r="N32" s="1480"/>
      <c r="O32" s="1480"/>
      <c r="P32" s="1480"/>
      <c r="Q32" s="1480"/>
      <c r="R32" s="1480"/>
      <c r="S32" s="1480"/>
      <c r="T32" s="1480"/>
      <c r="U32" s="1480"/>
      <c r="V32" s="1480"/>
      <c r="W32" s="1480"/>
      <c r="X32" s="1480"/>
      <c r="Y32" s="542" t="s">
        <v>575</v>
      </c>
      <c r="Z32" s="542" t="s">
        <v>565</v>
      </c>
      <c r="AA32" s="539"/>
      <c r="AB32" s="539"/>
      <c r="AC32" s="539"/>
      <c r="AD32" s="539"/>
      <c r="AE32" s="539"/>
      <c r="AF32" s="539"/>
      <c r="AG32" s="539"/>
      <c r="AH32" s="539"/>
      <c r="AI32" s="539"/>
      <c r="AJ32" s="539"/>
      <c r="AK32" s="553"/>
      <c r="AL32" s="550"/>
      <c r="AM32" s="550"/>
      <c r="AN32" s="550"/>
      <c r="AO32" s="550"/>
      <c r="AP32" s="550"/>
      <c r="AQ32" s="550"/>
      <c r="AR32" s="550"/>
      <c r="AS32" s="550"/>
      <c r="AT32" s="550"/>
      <c r="AU32" s="550"/>
    </row>
    <row r="33" spans="2:47" s="483" customFormat="1" ht="12" customHeight="1">
      <c r="B33" s="539"/>
      <c r="C33" s="539" t="s">
        <v>528</v>
      </c>
      <c r="D33" s="539" t="s">
        <v>574</v>
      </c>
      <c r="E33" s="539"/>
      <c r="F33" s="539"/>
      <c r="G33" s="539"/>
      <c r="H33" s="539"/>
      <c r="I33" s="539"/>
      <c r="J33" s="539"/>
      <c r="K33" s="539"/>
      <c r="L33" s="540" t="s">
        <v>2</v>
      </c>
      <c r="M33" s="550" t="str">
        <f>IFERROR(IF(VLOOKUP($AW$4,_bio_bk_induk,25,FALSE)=0,"-",(VLOOKUP($AW$4,_bio_bk_induk,25,FALSE)))&amp;" cm, "&amp;IF(VLOOKUP($AW$4,_bio_bk_induk,26,FALSE)=0,"-",(VLOOKUP($AW$4,_bio_bk_induk,26,FALSE)))&amp;" kg","-")</f>
        <v>- cm, - kg</v>
      </c>
      <c r="N33" s="550"/>
      <c r="O33" s="550"/>
      <c r="P33" s="550"/>
      <c r="Q33" s="550"/>
      <c r="R33" s="550"/>
      <c r="S33" s="550"/>
      <c r="T33" s="550"/>
      <c r="U33" s="550"/>
      <c r="V33" s="550"/>
      <c r="W33" s="550"/>
      <c r="X33" s="550"/>
      <c r="Y33" s="539"/>
      <c r="Z33" s="539" t="s">
        <v>567</v>
      </c>
      <c r="AA33" s="539" t="s">
        <v>100</v>
      </c>
      <c r="AB33" s="539"/>
      <c r="AC33" s="539"/>
      <c r="AD33" s="539"/>
      <c r="AE33" s="539"/>
      <c r="AF33" s="539"/>
      <c r="AG33" s="539"/>
      <c r="AH33" s="539"/>
      <c r="AI33" s="539"/>
      <c r="AJ33" s="540" t="s">
        <v>2</v>
      </c>
      <c r="AK33" s="1480" t="str">
        <f>IFERROR(IF(VLOOKUP($AW$4,_bio_bk_induk,60,FALSE)=0,"-",(VLOOKUP($AW$4,_bio_bk_induk,60,FALSE))),"-")</f>
        <v>-</v>
      </c>
      <c r="AL33" s="1480"/>
      <c r="AM33" s="1480"/>
      <c r="AN33" s="1480"/>
      <c r="AO33" s="1480"/>
      <c r="AP33" s="1480"/>
      <c r="AQ33" s="1480"/>
      <c r="AR33" s="1480"/>
      <c r="AS33" s="1480"/>
      <c r="AT33" s="1480"/>
      <c r="AU33" s="1480"/>
    </row>
    <row r="34" spans="2:47" s="483" customFormat="1" ht="12" customHeight="1">
      <c r="B34" s="539"/>
      <c r="C34" s="539"/>
      <c r="D34" s="539"/>
      <c r="E34" s="539"/>
      <c r="F34" s="539"/>
      <c r="G34" s="539"/>
      <c r="H34" s="539"/>
      <c r="I34" s="539"/>
      <c r="J34" s="539"/>
      <c r="K34" s="539"/>
      <c r="L34" s="539"/>
      <c r="M34" s="553"/>
      <c r="N34" s="550"/>
      <c r="O34" s="550"/>
      <c r="P34" s="550"/>
      <c r="Q34" s="550"/>
      <c r="R34" s="550"/>
      <c r="S34" s="550"/>
      <c r="T34" s="550"/>
      <c r="U34" s="550"/>
      <c r="V34" s="550"/>
      <c r="W34" s="550"/>
      <c r="X34" s="550"/>
      <c r="Y34" s="539"/>
      <c r="Z34" s="539" t="s">
        <v>568</v>
      </c>
      <c r="AA34" s="539" t="s">
        <v>502</v>
      </c>
      <c r="AB34" s="539"/>
      <c r="AC34" s="539"/>
      <c r="AD34" s="539"/>
      <c r="AE34" s="539"/>
      <c r="AF34" s="539"/>
      <c r="AG34" s="539"/>
      <c r="AH34" s="539"/>
      <c r="AI34" s="539"/>
      <c r="AJ34" s="540" t="s">
        <v>2</v>
      </c>
      <c r="AK34" s="1480" t="str">
        <f>IFERROR(IF(VLOOKUP($AW$4,_bio_bk_induk,64,FALSE)=0,"-",(VLOOKUP($AW$4,_bio_bk_induk,64,FALSE))),"-")</f>
        <v>-</v>
      </c>
      <c r="AL34" s="1480"/>
      <c r="AM34" s="1480"/>
      <c r="AN34" s="1480"/>
      <c r="AO34" s="1480"/>
      <c r="AP34" s="1480"/>
      <c r="AQ34" s="1480"/>
      <c r="AR34" s="1480"/>
      <c r="AS34" s="1480"/>
      <c r="AT34" s="1480"/>
      <c r="AU34" s="1480"/>
    </row>
    <row r="35" spans="2:47" s="483" customFormat="1" ht="12" customHeight="1">
      <c r="B35" s="541" t="s">
        <v>529</v>
      </c>
      <c r="C35" s="541" t="s">
        <v>530</v>
      </c>
      <c r="D35" s="539"/>
      <c r="E35" s="539"/>
      <c r="F35" s="539"/>
      <c r="G35" s="539"/>
      <c r="H35" s="539"/>
      <c r="I35" s="539"/>
      <c r="J35" s="539"/>
      <c r="K35" s="539"/>
      <c r="L35" s="540"/>
      <c r="M35" s="553"/>
      <c r="N35" s="550"/>
      <c r="O35" s="550"/>
      <c r="P35" s="550"/>
      <c r="Q35" s="550"/>
      <c r="R35" s="550"/>
      <c r="S35" s="550"/>
      <c r="T35" s="550"/>
      <c r="U35" s="550"/>
      <c r="V35" s="550"/>
      <c r="W35" s="550"/>
      <c r="X35" s="550"/>
      <c r="Y35" s="539"/>
      <c r="Z35" s="539" t="s">
        <v>569</v>
      </c>
      <c r="AA35" s="539" t="s">
        <v>135</v>
      </c>
      <c r="AB35" s="539"/>
      <c r="AC35" s="539"/>
      <c r="AD35" s="539"/>
      <c r="AE35" s="539"/>
      <c r="AF35" s="539"/>
      <c r="AG35" s="539"/>
      <c r="AH35" s="539"/>
      <c r="AI35" s="539"/>
      <c r="AJ35" s="540" t="s">
        <v>2</v>
      </c>
      <c r="AK35" s="1480" t="str">
        <f>IFERROR(IF(VLOOKUP($AW$4,_bio_bk_induk,65,FALSE)=0,"-",(VLOOKUP($AW$4,_bio_bk_induk,65,FALSE))),"-")</f>
        <v>Islam</v>
      </c>
      <c r="AL35" s="1480"/>
      <c r="AM35" s="1480"/>
      <c r="AN35" s="1480"/>
      <c r="AO35" s="1480"/>
      <c r="AP35" s="1480"/>
      <c r="AQ35" s="1480"/>
      <c r="AR35" s="1480"/>
      <c r="AS35" s="1480"/>
      <c r="AT35" s="1480"/>
      <c r="AU35" s="1480"/>
    </row>
    <row r="36" spans="2:47" s="483" customFormat="1" ht="12" customHeight="1">
      <c r="B36" s="539"/>
      <c r="C36" s="539" t="s">
        <v>531</v>
      </c>
      <c r="D36" s="539" t="s">
        <v>532</v>
      </c>
      <c r="E36" s="539"/>
      <c r="F36" s="539"/>
      <c r="G36" s="539"/>
      <c r="H36" s="539"/>
      <c r="I36" s="539"/>
      <c r="J36" s="539"/>
      <c r="K36" s="539"/>
      <c r="L36" s="540"/>
      <c r="M36" s="553"/>
      <c r="N36" s="550"/>
      <c r="O36" s="550"/>
      <c r="P36" s="550"/>
      <c r="Q36" s="550"/>
      <c r="R36" s="550"/>
      <c r="S36" s="550"/>
      <c r="T36" s="550"/>
      <c r="U36" s="550"/>
      <c r="V36" s="550"/>
      <c r="W36" s="550"/>
      <c r="X36" s="550"/>
      <c r="Y36" s="539"/>
      <c r="Z36" s="539" t="s">
        <v>570</v>
      </c>
      <c r="AA36" s="539" t="s">
        <v>433</v>
      </c>
      <c r="AB36" s="539"/>
      <c r="AC36" s="539"/>
      <c r="AD36" s="539"/>
      <c r="AE36" s="539"/>
      <c r="AF36" s="539"/>
      <c r="AG36" s="539"/>
      <c r="AH36" s="539"/>
      <c r="AI36" s="539"/>
      <c r="AJ36" s="540" t="s">
        <v>2</v>
      </c>
      <c r="AK36" s="1480" t="str">
        <f>IFERROR(IF(VLOOKUP($AW$4,_bio_bk_induk,66,FALSE)=0,"-",(VLOOKUP($AW$4,_bio_bk_induk,66,FALSE))),"-")</f>
        <v>Indonesia</v>
      </c>
      <c r="AL36" s="1480"/>
      <c r="AM36" s="1480"/>
      <c r="AN36" s="1480"/>
      <c r="AO36" s="1480"/>
      <c r="AP36" s="1480"/>
      <c r="AQ36" s="1480"/>
      <c r="AR36" s="1480"/>
      <c r="AS36" s="1480"/>
      <c r="AT36" s="1480"/>
      <c r="AU36" s="1480"/>
    </row>
    <row r="37" spans="2:47" s="483" customFormat="1" ht="12" customHeight="1">
      <c r="B37" s="540"/>
      <c r="C37" s="539"/>
      <c r="D37" s="539" t="s">
        <v>288</v>
      </c>
      <c r="E37" s="539" t="s">
        <v>533</v>
      </c>
      <c r="F37" s="539"/>
      <c r="G37" s="539"/>
      <c r="H37" s="539"/>
      <c r="I37" s="539"/>
      <c r="J37" s="539"/>
      <c r="K37" s="539"/>
      <c r="L37" s="540" t="s">
        <v>2</v>
      </c>
      <c r="M37" s="1480" t="str">
        <f>IFERROR(IF(VLOOKUP($AW$4,_bio_bk_induk,30,FALSE)=0,"-",(VLOOKUP($AW$4,_bio_bk_induk,30,FALSE))),"-")</f>
        <v>SDN 1 Surakarta</v>
      </c>
      <c r="N37" s="1480"/>
      <c r="O37" s="1480"/>
      <c r="P37" s="1480"/>
      <c r="Q37" s="1480"/>
      <c r="R37" s="1480"/>
      <c r="S37" s="1480"/>
      <c r="T37" s="1480"/>
      <c r="U37" s="1480"/>
      <c r="V37" s="1480"/>
      <c r="W37" s="1480"/>
      <c r="X37" s="1480"/>
      <c r="Y37" s="539"/>
      <c r="Z37" s="539" t="s">
        <v>571</v>
      </c>
      <c r="AA37" s="539" t="s">
        <v>467</v>
      </c>
      <c r="AB37" s="539"/>
      <c r="AC37" s="539"/>
      <c r="AD37" s="539"/>
      <c r="AE37" s="539"/>
      <c r="AF37" s="539"/>
      <c r="AG37" s="539"/>
      <c r="AH37" s="539"/>
      <c r="AI37" s="539"/>
      <c r="AJ37" s="540" t="s">
        <v>2</v>
      </c>
      <c r="AK37" s="1480" t="str">
        <f>IFERROR(IF(VLOOKUP($AW$4,_bio_bk_induk,67,FALSE)=0,"-",(VLOOKUP($AW$4,_bio_bk_induk,67,FALSE))),"-")</f>
        <v>-</v>
      </c>
      <c r="AL37" s="1480"/>
      <c r="AM37" s="1480"/>
      <c r="AN37" s="1480"/>
      <c r="AO37" s="1480"/>
      <c r="AP37" s="1480"/>
      <c r="AQ37" s="1480"/>
      <c r="AR37" s="1480"/>
      <c r="AS37" s="1480"/>
      <c r="AT37" s="1480"/>
      <c r="AU37" s="1480"/>
    </row>
    <row r="38" spans="2:47" s="483" customFormat="1" ht="12" customHeight="1">
      <c r="B38" s="540"/>
      <c r="C38" s="539"/>
      <c r="D38" s="539" t="s">
        <v>289</v>
      </c>
      <c r="E38" s="539" t="s">
        <v>534</v>
      </c>
      <c r="F38" s="539"/>
      <c r="G38" s="539"/>
      <c r="H38" s="539"/>
      <c r="I38" s="539"/>
      <c r="J38" s="539"/>
      <c r="K38" s="539"/>
      <c r="L38" s="540" t="s">
        <v>2</v>
      </c>
      <c r="M38" s="553" t="str">
        <f>IFERROR(IF(VLOOKUP($AW$4,_bio_bk_induk,32,FALSE)=0,"-",(VLOOKUP($AW$4,_bio_bk_induk,32,FALSE)))&amp;"/"&amp;IF(VLOOKUP($AW$4,_bio_bk_induk,33,FALSE)=0,"-",(VLOOKUP($AW$4,_bio_bk_induk,33,FALSE))),"-")</f>
        <v>-/-</v>
      </c>
      <c r="N38" s="550"/>
      <c r="O38" s="550"/>
      <c r="P38" s="550"/>
      <c r="Q38" s="550"/>
      <c r="R38" s="550"/>
      <c r="S38" s="550"/>
      <c r="T38" s="550"/>
      <c r="U38" s="550"/>
      <c r="V38" s="550"/>
      <c r="W38" s="550"/>
      <c r="X38" s="550"/>
      <c r="Y38" s="539"/>
      <c r="Z38" s="539" t="s">
        <v>572</v>
      </c>
      <c r="AA38" s="539" t="s">
        <v>142</v>
      </c>
      <c r="AB38" s="544"/>
      <c r="AC38" s="539"/>
      <c r="AD38" s="539"/>
      <c r="AE38" s="539"/>
      <c r="AF38" s="539"/>
      <c r="AG38" s="539"/>
      <c r="AH38" s="539"/>
      <c r="AI38" s="539"/>
      <c r="AJ38" s="540" t="s">
        <v>2</v>
      </c>
      <c r="AK38" s="1480" t="str">
        <f>IFERROR(IF(VLOOKUP($AW$4,_bio_bk_induk,61,FALSE)=0,"-",(VLOOKUP($AW$4,_bio_bk_induk,61,FALSE))),"-")</f>
        <v>-</v>
      </c>
      <c r="AL38" s="1480"/>
      <c r="AM38" s="1480"/>
      <c r="AN38" s="1480"/>
      <c r="AO38" s="1480"/>
      <c r="AP38" s="1480"/>
      <c r="AQ38" s="1480"/>
      <c r="AR38" s="1480"/>
      <c r="AS38" s="1480"/>
      <c r="AT38" s="1480"/>
      <c r="AU38" s="1480"/>
    </row>
    <row r="39" spans="2:47" s="483" customFormat="1" ht="12" customHeight="1">
      <c r="B39" s="540"/>
      <c r="C39" s="539" t="s">
        <v>535</v>
      </c>
      <c r="D39" s="539" t="s">
        <v>536</v>
      </c>
      <c r="E39" s="539"/>
      <c r="F39" s="539"/>
      <c r="G39" s="539"/>
      <c r="H39" s="539"/>
      <c r="I39" s="539"/>
      <c r="J39" s="539"/>
      <c r="K39" s="539"/>
      <c r="L39" s="540"/>
      <c r="M39" s="553"/>
      <c r="N39" s="550"/>
      <c r="O39" s="550"/>
      <c r="P39" s="550"/>
      <c r="Q39" s="550"/>
      <c r="R39" s="550"/>
      <c r="S39" s="550"/>
      <c r="T39" s="550"/>
      <c r="U39" s="550"/>
      <c r="V39" s="550"/>
      <c r="W39" s="550"/>
      <c r="X39" s="550"/>
      <c r="Y39" s="539"/>
      <c r="Z39" s="539" t="s">
        <v>573</v>
      </c>
      <c r="AA39" s="539" t="s">
        <v>549</v>
      </c>
      <c r="AB39" s="539"/>
      <c r="AC39" s="539"/>
      <c r="AD39" s="539"/>
      <c r="AE39" s="539"/>
      <c r="AF39" s="539"/>
      <c r="AG39" s="539"/>
      <c r="AH39" s="539"/>
      <c r="AI39" s="539"/>
      <c r="AJ39" s="540" t="s">
        <v>2</v>
      </c>
      <c r="AK39" s="1487" t="str">
        <f>IFERROR(IF(VLOOKUP($AW$4,_bio_bk_induk,68,FALSE)=0,"-",(VLOOKUP($AW$4,_bio_bk_induk,68,FALSE))),"-")</f>
        <v>-</v>
      </c>
      <c r="AL39" s="1487"/>
      <c r="AM39" s="1487"/>
      <c r="AN39" s="1487"/>
      <c r="AO39" s="1487"/>
      <c r="AP39" s="1487"/>
      <c r="AQ39" s="1487"/>
      <c r="AR39" s="1487"/>
      <c r="AS39" s="1487"/>
      <c r="AT39" s="1487"/>
      <c r="AU39" s="1487"/>
    </row>
    <row r="40" spans="2:47" s="483" customFormat="1" ht="12" customHeight="1">
      <c r="B40" s="539"/>
      <c r="C40" s="539"/>
      <c r="D40" s="539" t="s">
        <v>288</v>
      </c>
      <c r="E40" s="539" t="s">
        <v>464</v>
      </c>
      <c r="F40" s="539"/>
      <c r="G40" s="539"/>
      <c r="H40" s="539"/>
      <c r="I40" s="539"/>
      <c r="J40" s="539"/>
      <c r="K40" s="539"/>
      <c r="L40" s="540" t="s">
        <v>2</v>
      </c>
      <c r="M40" s="1480" t="str">
        <f>IFERROR(IF(VLOOKUP($AW$4,_bio_bk_induk,38,FALSE)=0,"-",(VLOOKUP($AW$4,_bio_bk_induk,38,FALSE))),"-")</f>
        <v>-</v>
      </c>
      <c r="N40" s="1480"/>
      <c r="O40" s="1480"/>
      <c r="P40" s="1480"/>
      <c r="Q40" s="1480"/>
      <c r="R40" s="1480"/>
      <c r="S40" s="1480"/>
      <c r="T40" s="1480"/>
      <c r="U40" s="1480"/>
      <c r="V40" s="1480"/>
      <c r="W40" s="1480"/>
      <c r="X40" s="1480"/>
      <c r="Y40" s="539"/>
      <c r="Z40" s="539" t="s">
        <v>578</v>
      </c>
      <c r="AA40" s="539" t="s">
        <v>551</v>
      </c>
      <c r="AB40" s="539"/>
      <c r="AC40" s="539"/>
      <c r="AD40" s="539"/>
      <c r="AE40" s="539"/>
      <c r="AF40" s="539"/>
      <c r="AG40" s="539"/>
      <c r="AH40" s="539"/>
      <c r="AI40" s="539"/>
      <c r="AJ40" s="540" t="s">
        <v>2</v>
      </c>
      <c r="AK40" s="1482" t="str">
        <f>IFERROR(IF(VLOOKUP($AW$4,_bio_bk_induk,62,FALSE)=0,"-",(VLOOKUP($AW$4,_bio_bk_induk,62,FALSE))),"-")</f>
        <v>-</v>
      </c>
      <c r="AL40" s="1482"/>
      <c r="AM40" s="1482"/>
      <c r="AN40" s="1482"/>
      <c r="AO40" s="1482"/>
      <c r="AP40" s="1482"/>
      <c r="AQ40" s="1482"/>
      <c r="AR40" s="1482"/>
      <c r="AS40" s="1482"/>
      <c r="AT40" s="1482"/>
      <c r="AU40" s="1482"/>
    </row>
    <row r="41" spans="2:47" s="483" customFormat="1" ht="12" customHeight="1">
      <c r="B41" s="539"/>
      <c r="C41" s="539"/>
      <c r="D41" s="539" t="s">
        <v>289</v>
      </c>
      <c r="E41" s="539" t="s">
        <v>465</v>
      </c>
      <c r="F41" s="539"/>
      <c r="G41" s="539"/>
      <c r="H41" s="539"/>
      <c r="I41" s="539"/>
      <c r="J41" s="539"/>
      <c r="K41" s="539"/>
      <c r="L41" s="540" t="s">
        <v>2</v>
      </c>
      <c r="M41" s="1480" t="str">
        <f>IFERROR(IF(VLOOKUP($AW$4,_bio_bk_induk,39,FALSE)=0,"-",(VLOOKUP($AW$4,_bio_bk_induk,39,FALSE))),"-")</f>
        <v>-</v>
      </c>
      <c r="N41" s="1480"/>
      <c r="O41" s="1480"/>
      <c r="P41" s="1480"/>
      <c r="Q41" s="1480"/>
      <c r="R41" s="1480"/>
      <c r="S41" s="1480"/>
      <c r="T41" s="1480"/>
      <c r="U41" s="1480"/>
      <c r="V41" s="1480"/>
      <c r="W41" s="1480"/>
      <c r="X41" s="1480"/>
      <c r="Y41" s="539"/>
      <c r="Z41" s="539"/>
      <c r="AA41" s="539"/>
      <c r="AB41" s="539"/>
      <c r="AC41" s="539"/>
      <c r="AD41" s="539"/>
      <c r="AE41" s="539"/>
      <c r="AF41" s="539"/>
      <c r="AG41" s="539"/>
      <c r="AH41" s="539"/>
      <c r="AI41" s="539"/>
      <c r="AJ41" s="540"/>
      <c r="AK41" s="1482"/>
      <c r="AL41" s="1482"/>
      <c r="AM41" s="1482"/>
      <c r="AN41" s="1482"/>
      <c r="AO41" s="1482"/>
      <c r="AP41" s="1482"/>
      <c r="AQ41" s="1482"/>
      <c r="AR41" s="1482"/>
      <c r="AS41" s="1482"/>
      <c r="AT41" s="1482"/>
      <c r="AU41" s="1482"/>
    </row>
    <row r="42" spans="2:47" s="483" customFormat="1" ht="12" customHeight="1">
      <c r="B42" s="539"/>
      <c r="C42" s="539" t="s">
        <v>537</v>
      </c>
      <c r="D42" s="539" t="s">
        <v>538</v>
      </c>
      <c r="E42" s="539"/>
      <c r="F42" s="539"/>
      <c r="G42" s="539"/>
      <c r="H42" s="539"/>
      <c r="I42" s="539"/>
      <c r="J42" s="539"/>
      <c r="K42" s="539"/>
      <c r="L42" s="540"/>
      <c r="M42" s="553"/>
      <c r="N42" s="550"/>
      <c r="O42" s="550"/>
      <c r="P42" s="550"/>
      <c r="Q42" s="550"/>
      <c r="R42" s="550"/>
      <c r="S42" s="550"/>
      <c r="T42" s="550"/>
      <c r="U42" s="550"/>
      <c r="V42" s="550"/>
      <c r="W42" s="550"/>
      <c r="X42" s="550"/>
      <c r="Y42" s="542" t="s">
        <v>580</v>
      </c>
      <c r="Z42" s="542" t="s">
        <v>581</v>
      </c>
      <c r="AA42" s="539"/>
      <c r="AB42" s="539"/>
      <c r="AC42" s="539"/>
      <c r="AD42" s="539"/>
      <c r="AE42" s="539"/>
      <c r="AF42" s="539"/>
      <c r="AG42" s="539"/>
      <c r="AH42" s="539"/>
      <c r="AI42" s="539"/>
      <c r="AJ42" s="540"/>
      <c r="AK42" s="553"/>
      <c r="AL42" s="550"/>
      <c r="AM42" s="550"/>
      <c r="AN42" s="550"/>
      <c r="AO42" s="550"/>
      <c r="AP42" s="550"/>
      <c r="AQ42" s="550"/>
      <c r="AR42" s="550"/>
      <c r="AS42" s="550"/>
      <c r="AT42" s="550"/>
      <c r="AU42" s="550"/>
    </row>
    <row r="43" spans="2:47" s="483" customFormat="1" ht="12" customHeight="1">
      <c r="B43" s="539"/>
      <c r="C43" s="539"/>
      <c r="D43" s="539" t="s">
        <v>288</v>
      </c>
      <c r="E43" s="539" t="s">
        <v>539</v>
      </c>
      <c r="F43" s="539"/>
      <c r="G43" s="539"/>
      <c r="H43" s="539"/>
      <c r="I43" s="539"/>
      <c r="J43" s="539"/>
      <c r="K43" s="539"/>
      <c r="L43" s="540" t="s">
        <v>2</v>
      </c>
      <c r="M43" s="1480" t="str">
        <f>IFERROR(IF(VLOOKUP($AW$4,_bio_bk_induk,27,FALSE)=0,"-",(VLOOKUP($AW$4,_bio_bk_induk,27,FALSE))),"-")</f>
        <v>VIII A</v>
      </c>
      <c r="N43" s="1480"/>
      <c r="O43" s="1480"/>
      <c r="P43" s="1480"/>
      <c r="Q43" s="1480"/>
      <c r="R43" s="1480"/>
      <c r="S43" s="1480"/>
      <c r="T43" s="1480"/>
      <c r="U43" s="1480"/>
      <c r="V43" s="1480"/>
      <c r="W43" s="1480"/>
      <c r="X43" s="1480"/>
      <c r="Y43" s="539"/>
      <c r="Z43" s="539" t="s">
        <v>579</v>
      </c>
      <c r="AA43" s="539" t="s">
        <v>583</v>
      </c>
      <c r="AB43" s="539"/>
      <c r="AC43" s="539"/>
      <c r="AD43" s="539"/>
      <c r="AE43" s="539"/>
      <c r="AF43" s="539"/>
      <c r="AG43" s="539"/>
      <c r="AH43" s="539"/>
      <c r="AI43" s="539"/>
      <c r="AJ43" s="540"/>
      <c r="AK43" s="553"/>
      <c r="AL43" s="550"/>
      <c r="AM43" s="550"/>
      <c r="AN43" s="550"/>
      <c r="AO43" s="550"/>
      <c r="AP43" s="550"/>
      <c r="AQ43" s="550"/>
      <c r="AR43" s="550"/>
      <c r="AS43" s="550"/>
      <c r="AT43" s="550"/>
      <c r="AU43" s="550"/>
    </row>
    <row r="44" spans="2:47" s="483" customFormat="1" ht="12" customHeight="1">
      <c r="B44" s="539"/>
      <c r="C44" s="539"/>
      <c r="D44" s="539" t="s">
        <v>289</v>
      </c>
      <c r="E44" s="539" t="s">
        <v>140</v>
      </c>
      <c r="F44" s="539"/>
      <c r="G44" s="539"/>
      <c r="H44" s="539"/>
      <c r="I44" s="539"/>
      <c r="J44" s="539"/>
      <c r="K44" s="539"/>
      <c r="L44" s="540" t="s">
        <v>2</v>
      </c>
      <c r="M44" s="1480" t="str">
        <f>IFERROR(IF(VLOOKUP($AW$4,_bio_bk_induk,28,FALSE)=0,"-",(VLOOKUP($AW$4,_bio_bk_induk,28,FALSE))),"-")</f>
        <v>16/07/2018</v>
      </c>
      <c r="N44" s="1480"/>
      <c r="O44" s="1480"/>
      <c r="P44" s="1480"/>
      <c r="Q44" s="1480"/>
      <c r="R44" s="1480"/>
      <c r="S44" s="1480"/>
      <c r="T44" s="1480"/>
      <c r="U44" s="1480"/>
      <c r="V44" s="1480"/>
      <c r="W44" s="1480"/>
      <c r="X44" s="1480"/>
      <c r="Y44" s="539"/>
      <c r="Z44" s="539"/>
      <c r="AA44" s="539" t="s">
        <v>288</v>
      </c>
      <c r="AB44" s="539" t="s">
        <v>584</v>
      </c>
      <c r="AC44" s="539"/>
      <c r="AD44" s="539"/>
      <c r="AE44" s="539"/>
      <c r="AF44" s="539"/>
      <c r="AG44" s="539"/>
      <c r="AH44" s="539"/>
      <c r="AI44" s="539"/>
      <c r="AJ44" s="540" t="s">
        <v>2</v>
      </c>
      <c r="AK44" s="1480" t="str">
        <f>IFERROR(IF(VLOOKUP($AW$4,_bio_bk_induk,72,FALSE)=0,"-",(VLOOKUP($AW$4,_bio_bk_induk,72,FALSE))),"-")</f>
        <v>-</v>
      </c>
      <c r="AL44" s="1480"/>
      <c r="AM44" s="1480"/>
      <c r="AN44" s="1480"/>
      <c r="AO44" s="1480"/>
      <c r="AP44" s="1480"/>
      <c r="AQ44" s="1480"/>
      <c r="AR44" s="550"/>
      <c r="AS44" s="550"/>
      <c r="AT44" s="550"/>
      <c r="AU44" s="550"/>
    </row>
    <row r="45" spans="2:47" s="483" customFormat="1" ht="12" customHeight="1">
      <c r="B45" s="539"/>
      <c r="C45" s="539"/>
      <c r="D45" s="539"/>
      <c r="E45" s="539"/>
      <c r="F45" s="539"/>
      <c r="G45" s="539"/>
      <c r="H45" s="539"/>
      <c r="I45" s="539"/>
      <c r="J45" s="539"/>
      <c r="K45" s="539"/>
      <c r="L45" s="540"/>
      <c r="M45" s="553"/>
      <c r="N45" s="550"/>
      <c r="O45" s="550"/>
      <c r="P45" s="550"/>
      <c r="Q45" s="550"/>
      <c r="R45" s="550"/>
      <c r="S45" s="550"/>
      <c r="T45" s="550"/>
      <c r="U45" s="550"/>
      <c r="V45" s="550"/>
      <c r="W45" s="550"/>
      <c r="X45" s="550"/>
      <c r="Y45" s="539"/>
      <c r="Z45" s="539"/>
      <c r="AA45" s="539" t="s">
        <v>289</v>
      </c>
      <c r="AB45" s="539" t="s">
        <v>465</v>
      </c>
      <c r="AC45" s="539"/>
      <c r="AD45" s="539"/>
      <c r="AE45" s="539"/>
      <c r="AF45" s="539"/>
      <c r="AG45" s="539"/>
      <c r="AH45" s="539"/>
      <c r="AI45" s="539"/>
      <c r="AJ45" s="540" t="s">
        <v>2</v>
      </c>
      <c r="AK45" s="1482" t="str">
        <f>IFERROR(IF(VLOOKUP($AW$4,_bio_bk_induk,73,FALSE)=0,"-",(VLOOKUP($AW$4,_bio_bk_induk,73,FALSE))),"-")</f>
        <v>-</v>
      </c>
      <c r="AL45" s="1482"/>
      <c r="AM45" s="1482"/>
      <c r="AN45" s="1482"/>
      <c r="AO45" s="1482"/>
      <c r="AP45" s="1482"/>
      <c r="AQ45" s="1482"/>
      <c r="AR45" s="550"/>
      <c r="AS45" s="550"/>
      <c r="AT45" s="550"/>
      <c r="AU45" s="550"/>
    </row>
    <row r="46" spans="2:47" s="483" customFormat="1" ht="12" customHeight="1">
      <c r="B46" s="541" t="s">
        <v>540</v>
      </c>
      <c r="C46" s="541" t="s">
        <v>480</v>
      </c>
      <c r="D46" s="539"/>
      <c r="E46" s="539"/>
      <c r="F46" s="539"/>
      <c r="G46" s="539"/>
      <c r="H46" s="539"/>
      <c r="I46" s="539"/>
      <c r="J46" s="539"/>
      <c r="K46" s="539"/>
      <c r="L46" s="539"/>
      <c r="M46" s="553"/>
      <c r="N46" s="550"/>
      <c r="O46" s="550"/>
      <c r="P46" s="550"/>
      <c r="Q46" s="550"/>
      <c r="R46" s="550"/>
      <c r="S46" s="550"/>
      <c r="T46" s="550"/>
      <c r="U46" s="550"/>
      <c r="V46" s="550"/>
      <c r="W46" s="550"/>
      <c r="X46" s="550"/>
      <c r="Y46" s="539"/>
      <c r="Z46" s="539" t="s">
        <v>582</v>
      </c>
      <c r="AA46" s="539" t="s">
        <v>586</v>
      </c>
      <c r="AB46" s="539"/>
      <c r="AC46" s="539"/>
      <c r="AD46" s="539"/>
      <c r="AE46" s="539"/>
      <c r="AF46" s="539"/>
      <c r="AG46" s="539"/>
      <c r="AH46" s="539"/>
      <c r="AI46" s="539"/>
      <c r="AJ46" s="540"/>
      <c r="AK46" s="1482"/>
      <c r="AL46" s="1482"/>
      <c r="AM46" s="1482"/>
      <c r="AN46" s="1482"/>
      <c r="AO46" s="1482"/>
      <c r="AP46" s="1482"/>
      <c r="AQ46" s="1482"/>
      <c r="AR46" s="550"/>
      <c r="AS46" s="550"/>
      <c r="AT46" s="550"/>
      <c r="AU46" s="550"/>
    </row>
    <row r="47" spans="2:47" s="483" customFormat="1" ht="12" customHeight="1">
      <c r="B47" s="539"/>
      <c r="C47" s="539" t="s">
        <v>542</v>
      </c>
      <c r="D47" s="539" t="s">
        <v>481</v>
      </c>
      <c r="E47" s="539"/>
      <c r="F47" s="539"/>
      <c r="G47" s="539"/>
      <c r="H47" s="539"/>
      <c r="I47" s="539"/>
      <c r="J47" s="539"/>
      <c r="K47" s="539"/>
      <c r="L47" s="540" t="s">
        <v>2</v>
      </c>
      <c r="M47" s="1480" t="str">
        <f>IFERROR(IF(VLOOKUP($AW$4,_bio_bk_induk,69,FALSE)=0,"-",(VLOOKUP($AW$4,_bio_bk_induk,69,FALSE))),"-")</f>
        <v>-</v>
      </c>
      <c r="N47" s="1480"/>
      <c r="O47" s="1480"/>
      <c r="P47" s="1480"/>
      <c r="Q47" s="1480"/>
      <c r="R47" s="1480"/>
      <c r="S47" s="1480"/>
      <c r="T47" s="1480"/>
      <c r="U47" s="1480"/>
      <c r="V47" s="1480"/>
      <c r="W47" s="1480"/>
      <c r="X47" s="1480"/>
      <c r="Y47" s="539"/>
      <c r="Z47" s="539"/>
      <c r="AA47" s="539" t="s">
        <v>288</v>
      </c>
      <c r="AB47" s="539" t="s">
        <v>587</v>
      </c>
      <c r="AC47" s="539"/>
      <c r="AD47" s="539"/>
      <c r="AE47" s="539"/>
      <c r="AF47" s="539"/>
      <c r="AG47" s="539"/>
      <c r="AH47" s="539"/>
      <c r="AI47" s="539"/>
      <c r="AJ47" s="540" t="s">
        <v>2</v>
      </c>
      <c r="AK47" s="1480" t="str">
        <f>IFERROR(IF(VLOOKUP($AW$4,_bio_bk_induk,74,FALSE)=0,"-",(VLOOKUP($AW$4,_bio_bk_induk,74,FALSE))),"-")</f>
        <v>-</v>
      </c>
      <c r="AL47" s="1480"/>
      <c r="AM47" s="1480"/>
      <c r="AN47" s="1480"/>
      <c r="AO47" s="1480"/>
      <c r="AP47" s="1480"/>
      <c r="AQ47" s="1480"/>
      <c r="AR47" s="550"/>
      <c r="AS47" s="550"/>
      <c r="AT47" s="550"/>
      <c r="AU47" s="550"/>
    </row>
    <row r="48" spans="2:47" s="483" customFormat="1" ht="12" customHeight="1">
      <c r="B48" s="539"/>
      <c r="C48" s="539" t="s">
        <v>543</v>
      </c>
      <c r="D48" s="539" t="s">
        <v>482</v>
      </c>
      <c r="E48" s="539"/>
      <c r="F48" s="539"/>
      <c r="G48" s="539"/>
      <c r="H48" s="539"/>
      <c r="I48" s="539"/>
      <c r="J48" s="539"/>
      <c r="K48" s="539"/>
      <c r="L48" s="540" t="s">
        <v>2</v>
      </c>
      <c r="M48" s="1480" t="str">
        <f>IFERROR(IF(VLOOKUP($AW$4,_bio_bk_induk,70,FALSE)=0,"-",(VLOOKUP($AW$4,_bio_bk_induk,70,FALSE))),"-")</f>
        <v>-</v>
      </c>
      <c r="N48" s="1480"/>
      <c r="O48" s="1480"/>
      <c r="P48" s="1480"/>
      <c r="Q48" s="1480"/>
      <c r="R48" s="1480"/>
      <c r="S48" s="1480"/>
      <c r="T48" s="1480"/>
      <c r="U48" s="1480"/>
      <c r="V48" s="1480"/>
      <c r="W48" s="1480"/>
      <c r="X48" s="1480"/>
      <c r="Y48" s="539"/>
      <c r="Z48" s="539"/>
      <c r="AA48" s="539" t="s">
        <v>289</v>
      </c>
      <c r="AB48" s="539" t="s">
        <v>486</v>
      </c>
      <c r="AC48" s="539"/>
      <c r="AD48" s="539"/>
      <c r="AE48" s="539"/>
      <c r="AF48" s="539"/>
      <c r="AG48" s="539"/>
      <c r="AH48" s="539"/>
      <c r="AI48" s="539"/>
      <c r="AJ48" s="540" t="s">
        <v>2</v>
      </c>
      <c r="AK48" s="1480" t="str">
        <f>IFERROR(IF(VLOOKUP($AW$4,_bio_bk_induk,75,FALSE)=0,"-",(VLOOKUP($AW$4,_bio_bk_induk,75,FALSE))),"-")</f>
        <v>-</v>
      </c>
      <c r="AL48" s="1480"/>
      <c r="AM48" s="1480"/>
      <c r="AN48" s="1480"/>
      <c r="AO48" s="1480"/>
      <c r="AP48" s="1480"/>
      <c r="AQ48" s="1480"/>
      <c r="AR48" s="550"/>
      <c r="AS48" s="550"/>
      <c r="AT48" s="550"/>
      <c r="AU48" s="550"/>
    </row>
    <row r="49" spans="2:47" s="483" customFormat="1" ht="12" customHeight="1">
      <c r="B49" s="539"/>
      <c r="C49" s="539" t="s">
        <v>544</v>
      </c>
      <c r="D49" s="539" t="s">
        <v>483</v>
      </c>
      <c r="E49" s="539"/>
      <c r="F49" s="539"/>
      <c r="G49" s="539"/>
      <c r="H49" s="539"/>
      <c r="I49" s="539"/>
      <c r="J49" s="539"/>
      <c r="K49" s="539"/>
      <c r="L49" s="540" t="s">
        <v>2</v>
      </c>
      <c r="M49" s="1480" t="str">
        <f>IFERROR(IF(VLOOKUP($AW$4,_bio_bk_induk,71,FALSE)=0,"-",(VLOOKUP($AW$4,_bio_bk_induk,71,FALSE))),"-")</f>
        <v>-</v>
      </c>
      <c r="N49" s="1480"/>
      <c r="O49" s="1480"/>
      <c r="P49" s="1480"/>
      <c r="Q49" s="1480"/>
      <c r="R49" s="1480"/>
      <c r="S49" s="1480"/>
      <c r="T49" s="1480"/>
      <c r="U49" s="1480"/>
      <c r="V49" s="1480"/>
      <c r="W49" s="1480"/>
      <c r="X49" s="1480"/>
      <c r="Y49" s="539"/>
      <c r="Z49" s="539"/>
      <c r="AA49" s="539"/>
      <c r="AB49" s="539"/>
      <c r="AC49" s="539"/>
      <c r="AD49" s="539"/>
      <c r="AE49" s="539"/>
      <c r="AF49" s="539"/>
      <c r="AG49" s="539"/>
      <c r="AH49" s="539"/>
      <c r="AI49" s="539"/>
      <c r="AJ49" s="540"/>
      <c r="AK49" s="553"/>
      <c r="AL49" s="550"/>
      <c r="AM49" s="550"/>
      <c r="AN49" s="550"/>
      <c r="AO49" s="550"/>
      <c r="AP49" s="550"/>
      <c r="AQ49" s="550"/>
      <c r="AR49" s="550"/>
      <c r="AS49" s="550"/>
      <c r="AT49" s="550"/>
      <c r="AU49" s="550"/>
    </row>
    <row r="50" spans="2:47" s="483" customFormat="1" ht="12" customHeight="1">
      <c r="B50" s="539"/>
      <c r="C50" s="539"/>
      <c r="D50" s="539"/>
      <c r="E50" s="539"/>
      <c r="F50" s="539"/>
      <c r="G50" s="539"/>
      <c r="H50" s="539"/>
      <c r="I50" s="539"/>
      <c r="J50" s="539"/>
      <c r="K50" s="539"/>
      <c r="L50" s="540"/>
      <c r="M50" s="553"/>
      <c r="N50" s="550"/>
      <c r="O50" s="550"/>
      <c r="P50" s="550"/>
      <c r="Q50" s="550"/>
      <c r="R50" s="550"/>
      <c r="S50" s="550"/>
      <c r="T50" s="550"/>
      <c r="U50" s="550"/>
      <c r="V50" s="550"/>
      <c r="W50" s="550"/>
      <c r="X50" s="550"/>
      <c r="Y50" s="542" t="s">
        <v>588</v>
      </c>
      <c r="Z50" s="542" t="s">
        <v>589</v>
      </c>
      <c r="AA50" s="539"/>
      <c r="AB50" s="539"/>
      <c r="AC50" s="539"/>
      <c r="AD50" s="539"/>
      <c r="AE50" s="539"/>
      <c r="AF50" s="539"/>
      <c r="AG50" s="539"/>
      <c r="AH50" s="539"/>
      <c r="AI50" s="539"/>
      <c r="AJ50" s="539"/>
      <c r="AK50" s="553"/>
      <c r="AL50" s="550"/>
      <c r="AM50" s="550"/>
      <c r="AN50" s="550"/>
      <c r="AO50" s="550"/>
      <c r="AP50" s="550"/>
      <c r="AQ50" s="550"/>
      <c r="AR50" s="550"/>
      <c r="AS50" s="550"/>
      <c r="AT50" s="550"/>
      <c r="AU50" s="550"/>
    </row>
    <row r="51" spans="2:47" s="483" customFormat="1" ht="12" customHeight="1">
      <c r="B51" s="539"/>
      <c r="C51" s="539"/>
      <c r="D51" s="539"/>
      <c r="E51" s="539"/>
      <c r="F51" s="539"/>
      <c r="G51" s="539"/>
      <c r="H51" s="539"/>
      <c r="I51" s="539"/>
      <c r="J51" s="539"/>
      <c r="K51" s="539"/>
      <c r="L51" s="539"/>
      <c r="M51" s="553"/>
      <c r="N51" s="550"/>
      <c r="O51" s="550"/>
      <c r="P51" s="550"/>
      <c r="Q51" s="550"/>
      <c r="R51" s="550"/>
      <c r="S51" s="550"/>
      <c r="T51" s="550"/>
      <c r="U51" s="550"/>
      <c r="V51" s="550"/>
      <c r="W51" s="550"/>
      <c r="X51" s="550"/>
      <c r="Y51" s="539"/>
      <c r="Z51" s="539" t="s">
        <v>585</v>
      </c>
      <c r="AA51" s="539" t="s">
        <v>590</v>
      </c>
      <c r="AB51" s="539"/>
      <c r="AC51" s="539"/>
      <c r="AD51" s="539"/>
      <c r="AE51" s="539"/>
      <c r="AF51" s="539"/>
      <c r="AG51" s="539"/>
      <c r="AH51" s="539"/>
      <c r="AI51" s="539"/>
      <c r="AJ51" s="540" t="s">
        <v>2</v>
      </c>
      <c r="AK51" s="1480" t="str">
        <f>IFERROR(IF(VLOOKUP($AW$4,_bio_bk_induk,76,FALSE)=0,"-",(VLOOKUP($AW$4,_bio_bk_induk,76,FALSE))),"-")</f>
        <v>-</v>
      </c>
      <c r="AL51" s="1480"/>
      <c r="AM51" s="1480"/>
      <c r="AN51" s="1480"/>
      <c r="AO51" s="1480"/>
      <c r="AP51" s="1480"/>
      <c r="AQ51" s="1480"/>
      <c r="AR51" s="1480"/>
      <c r="AS51" s="1480"/>
      <c r="AT51" s="1480"/>
      <c r="AU51" s="1480"/>
    </row>
    <row r="52" spans="2:47" s="483" customFormat="1" ht="15">
      <c r="M52" s="548"/>
      <c r="AK52" s="548"/>
    </row>
    <row r="53" spans="2:47" s="98" customFormat="1" ht="15">
      <c r="M53" s="546"/>
      <c r="AK53" s="546"/>
    </row>
    <row r="54" spans="2:47" s="98" customFormat="1" ht="15">
      <c r="M54" s="546"/>
      <c r="AK54" s="546"/>
    </row>
    <row r="55" spans="2:47" s="98" customFormat="1" ht="15" hidden="1">
      <c r="B55" s="99"/>
      <c r="C55" s="99"/>
      <c r="D55" s="99"/>
      <c r="E55" s="99"/>
      <c r="F55" s="99"/>
      <c r="G55" s="99"/>
      <c r="H55" s="99"/>
      <c r="I55" s="99"/>
      <c r="J55" s="99"/>
      <c r="K55" s="99"/>
      <c r="L55" s="99"/>
      <c r="M55" s="158"/>
      <c r="N55" s="99"/>
      <c r="O55" s="99"/>
      <c r="P55" s="99"/>
      <c r="Q55" s="99"/>
      <c r="R55" s="99"/>
      <c r="S55" s="99"/>
      <c r="T55" s="99"/>
      <c r="U55" s="99"/>
      <c r="V55" s="99"/>
      <c r="W55" s="99"/>
      <c r="X55" s="99"/>
      <c r="Y55" s="99"/>
      <c r="Z55" s="99"/>
      <c r="AA55" s="99"/>
      <c r="AB55" s="99"/>
      <c r="AC55" s="99"/>
      <c r="AD55" s="99"/>
      <c r="AE55" s="99"/>
      <c r="AF55" s="99"/>
      <c r="AG55" s="99"/>
      <c r="AH55" s="99"/>
      <c r="AI55" s="99"/>
      <c r="AJ55" s="99"/>
      <c r="AK55" s="158"/>
      <c r="AL55" s="99"/>
      <c r="AM55" s="99"/>
      <c r="AN55" s="99"/>
      <c r="AO55" s="99"/>
      <c r="AP55" s="536"/>
      <c r="AQ55" s="536"/>
      <c r="AR55" s="536"/>
      <c r="AS55" s="536"/>
      <c r="AT55" s="536"/>
      <c r="AU55" s="536"/>
    </row>
    <row r="56" spans="2:47" s="98" customFormat="1" ht="15" hidden="1">
      <c r="B56" s="99"/>
      <c r="C56" s="99"/>
      <c r="D56" s="99"/>
      <c r="E56" s="99"/>
      <c r="F56" s="99"/>
      <c r="G56" s="99"/>
      <c r="H56" s="99"/>
      <c r="I56" s="99"/>
      <c r="J56" s="99"/>
      <c r="K56" s="99"/>
      <c r="L56" s="99"/>
      <c r="M56" s="158"/>
      <c r="N56" s="99"/>
      <c r="O56" s="99"/>
      <c r="P56" s="99"/>
      <c r="Q56" s="99"/>
      <c r="R56" s="99"/>
      <c r="S56" s="99"/>
      <c r="T56" s="99"/>
      <c r="U56" s="99"/>
      <c r="V56" s="99"/>
      <c r="W56" s="99"/>
      <c r="X56" s="99"/>
      <c r="Y56" s="99"/>
      <c r="Z56" s="99"/>
      <c r="AA56" s="99"/>
      <c r="AB56" s="99"/>
      <c r="AC56" s="99"/>
      <c r="AD56" s="99"/>
      <c r="AE56" s="99"/>
      <c r="AF56" s="99"/>
      <c r="AG56" s="99"/>
      <c r="AH56" s="99"/>
      <c r="AI56" s="99"/>
      <c r="AJ56" s="99"/>
      <c r="AK56" s="158"/>
      <c r="AL56" s="99"/>
      <c r="AM56" s="99"/>
      <c r="AN56" s="99"/>
      <c r="AO56" s="99"/>
      <c r="AP56" s="99"/>
      <c r="AQ56" s="99"/>
      <c r="AR56" s="99"/>
      <c r="AS56" s="99"/>
      <c r="AT56" s="99"/>
      <c r="AU56" s="99"/>
    </row>
    <row r="57" spans="2:47" s="98" customFormat="1" ht="15" hidden="1">
      <c r="B57" s="99"/>
      <c r="C57" s="99"/>
      <c r="D57" s="99"/>
      <c r="E57" s="99"/>
      <c r="F57" s="99"/>
      <c r="G57" s="99"/>
      <c r="H57" s="99"/>
      <c r="I57" s="99"/>
      <c r="J57" s="99"/>
      <c r="K57" s="99"/>
      <c r="L57" s="99"/>
      <c r="M57" s="158"/>
      <c r="N57" s="99"/>
      <c r="O57" s="99"/>
      <c r="P57" s="99"/>
      <c r="Q57" s="99"/>
      <c r="R57" s="99"/>
      <c r="S57" s="99"/>
      <c r="T57" s="99"/>
      <c r="U57" s="99"/>
      <c r="V57" s="99"/>
      <c r="W57" s="99"/>
      <c r="X57" s="99"/>
      <c r="Y57" s="99"/>
      <c r="Z57" s="99"/>
      <c r="AA57" s="99"/>
      <c r="AB57" s="99"/>
      <c r="AC57" s="99"/>
      <c r="AD57" s="99"/>
      <c r="AE57" s="99"/>
      <c r="AF57" s="99"/>
      <c r="AG57" s="99"/>
      <c r="AH57" s="99"/>
      <c r="AI57" s="99"/>
      <c r="AJ57" s="99"/>
      <c r="AK57" s="158"/>
      <c r="AL57" s="99"/>
      <c r="AM57" s="99"/>
      <c r="AN57" s="99"/>
      <c r="AO57" s="99"/>
      <c r="AP57" s="99"/>
      <c r="AQ57" s="99"/>
      <c r="AR57" s="99"/>
      <c r="AS57" s="99"/>
      <c r="AT57" s="99"/>
      <c r="AU57" s="99"/>
    </row>
    <row r="58" spans="2:47" s="98" customFormat="1" ht="15" hidden="1">
      <c r="B58" s="99"/>
      <c r="C58" s="99"/>
      <c r="D58" s="99"/>
      <c r="E58" s="99"/>
      <c r="F58" s="99"/>
      <c r="G58" s="99"/>
      <c r="H58" s="99"/>
      <c r="I58" s="99"/>
      <c r="J58" s="99"/>
      <c r="K58" s="99"/>
      <c r="L58" s="99"/>
      <c r="M58" s="158"/>
      <c r="N58" s="99"/>
      <c r="O58" s="99"/>
      <c r="P58" s="99"/>
      <c r="Q58" s="99"/>
      <c r="R58" s="99"/>
      <c r="S58" s="99"/>
      <c r="T58" s="99"/>
      <c r="U58" s="99"/>
      <c r="V58" s="99"/>
      <c r="W58" s="99"/>
      <c r="X58" s="99"/>
      <c r="Y58" s="99"/>
      <c r="Z58" s="99"/>
      <c r="AA58" s="99"/>
      <c r="AB58" s="99"/>
      <c r="AC58" s="99"/>
      <c r="AD58" s="99"/>
      <c r="AE58" s="99"/>
      <c r="AF58" s="99"/>
      <c r="AG58" s="99"/>
      <c r="AH58" s="99"/>
      <c r="AI58" s="99"/>
      <c r="AJ58" s="99"/>
      <c r="AK58" s="158"/>
      <c r="AL58" s="99"/>
      <c r="AM58" s="99"/>
      <c r="AN58" s="99"/>
      <c r="AO58" s="99"/>
      <c r="AP58" s="99"/>
      <c r="AQ58" s="99"/>
      <c r="AR58" s="99"/>
      <c r="AS58" s="99"/>
      <c r="AT58" s="99"/>
      <c r="AU58" s="99"/>
    </row>
    <row r="59" spans="2:47" s="98" customFormat="1" ht="15" hidden="1">
      <c r="B59" s="99"/>
      <c r="C59" s="99"/>
      <c r="D59" s="99"/>
      <c r="E59" s="99"/>
      <c r="F59" s="99"/>
      <c r="G59" s="99"/>
      <c r="H59" s="99"/>
      <c r="I59" s="99"/>
      <c r="J59" s="99"/>
      <c r="K59" s="99"/>
      <c r="L59" s="99"/>
      <c r="M59" s="158"/>
      <c r="N59" s="99"/>
      <c r="O59" s="99"/>
      <c r="P59" s="99"/>
      <c r="Q59" s="99"/>
      <c r="R59" s="99"/>
      <c r="S59" s="99"/>
      <c r="T59" s="99"/>
      <c r="U59" s="99"/>
      <c r="V59" s="99"/>
      <c r="W59" s="99"/>
      <c r="X59" s="99"/>
      <c r="Y59" s="99"/>
      <c r="Z59" s="99"/>
      <c r="AA59" s="99"/>
      <c r="AB59" s="99"/>
      <c r="AC59" s="99"/>
      <c r="AD59" s="99"/>
      <c r="AE59" s="99"/>
      <c r="AF59" s="99"/>
      <c r="AG59" s="99"/>
      <c r="AH59" s="99"/>
      <c r="AI59" s="99"/>
      <c r="AJ59" s="99"/>
      <c r="AK59" s="158"/>
      <c r="AL59" s="99"/>
      <c r="AM59" s="99"/>
      <c r="AN59" s="99"/>
      <c r="AO59" s="99"/>
      <c r="AP59" s="99"/>
      <c r="AQ59" s="99"/>
      <c r="AR59" s="99"/>
      <c r="AS59" s="99"/>
      <c r="AT59" s="99"/>
      <c r="AU59" s="99"/>
    </row>
    <row r="60" spans="2:47" s="98" customFormat="1" ht="15" hidden="1">
      <c r="B60" s="99"/>
      <c r="C60" s="99"/>
      <c r="D60" s="99"/>
      <c r="E60" s="99"/>
      <c r="F60" s="99"/>
      <c r="G60" s="99"/>
      <c r="H60" s="99"/>
      <c r="I60" s="99"/>
      <c r="J60" s="99"/>
      <c r="K60" s="99"/>
      <c r="L60" s="99"/>
      <c r="M60" s="158"/>
      <c r="N60" s="99"/>
      <c r="O60" s="99"/>
      <c r="P60" s="99"/>
      <c r="Q60" s="99"/>
      <c r="R60" s="99"/>
      <c r="S60" s="99"/>
      <c r="T60" s="99"/>
      <c r="U60" s="99"/>
      <c r="V60" s="99"/>
      <c r="W60" s="99"/>
      <c r="X60" s="99"/>
      <c r="Y60" s="99"/>
      <c r="Z60" s="99"/>
      <c r="AA60" s="99"/>
      <c r="AB60" s="99"/>
      <c r="AC60" s="99"/>
      <c r="AD60" s="99"/>
      <c r="AE60" s="99"/>
      <c r="AF60" s="99"/>
      <c r="AG60" s="99"/>
      <c r="AH60" s="99"/>
      <c r="AI60" s="99"/>
      <c r="AJ60" s="99"/>
      <c r="AK60" s="158"/>
      <c r="AL60" s="99"/>
      <c r="AM60" s="99"/>
      <c r="AN60" s="99"/>
      <c r="AO60" s="99"/>
      <c r="AP60" s="99"/>
      <c r="AQ60" s="99"/>
      <c r="AR60" s="99"/>
      <c r="AS60" s="99"/>
      <c r="AT60" s="99"/>
      <c r="AU60" s="99"/>
    </row>
    <row r="61" spans="2:47" s="98" customFormat="1" ht="15" hidden="1">
      <c r="B61" s="99"/>
      <c r="C61" s="99"/>
      <c r="D61" s="99"/>
      <c r="E61" s="99"/>
      <c r="F61" s="99"/>
      <c r="G61" s="99"/>
      <c r="H61" s="99"/>
      <c r="I61" s="99"/>
      <c r="J61" s="99"/>
      <c r="K61" s="99"/>
      <c r="L61" s="99"/>
      <c r="M61" s="158"/>
      <c r="N61" s="99"/>
      <c r="O61" s="99"/>
      <c r="P61" s="99"/>
      <c r="Q61" s="99"/>
      <c r="R61" s="99"/>
      <c r="S61" s="99"/>
      <c r="T61" s="99"/>
      <c r="U61" s="99"/>
      <c r="V61" s="99"/>
      <c r="W61" s="99"/>
      <c r="X61" s="99"/>
      <c r="Y61" s="99"/>
      <c r="Z61" s="99"/>
      <c r="AA61" s="99"/>
      <c r="AB61" s="99"/>
      <c r="AC61" s="99"/>
      <c r="AD61" s="99"/>
      <c r="AE61" s="99"/>
      <c r="AF61" s="99"/>
      <c r="AG61" s="99"/>
      <c r="AH61" s="99"/>
      <c r="AI61" s="99"/>
      <c r="AJ61" s="99"/>
      <c r="AK61" s="158"/>
      <c r="AL61" s="99"/>
      <c r="AM61" s="99"/>
      <c r="AN61" s="99"/>
      <c r="AO61" s="99"/>
      <c r="AP61" s="99"/>
      <c r="AQ61" s="99"/>
      <c r="AR61" s="99"/>
      <c r="AS61" s="99"/>
      <c r="AT61" s="99"/>
      <c r="AU61" s="99"/>
    </row>
    <row r="62" spans="2:47" s="98" customFormat="1" ht="15" hidden="1">
      <c r="B62" s="99"/>
      <c r="C62" s="99"/>
      <c r="D62" s="99"/>
      <c r="E62" s="99"/>
      <c r="F62" s="99"/>
      <c r="G62" s="99"/>
      <c r="H62" s="99"/>
      <c r="I62" s="99"/>
      <c r="J62" s="99"/>
      <c r="K62" s="99"/>
      <c r="L62" s="99"/>
      <c r="M62" s="158"/>
      <c r="N62" s="99"/>
      <c r="O62" s="99"/>
      <c r="P62" s="99"/>
      <c r="Q62" s="99"/>
      <c r="R62" s="99"/>
      <c r="S62" s="99"/>
      <c r="T62" s="99"/>
      <c r="U62" s="99"/>
      <c r="V62" s="99"/>
      <c r="W62" s="99"/>
      <c r="X62" s="99"/>
      <c r="Y62" s="99"/>
      <c r="Z62" s="99"/>
      <c r="AA62" s="99"/>
      <c r="AB62" s="99"/>
      <c r="AC62" s="99"/>
      <c r="AD62" s="99"/>
      <c r="AE62" s="99"/>
      <c r="AF62" s="99"/>
      <c r="AG62" s="99"/>
      <c r="AH62" s="99"/>
      <c r="AI62" s="99"/>
      <c r="AJ62" s="99"/>
      <c r="AK62" s="158"/>
      <c r="AL62" s="99"/>
      <c r="AM62" s="99"/>
      <c r="AN62" s="99"/>
      <c r="AO62" s="99"/>
      <c r="AP62" s="99"/>
      <c r="AQ62" s="99"/>
      <c r="AR62" s="99"/>
      <c r="AS62" s="99"/>
      <c r="AT62" s="99"/>
      <c r="AU62" s="99"/>
    </row>
    <row r="63" spans="2:47" s="98" customFormat="1" ht="15" hidden="1">
      <c r="B63" s="99"/>
      <c r="C63" s="99"/>
      <c r="D63" s="99"/>
      <c r="E63" s="99"/>
      <c r="F63" s="99"/>
      <c r="G63" s="99"/>
      <c r="H63" s="99"/>
      <c r="I63" s="99"/>
      <c r="J63" s="99"/>
      <c r="K63" s="99"/>
      <c r="L63" s="99"/>
      <c r="M63" s="158"/>
      <c r="N63" s="99"/>
      <c r="O63" s="99"/>
      <c r="P63" s="99"/>
      <c r="Q63" s="99"/>
      <c r="R63" s="99"/>
      <c r="S63" s="99"/>
      <c r="T63" s="99"/>
      <c r="U63" s="99"/>
      <c r="V63" s="99"/>
      <c r="W63" s="99"/>
      <c r="X63" s="99"/>
      <c r="Y63" s="99"/>
      <c r="Z63" s="99"/>
      <c r="AA63" s="99"/>
      <c r="AB63" s="99"/>
      <c r="AC63" s="99"/>
      <c r="AD63" s="99"/>
      <c r="AE63" s="99"/>
      <c r="AF63" s="99"/>
      <c r="AG63" s="99"/>
      <c r="AH63" s="99"/>
      <c r="AI63" s="99"/>
      <c r="AJ63" s="99"/>
      <c r="AK63" s="158"/>
      <c r="AL63" s="99"/>
      <c r="AM63" s="99"/>
      <c r="AN63" s="99"/>
      <c r="AO63" s="99"/>
      <c r="AP63" s="99"/>
      <c r="AQ63" s="99"/>
      <c r="AR63" s="99"/>
      <c r="AS63" s="99"/>
      <c r="AT63" s="99"/>
      <c r="AU63" s="99"/>
    </row>
    <row r="64" spans="2:47" s="98" customFormat="1" ht="15" hidden="1">
      <c r="B64" s="99"/>
      <c r="C64" s="99"/>
      <c r="D64" s="99"/>
      <c r="E64" s="99"/>
      <c r="F64" s="99"/>
      <c r="G64" s="99"/>
      <c r="H64" s="99"/>
      <c r="I64" s="99"/>
      <c r="J64" s="99"/>
      <c r="K64" s="99"/>
      <c r="L64" s="99"/>
      <c r="M64" s="158"/>
      <c r="N64" s="99"/>
      <c r="O64" s="99"/>
      <c r="P64" s="99"/>
      <c r="Q64" s="99"/>
      <c r="R64" s="99"/>
      <c r="S64" s="99"/>
      <c r="T64" s="99"/>
      <c r="U64" s="99"/>
      <c r="V64" s="99"/>
      <c r="W64" s="99"/>
      <c r="X64" s="99"/>
      <c r="Y64" s="99"/>
      <c r="Z64" s="99"/>
      <c r="AA64" s="99"/>
      <c r="AB64" s="99"/>
      <c r="AC64" s="99"/>
      <c r="AD64" s="99"/>
      <c r="AE64" s="99"/>
      <c r="AF64" s="99"/>
      <c r="AG64" s="99"/>
      <c r="AH64" s="99"/>
      <c r="AI64" s="99"/>
      <c r="AJ64" s="99"/>
      <c r="AK64" s="158"/>
      <c r="AL64" s="99"/>
      <c r="AM64" s="99"/>
      <c r="AN64" s="99"/>
      <c r="AO64" s="99"/>
      <c r="AP64" s="99"/>
      <c r="AQ64" s="99"/>
      <c r="AR64" s="99"/>
      <c r="AS64" s="99"/>
      <c r="AT64" s="99"/>
      <c r="AU64" s="99"/>
    </row>
    <row r="65" spans="2:47" s="98" customFormat="1" ht="15" hidden="1">
      <c r="B65" s="99"/>
      <c r="C65" s="99"/>
      <c r="D65" s="99"/>
      <c r="E65" s="99"/>
      <c r="F65" s="99"/>
      <c r="G65" s="99"/>
      <c r="H65" s="99"/>
      <c r="I65" s="99"/>
      <c r="J65" s="99"/>
      <c r="K65" s="99"/>
      <c r="L65" s="99"/>
      <c r="M65" s="158"/>
      <c r="N65" s="99"/>
      <c r="O65" s="99"/>
      <c r="P65" s="99"/>
      <c r="Q65" s="99"/>
      <c r="R65" s="99"/>
      <c r="S65" s="99"/>
      <c r="T65" s="99"/>
      <c r="U65" s="99"/>
      <c r="V65" s="99"/>
      <c r="W65" s="99"/>
      <c r="X65" s="99"/>
      <c r="Y65" s="99"/>
      <c r="Z65" s="99"/>
      <c r="AA65" s="99"/>
      <c r="AB65" s="99"/>
      <c r="AC65" s="99"/>
      <c r="AD65" s="99"/>
      <c r="AE65" s="99"/>
      <c r="AF65" s="99"/>
      <c r="AG65" s="99"/>
      <c r="AH65" s="99"/>
      <c r="AI65" s="99"/>
      <c r="AJ65" s="99"/>
      <c r="AK65" s="158"/>
      <c r="AL65" s="99"/>
      <c r="AM65" s="99"/>
      <c r="AN65" s="99"/>
      <c r="AO65" s="99"/>
      <c r="AP65" s="99"/>
      <c r="AQ65" s="99"/>
      <c r="AR65" s="99"/>
      <c r="AS65" s="99"/>
      <c r="AT65" s="99"/>
      <c r="AU65" s="99"/>
    </row>
    <row r="66" spans="2:47" s="98" customFormat="1" ht="15" hidden="1">
      <c r="B66" s="99"/>
      <c r="C66" s="99"/>
      <c r="D66" s="99"/>
      <c r="E66" s="99"/>
      <c r="F66" s="99"/>
      <c r="G66" s="99"/>
      <c r="H66" s="99"/>
      <c r="I66" s="99"/>
      <c r="J66" s="99"/>
      <c r="K66" s="99"/>
      <c r="L66" s="99"/>
      <c r="M66" s="158"/>
      <c r="N66" s="99"/>
      <c r="O66" s="99"/>
      <c r="P66" s="99"/>
      <c r="Q66" s="99"/>
      <c r="R66" s="99"/>
      <c r="S66" s="99"/>
      <c r="T66" s="99"/>
      <c r="U66" s="99"/>
      <c r="V66" s="99"/>
      <c r="W66" s="99"/>
      <c r="X66" s="99"/>
      <c r="Y66" s="99"/>
      <c r="Z66" s="99"/>
      <c r="AA66" s="99"/>
      <c r="AB66" s="99"/>
      <c r="AC66" s="99"/>
      <c r="AD66" s="99"/>
      <c r="AE66" s="99"/>
      <c r="AF66" s="99"/>
      <c r="AG66" s="99"/>
      <c r="AH66" s="99"/>
      <c r="AI66" s="99"/>
      <c r="AJ66" s="99"/>
      <c r="AK66" s="158"/>
      <c r="AL66" s="99"/>
      <c r="AM66" s="99"/>
      <c r="AN66" s="99"/>
      <c r="AO66" s="99"/>
      <c r="AP66" s="99"/>
      <c r="AQ66" s="99"/>
      <c r="AR66" s="99"/>
      <c r="AS66" s="99"/>
      <c r="AT66" s="99"/>
      <c r="AU66" s="99"/>
    </row>
    <row r="67" spans="2:47" s="98" customFormat="1" ht="15" hidden="1">
      <c r="B67" s="99"/>
      <c r="C67" s="99"/>
      <c r="D67" s="99"/>
      <c r="E67" s="99"/>
      <c r="F67" s="99"/>
      <c r="G67" s="99"/>
      <c r="H67" s="99"/>
      <c r="I67" s="99"/>
      <c r="J67" s="99"/>
      <c r="K67" s="99"/>
      <c r="L67" s="99"/>
      <c r="M67" s="158"/>
      <c r="N67" s="99"/>
      <c r="O67" s="99"/>
      <c r="P67" s="99"/>
      <c r="Q67" s="99"/>
      <c r="R67" s="99"/>
      <c r="S67" s="99"/>
      <c r="T67" s="99"/>
      <c r="U67" s="99"/>
      <c r="V67" s="99"/>
      <c r="W67" s="99"/>
      <c r="X67" s="99"/>
      <c r="Y67" s="99"/>
      <c r="Z67" s="99"/>
      <c r="AA67" s="99"/>
      <c r="AB67" s="99"/>
      <c r="AC67" s="99"/>
      <c r="AD67" s="99"/>
      <c r="AE67" s="99"/>
      <c r="AF67" s="99"/>
      <c r="AG67" s="99"/>
      <c r="AH67" s="99"/>
      <c r="AI67" s="99"/>
      <c r="AJ67" s="99"/>
      <c r="AK67" s="158"/>
      <c r="AL67" s="99"/>
      <c r="AM67" s="99"/>
      <c r="AN67" s="99"/>
      <c r="AO67" s="99"/>
      <c r="AP67" s="99"/>
      <c r="AQ67" s="99"/>
      <c r="AR67" s="99"/>
      <c r="AS67" s="99"/>
      <c r="AT67" s="99"/>
      <c r="AU67" s="99"/>
    </row>
    <row r="68" spans="2:47" s="98" customFormat="1" ht="15" hidden="1">
      <c r="B68" s="99"/>
      <c r="C68" s="99"/>
      <c r="D68" s="99"/>
      <c r="E68" s="99"/>
      <c r="F68" s="99"/>
      <c r="G68" s="99"/>
      <c r="H68" s="99"/>
      <c r="I68" s="99"/>
      <c r="J68" s="99"/>
      <c r="K68" s="99"/>
      <c r="L68" s="99"/>
      <c r="M68" s="158"/>
      <c r="N68" s="99"/>
      <c r="O68" s="99"/>
      <c r="P68" s="99"/>
      <c r="Q68" s="99"/>
      <c r="R68" s="99"/>
      <c r="S68" s="99"/>
      <c r="T68" s="99"/>
      <c r="U68" s="99"/>
      <c r="V68" s="99"/>
      <c r="W68" s="99"/>
      <c r="X68" s="99"/>
      <c r="Y68" s="99"/>
      <c r="Z68" s="99"/>
      <c r="AA68" s="99"/>
      <c r="AB68" s="99"/>
      <c r="AC68" s="99"/>
      <c r="AD68" s="99"/>
      <c r="AE68" s="99"/>
      <c r="AF68" s="99"/>
      <c r="AG68" s="99"/>
      <c r="AH68" s="99"/>
      <c r="AI68" s="99"/>
      <c r="AJ68" s="99"/>
      <c r="AK68" s="158"/>
      <c r="AL68" s="99"/>
      <c r="AM68" s="99"/>
      <c r="AN68" s="99"/>
      <c r="AO68" s="99"/>
      <c r="AP68" s="99"/>
      <c r="AQ68" s="99"/>
      <c r="AR68" s="99"/>
      <c r="AS68" s="99"/>
      <c r="AT68" s="99"/>
      <c r="AU68" s="99"/>
    </row>
    <row r="69" spans="2:47" s="98" customFormat="1" ht="15" hidden="1">
      <c r="B69" s="99"/>
      <c r="C69" s="99"/>
      <c r="D69" s="99"/>
      <c r="E69" s="99"/>
      <c r="F69" s="99"/>
      <c r="G69" s="99"/>
      <c r="H69" s="99"/>
      <c r="I69" s="99"/>
      <c r="J69" s="99"/>
      <c r="K69" s="99"/>
      <c r="L69" s="99"/>
      <c r="M69" s="158"/>
      <c r="N69" s="99"/>
      <c r="O69" s="99"/>
      <c r="P69" s="99"/>
      <c r="Q69" s="99"/>
      <c r="R69" s="99"/>
      <c r="S69" s="99"/>
      <c r="T69" s="99"/>
      <c r="U69" s="99"/>
      <c r="V69" s="99"/>
      <c r="W69" s="99"/>
      <c r="X69" s="99"/>
      <c r="Y69" s="99"/>
      <c r="Z69" s="99"/>
      <c r="AA69" s="99"/>
      <c r="AB69" s="99"/>
      <c r="AC69" s="99"/>
      <c r="AD69" s="99"/>
      <c r="AE69" s="99"/>
      <c r="AF69" s="99"/>
      <c r="AG69" s="99"/>
      <c r="AH69" s="99"/>
      <c r="AI69" s="99"/>
      <c r="AJ69" s="99"/>
      <c r="AK69" s="158"/>
      <c r="AL69" s="99"/>
      <c r="AM69" s="99"/>
      <c r="AN69" s="99"/>
      <c r="AO69" s="99"/>
      <c r="AP69" s="99"/>
      <c r="AQ69" s="99"/>
      <c r="AR69" s="99"/>
      <c r="AS69" s="99"/>
      <c r="AT69" s="99"/>
      <c r="AU69" s="99"/>
    </row>
    <row r="70" spans="2:47" s="98" customFormat="1" ht="15" hidden="1">
      <c r="B70" s="99"/>
      <c r="C70" s="99"/>
      <c r="D70" s="99"/>
      <c r="E70" s="99"/>
      <c r="F70" s="99"/>
      <c r="G70" s="99"/>
      <c r="H70" s="99"/>
      <c r="I70" s="99"/>
      <c r="J70" s="99"/>
      <c r="K70" s="99"/>
      <c r="L70" s="99"/>
      <c r="M70" s="158"/>
      <c r="N70" s="99"/>
      <c r="O70" s="99"/>
      <c r="P70" s="99"/>
      <c r="Q70" s="99"/>
      <c r="R70" s="99"/>
      <c r="S70" s="99"/>
      <c r="T70" s="99"/>
      <c r="U70" s="99"/>
      <c r="V70" s="99"/>
      <c r="W70" s="99"/>
      <c r="X70" s="99"/>
      <c r="Y70" s="99"/>
      <c r="Z70" s="99"/>
      <c r="AA70" s="99"/>
      <c r="AB70" s="99"/>
      <c r="AC70" s="99"/>
      <c r="AD70" s="99"/>
      <c r="AE70" s="99"/>
      <c r="AF70" s="99"/>
      <c r="AG70" s="99"/>
      <c r="AH70" s="99"/>
      <c r="AI70" s="99"/>
      <c r="AJ70" s="99"/>
      <c r="AK70" s="158"/>
      <c r="AL70" s="99"/>
      <c r="AM70" s="99"/>
      <c r="AN70" s="99"/>
      <c r="AO70" s="99"/>
      <c r="AP70" s="99"/>
      <c r="AQ70" s="99"/>
      <c r="AR70" s="99"/>
      <c r="AS70" s="99"/>
      <c r="AT70" s="99"/>
      <c r="AU70" s="99"/>
    </row>
    <row r="71" spans="2:47" s="98" customFormat="1" ht="15" hidden="1">
      <c r="B71" s="99"/>
      <c r="C71" s="99"/>
      <c r="D71" s="99"/>
      <c r="E71" s="99"/>
      <c r="F71" s="99"/>
      <c r="G71" s="99"/>
      <c r="H71" s="99"/>
      <c r="I71" s="99"/>
      <c r="J71" s="99"/>
      <c r="K71" s="99"/>
      <c r="L71" s="99"/>
      <c r="M71" s="158"/>
      <c r="N71" s="99"/>
      <c r="O71" s="99"/>
      <c r="P71" s="99"/>
      <c r="Q71" s="99"/>
      <c r="R71" s="99"/>
      <c r="S71" s="99"/>
      <c r="T71" s="99"/>
      <c r="U71" s="99"/>
      <c r="V71" s="99"/>
      <c r="W71" s="99"/>
      <c r="X71" s="99"/>
      <c r="Y71" s="99"/>
      <c r="Z71" s="99"/>
      <c r="AA71" s="99"/>
      <c r="AB71" s="99"/>
      <c r="AC71" s="99"/>
      <c r="AD71" s="99"/>
      <c r="AE71" s="99"/>
      <c r="AF71" s="99"/>
      <c r="AG71" s="99"/>
      <c r="AH71" s="99"/>
      <c r="AI71" s="99"/>
      <c r="AJ71" s="99"/>
      <c r="AK71" s="158"/>
      <c r="AL71" s="99"/>
      <c r="AM71" s="99"/>
      <c r="AN71" s="99"/>
      <c r="AO71" s="99"/>
      <c r="AP71" s="99"/>
      <c r="AQ71" s="99"/>
      <c r="AR71" s="99"/>
      <c r="AS71" s="99"/>
      <c r="AT71" s="99"/>
      <c r="AU71" s="99"/>
    </row>
    <row r="72" spans="2:47" s="98" customFormat="1" ht="15" hidden="1">
      <c r="B72" s="99"/>
      <c r="C72" s="99"/>
      <c r="D72" s="99"/>
      <c r="E72" s="99"/>
      <c r="F72" s="99"/>
      <c r="G72" s="99"/>
      <c r="H72" s="99"/>
      <c r="I72" s="99"/>
      <c r="J72" s="99"/>
      <c r="K72" s="99"/>
      <c r="L72" s="99"/>
      <c r="M72" s="158"/>
      <c r="N72" s="99"/>
      <c r="O72" s="99"/>
      <c r="P72" s="99"/>
      <c r="Q72" s="99"/>
      <c r="R72" s="99"/>
      <c r="S72" s="99"/>
      <c r="T72" s="99"/>
      <c r="U72" s="99"/>
      <c r="V72" s="99"/>
      <c r="W72" s="99"/>
      <c r="X72" s="99"/>
      <c r="Y72" s="99"/>
      <c r="Z72" s="99"/>
      <c r="AA72" s="99"/>
      <c r="AB72" s="99"/>
      <c r="AC72" s="99"/>
      <c r="AD72" s="99"/>
      <c r="AE72" s="99"/>
      <c r="AF72" s="99"/>
      <c r="AG72" s="99"/>
      <c r="AH72" s="99"/>
      <c r="AI72" s="99"/>
      <c r="AJ72" s="99"/>
      <c r="AK72" s="158"/>
      <c r="AL72" s="99"/>
      <c r="AM72" s="99"/>
      <c r="AN72" s="99"/>
      <c r="AO72" s="99"/>
      <c r="AP72" s="99"/>
      <c r="AQ72" s="99"/>
      <c r="AR72" s="99"/>
      <c r="AS72" s="99"/>
      <c r="AT72" s="99"/>
      <c r="AU72" s="99"/>
    </row>
    <row r="73" spans="2:47" s="98" customFormat="1" ht="15" hidden="1">
      <c r="B73" s="99"/>
      <c r="C73" s="99"/>
      <c r="D73" s="99"/>
      <c r="E73" s="99"/>
      <c r="F73" s="99"/>
      <c r="G73" s="99"/>
      <c r="H73" s="99"/>
      <c r="I73" s="99"/>
      <c r="J73" s="99"/>
      <c r="K73" s="99"/>
      <c r="L73" s="99"/>
      <c r="M73" s="158"/>
      <c r="N73" s="99"/>
      <c r="O73" s="99"/>
      <c r="P73" s="99"/>
      <c r="Q73" s="99"/>
      <c r="R73" s="99"/>
      <c r="S73" s="99"/>
      <c r="T73" s="99"/>
      <c r="U73" s="99"/>
      <c r="V73" s="99"/>
      <c r="W73" s="99"/>
      <c r="X73" s="99"/>
      <c r="Y73" s="99"/>
      <c r="Z73" s="99"/>
      <c r="AA73" s="99"/>
      <c r="AB73" s="99"/>
      <c r="AC73" s="99"/>
      <c r="AD73" s="99"/>
      <c r="AE73" s="99"/>
      <c r="AF73" s="99"/>
      <c r="AG73" s="99"/>
      <c r="AH73" s="99"/>
      <c r="AI73" s="99"/>
      <c r="AJ73" s="99"/>
      <c r="AK73" s="158"/>
      <c r="AL73" s="99"/>
      <c r="AM73" s="99"/>
      <c r="AN73" s="99"/>
      <c r="AO73" s="99"/>
      <c r="AP73" s="99"/>
      <c r="AQ73" s="99"/>
      <c r="AR73" s="99"/>
      <c r="AS73" s="99"/>
      <c r="AT73" s="99"/>
      <c r="AU73" s="99"/>
    </row>
    <row r="74" spans="2:47" s="98" customFormat="1" ht="15" hidden="1">
      <c r="B74" s="99"/>
      <c r="C74" s="99"/>
      <c r="D74" s="99"/>
      <c r="E74" s="99"/>
      <c r="F74" s="99"/>
      <c r="G74" s="99"/>
      <c r="H74" s="99"/>
      <c r="I74" s="99"/>
      <c r="J74" s="99"/>
      <c r="K74" s="99"/>
      <c r="L74" s="99"/>
      <c r="M74" s="158"/>
      <c r="N74" s="99"/>
      <c r="O74" s="99"/>
      <c r="P74" s="99"/>
      <c r="Q74" s="99"/>
      <c r="R74" s="99"/>
      <c r="S74" s="99"/>
      <c r="T74" s="99"/>
      <c r="U74" s="99"/>
      <c r="V74" s="99"/>
      <c r="W74" s="99"/>
      <c r="X74" s="99"/>
      <c r="Y74" s="99"/>
      <c r="Z74" s="99"/>
      <c r="AA74" s="99"/>
      <c r="AB74" s="99"/>
      <c r="AC74" s="99"/>
      <c r="AD74" s="99"/>
      <c r="AE74" s="99"/>
      <c r="AF74" s="99"/>
      <c r="AG74" s="99"/>
      <c r="AH74" s="99"/>
      <c r="AI74" s="99"/>
      <c r="AJ74" s="99"/>
      <c r="AK74" s="158"/>
      <c r="AL74" s="99"/>
      <c r="AM74" s="99"/>
      <c r="AN74" s="99"/>
      <c r="AO74" s="99"/>
      <c r="AP74" s="99"/>
      <c r="AQ74" s="99"/>
      <c r="AR74" s="99"/>
      <c r="AS74" s="99"/>
      <c r="AT74" s="99"/>
      <c r="AU74" s="99"/>
    </row>
    <row r="75" spans="2:47" s="98" customFormat="1" ht="15" hidden="1" customHeight="1">
      <c r="B75" s="99"/>
      <c r="C75" s="99"/>
      <c r="D75" s="99"/>
      <c r="E75" s="99"/>
      <c r="F75" s="99"/>
      <c r="G75" s="99"/>
      <c r="H75" s="99"/>
      <c r="I75" s="99"/>
      <c r="J75" s="99"/>
      <c r="K75" s="99"/>
      <c r="L75" s="99"/>
      <c r="M75" s="158"/>
      <c r="N75" s="99"/>
      <c r="O75" s="99"/>
      <c r="P75" s="99"/>
      <c r="Q75" s="99"/>
      <c r="R75" s="99"/>
      <c r="S75" s="99"/>
      <c r="T75" s="99"/>
      <c r="U75" s="99"/>
      <c r="V75" s="99"/>
      <c r="W75" s="99"/>
      <c r="X75" s="99"/>
      <c r="Y75" s="99"/>
      <c r="Z75" s="99"/>
      <c r="AA75" s="99"/>
      <c r="AB75" s="99"/>
      <c r="AC75" s="99"/>
      <c r="AD75" s="99"/>
      <c r="AE75" s="99"/>
      <c r="AF75" s="99"/>
      <c r="AG75" s="99"/>
      <c r="AH75" s="99"/>
      <c r="AI75" s="99"/>
      <c r="AJ75" s="99"/>
      <c r="AK75" s="158"/>
      <c r="AL75" s="99"/>
      <c r="AM75" s="99"/>
      <c r="AN75" s="99"/>
      <c r="AO75" s="99"/>
      <c r="AP75" s="99"/>
      <c r="AQ75" s="99"/>
      <c r="AR75" s="99"/>
      <c r="AS75" s="99"/>
      <c r="AT75" s="99"/>
      <c r="AU75" s="99"/>
    </row>
    <row r="76" spans="2:47" s="98" customFormat="1" ht="15" hidden="1" customHeight="1">
      <c r="B76" s="99"/>
      <c r="C76" s="99"/>
      <c r="D76" s="99"/>
      <c r="E76" s="99"/>
      <c r="F76" s="99"/>
      <c r="G76" s="99"/>
      <c r="H76" s="99"/>
      <c r="I76" s="99"/>
      <c r="J76" s="99"/>
      <c r="K76" s="99"/>
      <c r="L76" s="99"/>
      <c r="M76" s="158"/>
      <c r="N76" s="99"/>
      <c r="O76" s="99"/>
      <c r="P76" s="99"/>
      <c r="Q76" s="99"/>
      <c r="R76" s="99"/>
      <c r="S76" s="99"/>
      <c r="T76" s="99"/>
      <c r="U76" s="99"/>
      <c r="V76" s="99"/>
      <c r="W76" s="99"/>
      <c r="X76" s="99"/>
      <c r="Y76" s="99"/>
      <c r="Z76" s="99"/>
      <c r="AA76" s="99"/>
      <c r="AB76" s="99"/>
      <c r="AC76" s="99"/>
      <c r="AD76" s="99"/>
      <c r="AE76" s="99"/>
      <c r="AF76" s="99"/>
      <c r="AG76" s="99"/>
      <c r="AH76" s="99"/>
      <c r="AI76" s="99"/>
      <c r="AJ76" s="99"/>
      <c r="AK76" s="158"/>
      <c r="AL76" s="99"/>
      <c r="AM76" s="99"/>
      <c r="AN76" s="99"/>
      <c r="AO76" s="99"/>
      <c r="AP76" s="99"/>
      <c r="AQ76" s="99"/>
      <c r="AR76" s="99"/>
      <c r="AS76" s="99"/>
      <c r="AT76" s="99"/>
      <c r="AU76" s="99"/>
    </row>
    <row r="77" spans="2:47" s="98" customFormat="1" ht="15" hidden="1" customHeight="1">
      <c r="B77" s="99"/>
      <c r="C77" s="99"/>
      <c r="D77" s="99"/>
      <c r="E77" s="99"/>
      <c r="F77" s="99"/>
      <c r="G77" s="99"/>
      <c r="H77" s="99"/>
      <c r="I77" s="99"/>
      <c r="J77" s="99"/>
      <c r="K77" s="99"/>
      <c r="L77" s="99"/>
      <c r="M77" s="158"/>
      <c r="N77" s="99"/>
      <c r="O77" s="99"/>
      <c r="P77" s="99"/>
      <c r="Q77" s="99"/>
      <c r="R77" s="99"/>
      <c r="S77" s="99"/>
      <c r="T77" s="99"/>
      <c r="U77" s="99"/>
      <c r="V77" s="99"/>
      <c r="W77" s="99"/>
      <c r="X77" s="99"/>
      <c r="Y77" s="99"/>
      <c r="Z77" s="99"/>
      <c r="AA77" s="99"/>
      <c r="AB77" s="99"/>
      <c r="AC77" s="99"/>
      <c r="AD77" s="99"/>
      <c r="AE77" s="99"/>
      <c r="AF77" s="99"/>
      <c r="AG77" s="99"/>
      <c r="AH77" s="99"/>
      <c r="AI77" s="99"/>
      <c r="AJ77" s="99"/>
      <c r="AK77" s="158"/>
      <c r="AL77" s="99"/>
      <c r="AM77" s="99"/>
      <c r="AN77" s="99"/>
      <c r="AO77" s="99"/>
      <c r="AP77" s="99"/>
      <c r="AQ77" s="99"/>
      <c r="AR77" s="99"/>
      <c r="AS77" s="99"/>
      <c r="AT77" s="99"/>
      <c r="AU77" s="99"/>
    </row>
    <row r="78" spans="2:47" s="98" customFormat="1" ht="15" hidden="1" customHeight="1">
      <c r="B78" s="99"/>
      <c r="C78" s="99"/>
      <c r="D78" s="99"/>
      <c r="E78" s="99"/>
      <c r="F78" s="99"/>
      <c r="G78" s="99"/>
      <c r="H78" s="99"/>
      <c r="I78" s="99"/>
      <c r="J78" s="99"/>
      <c r="K78" s="99"/>
      <c r="L78" s="99"/>
      <c r="M78" s="158"/>
      <c r="N78" s="99"/>
      <c r="O78" s="99"/>
      <c r="P78" s="99"/>
      <c r="Q78" s="99"/>
      <c r="R78" s="99"/>
      <c r="S78" s="99"/>
      <c r="T78" s="99"/>
      <c r="U78" s="99"/>
      <c r="V78" s="99"/>
      <c r="W78" s="99"/>
      <c r="X78" s="99"/>
      <c r="Y78" s="99"/>
      <c r="Z78" s="99"/>
      <c r="AA78" s="99"/>
      <c r="AB78" s="99"/>
      <c r="AC78" s="99"/>
      <c r="AD78" s="99"/>
      <c r="AE78" s="99"/>
      <c r="AF78" s="99"/>
      <c r="AG78" s="99"/>
      <c r="AH78" s="99"/>
      <c r="AI78" s="99"/>
      <c r="AJ78" s="99"/>
      <c r="AK78" s="158"/>
      <c r="AL78" s="99"/>
      <c r="AM78" s="99"/>
      <c r="AN78" s="99"/>
      <c r="AO78" s="99"/>
      <c r="AP78" s="99"/>
      <c r="AQ78" s="99"/>
      <c r="AR78" s="99"/>
      <c r="AS78" s="99"/>
      <c r="AT78" s="99"/>
      <c r="AU78" s="99"/>
    </row>
    <row r="79" spans="2:47" s="98" customFormat="1" ht="15" hidden="1" customHeight="1">
      <c r="B79" s="99"/>
      <c r="C79" s="99"/>
      <c r="D79" s="99"/>
      <c r="E79" s="99"/>
      <c r="F79" s="99"/>
      <c r="G79" s="99"/>
      <c r="H79" s="99"/>
      <c r="I79" s="99"/>
      <c r="J79" s="99"/>
      <c r="K79" s="99"/>
      <c r="L79" s="99"/>
      <c r="M79" s="158"/>
      <c r="N79" s="99"/>
      <c r="O79" s="99"/>
      <c r="P79" s="99"/>
      <c r="Q79" s="99"/>
      <c r="R79" s="99"/>
      <c r="S79" s="99"/>
      <c r="T79" s="99"/>
      <c r="U79" s="99"/>
      <c r="V79" s="99"/>
      <c r="W79" s="99"/>
      <c r="X79" s="99"/>
      <c r="Y79" s="99"/>
      <c r="Z79" s="99"/>
      <c r="AA79" s="99"/>
      <c r="AB79" s="99"/>
      <c r="AC79" s="99"/>
      <c r="AD79" s="99"/>
      <c r="AE79" s="99"/>
      <c r="AF79" s="99"/>
      <c r="AG79" s="99"/>
      <c r="AH79" s="99"/>
      <c r="AI79" s="99"/>
      <c r="AJ79" s="99"/>
      <c r="AK79" s="158"/>
      <c r="AL79" s="99"/>
      <c r="AM79" s="99"/>
      <c r="AN79" s="99"/>
      <c r="AO79" s="99"/>
      <c r="AP79" s="99"/>
      <c r="AQ79" s="99"/>
      <c r="AR79" s="99"/>
      <c r="AS79" s="99"/>
      <c r="AT79" s="99"/>
      <c r="AU79" s="99"/>
    </row>
    <row r="80" spans="2:47" s="98" customFormat="1" ht="15" hidden="1" customHeight="1">
      <c r="B80" s="99"/>
      <c r="C80" s="99"/>
      <c r="D80" s="99"/>
      <c r="E80" s="99"/>
      <c r="F80" s="99"/>
      <c r="G80" s="99"/>
      <c r="H80" s="99"/>
      <c r="I80" s="99"/>
      <c r="J80" s="99"/>
      <c r="K80" s="99"/>
      <c r="L80" s="99"/>
      <c r="M80" s="158"/>
      <c r="N80" s="99"/>
      <c r="O80" s="99"/>
      <c r="P80" s="99"/>
      <c r="Q80" s="99"/>
      <c r="R80" s="99"/>
      <c r="S80" s="99"/>
      <c r="T80" s="99"/>
      <c r="U80" s="99"/>
      <c r="V80" s="99"/>
      <c r="W80" s="99"/>
      <c r="X80" s="99"/>
      <c r="Y80" s="99"/>
      <c r="Z80" s="99"/>
      <c r="AA80" s="99"/>
      <c r="AB80" s="99"/>
      <c r="AC80" s="99"/>
      <c r="AD80" s="99"/>
      <c r="AE80" s="99"/>
      <c r="AF80" s="99"/>
      <c r="AG80" s="99"/>
      <c r="AH80" s="99"/>
      <c r="AI80" s="99"/>
      <c r="AJ80" s="99"/>
      <c r="AK80" s="158"/>
      <c r="AL80" s="99"/>
      <c r="AM80" s="99"/>
      <c r="AN80" s="99"/>
      <c r="AO80" s="99"/>
      <c r="AP80" s="99"/>
      <c r="AQ80" s="99"/>
      <c r="AR80" s="99"/>
      <c r="AS80" s="99"/>
      <c r="AT80" s="99"/>
      <c r="AU80" s="99"/>
    </row>
    <row r="81" spans="2:47" s="98" customFormat="1" ht="15" hidden="1" customHeight="1">
      <c r="B81" s="99"/>
      <c r="C81" s="99"/>
      <c r="D81" s="99"/>
      <c r="E81" s="99"/>
      <c r="F81" s="99"/>
      <c r="G81" s="99"/>
      <c r="H81" s="99"/>
      <c r="I81" s="99"/>
      <c r="J81" s="99"/>
      <c r="K81" s="99"/>
      <c r="L81" s="99"/>
      <c r="M81" s="158"/>
      <c r="N81" s="99"/>
      <c r="O81" s="99"/>
      <c r="P81" s="99"/>
      <c r="Q81" s="99"/>
      <c r="R81" s="99"/>
      <c r="S81" s="99"/>
      <c r="T81" s="99"/>
      <c r="U81" s="99"/>
      <c r="V81" s="99"/>
      <c r="W81" s="99"/>
      <c r="X81" s="99"/>
      <c r="Y81" s="99"/>
      <c r="Z81" s="99"/>
      <c r="AA81" s="99"/>
      <c r="AB81" s="99"/>
      <c r="AC81" s="99"/>
      <c r="AD81" s="99"/>
      <c r="AE81" s="99"/>
      <c r="AF81" s="99"/>
      <c r="AG81" s="99"/>
      <c r="AH81" s="99"/>
      <c r="AI81" s="99"/>
      <c r="AJ81" s="99"/>
      <c r="AK81" s="158"/>
      <c r="AL81" s="99"/>
      <c r="AM81" s="99"/>
      <c r="AN81" s="99"/>
      <c r="AO81" s="99"/>
      <c r="AP81" s="99"/>
      <c r="AQ81" s="99"/>
      <c r="AR81" s="99"/>
      <c r="AS81" s="99"/>
      <c r="AT81" s="99"/>
      <c r="AU81" s="99"/>
    </row>
    <row r="82" spans="2:47" s="98" customFormat="1" ht="15" hidden="1" customHeight="1">
      <c r="B82" s="99"/>
      <c r="C82" s="99"/>
      <c r="D82" s="99"/>
      <c r="E82" s="99"/>
      <c r="F82" s="99"/>
      <c r="G82" s="99"/>
      <c r="H82" s="99"/>
      <c r="I82" s="99"/>
      <c r="J82" s="99"/>
      <c r="K82" s="99"/>
      <c r="L82" s="99"/>
      <c r="M82" s="158"/>
      <c r="N82" s="99"/>
      <c r="O82" s="99"/>
      <c r="P82" s="99"/>
      <c r="Q82" s="99"/>
      <c r="R82" s="99"/>
      <c r="S82" s="99"/>
      <c r="T82" s="99"/>
      <c r="U82" s="99"/>
      <c r="V82" s="99"/>
      <c r="W82" s="99"/>
      <c r="X82" s="99"/>
      <c r="Y82" s="99"/>
      <c r="Z82" s="99"/>
      <c r="AA82" s="99"/>
      <c r="AB82" s="99"/>
      <c r="AC82" s="99"/>
      <c r="AD82" s="99"/>
      <c r="AE82" s="99"/>
      <c r="AF82" s="99"/>
      <c r="AG82" s="99"/>
      <c r="AH82" s="99"/>
      <c r="AI82" s="99"/>
      <c r="AJ82" s="99"/>
      <c r="AK82" s="158"/>
      <c r="AL82" s="99"/>
      <c r="AM82" s="99"/>
      <c r="AN82" s="99"/>
      <c r="AO82" s="99"/>
      <c r="AP82" s="99"/>
      <c r="AQ82" s="99"/>
      <c r="AR82" s="99"/>
      <c r="AS82" s="99"/>
      <c r="AT82" s="99"/>
      <c r="AU82" s="99"/>
    </row>
    <row r="83" spans="2:47" s="98" customFormat="1" ht="15" hidden="1" customHeight="1">
      <c r="B83" s="99"/>
      <c r="C83" s="99"/>
      <c r="D83" s="99"/>
      <c r="E83" s="99"/>
      <c r="F83" s="99"/>
      <c r="G83" s="99"/>
      <c r="H83" s="99"/>
      <c r="I83" s="99"/>
      <c r="J83" s="99"/>
      <c r="K83" s="99"/>
      <c r="L83" s="99"/>
      <c r="M83" s="158"/>
      <c r="N83" s="99"/>
      <c r="O83" s="99"/>
      <c r="P83" s="99"/>
      <c r="Q83" s="99"/>
      <c r="R83" s="99"/>
      <c r="S83" s="99"/>
      <c r="T83" s="99"/>
      <c r="U83" s="99"/>
      <c r="V83" s="99"/>
      <c r="W83" s="99"/>
      <c r="X83" s="99"/>
      <c r="Y83" s="99"/>
      <c r="Z83" s="99"/>
      <c r="AA83" s="99"/>
      <c r="AB83" s="99"/>
      <c r="AC83" s="99"/>
      <c r="AD83" s="99"/>
      <c r="AE83" s="99"/>
      <c r="AF83" s="99"/>
      <c r="AG83" s="99"/>
      <c r="AH83" s="99"/>
      <c r="AI83" s="99"/>
      <c r="AJ83" s="99"/>
      <c r="AK83" s="158"/>
      <c r="AL83" s="99"/>
      <c r="AM83" s="99"/>
      <c r="AN83" s="99"/>
      <c r="AO83" s="99"/>
      <c r="AP83" s="99"/>
      <c r="AQ83" s="99"/>
      <c r="AR83" s="99"/>
      <c r="AS83" s="99"/>
      <c r="AT83" s="99"/>
      <c r="AU83" s="99"/>
    </row>
    <row r="84" spans="2:47" s="98" customFormat="1" ht="15" hidden="1" customHeight="1">
      <c r="B84" s="99"/>
      <c r="C84" s="99"/>
      <c r="D84" s="99"/>
      <c r="E84" s="99"/>
      <c r="F84" s="99"/>
      <c r="G84" s="99"/>
      <c r="H84" s="99"/>
      <c r="I84" s="99"/>
      <c r="J84" s="99"/>
      <c r="K84" s="99"/>
      <c r="L84" s="99"/>
      <c r="M84" s="158"/>
      <c r="N84" s="99"/>
      <c r="O84" s="99"/>
      <c r="P84" s="99"/>
      <c r="Q84" s="99"/>
      <c r="R84" s="99"/>
      <c r="S84" s="99"/>
      <c r="T84" s="99"/>
      <c r="U84" s="99"/>
      <c r="V84" s="99"/>
      <c r="W84" s="99"/>
      <c r="X84" s="99"/>
      <c r="Y84" s="99"/>
      <c r="Z84" s="99"/>
      <c r="AA84" s="99"/>
      <c r="AB84" s="99"/>
      <c r="AC84" s="99"/>
      <c r="AD84" s="99"/>
      <c r="AE84" s="99"/>
      <c r="AF84" s="99"/>
      <c r="AG84" s="99"/>
      <c r="AH84" s="99"/>
      <c r="AI84" s="99"/>
      <c r="AJ84" s="99"/>
      <c r="AK84" s="158"/>
      <c r="AL84" s="99"/>
      <c r="AM84" s="99"/>
      <c r="AN84" s="99"/>
      <c r="AO84" s="99"/>
      <c r="AP84" s="99"/>
      <c r="AQ84" s="99"/>
      <c r="AR84" s="99"/>
      <c r="AS84" s="99"/>
      <c r="AT84" s="99"/>
      <c r="AU84" s="99"/>
    </row>
    <row r="85" spans="2:47" s="98" customFormat="1" ht="15" hidden="1" customHeight="1">
      <c r="B85" s="99"/>
      <c r="C85" s="99"/>
      <c r="D85" s="99"/>
      <c r="E85" s="99"/>
      <c r="F85" s="99"/>
      <c r="G85" s="99"/>
      <c r="H85" s="99"/>
      <c r="I85" s="99"/>
      <c r="J85" s="99"/>
      <c r="K85" s="99"/>
      <c r="L85" s="99"/>
      <c r="M85" s="158"/>
      <c r="N85" s="99"/>
      <c r="O85" s="99"/>
      <c r="P85" s="99"/>
      <c r="Q85" s="99"/>
      <c r="R85" s="99"/>
      <c r="S85" s="99"/>
      <c r="T85" s="99"/>
      <c r="U85" s="99"/>
      <c r="V85" s="99"/>
      <c r="W85" s="99"/>
      <c r="X85" s="99"/>
      <c r="Y85" s="99"/>
      <c r="Z85" s="99"/>
      <c r="AA85" s="99"/>
      <c r="AB85" s="99"/>
      <c r="AC85" s="99"/>
      <c r="AD85" s="99"/>
      <c r="AE85" s="99"/>
      <c r="AF85" s="99"/>
      <c r="AG85" s="99"/>
      <c r="AH85" s="99"/>
      <c r="AI85" s="99"/>
      <c r="AJ85" s="99"/>
      <c r="AK85" s="158"/>
      <c r="AL85" s="99"/>
      <c r="AM85" s="99"/>
      <c r="AN85" s="99"/>
      <c r="AO85" s="99"/>
      <c r="AP85" s="99"/>
      <c r="AQ85" s="99"/>
      <c r="AR85" s="99"/>
      <c r="AS85" s="99"/>
      <c r="AT85" s="99"/>
      <c r="AU85" s="99"/>
    </row>
    <row r="86" spans="2:47" s="98" customFormat="1" ht="15" hidden="1" customHeight="1">
      <c r="B86" s="99"/>
      <c r="C86" s="99"/>
      <c r="D86" s="99"/>
      <c r="E86" s="99"/>
      <c r="F86" s="99"/>
      <c r="G86" s="99"/>
      <c r="H86" s="99"/>
      <c r="I86" s="99"/>
      <c r="J86" s="99"/>
      <c r="K86" s="99"/>
      <c r="L86" s="99"/>
      <c r="M86" s="158"/>
      <c r="N86" s="99"/>
      <c r="O86" s="99"/>
      <c r="P86" s="99"/>
      <c r="Q86" s="99"/>
      <c r="R86" s="99"/>
      <c r="S86" s="99"/>
      <c r="T86" s="99"/>
      <c r="U86" s="99"/>
      <c r="V86" s="99"/>
      <c r="W86" s="99"/>
      <c r="X86" s="99"/>
      <c r="Y86" s="99"/>
      <c r="Z86" s="99"/>
      <c r="AA86" s="99"/>
      <c r="AB86" s="99"/>
      <c r="AC86" s="99"/>
      <c r="AD86" s="99"/>
      <c r="AE86" s="99"/>
      <c r="AF86" s="99"/>
      <c r="AG86" s="99"/>
      <c r="AH86" s="99"/>
      <c r="AI86" s="99"/>
      <c r="AJ86" s="99"/>
      <c r="AK86" s="158"/>
      <c r="AL86" s="99"/>
      <c r="AM86" s="99"/>
      <c r="AN86" s="99"/>
      <c r="AO86" s="99"/>
      <c r="AP86" s="99"/>
      <c r="AQ86" s="99"/>
      <c r="AR86" s="99"/>
      <c r="AS86" s="99"/>
      <c r="AT86" s="99"/>
      <c r="AU86" s="99"/>
    </row>
    <row r="87" spans="2:47" s="98" customFormat="1" ht="15" hidden="1" customHeight="1">
      <c r="B87" s="99"/>
      <c r="C87" s="99"/>
      <c r="D87" s="99"/>
      <c r="E87" s="99"/>
      <c r="F87" s="99"/>
      <c r="G87" s="99"/>
      <c r="H87" s="99"/>
      <c r="I87" s="99"/>
      <c r="J87" s="99"/>
      <c r="K87" s="99"/>
      <c r="L87" s="99"/>
      <c r="M87" s="158"/>
      <c r="N87" s="99"/>
      <c r="O87" s="99"/>
      <c r="P87" s="99"/>
      <c r="Q87" s="99"/>
      <c r="R87" s="99"/>
      <c r="S87" s="99"/>
      <c r="T87" s="99"/>
      <c r="U87" s="99"/>
      <c r="V87" s="99"/>
      <c r="W87" s="99"/>
      <c r="X87" s="99"/>
      <c r="Y87" s="99"/>
      <c r="Z87" s="99"/>
      <c r="AA87" s="99"/>
      <c r="AB87" s="99"/>
      <c r="AC87" s="99"/>
      <c r="AD87" s="99"/>
      <c r="AE87" s="99"/>
      <c r="AF87" s="99"/>
      <c r="AG87" s="99"/>
      <c r="AH87" s="99"/>
      <c r="AI87" s="99"/>
      <c r="AJ87" s="99"/>
      <c r="AK87" s="158"/>
      <c r="AL87" s="99"/>
      <c r="AM87" s="99"/>
      <c r="AN87" s="99"/>
      <c r="AO87" s="99"/>
      <c r="AP87" s="99"/>
      <c r="AQ87" s="99"/>
      <c r="AR87" s="99"/>
      <c r="AS87" s="99"/>
      <c r="AT87" s="99"/>
      <c r="AU87" s="99"/>
    </row>
    <row r="88" spans="2:47" s="98" customFormat="1" ht="15" hidden="1" customHeight="1">
      <c r="B88" s="99"/>
      <c r="C88" s="99"/>
      <c r="D88" s="99"/>
      <c r="E88" s="99"/>
      <c r="F88" s="99"/>
      <c r="G88" s="99"/>
      <c r="H88" s="99"/>
      <c r="I88" s="99"/>
      <c r="J88" s="99"/>
      <c r="K88" s="99"/>
      <c r="L88" s="99"/>
      <c r="M88" s="158"/>
      <c r="N88" s="99"/>
      <c r="O88" s="99"/>
      <c r="P88" s="99"/>
      <c r="Q88" s="99"/>
      <c r="R88" s="99"/>
      <c r="S88" s="99"/>
      <c r="T88" s="99"/>
      <c r="U88" s="99"/>
      <c r="V88" s="99"/>
      <c r="W88" s="99"/>
      <c r="X88" s="99"/>
      <c r="Y88" s="99"/>
      <c r="Z88" s="99"/>
      <c r="AA88" s="99"/>
      <c r="AB88" s="99"/>
      <c r="AC88" s="99"/>
      <c r="AD88" s="99"/>
      <c r="AE88" s="99"/>
      <c r="AF88" s="99"/>
      <c r="AG88" s="99"/>
      <c r="AH88" s="99"/>
      <c r="AI88" s="99"/>
      <c r="AJ88" s="99"/>
      <c r="AK88" s="158"/>
      <c r="AL88" s="99"/>
      <c r="AM88" s="99"/>
      <c r="AN88" s="99"/>
      <c r="AO88" s="99"/>
      <c r="AP88" s="99"/>
      <c r="AQ88" s="99"/>
      <c r="AR88" s="99"/>
      <c r="AS88" s="99"/>
      <c r="AT88" s="99"/>
      <c r="AU88" s="99"/>
    </row>
    <row r="89" spans="2:47" s="98" customFormat="1" ht="15" hidden="1" customHeight="1">
      <c r="B89" s="99"/>
      <c r="C89" s="99"/>
      <c r="D89" s="99"/>
      <c r="E89" s="99"/>
      <c r="F89" s="99"/>
      <c r="G89" s="99"/>
      <c r="H89" s="99"/>
      <c r="I89" s="99"/>
      <c r="J89" s="99"/>
      <c r="K89" s="99"/>
      <c r="L89" s="99"/>
      <c r="M89" s="158"/>
      <c r="N89" s="99"/>
      <c r="O89" s="99"/>
      <c r="P89" s="99"/>
      <c r="Q89" s="99"/>
      <c r="R89" s="99"/>
      <c r="S89" s="99"/>
      <c r="T89" s="99"/>
      <c r="U89" s="99"/>
      <c r="V89" s="99"/>
      <c r="W89" s="99"/>
      <c r="X89" s="99"/>
      <c r="Y89" s="99"/>
      <c r="Z89" s="99"/>
      <c r="AA89" s="99"/>
      <c r="AB89" s="99"/>
      <c r="AC89" s="99"/>
      <c r="AD89" s="99"/>
      <c r="AE89" s="99"/>
      <c r="AF89" s="99"/>
      <c r="AG89" s="99"/>
      <c r="AH89" s="99"/>
      <c r="AI89" s="99"/>
      <c r="AJ89" s="99"/>
      <c r="AK89" s="158"/>
      <c r="AL89" s="99"/>
      <c r="AM89" s="99"/>
      <c r="AN89" s="99"/>
      <c r="AO89" s="99"/>
      <c r="AP89" s="99"/>
      <c r="AQ89" s="99"/>
      <c r="AR89" s="99"/>
      <c r="AS89" s="99"/>
      <c r="AT89" s="99"/>
      <c r="AU89" s="99"/>
    </row>
    <row r="90" spans="2:47" s="98" customFormat="1" ht="15" hidden="1" customHeight="1">
      <c r="B90" s="99"/>
      <c r="C90" s="99"/>
      <c r="D90" s="99"/>
      <c r="E90" s="99"/>
      <c r="F90" s="99"/>
      <c r="G90" s="99"/>
      <c r="H90" s="99"/>
      <c r="I90" s="99"/>
      <c r="J90" s="99"/>
      <c r="K90" s="99"/>
      <c r="L90" s="99"/>
      <c r="M90" s="158"/>
      <c r="N90" s="99"/>
      <c r="O90" s="99"/>
      <c r="P90" s="99"/>
      <c r="Q90" s="99"/>
      <c r="R90" s="99"/>
      <c r="S90" s="99"/>
      <c r="T90" s="99"/>
      <c r="U90" s="99"/>
      <c r="V90" s="99"/>
      <c r="W90" s="99"/>
      <c r="X90" s="99"/>
      <c r="Y90" s="99"/>
      <c r="Z90" s="99"/>
      <c r="AA90" s="99"/>
      <c r="AB90" s="99"/>
      <c r="AC90" s="99"/>
      <c r="AD90" s="99"/>
      <c r="AE90" s="99"/>
      <c r="AF90" s="99"/>
      <c r="AG90" s="99"/>
      <c r="AH90" s="99"/>
      <c r="AI90" s="99"/>
      <c r="AJ90" s="99"/>
      <c r="AK90" s="158"/>
      <c r="AL90" s="99"/>
      <c r="AM90" s="99"/>
      <c r="AN90" s="99"/>
      <c r="AO90" s="99"/>
      <c r="AP90" s="99"/>
      <c r="AQ90" s="99"/>
      <c r="AR90" s="99"/>
      <c r="AS90" s="99"/>
      <c r="AT90" s="99"/>
      <c r="AU90" s="99"/>
    </row>
    <row r="91" spans="2:47" s="98" customFormat="1" ht="15" hidden="1" customHeight="1">
      <c r="B91" s="99"/>
      <c r="C91" s="99"/>
      <c r="D91" s="99"/>
      <c r="E91" s="99"/>
      <c r="F91" s="99"/>
      <c r="G91" s="99"/>
      <c r="H91" s="99"/>
      <c r="I91" s="99"/>
      <c r="J91" s="99"/>
      <c r="K91" s="99"/>
      <c r="L91" s="99"/>
      <c r="M91" s="158"/>
      <c r="N91" s="99"/>
      <c r="O91" s="99"/>
      <c r="P91" s="99"/>
      <c r="Q91" s="99"/>
      <c r="R91" s="99"/>
      <c r="S91" s="99"/>
      <c r="T91" s="99"/>
      <c r="U91" s="99"/>
      <c r="V91" s="99"/>
      <c r="W91" s="99"/>
      <c r="X91" s="99"/>
      <c r="Y91" s="99"/>
      <c r="Z91" s="99"/>
      <c r="AA91" s="99"/>
      <c r="AB91" s="99"/>
      <c r="AC91" s="99"/>
      <c r="AD91" s="99"/>
      <c r="AE91" s="99"/>
      <c r="AF91" s="99"/>
      <c r="AG91" s="99"/>
      <c r="AH91" s="99"/>
      <c r="AI91" s="99"/>
      <c r="AJ91" s="99"/>
      <c r="AK91" s="158"/>
      <c r="AL91" s="99"/>
      <c r="AM91" s="99"/>
      <c r="AN91" s="99"/>
      <c r="AO91" s="99"/>
      <c r="AP91" s="99"/>
      <c r="AQ91" s="99"/>
      <c r="AR91" s="99"/>
      <c r="AS91" s="99"/>
      <c r="AT91" s="99"/>
      <c r="AU91" s="99"/>
    </row>
    <row r="92" spans="2:47" s="98" customFormat="1" ht="15" hidden="1" customHeight="1">
      <c r="B92" s="99"/>
      <c r="C92" s="99"/>
      <c r="D92" s="99"/>
      <c r="E92" s="99"/>
      <c r="F92" s="99"/>
      <c r="G92" s="99"/>
      <c r="H92" s="99"/>
      <c r="I92" s="99"/>
      <c r="J92" s="99"/>
      <c r="K92" s="99"/>
      <c r="L92" s="99"/>
      <c r="M92" s="158"/>
      <c r="N92" s="99"/>
      <c r="O92" s="99"/>
      <c r="P92" s="99"/>
      <c r="Q92" s="99"/>
      <c r="R92" s="99"/>
      <c r="S92" s="99"/>
      <c r="T92" s="99"/>
      <c r="U92" s="99"/>
      <c r="V92" s="99"/>
      <c r="W92" s="99"/>
      <c r="X92" s="99"/>
      <c r="Y92" s="99"/>
      <c r="Z92" s="99"/>
      <c r="AA92" s="99"/>
      <c r="AB92" s="99"/>
      <c r="AC92" s="99"/>
      <c r="AD92" s="99"/>
      <c r="AE92" s="99"/>
      <c r="AF92" s="99"/>
      <c r="AG92" s="99"/>
      <c r="AH92" s="99"/>
      <c r="AI92" s="99"/>
      <c r="AJ92" s="99"/>
      <c r="AK92" s="158"/>
      <c r="AL92" s="99"/>
      <c r="AM92" s="99"/>
      <c r="AN92" s="99"/>
      <c r="AO92" s="99"/>
      <c r="AP92" s="99"/>
      <c r="AQ92" s="99"/>
      <c r="AR92" s="99"/>
      <c r="AS92" s="99"/>
      <c r="AT92" s="99"/>
      <c r="AU92" s="99"/>
    </row>
    <row r="93" spans="2:47" s="98" customFormat="1" ht="15" hidden="1" customHeight="1">
      <c r="B93" s="99"/>
      <c r="C93" s="99"/>
      <c r="D93" s="99"/>
      <c r="E93" s="99"/>
      <c r="F93" s="99"/>
      <c r="G93" s="99"/>
      <c r="H93" s="99"/>
      <c r="I93" s="99"/>
      <c r="J93" s="99"/>
      <c r="K93" s="99"/>
      <c r="L93" s="99"/>
      <c r="M93" s="158"/>
      <c r="N93" s="99"/>
      <c r="O93" s="99"/>
      <c r="P93" s="99"/>
      <c r="Q93" s="99"/>
      <c r="R93" s="99"/>
      <c r="S93" s="99"/>
      <c r="T93" s="99"/>
      <c r="U93" s="99"/>
      <c r="V93" s="99"/>
      <c r="W93" s="99"/>
      <c r="X93" s="99"/>
      <c r="Y93" s="99"/>
      <c r="Z93" s="99"/>
      <c r="AA93" s="99"/>
      <c r="AB93" s="99"/>
      <c r="AC93" s="99"/>
      <c r="AD93" s="99"/>
      <c r="AE93" s="99"/>
      <c r="AF93" s="99"/>
      <c r="AG93" s="99"/>
      <c r="AH93" s="99"/>
      <c r="AI93" s="99"/>
      <c r="AJ93" s="99"/>
      <c r="AK93" s="158"/>
      <c r="AL93" s="99"/>
      <c r="AM93" s="99"/>
      <c r="AN93" s="99"/>
      <c r="AO93" s="99"/>
      <c r="AP93" s="99"/>
      <c r="AQ93" s="99"/>
      <c r="AR93" s="99"/>
      <c r="AS93" s="99"/>
      <c r="AT93" s="99"/>
      <c r="AU93" s="99"/>
    </row>
    <row r="94" spans="2:47" s="98" customFormat="1" ht="15" hidden="1" customHeight="1">
      <c r="B94" s="99"/>
      <c r="C94" s="99"/>
      <c r="D94" s="99"/>
      <c r="E94" s="99"/>
      <c r="F94" s="99"/>
      <c r="G94" s="99"/>
      <c r="H94" s="99"/>
      <c r="I94" s="99"/>
      <c r="J94" s="99"/>
      <c r="K94" s="99"/>
      <c r="L94" s="99"/>
      <c r="M94" s="158"/>
      <c r="N94" s="99"/>
      <c r="O94" s="99"/>
      <c r="P94" s="99"/>
      <c r="Q94" s="99"/>
      <c r="R94" s="99"/>
      <c r="S94" s="99"/>
      <c r="T94" s="99"/>
      <c r="U94" s="99"/>
      <c r="V94" s="99"/>
      <c r="W94" s="99"/>
      <c r="X94" s="99"/>
      <c r="Y94" s="99"/>
      <c r="Z94" s="99"/>
      <c r="AA94" s="99"/>
      <c r="AB94" s="99"/>
      <c r="AC94" s="99"/>
      <c r="AD94" s="99"/>
      <c r="AE94" s="99"/>
      <c r="AF94" s="99"/>
      <c r="AG94" s="99"/>
      <c r="AH94" s="99"/>
      <c r="AI94" s="99"/>
      <c r="AJ94" s="99"/>
      <c r="AK94" s="158"/>
      <c r="AL94" s="99"/>
      <c r="AM94" s="99"/>
      <c r="AN94" s="99"/>
      <c r="AO94" s="99"/>
      <c r="AP94" s="99"/>
      <c r="AQ94" s="99"/>
      <c r="AR94" s="99"/>
      <c r="AS94" s="99"/>
      <c r="AT94" s="99"/>
      <c r="AU94" s="99"/>
    </row>
    <row r="95" spans="2:47" s="98" customFormat="1" ht="15" hidden="1" customHeight="1">
      <c r="B95" s="99"/>
      <c r="C95" s="99"/>
      <c r="D95" s="99"/>
      <c r="E95" s="99"/>
      <c r="F95" s="99"/>
      <c r="G95" s="99"/>
      <c r="H95" s="99"/>
      <c r="I95" s="99"/>
      <c r="J95" s="99"/>
      <c r="K95" s="99"/>
      <c r="L95" s="99"/>
      <c r="M95" s="158"/>
      <c r="N95" s="99"/>
      <c r="O95" s="99"/>
      <c r="P95" s="99"/>
      <c r="Q95" s="99"/>
      <c r="R95" s="99"/>
      <c r="S95" s="99"/>
      <c r="T95" s="99"/>
      <c r="U95" s="99"/>
      <c r="V95" s="99"/>
      <c r="W95" s="99"/>
      <c r="X95" s="99"/>
      <c r="Y95" s="99"/>
      <c r="Z95" s="99"/>
      <c r="AA95" s="99"/>
      <c r="AB95" s="99"/>
      <c r="AC95" s="99"/>
      <c r="AD95" s="99"/>
      <c r="AE95" s="99"/>
      <c r="AF95" s="99"/>
      <c r="AG95" s="99"/>
      <c r="AH95" s="99"/>
      <c r="AI95" s="99"/>
      <c r="AJ95" s="99"/>
      <c r="AK95" s="158"/>
      <c r="AL95" s="99"/>
      <c r="AM95" s="99"/>
      <c r="AN95" s="99"/>
      <c r="AO95" s="99"/>
      <c r="AP95" s="99"/>
      <c r="AQ95" s="99"/>
      <c r="AR95" s="99"/>
      <c r="AS95" s="99"/>
      <c r="AT95" s="99"/>
      <c r="AU95" s="99"/>
    </row>
    <row r="96" spans="2:47" s="98" customFormat="1" ht="15" hidden="1" customHeight="1">
      <c r="B96" s="99"/>
      <c r="C96" s="99"/>
      <c r="D96" s="99"/>
      <c r="E96" s="99"/>
      <c r="F96" s="99"/>
      <c r="G96" s="99"/>
      <c r="H96" s="99"/>
      <c r="I96" s="99"/>
      <c r="J96" s="99"/>
      <c r="K96" s="99"/>
      <c r="L96" s="99"/>
      <c r="M96" s="158"/>
      <c r="N96" s="99"/>
      <c r="O96" s="99"/>
      <c r="P96" s="99"/>
      <c r="Q96" s="99"/>
      <c r="R96" s="99"/>
      <c r="S96" s="99"/>
      <c r="T96" s="99"/>
      <c r="U96" s="99"/>
      <c r="V96" s="99"/>
      <c r="W96" s="99"/>
      <c r="X96" s="99"/>
      <c r="Y96" s="99"/>
      <c r="Z96" s="99"/>
      <c r="AA96" s="99"/>
      <c r="AB96" s="99"/>
      <c r="AC96" s="99"/>
      <c r="AD96" s="99"/>
      <c r="AE96" s="99"/>
      <c r="AF96" s="99"/>
      <c r="AG96" s="99"/>
      <c r="AH96" s="99"/>
      <c r="AI96" s="99"/>
      <c r="AJ96" s="99"/>
      <c r="AK96" s="158"/>
      <c r="AL96" s="99"/>
      <c r="AM96" s="99"/>
      <c r="AN96" s="99"/>
      <c r="AO96" s="99"/>
      <c r="AP96" s="99"/>
      <c r="AQ96" s="99"/>
      <c r="AR96" s="99"/>
      <c r="AS96" s="99"/>
      <c r="AT96" s="99"/>
      <c r="AU96" s="99"/>
    </row>
    <row r="97" spans="2:47" s="98" customFormat="1" ht="15" hidden="1" customHeight="1">
      <c r="B97" s="99"/>
      <c r="C97" s="99"/>
      <c r="D97" s="99"/>
      <c r="E97" s="99"/>
      <c r="F97" s="99"/>
      <c r="G97" s="99"/>
      <c r="H97" s="99"/>
      <c r="I97" s="99"/>
      <c r="J97" s="99"/>
      <c r="K97" s="99"/>
      <c r="L97" s="99"/>
      <c r="M97" s="158"/>
      <c r="N97" s="99"/>
      <c r="O97" s="99"/>
      <c r="P97" s="99"/>
      <c r="Q97" s="99"/>
      <c r="R97" s="99"/>
      <c r="S97" s="99"/>
      <c r="T97" s="99"/>
      <c r="U97" s="99"/>
      <c r="V97" s="99"/>
      <c r="W97" s="99"/>
      <c r="X97" s="99"/>
      <c r="Y97" s="99"/>
      <c r="Z97" s="99"/>
      <c r="AA97" s="99"/>
      <c r="AB97" s="99"/>
      <c r="AC97" s="99"/>
      <c r="AD97" s="99"/>
      <c r="AE97" s="99"/>
      <c r="AF97" s="99"/>
      <c r="AG97" s="99"/>
      <c r="AH97" s="99"/>
      <c r="AI97" s="99"/>
      <c r="AJ97" s="99"/>
      <c r="AK97" s="158"/>
      <c r="AL97" s="99"/>
      <c r="AM97" s="99"/>
      <c r="AN97" s="99"/>
      <c r="AO97" s="99"/>
      <c r="AP97" s="99"/>
      <c r="AQ97" s="99"/>
      <c r="AR97" s="99"/>
      <c r="AS97" s="99"/>
      <c r="AT97" s="99"/>
      <c r="AU97" s="99"/>
    </row>
    <row r="98" spans="2:47" s="98" customFormat="1" ht="15" hidden="1" customHeight="1">
      <c r="B98" s="99"/>
      <c r="C98" s="99"/>
      <c r="D98" s="99"/>
      <c r="E98" s="99"/>
      <c r="F98" s="99"/>
      <c r="G98" s="99"/>
      <c r="H98" s="99"/>
      <c r="I98" s="99"/>
      <c r="J98" s="99"/>
      <c r="K98" s="99"/>
      <c r="L98" s="99"/>
      <c r="M98" s="158"/>
      <c r="N98" s="99"/>
      <c r="O98" s="99"/>
      <c r="P98" s="99"/>
      <c r="Q98" s="99"/>
      <c r="R98" s="99"/>
      <c r="S98" s="99"/>
      <c r="T98" s="99"/>
      <c r="U98" s="99"/>
      <c r="V98" s="99"/>
      <c r="W98" s="99"/>
      <c r="X98" s="99"/>
      <c r="Y98" s="99"/>
      <c r="Z98" s="99"/>
      <c r="AA98" s="99"/>
      <c r="AB98" s="99"/>
      <c r="AC98" s="99"/>
      <c r="AD98" s="99"/>
      <c r="AE98" s="99"/>
      <c r="AF98" s="99"/>
      <c r="AG98" s="99"/>
      <c r="AH98" s="99"/>
      <c r="AI98" s="99"/>
      <c r="AJ98" s="99"/>
      <c r="AK98" s="158"/>
      <c r="AL98" s="99"/>
      <c r="AM98" s="99"/>
      <c r="AN98" s="99"/>
      <c r="AO98" s="99"/>
      <c r="AP98" s="99"/>
      <c r="AQ98" s="99"/>
      <c r="AR98" s="99"/>
      <c r="AS98" s="99"/>
      <c r="AT98" s="99"/>
      <c r="AU98" s="99"/>
    </row>
    <row r="99" spans="2:47" s="98" customFormat="1" ht="15" hidden="1" customHeight="1">
      <c r="B99" s="99"/>
      <c r="C99" s="99"/>
      <c r="D99" s="99"/>
      <c r="E99" s="99"/>
      <c r="F99" s="99"/>
      <c r="G99" s="99"/>
      <c r="H99" s="99"/>
      <c r="I99" s="99"/>
      <c r="J99" s="99"/>
      <c r="K99" s="99"/>
      <c r="L99" s="99"/>
      <c r="M99" s="158"/>
      <c r="N99" s="99"/>
      <c r="O99" s="99"/>
      <c r="P99" s="99"/>
      <c r="Q99" s="99"/>
      <c r="R99" s="99"/>
      <c r="S99" s="99"/>
      <c r="T99" s="99"/>
      <c r="U99" s="99"/>
      <c r="V99" s="99"/>
      <c r="W99" s="99"/>
      <c r="X99" s="99"/>
      <c r="Y99" s="99"/>
      <c r="Z99" s="99"/>
      <c r="AA99" s="99"/>
      <c r="AB99" s="99"/>
      <c r="AC99" s="99"/>
      <c r="AD99" s="99"/>
      <c r="AE99" s="99"/>
      <c r="AF99" s="99"/>
      <c r="AG99" s="99"/>
      <c r="AH99" s="99"/>
      <c r="AI99" s="99"/>
      <c r="AJ99" s="99"/>
      <c r="AK99" s="158"/>
      <c r="AL99" s="99"/>
      <c r="AM99" s="99"/>
      <c r="AN99" s="99"/>
      <c r="AO99" s="99"/>
      <c r="AP99" s="99"/>
      <c r="AQ99" s="99"/>
      <c r="AR99" s="99"/>
      <c r="AS99" s="99"/>
      <c r="AT99" s="99"/>
      <c r="AU99" s="99"/>
    </row>
    <row r="100" spans="2:47" s="98" customFormat="1" ht="15" hidden="1" customHeight="1">
      <c r="B100" s="99"/>
      <c r="C100" s="99"/>
      <c r="D100" s="99"/>
      <c r="E100" s="99"/>
      <c r="F100" s="99"/>
      <c r="G100" s="99"/>
      <c r="H100" s="99"/>
      <c r="I100" s="99"/>
      <c r="J100" s="99"/>
      <c r="K100" s="99"/>
      <c r="L100" s="99"/>
      <c r="M100" s="158"/>
      <c r="N100" s="99"/>
      <c r="O100" s="99"/>
      <c r="P100" s="99"/>
      <c r="Q100" s="99"/>
      <c r="R100" s="99"/>
      <c r="S100" s="99"/>
      <c r="T100" s="99"/>
      <c r="U100" s="99"/>
      <c r="V100" s="99"/>
      <c r="W100" s="99"/>
      <c r="X100" s="99"/>
      <c r="Y100" s="99"/>
      <c r="Z100" s="99"/>
      <c r="AA100" s="99"/>
      <c r="AB100" s="99"/>
      <c r="AC100" s="99"/>
      <c r="AD100" s="99"/>
      <c r="AE100" s="99"/>
      <c r="AF100" s="99"/>
      <c r="AG100" s="99"/>
      <c r="AH100" s="99"/>
      <c r="AI100" s="99"/>
      <c r="AJ100" s="99"/>
      <c r="AK100" s="158"/>
      <c r="AL100" s="99"/>
      <c r="AM100" s="99"/>
      <c r="AN100" s="99"/>
      <c r="AO100" s="99"/>
      <c r="AP100" s="99"/>
      <c r="AQ100" s="99"/>
      <c r="AR100" s="99"/>
      <c r="AS100" s="99"/>
      <c r="AT100" s="99"/>
      <c r="AU100" s="99"/>
    </row>
    <row r="101" spans="2:47" s="98" customFormat="1" ht="15" hidden="1" customHeight="1">
      <c r="B101" s="99"/>
      <c r="C101" s="99"/>
      <c r="D101" s="99"/>
      <c r="E101" s="99"/>
      <c r="F101" s="99"/>
      <c r="G101" s="99"/>
      <c r="H101" s="99"/>
      <c r="I101" s="99"/>
      <c r="J101" s="99"/>
      <c r="K101" s="99"/>
      <c r="L101" s="99"/>
      <c r="M101" s="158"/>
      <c r="N101" s="99"/>
      <c r="O101" s="99"/>
      <c r="P101" s="99"/>
      <c r="Q101" s="99"/>
      <c r="R101" s="99"/>
      <c r="S101" s="99"/>
      <c r="T101" s="99"/>
      <c r="U101" s="99"/>
      <c r="V101" s="99"/>
      <c r="W101" s="99"/>
      <c r="X101" s="99"/>
      <c r="Y101" s="99"/>
      <c r="Z101" s="99"/>
      <c r="AA101" s="99"/>
      <c r="AB101" s="99"/>
      <c r="AC101" s="99"/>
      <c r="AD101" s="99"/>
      <c r="AE101" s="99"/>
      <c r="AF101" s="99"/>
      <c r="AG101" s="99"/>
      <c r="AH101" s="99"/>
      <c r="AI101" s="99"/>
      <c r="AJ101" s="99"/>
      <c r="AK101" s="158"/>
      <c r="AL101" s="99"/>
      <c r="AM101" s="99"/>
      <c r="AN101" s="99"/>
      <c r="AO101" s="99"/>
      <c r="AP101" s="99"/>
      <c r="AQ101" s="99"/>
      <c r="AR101" s="99"/>
      <c r="AS101" s="99"/>
      <c r="AT101" s="99"/>
      <c r="AU101" s="99"/>
    </row>
    <row r="102" spans="2:47" s="98" customFormat="1" ht="15" hidden="1" customHeight="1">
      <c r="B102" s="99"/>
      <c r="C102" s="99"/>
      <c r="D102" s="99"/>
      <c r="E102" s="99"/>
      <c r="F102" s="99"/>
      <c r="G102" s="99"/>
      <c r="H102" s="99"/>
      <c r="I102" s="99"/>
      <c r="J102" s="99"/>
      <c r="K102" s="99"/>
      <c r="L102" s="99"/>
      <c r="M102" s="158"/>
      <c r="N102" s="99"/>
      <c r="O102" s="99"/>
      <c r="P102" s="99"/>
      <c r="Q102" s="99"/>
      <c r="R102" s="99"/>
      <c r="S102" s="99"/>
      <c r="T102" s="99"/>
      <c r="U102" s="99"/>
      <c r="V102" s="99"/>
      <c r="W102" s="99"/>
      <c r="X102" s="99"/>
      <c r="Y102" s="99"/>
      <c r="Z102" s="99"/>
      <c r="AA102" s="99"/>
      <c r="AB102" s="99"/>
      <c r="AC102" s="99"/>
      <c r="AD102" s="99"/>
      <c r="AE102" s="99"/>
      <c r="AF102" s="99"/>
      <c r="AG102" s="99"/>
      <c r="AH102" s="99"/>
      <c r="AI102" s="99"/>
      <c r="AJ102" s="99"/>
      <c r="AK102" s="158"/>
      <c r="AL102" s="99"/>
      <c r="AM102" s="99"/>
      <c r="AN102" s="99"/>
      <c r="AO102" s="99"/>
      <c r="AP102" s="99"/>
      <c r="AQ102" s="99"/>
      <c r="AR102" s="99"/>
      <c r="AS102" s="99"/>
      <c r="AT102" s="99"/>
      <c r="AU102" s="99"/>
    </row>
    <row r="103" spans="2:47" s="98" customFormat="1" ht="15" hidden="1" customHeight="1">
      <c r="B103" s="99"/>
      <c r="C103" s="99"/>
      <c r="D103" s="99"/>
      <c r="E103" s="99"/>
      <c r="F103" s="99"/>
      <c r="G103" s="99"/>
      <c r="H103" s="99"/>
      <c r="I103" s="99"/>
      <c r="J103" s="99"/>
      <c r="K103" s="99"/>
      <c r="L103" s="99"/>
      <c r="M103" s="158"/>
      <c r="N103" s="99"/>
      <c r="O103" s="99"/>
      <c r="P103" s="99"/>
      <c r="Q103" s="99"/>
      <c r="R103" s="99"/>
      <c r="S103" s="99"/>
      <c r="T103" s="99"/>
      <c r="U103" s="99"/>
      <c r="V103" s="99"/>
      <c r="W103" s="99"/>
      <c r="X103" s="99"/>
      <c r="Y103" s="99"/>
      <c r="Z103" s="99"/>
      <c r="AA103" s="99"/>
      <c r="AB103" s="99"/>
      <c r="AC103" s="99"/>
      <c r="AD103" s="99"/>
      <c r="AE103" s="99"/>
      <c r="AF103" s="99"/>
      <c r="AG103" s="99"/>
      <c r="AH103" s="99"/>
      <c r="AI103" s="99"/>
      <c r="AJ103" s="99"/>
      <c r="AK103" s="158"/>
      <c r="AL103" s="99"/>
      <c r="AM103" s="99"/>
      <c r="AN103" s="99"/>
      <c r="AO103" s="99"/>
      <c r="AP103" s="99"/>
      <c r="AQ103" s="99"/>
      <c r="AR103" s="99"/>
      <c r="AS103" s="99"/>
      <c r="AT103" s="99"/>
      <c r="AU103" s="99"/>
    </row>
    <row r="104" spans="2:47" s="98" customFormat="1" ht="15" hidden="1" customHeight="1">
      <c r="B104" s="99"/>
      <c r="C104" s="99"/>
      <c r="D104" s="99"/>
      <c r="E104" s="99"/>
      <c r="F104" s="99"/>
      <c r="G104" s="99"/>
      <c r="H104" s="99"/>
      <c r="I104" s="99"/>
      <c r="J104" s="99"/>
      <c r="K104" s="99"/>
      <c r="L104" s="99"/>
      <c r="M104" s="158"/>
      <c r="N104" s="99"/>
      <c r="O104" s="99"/>
      <c r="P104" s="99"/>
      <c r="Q104" s="99"/>
      <c r="R104" s="99"/>
      <c r="S104" s="99"/>
      <c r="T104" s="99"/>
      <c r="U104" s="99"/>
      <c r="V104" s="99"/>
      <c r="W104" s="99"/>
      <c r="X104" s="99"/>
      <c r="Y104" s="99"/>
      <c r="Z104" s="99"/>
      <c r="AA104" s="99"/>
      <c r="AB104" s="99"/>
      <c r="AC104" s="99"/>
      <c r="AD104" s="99"/>
      <c r="AE104" s="99"/>
      <c r="AF104" s="99"/>
      <c r="AG104" s="99"/>
      <c r="AH104" s="99"/>
      <c r="AI104" s="99"/>
      <c r="AJ104" s="99"/>
      <c r="AK104" s="158"/>
      <c r="AL104" s="99"/>
      <c r="AM104" s="99"/>
      <c r="AN104" s="99"/>
      <c r="AO104" s="99"/>
      <c r="AP104" s="99"/>
      <c r="AQ104" s="99"/>
      <c r="AR104" s="99"/>
      <c r="AS104" s="99"/>
      <c r="AT104" s="99"/>
      <c r="AU104" s="99"/>
    </row>
    <row r="105" spans="2:47" s="98" customFormat="1" ht="15" hidden="1" customHeight="1">
      <c r="B105" s="99"/>
      <c r="C105" s="99"/>
      <c r="D105" s="99"/>
      <c r="E105" s="99"/>
      <c r="F105" s="99"/>
      <c r="G105" s="99"/>
      <c r="H105" s="99"/>
      <c r="I105" s="99"/>
      <c r="J105" s="99"/>
      <c r="K105" s="99"/>
      <c r="L105" s="99"/>
      <c r="M105" s="158"/>
      <c r="N105" s="99"/>
      <c r="O105" s="99"/>
      <c r="P105" s="99"/>
      <c r="Q105" s="99"/>
      <c r="R105" s="99"/>
      <c r="S105" s="99"/>
      <c r="T105" s="99"/>
      <c r="U105" s="99"/>
      <c r="V105" s="99"/>
      <c r="W105" s="99"/>
      <c r="X105" s="99"/>
      <c r="Y105" s="99"/>
      <c r="Z105" s="99"/>
      <c r="AA105" s="99"/>
      <c r="AB105" s="99"/>
      <c r="AC105" s="99"/>
      <c r="AD105" s="99"/>
      <c r="AE105" s="99"/>
      <c r="AF105" s="99"/>
      <c r="AG105" s="99"/>
      <c r="AH105" s="99"/>
      <c r="AI105" s="99"/>
      <c r="AJ105" s="99"/>
      <c r="AK105" s="158"/>
      <c r="AL105" s="99"/>
      <c r="AM105" s="99"/>
      <c r="AN105" s="99"/>
      <c r="AO105" s="99"/>
      <c r="AP105" s="99"/>
      <c r="AQ105" s="99"/>
      <c r="AR105" s="99"/>
      <c r="AS105" s="99"/>
      <c r="AT105" s="99"/>
      <c r="AU105" s="99"/>
    </row>
    <row r="106" spans="2:47" ht="15" hidden="1" customHeight="1"/>
    <row r="107" spans="2:47" ht="15" hidden="1" customHeight="1"/>
    <row r="108" spans="2:47" ht="15" hidden="1" customHeight="1"/>
    <row r="109" spans="2:47" ht="15" hidden="1" customHeight="1"/>
    <row r="110" spans="2:47" ht="15" hidden="1" customHeight="1"/>
    <row r="111" spans="2:47" ht="15" hidden="1" customHeight="1"/>
    <row r="112" spans="2:47"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ht="15" hidden="1" customHeight="1"/>
    <row r="178" ht="15" hidden="1" customHeight="1"/>
    <row r="179" ht="15" hidden="1" customHeight="1"/>
    <row r="180" ht="15" hidden="1" customHeight="1"/>
    <row r="181" ht="15" hidden="1" customHeight="1"/>
    <row r="182" ht="15" hidden="1" customHeight="1"/>
    <row r="183" ht="15" hidden="1" customHeight="1"/>
    <row r="184" ht="15" hidden="1" customHeight="1"/>
    <row r="185" ht="15" hidden="1" customHeight="1"/>
    <row r="186" ht="15" hidden="1" customHeight="1"/>
    <row r="187" ht="15" hidden="1" customHeight="1"/>
    <row r="188" ht="15" hidden="1" customHeight="1"/>
    <row r="189" ht="15" hidden="1" customHeight="1"/>
    <row r="190" ht="15" hidden="1" customHeight="1"/>
    <row r="191" ht="15" hidden="1" customHeight="1"/>
    <row r="192" ht="15" hidden="1" customHeight="1"/>
    <row r="193" ht="15" hidden="1" customHeight="1"/>
    <row r="194" ht="15" hidden="1" customHeight="1"/>
    <row r="195" ht="15" hidden="1" customHeight="1"/>
    <row r="196" ht="15" hidden="1" customHeight="1"/>
    <row r="197" ht="15" hidden="1" customHeight="1"/>
    <row r="198" ht="15" hidden="1" customHeight="1"/>
    <row r="199" ht="15" hidden="1" customHeight="1"/>
    <row r="200" ht="15" hidden="1" customHeight="1"/>
    <row r="201" ht="15" hidden="1" customHeight="1"/>
    <row r="202" ht="15" hidden="1" customHeight="1"/>
    <row r="203" ht="15" hidden="1" customHeight="1"/>
    <row r="204" ht="15" hidden="1" customHeight="1"/>
    <row r="205" ht="15" hidden="1" customHeight="1"/>
    <row r="206" ht="15" hidden="1" customHeight="1"/>
    <row r="207" ht="15" hidden="1" customHeight="1"/>
    <row r="208" ht="15" hidden="1" customHeight="1"/>
    <row r="209" ht="15" hidden="1" customHeight="1"/>
    <row r="210" ht="15" hidden="1" customHeight="1"/>
    <row r="211" ht="15" hidden="1" customHeight="1"/>
    <row r="212" ht="15" hidden="1" customHeight="1"/>
    <row r="213" ht="15" hidden="1" customHeight="1"/>
    <row r="214" ht="15" hidden="1" customHeight="1"/>
    <row r="215" ht="15" hidden="1" customHeight="1"/>
    <row r="216" ht="15" hidden="1" customHeight="1"/>
    <row r="217" ht="15" hidden="1" customHeight="1"/>
    <row r="218" ht="15" hidden="1" customHeight="1"/>
    <row r="219" ht="15" hidden="1" customHeight="1"/>
    <row r="220" ht="15" hidden="1" customHeight="1"/>
    <row r="221" ht="15" hidden="1" customHeight="1"/>
    <row r="222" ht="15" hidden="1" customHeight="1"/>
    <row r="223" ht="15" hidden="1" customHeight="1"/>
    <row r="224" ht="15" hidden="1" customHeight="1"/>
    <row r="225" ht="15" hidden="1" customHeight="1"/>
    <row r="226" ht="15" hidden="1" customHeight="1"/>
    <row r="227" ht="15" hidden="1" customHeight="1"/>
    <row r="228" ht="15" hidden="1" customHeight="1"/>
    <row r="229" ht="15" hidden="1" customHeight="1"/>
    <row r="230" ht="15" hidden="1" customHeight="1"/>
    <row r="231" ht="15" hidden="1" customHeight="1"/>
    <row r="232" ht="15" hidden="1" customHeight="1"/>
    <row r="233" ht="15" hidden="1" customHeight="1"/>
    <row r="234" ht="15" hidden="1" customHeight="1"/>
    <row r="235" ht="15" hidden="1" customHeight="1"/>
    <row r="236" ht="15" hidden="1" customHeight="1"/>
    <row r="237" ht="15" hidden="1" customHeight="1"/>
  </sheetData>
  <sheetProtection password="CE75" sheet="1" objects="1" scenarios="1" selectLockedCells="1"/>
  <mergeCells count="62">
    <mergeCell ref="M48:X48"/>
    <mergeCell ref="AK44:AQ44"/>
    <mergeCell ref="M20:X20"/>
    <mergeCell ref="AK28:AU29"/>
    <mergeCell ref="AK35:AU35"/>
    <mergeCell ref="AK36:AU36"/>
    <mergeCell ref="AK37:AU37"/>
    <mergeCell ref="AK45:AQ46"/>
    <mergeCell ref="AK25:AU25"/>
    <mergeCell ref="AK26:AU26"/>
    <mergeCell ref="AK27:AU27"/>
    <mergeCell ref="AK30:AU30"/>
    <mergeCell ref="AK33:AU33"/>
    <mergeCell ref="AK34:AU34"/>
    <mergeCell ref="M49:X49"/>
    <mergeCell ref="AK9:AU9"/>
    <mergeCell ref="AK10:AU10"/>
    <mergeCell ref="AK11:AU11"/>
    <mergeCell ref="AK12:AU12"/>
    <mergeCell ref="AK13:AU13"/>
    <mergeCell ref="AK14:AU14"/>
    <mergeCell ref="M27:X27"/>
    <mergeCell ref="M30:X30"/>
    <mergeCell ref="M31:X31"/>
    <mergeCell ref="M32:X32"/>
    <mergeCell ref="M37:X37"/>
    <mergeCell ref="M17:X17"/>
    <mergeCell ref="AK15:AU15"/>
    <mergeCell ref="AK18:AU18"/>
    <mergeCell ref="AK39:AU39"/>
    <mergeCell ref="AK51:AU51"/>
    <mergeCell ref="AK48:AQ48"/>
    <mergeCell ref="AK47:AQ47"/>
    <mergeCell ref="AW3:AX3"/>
    <mergeCell ref="AW4:AX7"/>
    <mergeCell ref="B4:AU4"/>
    <mergeCell ref="B5:AU5"/>
    <mergeCell ref="B6:AU6"/>
    <mergeCell ref="M25:X25"/>
    <mergeCell ref="M26:X26"/>
    <mergeCell ref="AK24:AU24"/>
    <mergeCell ref="M47:X47"/>
    <mergeCell ref="AK21:AU21"/>
    <mergeCell ref="AK22:AU22"/>
    <mergeCell ref="AK23:AU23"/>
    <mergeCell ref="AK38:AU38"/>
    <mergeCell ref="AZ8:BA8"/>
    <mergeCell ref="M40:X40"/>
    <mergeCell ref="M41:X41"/>
    <mergeCell ref="M43:X43"/>
    <mergeCell ref="M44:X44"/>
    <mergeCell ref="M10:X10"/>
    <mergeCell ref="M23:X24"/>
    <mergeCell ref="AK16:AU17"/>
    <mergeCell ref="AK40:AU41"/>
    <mergeCell ref="M11:X11"/>
    <mergeCell ref="M12:X12"/>
    <mergeCell ref="M14:X14"/>
    <mergeCell ref="M15:X15"/>
    <mergeCell ref="M16:X16"/>
    <mergeCell ref="M18:X18"/>
    <mergeCell ref="M19:X19"/>
  </mergeCells>
  <pageMargins left="0.36" right="0.24" top="0.32" bottom="0.25" header="0.22" footer="0.3"/>
  <pageSetup paperSize="9" scale="95" orientation="landscape" r:id="rId1"/>
  <colBreaks count="1" manualBreakCount="1">
    <brk id="47" min="3" max="227" man="1"/>
  </colBreaks>
  <ignoredErrors>
    <ignoredError sqref="C9 C12:C20 C23 C25:C33 C36:C49 Z47:Z50 Z44:Z45 Z41:Z42 Z31:Z32 Z29 Z19 Z17 Z9:Z16 Z18 Z21:Z28 Z30 Z33:Z40 Z43 Z46 Z51" numberStoredAsText="1"/>
  </ignoredErrors>
  <drawing r:id="rId2"/>
  <legacyDrawing r:id="rId3"/>
</worksheet>
</file>

<file path=xl/worksheets/sheet77.xml><?xml version="1.0" encoding="utf-8"?>
<worksheet xmlns="http://schemas.openxmlformats.org/spreadsheetml/2006/main" xmlns:r="http://schemas.openxmlformats.org/officeDocument/2006/relationships">
  <sheetPr codeName="Sheet74">
    <tabColor rgb="FF002060"/>
  </sheetPr>
  <dimension ref="A1:BJ173"/>
  <sheetViews>
    <sheetView showGridLines="0" showRowColHeaders="0" zoomScale="70" zoomScaleNormal="70" zoomScaleSheetLayoutView="70" workbookViewId="0"/>
  </sheetViews>
  <sheetFormatPr defaultColWidth="9.140625" defaultRowHeight="0" customHeight="1" zeroHeight="1"/>
  <cols>
    <col min="1" max="1" width="16.140625" style="16" customWidth="1"/>
    <col min="2" max="2" width="4.28515625" style="99" customWidth="1"/>
    <col min="3" max="9" width="3.28515625" style="99" customWidth="1"/>
    <col min="10" max="10" width="2.28515625" style="99" customWidth="1"/>
    <col min="11" max="11" width="2.140625" style="99" customWidth="1"/>
    <col min="12" max="12" width="20.140625" style="99" customWidth="1"/>
    <col min="13" max="20" width="3.28515625" style="99" customWidth="1"/>
    <col min="21" max="21" width="6.42578125" style="99" customWidth="1"/>
    <col min="22" max="27" width="3.28515625" style="99" customWidth="1"/>
    <col min="28" max="28" width="8.140625" style="99" customWidth="1"/>
    <col min="29" max="29" width="1.5703125" style="99" customWidth="1"/>
    <col min="30" max="30" width="4.28515625" style="99" customWidth="1"/>
    <col min="31" max="37" width="3.28515625" style="99" customWidth="1"/>
    <col min="38" max="38" width="2.140625" style="99" customWidth="1"/>
    <col min="39" max="39" width="1.85546875" style="99" customWidth="1"/>
    <col min="40" max="40" width="23" style="99" customWidth="1"/>
    <col min="41" max="44" width="3.28515625" style="99" customWidth="1"/>
    <col min="45" max="47" width="3.28515625" style="16" customWidth="1"/>
    <col min="48" max="48" width="6.42578125" style="16" customWidth="1"/>
    <col min="49" max="54" width="3.28515625" style="16" customWidth="1"/>
    <col min="55" max="55" width="4.5703125" style="16" customWidth="1"/>
    <col min="56" max="56" width="6.140625" style="16" customWidth="1"/>
    <col min="57" max="57" width="3.42578125" style="16" customWidth="1"/>
    <col min="58" max="58" width="9.85546875" style="16" customWidth="1"/>
    <col min="59" max="59" width="6" style="16" customWidth="1"/>
    <col min="60" max="62" width="9.140625" style="16" customWidth="1"/>
    <col min="63" max="16384" width="9.140625" style="16"/>
  </cols>
  <sheetData>
    <row r="1" spans="1:62" ht="15" customHeight="1">
      <c r="A1" s="195"/>
      <c r="B1" s="98"/>
      <c r="C1" s="98"/>
      <c r="D1" s="98"/>
      <c r="E1" s="98"/>
      <c r="F1" s="98"/>
      <c r="G1" s="98"/>
      <c r="H1" s="98"/>
      <c r="I1" s="98"/>
      <c r="J1" s="98"/>
      <c r="K1" s="98"/>
      <c r="L1" s="98"/>
      <c r="M1" s="98"/>
      <c r="N1" s="98"/>
      <c r="O1" s="98"/>
      <c r="P1" s="98"/>
      <c r="Q1" s="98"/>
      <c r="R1" s="98"/>
      <c r="S1" s="98"/>
      <c r="T1" s="98"/>
      <c r="U1" s="98"/>
      <c r="V1" s="98"/>
      <c r="W1" s="98"/>
      <c r="X1" s="98"/>
      <c r="Y1" s="98"/>
      <c r="Z1" s="98"/>
      <c r="AA1" s="98"/>
      <c r="AB1" s="98"/>
      <c r="AC1" s="98"/>
      <c r="AD1" s="98"/>
      <c r="AE1" s="98"/>
      <c r="AF1" s="98"/>
      <c r="AG1" s="98"/>
      <c r="AH1" s="98"/>
      <c r="AI1" s="98"/>
      <c r="AJ1" s="98"/>
      <c r="AK1" s="98"/>
      <c r="AL1" s="98"/>
      <c r="AM1" s="98"/>
      <c r="AN1" s="98"/>
      <c r="AO1" s="98"/>
      <c r="AP1" s="98"/>
      <c r="AQ1" s="98"/>
      <c r="AR1" s="98"/>
    </row>
    <row r="2" spans="1:62" ht="23.25" customHeight="1">
      <c r="B2" s="567" t="s">
        <v>591</v>
      </c>
      <c r="C2" s="98"/>
      <c r="D2" s="98"/>
      <c r="E2" s="98"/>
      <c r="F2" s="98"/>
      <c r="G2" s="98"/>
      <c r="H2" s="98"/>
      <c r="I2" s="98"/>
      <c r="J2" s="98"/>
      <c r="K2" s="98"/>
      <c r="L2" s="98"/>
      <c r="M2" s="98"/>
      <c r="N2" s="98"/>
      <c r="O2" s="98"/>
      <c r="P2" s="98"/>
      <c r="Q2" s="98"/>
      <c r="R2" s="98"/>
      <c r="S2" s="98"/>
      <c r="T2" s="98"/>
      <c r="U2" s="98"/>
      <c r="V2" s="1511"/>
      <c r="W2" s="1511"/>
      <c r="X2" s="1511"/>
      <c r="Y2" s="1511"/>
      <c r="Z2" s="1511"/>
      <c r="AA2" s="1511"/>
      <c r="AB2" s="1511"/>
      <c r="AC2" s="474"/>
      <c r="AD2" s="474"/>
      <c r="AE2" s="474"/>
      <c r="AF2" s="474"/>
      <c r="AG2" s="474"/>
      <c r="AH2" s="474"/>
      <c r="AI2" s="474"/>
      <c r="AJ2" s="474"/>
      <c r="AK2" s="474"/>
      <c r="AL2" s="474"/>
      <c r="AM2" s="474"/>
      <c r="AN2" s="474"/>
      <c r="AO2" s="474"/>
      <c r="AP2" s="474"/>
      <c r="AQ2" s="474"/>
      <c r="AR2" s="474"/>
    </row>
    <row r="3" spans="1:62" ht="30" customHeight="1">
      <c r="B3" s="568" t="str">
        <f>"KELAS "&amp;_kelas&amp;" - Semester "&amp;_smt_ganjil&amp;" dan Semester "&amp;_smt_genap</f>
        <v>KELAS VIII A - Semester 3 (Tiga) dan Semester 4 (Empat)</v>
      </c>
      <c r="C3" s="98"/>
      <c r="D3" s="98"/>
      <c r="E3" s="98"/>
      <c r="F3" s="98"/>
      <c r="G3" s="98"/>
      <c r="H3" s="98"/>
      <c r="I3" s="98"/>
      <c r="J3" s="98"/>
      <c r="K3" s="98"/>
      <c r="L3" s="98"/>
      <c r="M3" s="98"/>
      <c r="N3" s="98"/>
      <c r="O3" s="98"/>
      <c r="P3" s="98"/>
      <c r="Q3" s="98"/>
      <c r="R3" s="98"/>
      <c r="S3" s="98"/>
      <c r="T3" s="98"/>
      <c r="U3" s="98"/>
      <c r="V3" s="1511"/>
      <c r="W3" s="1511"/>
      <c r="X3" s="1511"/>
      <c r="Y3" s="1511"/>
      <c r="Z3" s="1511"/>
      <c r="AA3" s="1511"/>
      <c r="AB3" s="1511"/>
      <c r="AC3" s="474"/>
      <c r="AD3" s="474"/>
      <c r="AE3" s="474"/>
      <c r="AF3" s="474"/>
      <c r="AG3" s="474"/>
      <c r="AH3" s="474"/>
      <c r="AI3" s="474"/>
      <c r="AJ3" s="474"/>
      <c r="AK3" s="474"/>
      <c r="AL3" s="474"/>
      <c r="AM3" s="474"/>
      <c r="AN3" s="474"/>
      <c r="AO3" s="474"/>
      <c r="AP3" s="474"/>
      <c r="AQ3" s="474"/>
      <c r="AR3" s="474"/>
      <c r="AT3" s="1098"/>
      <c r="AU3" s="1098"/>
    </row>
    <row r="4" spans="1:62" ht="18.75" customHeight="1" thickBot="1">
      <c r="B4" s="1233" t="s">
        <v>592</v>
      </c>
      <c r="C4" s="1233"/>
      <c r="D4" s="1233"/>
      <c r="E4" s="1233"/>
      <c r="F4" s="1233"/>
      <c r="G4" s="1233"/>
      <c r="H4" s="1233"/>
      <c r="I4" s="1233"/>
      <c r="J4" s="1233"/>
      <c r="K4" s="1233"/>
      <c r="L4" s="1233"/>
      <c r="M4" s="1233"/>
      <c r="N4" s="1233"/>
      <c r="O4" s="1233"/>
      <c r="P4" s="1233"/>
      <c r="Q4" s="1233"/>
      <c r="R4" s="1233"/>
      <c r="S4" s="1233"/>
      <c r="T4" s="1233"/>
      <c r="U4" s="1233"/>
      <c r="V4" s="1233"/>
      <c r="W4" s="1233"/>
      <c r="X4" s="1233"/>
      <c r="Y4" s="1233"/>
      <c r="Z4" s="1233"/>
      <c r="AA4" s="1233"/>
      <c r="AB4" s="1233"/>
      <c r="AC4" s="1233"/>
      <c r="AD4" s="1233"/>
      <c r="AE4" s="1233"/>
      <c r="AF4" s="1233"/>
      <c r="AG4" s="1233"/>
      <c r="AH4" s="1233"/>
      <c r="AI4" s="1233"/>
      <c r="AJ4" s="1233"/>
      <c r="AK4" s="1233"/>
      <c r="AL4" s="1233"/>
      <c r="AM4" s="1233"/>
      <c r="AN4" s="1233"/>
      <c r="AO4" s="1233"/>
      <c r="AP4" s="1233"/>
      <c r="AQ4" s="1233"/>
      <c r="AR4" s="1233"/>
      <c r="AS4" s="1233"/>
      <c r="AT4" s="1233"/>
      <c r="AU4" s="1233"/>
      <c r="AV4" s="1233"/>
      <c r="AW4" s="1233"/>
      <c r="AX4" s="1233"/>
      <c r="AY4" s="1233"/>
      <c r="AZ4" s="1233"/>
      <c r="BA4" s="1233"/>
      <c r="BB4" s="1233"/>
      <c r="BC4" s="1233"/>
      <c r="BD4" s="1233"/>
    </row>
    <row r="5" spans="1:62" s="28" customFormat="1" ht="24" customHeight="1">
      <c r="B5" s="1516" t="str">
        <f>_nama_sekolah</f>
        <v>SMP NEGERI 1 ABUNG SURAKARTA</v>
      </c>
      <c r="C5" s="1516"/>
      <c r="D5" s="1516"/>
      <c r="E5" s="1516"/>
      <c r="F5" s="1516"/>
      <c r="G5" s="1516"/>
      <c r="H5" s="1516"/>
      <c r="I5" s="1516"/>
      <c r="J5" s="1516"/>
      <c r="K5" s="1516"/>
      <c r="L5" s="1516"/>
      <c r="M5" s="1516"/>
      <c r="N5" s="1516"/>
      <c r="O5" s="1516"/>
      <c r="P5" s="1516"/>
      <c r="Q5" s="1516"/>
      <c r="R5" s="1516"/>
      <c r="S5" s="1516"/>
      <c r="T5" s="1516"/>
      <c r="U5" s="1516"/>
      <c r="V5" s="1516"/>
      <c r="W5" s="1516"/>
      <c r="X5" s="1516"/>
      <c r="Y5" s="1516"/>
      <c r="Z5" s="1516"/>
      <c r="AA5" s="1516"/>
      <c r="AB5" s="1516"/>
      <c r="AC5" s="1516"/>
      <c r="AD5" s="1516"/>
      <c r="AE5" s="1516"/>
      <c r="AF5" s="1516"/>
      <c r="AG5" s="1516"/>
      <c r="AH5" s="1516"/>
      <c r="AI5" s="1516"/>
      <c r="AJ5" s="1516"/>
      <c r="AK5" s="1516"/>
      <c r="AL5" s="1516"/>
      <c r="AM5" s="1516"/>
      <c r="AN5" s="1516"/>
      <c r="AO5" s="1516"/>
      <c r="AP5" s="1516"/>
      <c r="AQ5" s="1516"/>
      <c r="AR5" s="1516"/>
      <c r="AS5" s="1516"/>
      <c r="AT5" s="1516"/>
      <c r="AU5" s="1516"/>
      <c r="AV5" s="1516"/>
      <c r="AW5" s="1516"/>
      <c r="AX5" s="1516"/>
      <c r="AY5" s="1516"/>
      <c r="AZ5" s="1516"/>
      <c r="BA5" s="1516"/>
      <c r="BB5" s="1516"/>
      <c r="BC5" s="1516"/>
      <c r="BD5" s="1516"/>
      <c r="BE5" s="16"/>
      <c r="BF5" s="1117">
        <v>1</v>
      </c>
      <c r="BG5" s="1119"/>
      <c r="BH5" s="16"/>
      <c r="BI5" s="16"/>
      <c r="BJ5" s="16"/>
    </row>
    <row r="6" spans="1:62" ht="15.75" customHeight="1">
      <c r="B6" s="99" t="s">
        <v>153</v>
      </c>
      <c r="G6" s="99" t="s">
        <v>2</v>
      </c>
      <c r="H6" s="99" t="str">
        <f>"SMP "&amp;PROPER(MID(_nama_sekolah,5,50))</f>
        <v>SMP Negeri 1 Abung Surakarta</v>
      </c>
      <c r="AS6" s="359"/>
      <c r="AT6" s="359"/>
      <c r="AU6" s="97" t="s">
        <v>5</v>
      </c>
      <c r="AV6" s="99"/>
      <c r="AW6" s="99"/>
      <c r="AX6" s="97" t="s">
        <v>2</v>
      </c>
      <c r="AY6" s="99" t="str">
        <f>IF(LEFT(DK!$D$5,2)="IX","IX",LEFT(DK!$D$5,4))</f>
        <v>VIII</v>
      </c>
      <c r="AZ6" s="359"/>
      <c r="BA6" s="359"/>
      <c r="BB6" s="359"/>
      <c r="BC6" s="359"/>
      <c r="BD6" s="359"/>
      <c r="BF6" s="1120"/>
      <c r="BG6" s="1122"/>
    </row>
    <row r="7" spans="1:62" ht="15" customHeight="1">
      <c r="B7" s="99" t="s">
        <v>156</v>
      </c>
      <c r="G7" s="99" t="s">
        <v>2</v>
      </c>
      <c r="H7" s="99" t="str">
        <f>_alamat_sekolah</f>
        <v>Jl. Pendidikan No. 24</v>
      </c>
      <c r="AS7" s="359"/>
      <c r="AT7" s="359"/>
      <c r="AU7" s="97" t="s">
        <v>4</v>
      </c>
      <c r="AV7" s="99"/>
      <c r="AW7" s="99"/>
      <c r="AX7" s="97" t="s">
        <v>2</v>
      </c>
      <c r="AY7" s="99" t="str">
        <f>_smt_ganjil&amp;" &amp; "&amp;_smt_genap</f>
        <v>3 (Tiga) &amp; 4 (Empat)</v>
      </c>
      <c r="AZ7" s="359"/>
      <c r="BA7" s="359"/>
      <c r="BB7" s="359"/>
      <c r="BC7" s="359"/>
      <c r="BD7" s="359"/>
      <c r="BF7" s="1120"/>
      <c r="BG7" s="1122"/>
    </row>
    <row r="8" spans="1:62" ht="15.75" customHeight="1" thickBot="1">
      <c r="B8" s="99" t="s">
        <v>97</v>
      </c>
      <c r="G8" s="99" t="s">
        <v>2</v>
      </c>
      <c r="H8" s="99" t="str">
        <f>IFERROR(PROPER(VLOOKUP($BF$5,_Biodata_Lengkap,4,FALSE)),"-")</f>
        <v>Ahmad Zaki Aufa</v>
      </c>
      <c r="AS8" s="359"/>
      <c r="AT8" s="359"/>
      <c r="AU8" s="97" t="s">
        <v>3</v>
      </c>
      <c r="AV8" s="99"/>
      <c r="AW8" s="99"/>
      <c r="AX8" s="97" t="s">
        <v>2</v>
      </c>
      <c r="AY8" s="99" t="str">
        <f>DK!$D$8</f>
        <v>2018 / 2019</v>
      </c>
      <c r="AZ8" s="359"/>
      <c r="BA8" s="359"/>
      <c r="BB8" s="359"/>
      <c r="BC8" s="359"/>
      <c r="BD8" s="359"/>
      <c r="BF8" s="1123"/>
      <c r="BG8" s="1125"/>
    </row>
    <row r="9" spans="1:62" ht="22.5" customHeight="1" thickBot="1">
      <c r="B9" s="106" t="s">
        <v>166</v>
      </c>
      <c r="C9" s="106"/>
      <c r="D9" s="106"/>
      <c r="E9" s="106"/>
      <c r="F9" s="106"/>
      <c r="G9" s="106" t="s">
        <v>2</v>
      </c>
      <c r="H9" s="106" t="str">
        <f>IFERROR(IF(VLOOKUP($BF$5,_Biodata_Lengkap,2,FALSE)="","-",VLOOKUP($BF$5,_Biodata_Lengkap,2,FALSE)&amp;" / "&amp;IF(VLOOKUP($BF$5,_Biodata_Lengkap,3,FALSE)="","-",VLOOKUP($BF$5,_Biodata_Lengkap,3,FALSE))),"-")</f>
        <v>7057 / 0061139155</v>
      </c>
      <c r="I9" s="106"/>
      <c r="J9" s="106"/>
      <c r="K9" s="106"/>
      <c r="L9" s="106"/>
      <c r="M9" s="106"/>
      <c r="N9" s="106"/>
      <c r="O9" s="106"/>
      <c r="P9" s="106"/>
      <c r="Q9" s="106"/>
      <c r="R9" s="106"/>
      <c r="S9" s="106"/>
      <c r="T9" s="106"/>
      <c r="U9" s="106"/>
      <c r="V9" s="106"/>
      <c r="W9" s="106"/>
      <c r="X9" s="106"/>
      <c r="Y9" s="106"/>
      <c r="Z9" s="106"/>
      <c r="AA9" s="106"/>
      <c r="AB9" s="106"/>
      <c r="AC9" s="106"/>
      <c r="AD9" s="106"/>
      <c r="AE9" s="106"/>
      <c r="AF9" s="106"/>
      <c r="AG9" s="106"/>
      <c r="AH9" s="106"/>
      <c r="AI9" s="106"/>
      <c r="AJ9" s="106"/>
      <c r="AK9" s="106"/>
      <c r="AL9" s="106"/>
      <c r="AM9" s="106"/>
      <c r="AN9" s="106"/>
      <c r="AO9" s="106"/>
      <c r="AP9" s="106"/>
      <c r="AQ9" s="106"/>
      <c r="AR9" s="106"/>
      <c r="AS9" s="359"/>
      <c r="AT9" s="359"/>
      <c r="AU9" s="359"/>
      <c r="AV9" s="359"/>
      <c r="AW9" s="359"/>
      <c r="AX9" s="359"/>
      <c r="AY9" s="359"/>
      <c r="AZ9" s="359"/>
      <c r="BA9" s="359"/>
      <c r="BB9" s="359"/>
      <c r="BC9" s="359"/>
      <c r="BD9" s="359"/>
    </row>
    <row r="10" spans="1:62" ht="15.75" customHeight="1">
      <c r="B10" s="1512" t="str">
        <f>"Semester "&amp;_smt_ganjil</f>
        <v>Semester 3 (Tiga)</v>
      </c>
      <c r="C10" s="1513"/>
      <c r="D10" s="1513"/>
      <c r="E10" s="1513"/>
      <c r="F10" s="1513"/>
      <c r="G10" s="1513"/>
      <c r="H10" s="1513"/>
      <c r="I10" s="1513"/>
      <c r="J10" s="1513"/>
      <c r="K10" s="1513"/>
      <c r="L10" s="1513"/>
      <c r="M10" s="1513"/>
      <c r="N10" s="1513"/>
      <c r="O10" s="1513"/>
      <c r="P10" s="1513"/>
      <c r="Q10" s="1513"/>
      <c r="R10" s="1513"/>
      <c r="S10" s="1513"/>
      <c r="T10" s="1513"/>
      <c r="U10" s="1513"/>
      <c r="V10" s="1513"/>
      <c r="W10" s="1513"/>
      <c r="X10" s="1513"/>
      <c r="Y10" s="1513"/>
      <c r="Z10" s="1513"/>
      <c r="AA10" s="1513"/>
      <c r="AB10" s="1514"/>
      <c r="AC10" s="1515"/>
      <c r="AD10" s="1512" t="str">
        <f>"Semester "&amp;_smt_genap</f>
        <v>Semester 4 (Empat)</v>
      </c>
      <c r="AE10" s="1513"/>
      <c r="AF10" s="1513"/>
      <c r="AG10" s="1513"/>
      <c r="AH10" s="1513"/>
      <c r="AI10" s="1513"/>
      <c r="AJ10" s="1513"/>
      <c r="AK10" s="1513"/>
      <c r="AL10" s="1513"/>
      <c r="AM10" s="1513"/>
      <c r="AN10" s="1513"/>
      <c r="AO10" s="1513"/>
      <c r="AP10" s="1513"/>
      <c r="AQ10" s="1513"/>
      <c r="AR10" s="1513"/>
      <c r="AS10" s="1513"/>
      <c r="AT10" s="1513"/>
      <c r="AU10" s="1513"/>
      <c r="AV10" s="1513"/>
      <c r="AW10" s="1513"/>
      <c r="AX10" s="1513"/>
      <c r="AY10" s="1513"/>
      <c r="AZ10" s="1513"/>
      <c r="BA10" s="1513"/>
      <c r="BB10" s="1513"/>
      <c r="BC10" s="1513"/>
      <c r="BD10" s="1514"/>
    </row>
    <row r="11" spans="1:62" ht="15.75" customHeight="1">
      <c r="B11" s="1488" t="s">
        <v>173</v>
      </c>
      <c r="C11" s="1489"/>
      <c r="D11" s="1489"/>
      <c r="E11" s="1489"/>
      <c r="F11" s="1489"/>
      <c r="G11" s="1489"/>
      <c r="H11" s="1489"/>
      <c r="I11" s="1489"/>
      <c r="J11" s="1489"/>
      <c r="K11" s="1489"/>
      <c r="L11" s="1489"/>
      <c r="M11" s="1489"/>
      <c r="N11" s="1489"/>
      <c r="O11" s="1489"/>
      <c r="P11" s="1489"/>
      <c r="Q11" s="1489"/>
      <c r="R11" s="1489"/>
      <c r="S11" s="1489"/>
      <c r="T11" s="1489"/>
      <c r="U11" s="1489"/>
      <c r="V11" s="1489"/>
      <c r="W11" s="1489"/>
      <c r="X11" s="1489"/>
      <c r="Y11" s="1489"/>
      <c r="Z11" s="1489"/>
      <c r="AA11" s="1489"/>
      <c r="AB11" s="1490"/>
      <c r="AC11" s="1515"/>
      <c r="AD11" s="1488" t="s">
        <v>173</v>
      </c>
      <c r="AE11" s="1489"/>
      <c r="AF11" s="1489"/>
      <c r="AG11" s="1489"/>
      <c r="AH11" s="1489"/>
      <c r="AI11" s="1489"/>
      <c r="AJ11" s="1489"/>
      <c r="AK11" s="1489"/>
      <c r="AL11" s="1489"/>
      <c r="AM11" s="1489"/>
      <c r="AN11" s="1489"/>
      <c r="AO11" s="1489"/>
      <c r="AP11" s="1489"/>
      <c r="AQ11" s="1489"/>
      <c r="AR11" s="1489"/>
      <c r="AS11" s="1489"/>
      <c r="AT11" s="1489"/>
      <c r="AU11" s="1489"/>
      <c r="AV11" s="1489"/>
      <c r="AW11" s="1489"/>
      <c r="AX11" s="1489"/>
      <c r="AY11" s="1489"/>
      <c r="AZ11" s="1489"/>
      <c r="BA11" s="1489"/>
      <c r="BB11" s="1489"/>
      <c r="BC11" s="1489"/>
      <c r="BD11" s="1490"/>
    </row>
    <row r="12" spans="1:62" ht="15.75" customHeight="1">
      <c r="B12" s="1488" t="s">
        <v>294</v>
      </c>
      <c r="C12" s="1489"/>
      <c r="D12" s="1489"/>
      <c r="E12" s="1489"/>
      <c r="F12" s="1489"/>
      <c r="G12" s="1489"/>
      <c r="H12" s="1489"/>
      <c r="I12" s="1489"/>
      <c r="J12" s="1489"/>
      <c r="K12" s="1489"/>
      <c r="L12" s="1489"/>
      <c r="M12" s="1489"/>
      <c r="N12" s="1489"/>
      <c r="O12" s="1489"/>
      <c r="P12" s="1489"/>
      <c r="Q12" s="1489"/>
      <c r="R12" s="1489"/>
      <c r="S12" s="1489"/>
      <c r="T12" s="1489"/>
      <c r="U12" s="1489"/>
      <c r="V12" s="1489"/>
      <c r="W12" s="1489"/>
      <c r="X12" s="1489"/>
      <c r="Y12" s="1489"/>
      <c r="Z12" s="1489"/>
      <c r="AA12" s="1489"/>
      <c r="AB12" s="1490"/>
      <c r="AC12" s="1515"/>
      <c r="AD12" s="1488" t="s">
        <v>294</v>
      </c>
      <c r="AE12" s="1489"/>
      <c r="AF12" s="1489"/>
      <c r="AG12" s="1489"/>
      <c r="AH12" s="1489"/>
      <c r="AI12" s="1489"/>
      <c r="AJ12" s="1489"/>
      <c r="AK12" s="1489"/>
      <c r="AL12" s="1489"/>
      <c r="AM12" s="1489"/>
      <c r="AN12" s="1489"/>
      <c r="AO12" s="1489"/>
      <c r="AP12" s="1489"/>
      <c r="AQ12" s="1489"/>
      <c r="AR12" s="1489"/>
      <c r="AS12" s="1489"/>
      <c r="AT12" s="1489"/>
      <c r="AU12" s="1489"/>
      <c r="AV12" s="1489"/>
      <c r="AW12" s="1489"/>
      <c r="AX12" s="1489"/>
      <c r="AY12" s="1489"/>
      <c r="AZ12" s="1489"/>
      <c r="BA12" s="1489"/>
      <c r="BB12" s="1489"/>
      <c r="BC12" s="1489"/>
      <c r="BD12" s="1490"/>
    </row>
    <row r="13" spans="1:62" ht="15.75" customHeight="1" thickBot="1">
      <c r="B13" s="1491" t="s">
        <v>113</v>
      </c>
      <c r="C13" s="1492"/>
      <c r="D13" s="1492"/>
      <c r="E13" s="1493"/>
      <c r="F13" s="1494" t="s">
        <v>174</v>
      </c>
      <c r="G13" s="1492"/>
      <c r="H13" s="1492"/>
      <c r="I13" s="1492"/>
      <c r="J13" s="1492"/>
      <c r="K13" s="1492"/>
      <c r="L13" s="1492"/>
      <c r="M13" s="1492"/>
      <c r="N13" s="1492"/>
      <c r="O13" s="1492"/>
      <c r="P13" s="1492"/>
      <c r="Q13" s="1492"/>
      <c r="R13" s="1492"/>
      <c r="S13" s="1492"/>
      <c r="T13" s="1492"/>
      <c r="U13" s="1492"/>
      <c r="V13" s="1492"/>
      <c r="W13" s="1492"/>
      <c r="X13" s="1492"/>
      <c r="Y13" s="1492"/>
      <c r="Z13" s="1492"/>
      <c r="AA13" s="1492"/>
      <c r="AB13" s="1495"/>
      <c r="AC13" s="1515"/>
      <c r="AD13" s="1491" t="s">
        <v>113</v>
      </c>
      <c r="AE13" s="1492"/>
      <c r="AF13" s="1492"/>
      <c r="AG13" s="1493"/>
      <c r="AH13" s="1494" t="s">
        <v>174</v>
      </c>
      <c r="AI13" s="1492"/>
      <c r="AJ13" s="1492"/>
      <c r="AK13" s="1492"/>
      <c r="AL13" s="1492"/>
      <c r="AM13" s="1492"/>
      <c r="AN13" s="1492"/>
      <c r="AO13" s="1492"/>
      <c r="AP13" s="1492"/>
      <c r="AQ13" s="1492"/>
      <c r="AR13" s="1492"/>
      <c r="AS13" s="1492"/>
      <c r="AT13" s="1492"/>
      <c r="AU13" s="1492"/>
      <c r="AV13" s="1492"/>
      <c r="AW13" s="1492"/>
      <c r="AX13" s="1492"/>
      <c r="AY13" s="1492"/>
      <c r="AZ13" s="1492"/>
      <c r="BA13" s="1492"/>
      <c r="BB13" s="1492"/>
      <c r="BC13" s="1492"/>
      <c r="BD13" s="1495"/>
    </row>
    <row r="14" spans="1:62" ht="15.75" customHeight="1" thickTop="1">
      <c r="B14" s="1496" t="str">
        <f>IFERROR(VLOOKUP(BF5,_Sikap,4,FALSE),"-")</f>
        <v>B</v>
      </c>
      <c r="C14" s="1497"/>
      <c r="D14" s="1497"/>
      <c r="E14" s="1498"/>
      <c r="F14" s="1502" t="str">
        <f>H8&amp;" "&amp;IFERROR(VLOOKUP(B14,_sikap_predikat1,2,FALSE),"-")</f>
        <v>Ahmad Zaki Aufa selalu bersyukur dan berdoa sebelum melakukan kegiatan serta memiliki toleran yang tinggi pada pemeluk agama yang berbeda, ketaatan beribadah baik dan sering mengingatkan teman-temannya untuk melaksanakan ajaran agamanya dengan baik.</v>
      </c>
      <c r="G14" s="1503"/>
      <c r="H14" s="1503"/>
      <c r="I14" s="1503"/>
      <c r="J14" s="1503"/>
      <c r="K14" s="1503"/>
      <c r="L14" s="1503"/>
      <c r="M14" s="1503"/>
      <c r="N14" s="1503"/>
      <c r="O14" s="1503"/>
      <c r="P14" s="1503"/>
      <c r="Q14" s="1503"/>
      <c r="R14" s="1503"/>
      <c r="S14" s="1503"/>
      <c r="T14" s="1503"/>
      <c r="U14" s="1503"/>
      <c r="V14" s="1503"/>
      <c r="W14" s="1503"/>
      <c r="X14" s="1503"/>
      <c r="Y14" s="1503"/>
      <c r="Z14" s="1503"/>
      <c r="AA14" s="1503"/>
      <c r="AB14" s="1504"/>
      <c r="AC14" s="1515"/>
      <c r="AD14" s="1496" t="str">
        <f>IFERROR(VLOOKUP(BF5,_Sikap2,4,FALSE),"-")</f>
        <v>B</v>
      </c>
      <c r="AE14" s="1497"/>
      <c r="AF14" s="1497"/>
      <c r="AG14" s="1498"/>
      <c r="AH14" s="1502" t="str">
        <f>H8&amp;" "&amp;IFERROR(VLOOKUP(AD14,_sikap_predikat2,2,FALSE),"-")</f>
        <v>Ahmad Zaki Aufa selalu bersyukur dan berdoa sebelum melakukan kegiatan serta memiliki toleran yang tinggi pada pemeluk agama yang berbeda, ketaatan beribadah baik dan sering mengingatkan teman-temannya untuk melaksanakan ajaran agamanya dengan baik.</v>
      </c>
      <c r="AI14" s="1503"/>
      <c r="AJ14" s="1503"/>
      <c r="AK14" s="1503"/>
      <c r="AL14" s="1503"/>
      <c r="AM14" s="1503"/>
      <c r="AN14" s="1503"/>
      <c r="AO14" s="1503"/>
      <c r="AP14" s="1503"/>
      <c r="AQ14" s="1503"/>
      <c r="AR14" s="1503"/>
      <c r="AS14" s="1503"/>
      <c r="AT14" s="1503"/>
      <c r="AU14" s="1503"/>
      <c r="AV14" s="1503"/>
      <c r="AW14" s="1503"/>
      <c r="AX14" s="1503"/>
      <c r="AY14" s="1503"/>
      <c r="AZ14" s="1503"/>
      <c r="BA14" s="1503"/>
      <c r="BB14" s="1503"/>
      <c r="BC14" s="1503"/>
      <c r="BD14" s="1504"/>
    </row>
    <row r="15" spans="1:62" ht="15.75" customHeight="1">
      <c r="B15" s="1496"/>
      <c r="C15" s="1497"/>
      <c r="D15" s="1497"/>
      <c r="E15" s="1498"/>
      <c r="F15" s="1505"/>
      <c r="G15" s="1506"/>
      <c r="H15" s="1506"/>
      <c r="I15" s="1506"/>
      <c r="J15" s="1506"/>
      <c r="K15" s="1506"/>
      <c r="L15" s="1506"/>
      <c r="M15" s="1506"/>
      <c r="N15" s="1506"/>
      <c r="O15" s="1506"/>
      <c r="P15" s="1506"/>
      <c r="Q15" s="1506"/>
      <c r="R15" s="1506"/>
      <c r="S15" s="1506"/>
      <c r="T15" s="1506"/>
      <c r="U15" s="1506"/>
      <c r="V15" s="1506"/>
      <c r="W15" s="1506"/>
      <c r="X15" s="1506"/>
      <c r="Y15" s="1506"/>
      <c r="Z15" s="1506"/>
      <c r="AA15" s="1506"/>
      <c r="AB15" s="1507"/>
      <c r="AC15" s="1515"/>
      <c r="AD15" s="1496"/>
      <c r="AE15" s="1497"/>
      <c r="AF15" s="1497"/>
      <c r="AG15" s="1498"/>
      <c r="AH15" s="1505"/>
      <c r="AI15" s="1506"/>
      <c r="AJ15" s="1506"/>
      <c r="AK15" s="1506"/>
      <c r="AL15" s="1506"/>
      <c r="AM15" s="1506"/>
      <c r="AN15" s="1506"/>
      <c r="AO15" s="1506"/>
      <c r="AP15" s="1506"/>
      <c r="AQ15" s="1506"/>
      <c r="AR15" s="1506"/>
      <c r="AS15" s="1506"/>
      <c r="AT15" s="1506"/>
      <c r="AU15" s="1506"/>
      <c r="AV15" s="1506"/>
      <c r="AW15" s="1506"/>
      <c r="AX15" s="1506"/>
      <c r="AY15" s="1506"/>
      <c r="AZ15" s="1506"/>
      <c r="BA15" s="1506"/>
      <c r="BB15" s="1506"/>
      <c r="BC15" s="1506"/>
      <c r="BD15" s="1507"/>
    </row>
    <row r="16" spans="1:62" ht="6.75" customHeight="1">
      <c r="B16" s="1496"/>
      <c r="C16" s="1497"/>
      <c r="D16" s="1497"/>
      <c r="E16" s="1498"/>
      <c r="F16" s="1505"/>
      <c r="G16" s="1506"/>
      <c r="H16" s="1506"/>
      <c r="I16" s="1506"/>
      <c r="J16" s="1506"/>
      <c r="K16" s="1506"/>
      <c r="L16" s="1506"/>
      <c r="M16" s="1506"/>
      <c r="N16" s="1506"/>
      <c r="O16" s="1506"/>
      <c r="P16" s="1506"/>
      <c r="Q16" s="1506"/>
      <c r="R16" s="1506"/>
      <c r="S16" s="1506"/>
      <c r="T16" s="1506"/>
      <c r="U16" s="1506"/>
      <c r="V16" s="1506"/>
      <c r="W16" s="1506"/>
      <c r="X16" s="1506"/>
      <c r="Y16" s="1506"/>
      <c r="Z16" s="1506"/>
      <c r="AA16" s="1506"/>
      <c r="AB16" s="1507"/>
      <c r="AC16" s="1515"/>
      <c r="AD16" s="1496"/>
      <c r="AE16" s="1497"/>
      <c r="AF16" s="1497"/>
      <c r="AG16" s="1498"/>
      <c r="AH16" s="1505"/>
      <c r="AI16" s="1506"/>
      <c r="AJ16" s="1506"/>
      <c r="AK16" s="1506"/>
      <c r="AL16" s="1506"/>
      <c r="AM16" s="1506"/>
      <c r="AN16" s="1506"/>
      <c r="AO16" s="1506"/>
      <c r="AP16" s="1506"/>
      <c r="AQ16" s="1506"/>
      <c r="AR16" s="1506"/>
      <c r="AS16" s="1506"/>
      <c r="AT16" s="1506"/>
      <c r="AU16" s="1506"/>
      <c r="AV16" s="1506"/>
      <c r="AW16" s="1506"/>
      <c r="AX16" s="1506"/>
      <c r="AY16" s="1506"/>
      <c r="AZ16" s="1506"/>
      <c r="BA16" s="1506"/>
      <c r="BB16" s="1506"/>
      <c r="BC16" s="1506"/>
      <c r="BD16" s="1507"/>
    </row>
    <row r="17" spans="2:56" ht="12.75" customHeight="1">
      <c r="B17" s="1499"/>
      <c r="C17" s="1500"/>
      <c r="D17" s="1500"/>
      <c r="E17" s="1501"/>
      <c r="F17" s="1508"/>
      <c r="G17" s="1509"/>
      <c r="H17" s="1509"/>
      <c r="I17" s="1509"/>
      <c r="J17" s="1509"/>
      <c r="K17" s="1509"/>
      <c r="L17" s="1509"/>
      <c r="M17" s="1509"/>
      <c r="N17" s="1509"/>
      <c r="O17" s="1509"/>
      <c r="P17" s="1509"/>
      <c r="Q17" s="1509"/>
      <c r="R17" s="1509"/>
      <c r="S17" s="1509"/>
      <c r="T17" s="1509"/>
      <c r="U17" s="1509"/>
      <c r="V17" s="1509"/>
      <c r="W17" s="1509"/>
      <c r="X17" s="1509"/>
      <c r="Y17" s="1509"/>
      <c r="Z17" s="1509"/>
      <c r="AA17" s="1509"/>
      <c r="AB17" s="1510"/>
      <c r="AC17" s="1515"/>
      <c r="AD17" s="1499"/>
      <c r="AE17" s="1500"/>
      <c r="AF17" s="1500"/>
      <c r="AG17" s="1501"/>
      <c r="AH17" s="1508"/>
      <c r="AI17" s="1509"/>
      <c r="AJ17" s="1509"/>
      <c r="AK17" s="1509"/>
      <c r="AL17" s="1509"/>
      <c r="AM17" s="1509"/>
      <c r="AN17" s="1509"/>
      <c r="AO17" s="1509"/>
      <c r="AP17" s="1509"/>
      <c r="AQ17" s="1509"/>
      <c r="AR17" s="1509"/>
      <c r="AS17" s="1509"/>
      <c r="AT17" s="1509"/>
      <c r="AU17" s="1509"/>
      <c r="AV17" s="1509"/>
      <c r="AW17" s="1509"/>
      <c r="AX17" s="1509"/>
      <c r="AY17" s="1509"/>
      <c r="AZ17" s="1509"/>
      <c r="BA17" s="1509"/>
      <c r="BB17" s="1509"/>
      <c r="BC17" s="1509"/>
      <c r="BD17" s="1510"/>
    </row>
    <row r="18" spans="2:56" ht="15.75" customHeight="1">
      <c r="B18" s="554"/>
      <c r="AB18" s="555"/>
      <c r="AC18" s="1515"/>
      <c r="AD18" s="554"/>
      <c r="AS18" s="99"/>
      <c r="AT18" s="99"/>
      <c r="AU18" s="99"/>
      <c r="AV18" s="99"/>
      <c r="AW18" s="99"/>
      <c r="AX18" s="99"/>
      <c r="AY18" s="99"/>
      <c r="AZ18" s="99"/>
      <c r="BA18" s="99"/>
      <c r="BB18" s="99"/>
      <c r="BC18" s="99"/>
      <c r="BD18" s="555"/>
    </row>
    <row r="19" spans="2:56" ht="15.75" customHeight="1">
      <c r="B19" s="556" t="s">
        <v>175</v>
      </c>
      <c r="AB19" s="555"/>
      <c r="AC19" s="1515"/>
      <c r="AD19" s="556" t="s">
        <v>175</v>
      </c>
      <c r="AS19" s="99"/>
      <c r="AT19" s="99"/>
      <c r="AU19" s="99"/>
      <c r="AV19" s="99"/>
      <c r="AW19" s="99"/>
      <c r="AX19" s="99"/>
      <c r="AY19" s="99"/>
      <c r="AZ19" s="99"/>
      <c r="BA19" s="99"/>
      <c r="BB19" s="99"/>
      <c r="BC19" s="99"/>
      <c r="BD19" s="555"/>
    </row>
    <row r="20" spans="2:56" ht="15.75" customHeight="1" thickBot="1">
      <c r="B20" s="1524" t="s">
        <v>113</v>
      </c>
      <c r="C20" s="1525"/>
      <c r="D20" s="1525"/>
      <c r="E20" s="1525"/>
      <c r="F20" s="1525" t="s">
        <v>174</v>
      </c>
      <c r="G20" s="1525"/>
      <c r="H20" s="1525"/>
      <c r="I20" s="1525"/>
      <c r="J20" s="1525"/>
      <c r="K20" s="1525"/>
      <c r="L20" s="1525"/>
      <c r="M20" s="1525"/>
      <c r="N20" s="1525"/>
      <c r="O20" s="1525"/>
      <c r="P20" s="1525"/>
      <c r="Q20" s="1525"/>
      <c r="R20" s="1525"/>
      <c r="S20" s="1525"/>
      <c r="T20" s="1525"/>
      <c r="U20" s="1525"/>
      <c r="V20" s="1525"/>
      <c r="W20" s="1525"/>
      <c r="X20" s="1525"/>
      <c r="Y20" s="1525"/>
      <c r="Z20" s="1525"/>
      <c r="AA20" s="1525"/>
      <c r="AB20" s="1526"/>
      <c r="AC20" s="1515"/>
      <c r="AD20" s="1524" t="s">
        <v>113</v>
      </c>
      <c r="AE20" s="1525"/>
      <c r="AF20" s="1525"/>
      <c r="AG20" s="1525"/>
      <c r="AH20" s="1525" t="s">
        <v>174</v>
      </c>
      <c r="AI20" s="1525"/>
      <c r="AJ20" s="1525"/>
      <c r="AK20" s="1525"/>
      <c r="AL20" s="1525"/>
      <c r="AM20" s="1525"/>
      <c r="AN20" s="1525"/>
      <c r="AO20" s="1525"/>
      <c r="AP20" s="1525"/>
      <c r="AQ20" s="1525"/>
      <c r="AR20" s="1525"/>
      <c r="AS20" s="1525"/>
      <c r="AT20" s="1525"/>
      <c r="AU20" s="1525"/>
      <c r="AV20" s="1525"/>
      <c r="AW20" s="1525"/>
      <c r="AX20" s="1525"/>
      <c r="AY20" s="1525"/>
      <c r="AZ20" s="1525"/>
      <c r="BA20" s="1525"/>
      <c r="BB20" s="1525"/>
      <c r="BC20" s="1525"/>
      <c r="BD20" s="1526"/>
    </row>
    <row r="21" spans="2:56" ht="30.75" customHeight="1" thickTop="1">
      <c r="B21" s="1527" t="str">
        <f>IFERROR(VLOOKUP(BF5,_Sikap,5,FALSE),"-")</f>
        <v>B</v>
      </c>
      <c r="C21" s="1528"/>
      <c r="D21" s="1528"/>
      <c r="E21" s="1528"/>
      <c r="F21" s="1502" t="str">
        <f>H8&amp;" "&amp;IFERROR(VLOOKUP(B21,_sikap_predikat1,3,FALSE),"-")</f>
        <v>Ahmad Zaki Aufa memiliki sikap santun pada orang lain, peduli pada sesama teman, memiliki kepercaya diri yang baik, cukup responsif dalam pergaulan, memiliki sikap jujur, disiplin, dan tanggungjawab yang cukup tinggi.</v>
      </c>
      <c r="G21" s="1503"/>
      <c r="H21" s="1503"/>
      <c r="I21" s="1503"/>
      <c r="J21" s="1503"/>
      <c r="K21" s="1503"/>
      <c r="L21" s="1503"/>
      <c r="M21" s="1503"/>
      <c r="N21" s="1503"/>
      <c r="O21" s="1503"/>
      <c r="P21" s="1503"/>
      <c r="Q21" s="1503"/>
      <c r="R21" s="1503"/>
      <c r="S21" s="1503"/>
      <c r="T21" s="1503"/>
      <c r="U21" s="1503"/>
      <c r="V21" s="1503"/>
      <c r="W21" s="1503"/>
      <c r="X21" s="1503"/>
      <c r="Y21" s="1503"/>
      <c r="Z21" s="1503"/>
      <c r="AA21" s="1503"/>
      <c r="AB21" s="1504"/>
      <c r="AC21" s="1515"/>
      <c r="AD21" s="1527" t="str">
        <f>IFERROR(VLOOKUP(BF5,_Sikap2,5,FALSE),"-")</f>
        <v>B</v>
      </c>
      <c r="AE21" s="1528"/>
      <c r="AF21" s="1528"/>
      <c r="AG21" s="1528"/>
      <c r="AH21" s="1502" t="str">
        <f>H8&amp;" "&amp;IFERROR(VLOOKUP(AD21,_sikap_predikat2,3,FALSE),"-")</f>
        <v>Ahmad Zaki Aufa memiliki sikap santun pada orang lain, peduli pada sesama teman, memiliki kepercaya diri yang baik, cukup responsif dalam pergaulan, memiliki sikap jujur, disiplin, dan tanggungjawab yang cukup tinggi.</v>
      </c>
      <c r="AI21" s="1503"/>
      <c r="AJ21" s="1503"/>
      <c r="AK21" s="1503"/>
      <c r="AL21" s="1503"/>
      <c r="AM21" s="1503"/>
      <c r="AN21" s="1503"/>
      <c r="AO21" s="1503"/>
      <c r="AP21" s="1503"/>
      <c r="AQ21" s="1503"/>
      <c r="AR21" s="1503"/>
      <c r="AS21" s="1503"/>
      <c r="AT21" s="1503"/>
      <c r="AU21" s="1503"/>
      <c r="AV21" s="1503"/>
      <c r="AW21" s="1503"/>
      <c r="AX21" s="1503"/>
      <c r="AY21" s="1503"/>
      <c r="AZ21" s="1503"/>
      <c r="BA21" s="1503"/>
      <c r="BB21" s="1503"/>
      <c r="BC21" s="1503"/>
      <c r="BD21" s="1504"/>
    </row>
    <row r="22" spans="2:56" ht="19.5" customHeight="1">
      <c r="B22" s="1529"/>
      <c r="C22" s="1530"/>
      <c r="D22" s="1530"/>
      <c r="E22" s="1530"/>
      <c r="F22" s="1508"/>
      <c r="G22" s="1509"/>
      <c r="H22" s="1509"/>
      <c r="I22" s="1509"/>
      <c r="J22" s="1509"/>
      <c r="K22" s="1509"/>
      <c r="L22" s="1509"/>
      <c r="M22" s="1509"/>
      <c r="N22" s="1509"/>
      <c r="O22" s="1509"/>
      <c r="P22" s="1509"/>
      <c r="Q22" s="1509"/>
      <c r="R22" s="1509"/>
      <c r="S22" s="1509"/>
      <c r="T22" s="1509"/>
      <c r="U22" s="1509"/>
      <c r="V22" s="1509"/>
      <c r="W22" s="1509"/>
      <c r="X22" s="1509"/>
      <c r="Y22" s="1509"/>
      <c r="Z22" s="1509"/>
      <c r="AA22" s="1509"/>
      <c r="AB22" s="1510"/>
      <c r="AC22" s="1515"/>
      <c r="AD22" s="1529"/>
      <c r="AE22" s="1530"/>
      <c r="AF22" s="1530"/>
      <c r="AG22" s="1530"/>
      <c r="AH22" s="1508"/>
      <c r="AI22" s="1509"/>
      <c r="AJ22" s="1509"/>
      <c r="AK22" s="1509"/>
      <c r="AL22" s="1509"/>
      <c r="AM22" s="1509"/>
      <c r="AN22" s="1509"/>
      <c r="AO22" s="1509"/>
      <c r="AP22" s="1509"/>
      <c r="AQ22" s="1509"/>
      <c r="AR22" s="1509"/>
      <c r="AS22" s="1509"/>
      <c r="AT22" s="1509"/>
      <c r="AU22" s="1509"/>
      <c r="AV22" s="1509"/>
      <c r="AW22" s="1509"/>
      <c r="AX22" s="1509"/>
      <c r="AY22" s="1509"/>
      <c r="AZ22" s="1509"/>
      <c r="BA22" s="1509"/>
      <c r="BB22" s="1509"/>
      <c r="BC22" s="1509"/>
      <c r="BD22" s="1510"/>
    </row>
    <row r="23" spans="2:56" ht="24" customHeight="1">
      <c r="B23" s="1531" t="s">
        <v>176</v>
      </c>
      <c r="C23" s="1532"/>
      <c r="D23" s="1532"/>
      <c r="E23" s="1532"/>
      <c r="F23" s="1532"/>
      <c r="G23" s="1532"/>
      <c r="H23" s="1532"/>
      <c r="I23" s="1532"/>
      <c r="J23" s="1532"/>
      <c r="K23" s="1532"/>
      <c r="L23" s="1532"/>
      <c r="M23" s="1532"/>
      <c r="N23" s="1532"/>
      <c r="O23" s="1532"/>
      <c r="P23" s="1532"/>
      <c r="Q23" s="1532"/>
      <c r="R23" s="1532"/>
      <c r="S23" s="1532"/>
      <c r="T23" s="1532"/>
      <c r="U23" s="1532"/>
      <c r="V23" s="1532"/>
      <c r="W23" s="1532"/>
      <c r="X23" s="1532"/>
      <c r="Y23" s="1532"/>
      <c r="Z23" s="1532"/>
      <c r="AA23" s="1532"/>
      <c r="AB23" s="1533"/>
      <c r="AC23" s="1515"/>
      <c r="AD23" s="1531" t="s">
        <v>176</v>
      </c>
      <c r="AE23" s="1532"/>
      <c r="AF23" s="1532"/>
      <c r="AG23" s="1532"/>
      <c r="AH23" s="1532"/>
      <c r="AI23" s="1532"/>
      <c r="AJ23" s="1532"/>
      <c r="AK23" s="1532"/>
      <c r="AL23" s="1532"/>
      <c r="AM23" s="1532"/>
      <c r="AN23" s="1532"/>
      <c r="AO23" s="1532"/>
      <c r="AP23" s="1532"/>
      <c r="AQ23" s="1532"/>
      <c r="AR23" s="1532"/>
      <c r="AS23" s="1532"/>
      <c r="AT23" s="1532"/>
      <c r="AU23" s="1532"/>
      <c r="AV23" s="1532"/>
      <c r="AW23" s="1532"/>
      <c r="AX23" s="1532"/>
      <c r="AY23" s="1532"/>
      <c r="AZ23" s="1532"/>
      <c r="BA23" s="1532"/>
      <c r="BB23" s="1532"/>
      <c r="BC23" s="1532"/>
      <c r="BD23" s="1533"/>
    </row>
    <row r="24" spans="2:56" ht="15.75" customHeight="1">
      <c r="B24" s="1534" t="s">
        <v>50</v>
      </c>
      <c r="C24" s="1536" t="s">
        <v>119</v>
      </c>
      <c r="D24" s="1536"/>
      <c r="E24" s="1536"/>
      <c r="F24" s="1536"/>
      <c r="G24" s="1536"/>
      <c r="H24" s="1536"/>
      <c r="I24" s="1536"/>
      <c r="J24" s="1536"/>
      <c r="K24" s="1536"/>
      <c r="L24" s="1536"/>
      <c r="M24" s="1536" t="s">
        <v>80</v>
      </c>
      <c r="N24" s="1536"/>
      <c r="O24" s="1538" t="s">
        <v>121</v>
      </c>
      <c r="P24" s="1538"/>
      <c r="Q24" s="1538"/>
      <c r="R24" s="1538"/>
      <c r="S24" s="1538"/>
      <c r="T24" s="1538"/>
      <c r="U24" s="1538"/>
      <c r="V24" s="1538" t="s">
        <v>122</v>
      </c>
      <c r="W24" s="1538"/>
      <c r="X24" s="1538"/>
      <c r="Y24" s="1538"/>
      <c r="Z24" s="1538"/>
      <c r="AA24" s="1538"/>
      <c r="AB24" s="1539"/>
      <c r="AC24" s="1515"/>
      <c r="AD24" s="1534" t="s">
        <v>50</v>
      </c>
      <c r="AE24" s="1536" t="s">
        <v>119</v>
      </c>
      <c r="AF24" s="1536"/>
      <c r="AG24" s="1536"/>
      <c r="AH24" s="1536"/>
      <c r="AI24" s="1536"/>
      <c r="AJ24" s="1536"/>
      <c r="AK24" s="1536"/>
      <c r="AL24" s="1536"/>
      <c r="AM24" s="1536"/>
      <c r="AN24" s="1536"/>
      <c r="AO24" s="1536" t="s">
        <v>80</v>
      </c>
      <c r="AP24" s="1536"/>
      <c r="AQ24" s="1538" t="s">
        <v>121</v>
      </c>
      <c r="AR24" s="1538"/>
      <c r="AS24" s="1538"/>
      <c r="AT24" s="1538"/>
      <c r="AU24" s="1538"/>
      <c r="AV24" s="1538"/>
      <c r="AW24" s="1538"/>
      <c r="AX24" s="1538" t="s">
        <v>122</v>
      </c>
      <c r="AY24" s="1538"/>
      <c r="AZ24" s="1538"/>
      <c r="BA24" s="1538"/>
      <c r="BB24" s="1538"/>
      <c r="BC24" s="1538"/>
      <c r="BD24" s="1539"/>
    </row>
    <row r="25" spans="2:56" ht="15.75" customHeight="1" thickBot="1">
      <c r="B25" s="1535"/>
      <c r="C25" s="1537"/>
      <c r="D25" s="1537"/>
      <c r="E25" s="1537"/>
      <c r="F25" s="1537"/>
      <c r="G25" s="1537"/>
      <c r="H25" s="1537"/>
      <c r="I25" s="1537"/>
      <c r="J25" s="1537"/>
      <c r="K25" s="1537"/>
      <c r="L25" s="1537"/>
      <c r="M25" s="1537"/>
      <c r="N25" s="1537"/>
      <c r="O25" s="1525" t="s">
        <v>59</v>
      </c>
      <c r="P25" s="1525"/>
      <c r="Q25" s="1525"/>
      <c r="R25" s="1525"/>
      <c r="S25" s="1525" t="s">
        <v>113</v>
      </c>
      <c r="T25" s="1525"/>
      <c r="U25" s="1525"/>
      <c r="V25" s="1525" t="s">
        <v>59</v>
      </c>
      <c r="W25" s="1525"/>
      <c r="X25" s="1525"/>
      <c r="Y25" s="1525"/>
      <c r="Z25" s="1525" t="s">
        <v>113</v>
      </c>
      <c r="AA25" s="1525"/>
      <c r="AB25" s="1526"/>
      <c r="AC25" s="1515"/>
      <c r="AD25" s="1535"/>
      <c r="AE25" s="1537"/>
      <c r="AF25" s="1537"/>
      <c r="AG25" s="1537"/>
      <c r="AH25" s="1537"/>
      <c r="AI25" s="1537"/>
      <c r="AJ25" s="1537"/>
      <c r="AK25" s="1537"/>
      <c r="AL25" s="1537"/>
      <c r="AM25" s="1537"/>
      <c r="AN25" s="1537"/>
      <c r="AO25" s="1537"/>
      <c r="AP25" s="1537"/>
      <c r="AQ25" s="1525" t="s">
        <v>59</v>
      </c>
      <c r="AR25" s="1525"/>
      <c r="AS25" s="1525"/>
      <c r="AT25" s="1525"/>
      <c r="AU25" s="1525" t="s">
        <v>113</v>
      </c>
      <c r="AV25" s="1525"/>
      <c r="AW25" s="1525"/>
      <c r="AX25" s="1525" t="s">
        <v>59</v>
      </c>
      <c r="AY25" s="1525"/>
      <c r="AZ25" s="1525"/>
      <c r="BA25" s="1525"/>
      <c r="BB25" s="1525" t="s">
        <v>113</v>
      </c>
      <c r="BC25" s="1525"/>
      <c r="BD25" s="1526"/>
    </row>
    <row r="26" spans="2:56" ht="18" customHeight="1" thickTop="1">
      <c r="B26" s="1540" t="s">
        <v>53</v>
      </c>
      <c r="C26" s="1541"/>
      <c r="D26" s="1541"/>
      <c r="E26" s="1541"/>
      <c r="F26" s="1541"/>
      <c r="G26" s="1541"/>
      <c r="H26" s="1541"/>
      <c r="I26" s="1541"/>
      <c r="J26" s="1541"/>
      <c r="K26" s="1541"/>
      <c r="L26" s="1541"/>
      <c r="M26" s="1541"/>
      <c r="N26" s="1541"/>
      <c r="O26" s="1541"/>
      <c r="P26" s="1541"/>
      <c r="Q26" s="1541"/>
      <c r="R26" s="1541"/>
      <c r="S26" s="1541"/>
      <c r="T26" s="1541"/>
      <c r="U26" s="1541"/>
      <c r="V26" s="1541"/>
      <c r="W26" s="1541"/>
      <c r="X26" s="1541"/>
      <c r="Y26" s="1541"/>
      <c r="Z26" s="1541"/>
      <c r="AA26" s="1541"/>
      <c r="AB26" s="1542"/>
      <c r="AC26" s="1515"/>
      <c r="AD26" s="1575" t="s">
        <v>53</v>
      </c>
      <c r="AE26" s="1576"/>
      <c r="AF26" s="1576"/>
      <c r="AG26" s="1576"/>
      <c r="AH26" s="1576"/>
      <c r="AI26" s="1576"/>
      <c r="AJ26" s="1576"/>
      <c r="AK26" s="1576"/>
      <c r="AL26" s="1576"/>
      <c r="AM26" s="1576"/>
      <c r="AN26" s="1576"/>
      <c r="AO26" s="1576"/>
      <c r="AP26" s="1576"/>
      <c r="AQ26" s="1576"/>
      <c r="AR26" s="1576"/>
      <c r="AS26" s="1576"/>
      <c r="AT26" s="1576"/>
      <c r="AU26" s="1576"/>
      <c r="AV26" s="1576"/>
      <c r="AW26" s="1576"/>
      <c r="AX26" s="1576"/>
      <c r="AY26" s="1576"/>
      <c r="AZ26" s="1576"/>
      <c r="BA26" s="1576"/>
      <c r="BB26" s="1576"/>
      <c r="BC26" s="1576"/>
      <c r="BD26" s="1577"/>
    </row>
    <row r="27" spans="2:56" ht="15.75" customHeight="1">
      <c r="B27" s="557">
        <v>1</v>
      </c>
      <c r="C27" s="1543" t="str">
        <f>IFERROR(IF(VLOOKUP(BF5,_Biodata_Lengkap,8,FALSE)="ISLAM",_MP1,IF(VLOOKUP(BF5,_Biodata_Lengkap,8,FALSE)="KRISTEN",_MP2,IF(VLOOKUP(BF5,_Biodata_Lengkap,8,FALSE)="KATOLIK",_MP3,IF(VLOOKUP(BF5,_Biodata_Lengkap,8,FALSE)="HINDU",_MP4,_MP5)))),"-")</f>
        <v>Pendidikan Agama Islam</v>
      </c>
      <c r="D27" s="1543"/>
      <c r="E27" s="1543"/>
      <c r="F27" s="1543"/>
      <c r="G27" s="1543"/>
      <c r="H27" s="1543"/>
      <c r="I27" s="1543"/>
      <c r="J27" s="1543"/>
      <c r="K27" s="1543"/>
      <c r="L27" s="1543"/>
      <c r="M27" s="1544">
        <f t="shared" ref="M27:M33" si="0">_KKM</f>
        <v>75</v>
      </c>
      <c r="N27" s="1544"/>
      <c r="O27" s="1545">
        <f>IFERROR(IF($C$27=_MP1,VLOOKUP($BF$5,_Leger1,5,FALSE),IF($C$27=_MP2,VLOOKUP($BF$5,_Leger1,8,FALSE),IF($C$27=_MP3,VLOOKUP($BF$5,_Leger1,11,FALSE),IF($C$27=_MP4,VLOOKUP($BF$5,_Leger1,14,FALSE),VLOOKUP($BF$5,_Leger1,17,FALSE))))),"-")</f>
        <v>81.349999999999994</v>
      </c>
      <c r="P27" s="1545"/>
      <c r="Q27" s="1545"/>
      <c r="R27" s="1545"/>
      <c r="S27" s="1546" t="str">
        <f t="shared" ref="S27:S33" si="1">IF(O27="-","-",IF(O27&gt;=(M27+2/3*(100-M27)),"A",IF(O27&gt;=(M27+1/3*(100-M27)),"B",IF(O27&gt;=M27,"C","D"))))</f>
        <v>C</v>
      </c>
      <c r="T27" s="1186"/>
      <c r="U27" s="1547"/>
      <c r="V27" s="1545">
        <f>IFERROR(IF($C$27=_MP1,VLOOKUP($BF$5,_Leger1,6,FALSE),IF($C$27=_MP2,VLOOKUP($BF$5,_Leger1,9,FALSE),IF($C$27=_MP3,VLOOKUP($BF$5,_Leger1,12,FALSE),IF($C$27=_MP4,VLOOKUP($BF$5,_Leger1,15,FALSE),VLOOKUP($BF$5,_Leger1,18,FALSE))))),"-")</f>
        <v>85</v>
      </c>
      <c r="W27" s="1545"/>
      <c r="X27" s="1545"/>
      <c r="Y27" s="1545"/>
      <c r="Z27" s="1546" t="str">
        <f t="shared" ref="Z27:Z33" si="2">IF(V27="-","-",IF(V27&gt;=(M27+2/3*(100-M27)),"A",IF(V27&gt;=(M27+1/3*(100-M27)),"B",IF(V27&gt;=M27,"C","D"))))</f>
        <v>B</v>
      </c>
      <c r="AA27" s="1186"/>
      <c r="AB27" s="1548"/>
      <c r="AC27" s="1515"/>
      <c r="AD27" s="557">
        <v>1</v>
      </c>
      <c r="AE27" s="1543" t="str">
        <f>IFERROR(IF(VLOOKUP(BF5,_Biodata_Lengkap,8,FALSE)="ISLAM",_MP1,IF(VLOOKUP(BF5,_Biodata_Lengkap,8,FALSE)="KRISTEN",_MP2,IF(VLOOKUP(BF5,_Biodata_Lengkap,8,FALSE)="KATOLIK",_MP3,IF(VLOOKUP(BF5,_Biodata_Lengkap,8,FALSE)="HINDU",_MP4,_MP5)))),"-")</f>
        <v>Pendidikan Agama Islam</v>
      </c>
      <c r="AF27" s="1543"/>
      <c r="AG27" s="1543"/>
      <c r="AH27" s="1543"/>
      <c r="AI27" s="1543"/>
      <c r="AJ27" s="1543"/>
      <c r="AK27" s="1543"/>
      <c r="AL27" s="1543"/>
      <c r="AM27" s="1543"/>
      <c r="AN27" s="1543"/>
      <c r="AO27" s="1544">
        <f>_KKM2</f>
        <v>65</v>
      </c>
      <c r="AP27" s="1544"/>
      <c r="AQ27" s="1545">
        <f>IFERROR(IF($C$27=_MP1,VLOOKUP($BF$5,_Leger2,5,FALSE),IF($C$27=_MP2,VLOOKUP($BF$5,_Leger2,8,FALSE),IF($C$27=_MP3,VLOOKUP($BF$5,_Leger2,11,FALSE),IF($C$27=_MP4,VLOOKUP($BF$5,_Leger2,14,FALSE),VLOOKUP($BF$5,_Leger2,17,FALSE))))),"-")</f>
        <v>0</v>
      </c>
      <c r="AR27" s="1545"/>
      <c r="AS27" s="1545"/>
      <c r="AT27" s="1545"/>
      <c r="AU27" s="1546" t="str">
        <f t="shared" ref="AU27:AU33" si="3">IF(AQ27="-","-",IF(AQ27&gt;=(AO27+2/3*(100-AO27)),"A",IF(AQ27&gt;=(AO27+1/3*(100-AO27)),"B",IF(AQ27&gt;=AO27,"C","D"))))</f>
        <v>D</v>
      </c>
      <c r="AV27" s="1186"/>
      <c r="AW27" s="1547"/>
      <c r="AX27" s="1545">
        <f>IFERROR(IF($C$27=_MP1,VLOOKUP($BF$5,_Leger2,6,FALSE),IF($C$27=_MP2,VLOOKUP($BF$5,_Leger2,9,FALSE),IF($C$27=_MP3,VLOOKUP($BF$5,_Leger2,12,FALSE),IF($C$27=_MP4,VLOOKUP($BF$5,_Leger2,15,FALSE),VLOOKUP($BF$5,_Leger2,18,FALSE))))),"-")</f>
        <v>0</v>
      </c>
      <c r="AY27" s="1545"/>
      <c r="AZ27" s="1545"/>
      <c r="BA27" s="1545"/>
      <c r="BB27" s="1546" t="str">
        <f t="shared" ref="BB27:BB33" si="4">IF(AX27="-","-",IF(AX27&gt;=(AO27+2/3*(100-AO27)),"A",IF(AX27&gt;=(AO27+1/3*(100-AO27)),"B",IF(AX27&gt;=AO27,"C","D"))))</f>
        <v>D</v>
      </c>
      <c r="BC27" s="1186"/>
      <c r="BD27" s="1548"/>
    </row>
    <row r="28" spans="2:56" ht="15.75" customHeight="1">
      <c r="B28" s="557">
        <v>2</v>
      </c>
      <c r="C28" s="1543" t="str">
        <f>_MP6</f>
        <v>PKn</v>
      </c>
      <c r="D28" s="1543"/>
      <c r="E28" s="1543"/>
      <c r="F28" s="1543"/>
      <c r="G28" s="1543"/>
      <c r="H28" s="1543"/>
      <c r="I28" s="1543"/>
      <c r="J28" s="1543"/>
      <c r="K28" s="1543"/>
      <c r="L28" s="1543"/>
      <c r="M28" s="1544">
        <f t="shared" si="0"/>
        <v>75</v>
      </c>
      <c r="N28" s="1544"/>
      <c r="O28" s="1545">
        <f>IFERROR(VLOOKUP($BF$5,_Leger1,20,FALSE),"-")</f>
        <v>82</v>
      </c>
      <c r="P28" s="1545"/>
      <c r="Q28" s="1545"/>
      <c r="R28" s="1545"/>
      <c r="S28" s="1546" t="str">
        <f t="shared" si="1"/>
        <v>C</v>
      </c>
      <c r="T28" s="1186"/>
      <c r="U28" s="1547"/>
      <c r="V28" s="1545">
        <f>IFERROR(VLOOKUP($BF$5,_Leger1,21,FALSE),"-")</f>
        <v>82</v>
      </c>
      <c r="W28" s="1545"/>
      <c r="X28" s="1545"/>
      <c r="Y28" s="1545"/>
      <c r="Z28" s="1546" t="str">
        <f t="shared" si="2"/>
        <v>C</v>
      </c>
      <c r="AA28" s="1186"/>
      <c r="AB28" s="1548"/>
      <c r="AC28" s="1515"/>
      <c r="AD28" s="557">
        <v>2</v>
      </c>
      <c r="AE28" s="1543" t="str">
        <f>_MP6</f>
        <v>PKn</v>
      </c>
      <c r="AF28" s="1543"/>
      <c r="AG28" s="1543"/>
      <c r="AH28" s="1543"/>
      <c r="AI28" s="1543"/>
      <c r="AJ28" s="1543"/>
      <c r="AK28" s="1543"/>
      <c r="AL28" s="1543"/>
      <c r="AM28" s="1543"/>
      <c r="AN28" s="1543"/>
      <c r="AO28" s="1544">
        <f t="shared" ref="AO28:AO33" si="5">_KKM2</f>
        <v>65</v>
      </c>
      <c r="AP28" s="1544"/>
      <c r="AQ28" s="1545">
        <f>IFERROR(VLOOKUP($BF$5,_Leger2,20,FALSE),"-")</f>
        <v>0</v>
      </c>
      <c r="AR28" s="1545"/>
      <c r="AS28" s="1545"/>
      <c r="AT28" s="1545"/>
      <c r="AU28" s="1546" t="str">
        <f t="shared" si="3"/>
        <v>D</v>
      </c>
      <c r="AV28" s="1186"/>
      <c r="AW28" s="1547"/>
      <c r="AX28" s="1545">
        <f>IFERROR(VLOOKUP($BF$5,_Leger2,21,FALSE),"-")</f>
        <v>0</v>
      </c>
      <c r="AY28" s="1545"/>
      <c r="AZ28" s="1545"/>
      <c r="BA28" s="1545"/>
      <c r="BB28" s="1546" t="str">
        <f t="shared" si="4"/>
        <v>D</v>
      </c>
      <c r="BC28" s="1186"/>
      <c r="BD28" s="1548"/>
    </row>
    <row r="29" spans="2:56" ht="15.75" customHeight="1">
      <c r="B29" s="557">
        <v>3</v>
      </c>
      <c r="C29" s="1543" t="str">
        <f>_MP7</f>
        <v xml:space="preserve">Bahasa Indonesia </v>
      </c>
      <c r="D29" s="1543"/>
      <c r="E29" s="1543"/>
      <c r="F29" s="1543"/>
      <c r="G29" s="1543"/>
      <c r="H29" s="1543"/>
      <c r="I29" s="1543"/>
      <c r="J29" s="1543"/>
      <c r="K29" s="1543"/>
      <c r="L29" s="1543"/>
      <c r="M29" s="1544">
        <f t="shared" si="0"/>
        <v>75</v>
      </c>
      <c r="N29" s="1544"/>
      <c r="O29" s="1545">
        <f>IFERROR(VLOOKUP($BF$5,_Leger1,23,FALSE),"-")</f>
        <v>80.260000000000005</v>
      </c>
      <c r="P29" s="1545"/>
      <c r="Q29" s="1545"/>
      <c r="R29" s="1545"/>
      <c r="S29" s="1546" t="str">
        <f t="shared" si="1"/>
        <v>C</v>
      </c>
      <c r="T29" s="1186"/>
      <c r="U29" s="1547"/>
      <c r="V29" s="1545">
        <f>IFERROR(VLOOKUP($BF$5,_Leger1,24,FALSE),"-")</f>
        <v>78.099999999999994</v>
      </c>
      <c r="W29" s="1545"/>
      <c r="X29" s="1545"/>
      <c r="Y29" s="1545"/>
      <c r="Z29" s="1546" t="str">
        <f t="shared" si="2"/>
        <v>C</v>
      </c>
      <c r="AA29" s="1186"/>
      <c r="AB29" s="1548"/>
      <c r="AC29" s="1515"/>
      <c r="AD29" s="557">
        <v>3</v>
      </c>
      <c r="AE29" s="1543" t="str">
        <f>_MP7</f>
        <v xml:space="preserve">Bahasa Indonesia </v>
      </c>
      <c r="AF29" s="1543"/>
      <c r="AG29" s="1543"/>
      <c r="AH29" s="1543"/>
      <c r="AI29" s="1543"/>
      <c r="AJ29" s="1543"/>
      <c r="AK29" s="1543"/>
      <c r="AL29" s="1543"/>
      <c r="AM29" s="1543"/>
      <c r="AN29" s="1543"/>
      <c r="AO29" s="1544">
        <f t="shared" si="5"/>
        <v>65</v>
      </c>
      <c r="AP29" s="1544"/>
      <c r="AQ29" s="1545">
        <f>IFERROR(VLOOKUP($BF$5,_Leger2,23,FALSE),"-")</f>
        <v>0</v>
      </c>
      <c r="AR29" s="1545"/>
      <c r="AS29" s="1545"/>
      <c r="AT29" s="1545"/>
      <c r="AU29" s="1546" t="str">
        <f t="shared" si="3"/>
        <v>D</v>
      </c>
      <c r="AV29" s="1186"/>
      <c r="AW29" s="1547"/>
      <c r="AX29" s="1545">
        <f>IFERROR(VLOOKUP($BF$5,_Leger2,24,FALSE),"-")</f>
        <v>0</v>
      </c>
      <c r="AY29" s="1545"/>
      <c r="AZ29" s="1545"/>
      <c r="BA29" s="1545"/>
      <c r="BB29" s="1546" t="str">
        <f t="shared" si="4"/>
        <v>D</v>
      </c>
      <c r="BC29" s="1186"/>
      <c r="BD29" s="1548"/>
    </row>
    <row r="30" spans="2:56" ht="15.75" customHeight="1">
      <c r="B30" s="557">
        <v>4</v>
      </c>
      <c r="C30" s="1543" t="str">
        <f>_MP8</f>
        <v xml:space="preserve">Matematika </v>
      </c>
      <c r="D30" s="1543"/>
      <c r="E30" s="1543"/>
      <c r="F30" s="1543"/>
      <c r="G30" s="1543"/>
      <c r="H30" s="1543"/>
      <c r="I30" s="1543"/>
      <c r="J30" s="1543"/>
      <c r="K30" s="1543"/>
      <c r="L30" s="1543"/>
      <c r="M30" s="1544">
        <f t="shared" si="0"/>
        <v>75</v>
      </c>
      <c r="N30" s="1544"/>
      <c r="O30" s="1545">
        <f>IFERROR(VLOOKUP($BF$5,_Leger1,26,FALSE),"-")</f>
        <v>79.040000000000006</v>
      </c>
      <c r="P30" s="1545"/>
      <c r="Q30" s="1545"/>
      <c r="R30" s="1545"/>
      <c r="S30" s="1546" t="str">
        <f t="shared" si="1"/>
        <v>C</v>
      </c>
      <c r="T30" s="1186"/>
      <c r="U30" s="1547"/>
      <c r="V30" s="1545">
        <f>IFERROR(VLOOKUP($BF$5,_Leger1,27,FALSE),"-")</f>
        <v>80.400000000000006</v>
      </c>
      <c r="W30" s="1545"/>
      <c r="X30" s="1545"/>
      <c r="Y30" s="1545"/>
      <c r="Z30" s="1546" t="str">
        <f t="shared" si="2"/>
        <v>C</v>
      </c>
      <c r="AA30" s="1186"/>
      <c r="AB30" s="1548"/>
      <c r="AC30" s="1515"/>
      <c r="AD30" s="557">
        <v>4</v>
      </c>
      <c r="AE30" s="1543" t="str">
        <f>_MP8</f>
        <v xml:space="preserve">Matematika </v>
      </c>
      <c r="AF30" s="1543"/>
      <c r="AG30" s="1543"/>
      <c r="AH30" s="1543"/>
      <c r="AI30" s="1543"/>
      <c r="AJ30" s="1543"/>
      <c r="AK30" s="1543"/>
      <c r="AL30" s="1543"/>
      <c r="AM30" s="1543"/>
      <c r="AN30" s="1543"/>
      <c r="AO30" s="1544">
        <f t="shared" si="5"/>
        <v>65</v>
      </c>
      <c r="AP30" s="1544"/>
      <c r="AQ30" s="1545">
        <f>IFERROR(VLOOKUP($BF$5,_Leger2,26,FALSE),"-")</f>
        <v>0</v>
      </c>
      <c r="AR30" s="1545"/>
      <c r="AS30" s="1545"/>
      <c r="AT30" s="1545"/>
      <c r="AU30" s="1546" t="str">
        <f t="shared" si="3"/>
        <v>D</v>
      </c>
      <c r="AV30" s="1186"/>
      <c r="AW30" s="1547"/>
      <c r="AX30" s="1545">
        <f>IFERROR(VLOOKUP($BF$5,_Leger2,27,FALSE),"-")</f>
        <v>0</v>
      </c>
      <c r="AY30" s="1545"/>
      <c r="AZ30" s="1545"/>
      <c r="BA30" s="1545"/>
      <c r="BB30" s="1546" t="str">
        <f t="shared" si="4"/>
        <v>D</v>
      </c>
      <c r="BC30" s="1186"/>
      <c r="BD30" s="1548"/>
    </row>
    <row r="31" spans="2:56" ht="15.75" customHeight="1">
      <c r="B31" s="557">
        <v>5</v>
      </c>
      <c r="C31" s="1543" t="str">
        <f>_MP9</f>
        <v xml:space="preserve">Ilmu Pengetahuan Alam </v>
      </c>
      <c r="D31" s="1543"/>
      <c r="E31" s="1543"/>
      <c r="F31" s="1543"/>
      <c r="G31" s="1543"/>
      <c r="H31" s="1543"/>
      <c r="I31" s="1543"/>
      <c r="J31" s="1543"/>
      <c r="K31" s="1543"/>
      <c r="L31" s="1543"/>
      <c r="M31" s="1544">
        <f t="shared" si="0"/>
        <v>75</v>
      </c>
      <c r="N31" s="1544"/>
      <c r="O31" s="1545">
        <f>IFERROR(VLOOKUP($BF$5,_Leger1,29,FALSE),"-")</f>
        <v>83.6</v>
      </c>
      <c r="P31" s="1545"/>
      <c r="Q31" s="1545"/>
      <c r="R31" s="1545"/>
      <c r="S31" s="1546" t="str">
        <f t="shared" si="1"/>
        <v>B</v>
      </c>
      <c r="T31" s="1186"/>
      <c r="U31" s="1547"/>
      <c r="V31" s="1545">
        <f>IFERROR(VLOOKUP($BF$5,_Leger1,30,FALSE),"-")</f>
        <v>86.833333333333329</v>
      </c>
      <c r="W31" s="1545"/>
      <c r="X31" s="1545"/>
      <c r="Y31" s="1545"/>
      <c r="Z31" s="1546" t="str">
        <f t="shared" si="2"/>
        <v>B</v>
      </c>
      <c r="AA31" s="1186"/>
      <c r="AB31" s="1548"/>
      <c r="AC31" s="1515"/>
      <c r="AD31" s="557">
        <v>5</v>
      </c>
      <c r="AE31" s="1543" t="str">
        <f>_MP9</f>
        <v xml:space="preserve">Ilmu Pengetahuan Alam </v>
      </c>
      <c r="AF31" s="1543"/>
      <c r="AG31" s="1543"/>
      <c r="AH31" s="1543"/>
      <c r="AI31" s="1543"/>
      <c r="AJ31" s="1543"/>
      <c r="AK31" s="1543"/>
      <c r="AL31" s="1543"/>
      <c r="AM31" s="1543"/>
      <c r="AN31" s="1543"/>
      <c r="AO31" s="1544">
        <f t="shared" si="5"/>
        <v>65</v>
      </c>
      <c r="AP31" s="1544"/>
      <c r="AQ31" s="1545">
        <f>IFERROR(VLOOKUP($BF$5,_Leger2,29,FALSE),"-")</f>
        <v>0</v>
      </c>
      <c r="AR31" s="1545"/>
      <c r="AS31" s="1545"/>
      <c r="AT31" s="1545"/>
      <c r="AU31" s="1546" t="str">
        <f t="shared" si="3"/>
        <v>D</v>
      </c>
      <c r="AV31" s="1186"/>
      <c r="AW31" s="1547"/>
      <c r="AX31" s="1545">
        <f>IFERROR(VLOOKUP($BF$5,_Leger2,30,FALSE),"-")</f>
        <v>0</v>
      </c>
      <c r="AY31" s="1545"/>
      <c r="AZ31" s="1545"/>
      <c r="BA31" s="1545"/>
      <c r="BB31" s="1546" t="str">
        <f t="shared" si="4"/>
        <v>D</v>
      </c>
      <c r="BC31" s="1186"/>
      <c r="BD31" s="1548"/>
    </row>
    <row r="32" spans="2:56" ht="15.75" customHeight="1">
      <c r="B32" s="557">
        <v>6</v>
      </c>
      <c r="C32" s="1543" t="str">
        <f>_MP10</f>
        <v xml:space="preserve">Ilmu Pengetahuan Sosial </v>
      </c>
      <c r="D32" s="1543"/>
      <c r="E32" s="1543"/>
      <c r="F32" s="1543"/>
      <c r="G32" s="1543"/>
      <c r="H32" s="1543"/>
      <c r="I32" s="1543"/>
      <c r="J32" s="1543"/>
      <c r="K32" s="1543"/>
      <c r="L32" s="1543"/>
      <c r="M32" s="1544">
        <f t="shared" si="0"/>
        <v>75</v>
      </c>
      <c r="N32" s="1544"/>
      <c r="O32" s="1545">
        <f>IFERROR(VLOOKUP($BF$5,_Leger1,32,FALSE),"-")</f>
        <v>81.599999999999994</v>
      </c>
      <c r="P32" s="1545"/>
      <c r="Q32" s="1545"/>
      <c r="R32" s="1545"/>
      <c r="S32" s="1546" t="str">
        <f t="shared" si="1"/>
        <v>C</v>
      </c>
      <c r="T32" s="1186"/>
      <c r="U32" s="1547"/>
      <c r="V32" s="1545">
        <f>IFERROR(VLOOKUP($BF$5,_Leger1,33,FALSE),"-")</f>
        <v>90</v>
      </c>
      <c r="W32" s="1545"/>
      <c r="X32" s="1545"/>
      <c r="Y32" s="1545"/>
      <c r="Z32" s="1546" t="str">
        <f t="shared" si="2"/>
        <v>B</v>
      </c>
      <c r="AA32" s="1186"/>
      <c r="AB32" s="1548"/>
      <c r="AC32" s="1515"/>
      <c r="AD32" s="557">
        <v>6</v>
      </c>
      <c r="AE32" s="1543" t="str">
        <f>_MP10</f>
        <v xml:space="preserve">Ilmu Pengetahuan Sosial </v>
      </c>
      <c r="AF32" s="1543"/>
      <c r="AG32" s="1543"/>
      <c r="AH32" s="1543"/>
      <c r="AI32" s="1543"/>
      <c r="AJ32" s="1543"/>
      <c r="AK32" s="1543"/>
      <c r="AL32" s="1543"/>
      <c r="AM32" s="1543"/>
      <c r="AN32" s="1543"/>
      <c r="AO32" s="1544">
        <f t="shared" si="5"/>
        <v>65</v>
      </c>
      <c r="AP32" s="1544"/>
      <c r="AQ32" s="1545">
        <f>IFERROR(VLOOKUP($BF$5,_Leger2,32,FALSE),"-")</f>
        <v>0</v>
      </c>
      <c r="AR32" s="1545"/>
      <c r="AS32" s="1545"/>
      <c r="AT32" s="1545"/>
      <c r="AU32" s="1546" t="str">
        <f t="shared" si="3"/>
        <v>D</v>
      </c>
      <c r="AV32" s="1186"/>
      <c r="AW32" s="1547"/>
      <c r="AX32" s="1545">
        <f>IFERROR(VLOOKUP($BF$5,_Leger2,33,FALSE),"-")</f>
        <v>0</v>
      </c>
      <c r="AY32" s="1545"/>
      <c r="AZ32" s="1545"/>
      <c r="BA32" s="1545"/>
      <c r="BB32" s="1546" t="str">
        <f t="shared" si="4"/>
        <v>D</v>
      </c>
      <c r="BC32" s="1186"/>
      <c r="BD32" s="1548"/>
    </row>
    <row r="33" spans="2:56" ht="15.75" customHeight="1">
      <c r="B33" s="557">
        <v>7</v>
      </c>
      <c r="C33" s="1543" t="str">
        <f>_MP11</f>
        <v xml:space="preserve">Bahasa Inggris </v>
      </c>
      <c r="D33" s="1543"/>
      <c r="E33" s="1543"/>
      <c r="F33" s="1543"/>
      <c r="G33" s="1543"/>
      <c r="H33" s="1543"/>
      <c r="I33" s="1543"/>
      <c r="J33" s="1543"/>
      <c r="K33" s="1543"/>
      <c r="L33" s="1543"/>
      <c r="M33" s="1544">
        <f t="shared" si="0"/>
        <v>75</v>
      </c>
      <c r="N33" s="1544"/>
      <c r="O33" s="1545">
        <f>IFERROR(VLOOKUP($BF$5,_Leger1,35,FALSE),"-")</f>
        <v>80.114285714285714</v>
      </c>
      <c r="P33" s="1545"/>
      <c r="Q33" s="1545"/>
      <c r="R33" s="1545"/>
      <c r="S33" s="1546" t="str">
        <f t="shared" si="1"/>
        <v>C</v>
      </c>
      <c r="T33" s="1186"/>
      <c r="U33" s="1547"/>
      <c r="V33" s="1545">
        <f>IFERROR(VLOOKUP($BF$5,_Leger1,36,FALSE),"-")</f>
        <v>80.285714285714292</v>
      </c>
      <c r="W33" s="1545"/>
      <c r="X33" s="1545"/>
      <c r="Y33" s="1545"/>
      <c r="Z33" s="1546" t="str">
        <f t="shared" si="2"/>
        <v>C</v>
      </c>
      <c r="AA33" s="1186"/>
      <c r="AB33" s="1548"/>
      <c r="AC33" s="1515"/>
      <c r="AD33" s="557">
        <v>7</v>
      </c>
      <c r="AE33" s="1543" t="str">
        <f>_MP11</f>
        <v xml:space="preserve">Bahasa Inggris </v>
      </c>
      <c r="AF33" s="1543"/>
      <c r="AG33" s="1543"/>
      <c r="AH33" s="1543"/>
      <c r="AI33" s="1543"/>
      <c r="AJ33" s="1543"/>
      <c r="AK33" s="1543"/>
      <c r="AL33" s="1543"/>
      <c r="AM33" s="1543"/>
      <c r="AN33" s="1543"/>
      <c r="AO33" s="1544">
        <f t="shared" si="5"/>
        <v>65</v>
      </c>
      <c r="AP33" s="1544"/>
      <c r="AQ33" s="1545">
        <f>IFERROR(VLOOKUP($BF$5,_Leger2,35,FALSE),"-")</f>
        <v>0</v>
      </c>
      <c r="AR33" s="1545"/>
      <c r="AS33" s="1545"/>
      <c r="AT33" s="1545"/>
      <c r="AU33" s="1546" t="str">
        <f t="shared" si="3"/>
        <v>D</v>
      </c>
      <c r="AV33" s="1186"/>
      <c r="AW33" s="1547"/>
      <c r="AX33" s="1545">
        <f>IFERROR(VLOOKUP($BF$5,_Leger2,36,FALSE),"-")</f>
        <v>0</v>
      </c>
      <c r="AY33" s="1545"/>
      <c r="AZ33" s="1545"/>
      <c r="BA33" s="1545"/>
      <c r="BB33" s="1546" t="str">
        <f t="shared" si="4"/>
        <v>D</v>
      </c>
      <c r="BC33" s="1186"/>
      <c r="BD33" s="1548"/>
    </row>
    <row r="34" spans="2:56" ht="18" customHeight="1">
      <c r="B34" s="1549" t="s">
        <v>58</v>
      </c>
      <c r="C34" s="1550"/>
      <c r="D34" s="1550"/>
      <c r="E34" s="1550"/>
      <c r="F34" s="1550"/>
      <c r="G34" s="1550"/>
      <c r="H34" s="1550"/>
      <c r="I34" s="1550"/>
      <c r="J34" s="1550"/>
      <c r="K34" s="1550"/>
      <c r="L34" s="1550"/>
      <c r="M34" s="1550"/>
      <c r="N34" s="1550"/>
      <c r="O34" s="1550"/>
      <c r="P34" s="1550"/>
      <c r="Q34" s="1550"/>
      <c r="R34" s="1550"/>
      <c r="S34" s="1550"/>
      <c r="T34" s="1550"/>
      <c r="U34" s="1550"/>
      <c r="V34" s="1550"/>
      <c r="W34" s="1550"/>
      <c r="X34" s="1550"/>
      <c r="Y34" s="1550"/>
      <c r="Z34" s="1550"/>
      <c r="AA34" s="1550"/>
      <c r="AB34" s="1551"/>
      <c r="AC34" s="1515"/>
      <c r="AD34" s="1549" t="s">
        <v>58</v>
      </c>
      <c r="AE34" s="1550"/>
      <c r="AF34" s="1550"/>
      <c r="AG34" s="1550"/>
      <c r="AH34" s="1550"/>
      <c r="AI34" s="1550"/>
      <c r="AJ34" s="1550"/>
      <c r="AK34" s="1550"/>
      <c r="AL34" s="1550"/>
      <c r="AM34" s="1550"/>
      <c r="AN34" s="1550"/>
      <c r="AO34" s="1550"/>
      <c r="AP34" s="1550"/>
      <c r="AQ34" s="1550"/>
      <c r="AR34" s="1550"/>
      <c r="AS34" s="1550"/>
      <c r="AT34" s="1550"/>
      <c r="AU34" s="1550"/>
      <c r="AV34" s="1550"/>
      <c r="AW34" s="1550"/>
      <c r="AX34" s="1550"/>
      <c r="AY34" s="1550"/>
      <c r="AZ34" s="1550"/>
      <c r="BA34" s="1550"/>
      <c r="BB34" s="1550"/>
      <c r="BC34" s="1550"/>
      <c r="BD34" s="1551"/>
    </row>
    <row r="35" spans="2:56" ht="15.75" customHeight="1">
      <c r="B35" s="557">
        <v>1</v>
      </c>
      <c r="C35" s="1543" t="str">
        <f>_MP12</f>
        <v>Seni Budaya</v>
      </c>
      <c r="D35" s="1543"/>
      <c r="E35" s="1543"/>
      <c r="F35" s="1543"/>
      <c r="G35" s="1543"/>
      <c r="H35" s="1543"/>
      <c r="I35" s="1543"/>
      <c r="J35" s="1543"/>
      <c r="K35" s="1543"/>
      <c r="L35" s="1543"/>
      <c r="M35" s="1544">
        <f>_KKM</f>
        <v>75</v>
      </c>
      <c r="N35" s="1544"/>
      <c r="O35" s="1545">
        <f>IFERROR(VLOOKUP($BF$5,_Leger1,38,FALSE),"-")</f>
        <v>79.28</v>
      </c>
      <c r="P35" s="1545"/>
      <c r="Q35" s="1545"/>
      <c r="R35" s="1545"/>
      <c r="S35" s="1546" t="str">
        <f>IF(O35="-","-",IF(O35&gt;=(M35+2/3*(100-M35)),"A",IF(O35&gt;=(M35+1/3*(100-M35)),"B",IF(O35&gt;=M35,"C","D"))))</f>
        <v>C</v>
      </c>
      <c r="T35" s="1186"/>
      <c r="U35" s="1547"/>
      <c r="V35" s="1545">
        <f>IFERROR(VLOOKUP($BF$5,_Leger1,39,FALSE),"-")</f>
        <v>82.2</v>
      </c>
      <c r="W35" s="1545"/>
      <c r="X35" s="1545"/>
      <c r="Y35" s="1545"/>
      <c r="Z35" s="1546" t="str">
        <f>IF(V35="-","-",IF(V35&gt;=(M35+2/3*(100-M35)),"A",IF(V35&gt;=(M35+1/3*(100-M35)),"B",IF(V35&gt;=M35,"C","D"))))</f>
        <v>C</v>
      </c>
      <c r="AA35" s="1186"/>
      <c r="AB35" s="1548"/>
      <c r="AC35" s="1515"/>
      <c r="AD35" s="557">
        <v>1</v>
      </c>
      <c r="AE35" s="1543" t="str">
        <f>_MP12</f>
        <v>Seni Budaya</v>
      </c>
      <c r="AF35" s="1543"/>
      <c r="AG35" s="1543"/>
      <c r="AH35" s="1543"/>
      <c r="AI35" s="1543"/>
      <c r="AJ35" s="1543"/>
      <c r="AK35" s="1543"/>
      <c r="AL35" s="1543"/>
      <c r="AM35" s="1543"/>
      <c r="AN35" s="1543"/>
      <c r="AO35" s="1544">
        <f>_KKM2</f>
        <v>65</v>
      </c>
      <c r="AP35" s="1544"/>
      <c r="AQ35" s="1545">
        <f>IFERROR(VLOOKUP($BF$5,_Leger2,38,FALSE),"-")</f>
        <v>0</v>
      </c>
      <c r="AR35" s="1545"/>
      <c r="AS35" s="1545"/>
      <c r="AT35" s="1545"/>
      <c r="AU35" s="1546" t="str">
        <f>IF(AQ35="-","-",IF(AQ35&gt;=(AO35+2/3*(100-AO35)),"A",IF(AQ35&gt;=(AO35+1/3*(100-AO35)),"B",IF(AQ35&gt;=AO35,"C","D"))))</f>
        <v>D</v>
      </c>
      <c r="AV35" s="1186"/>
      <c r="AW35" s="1547"/>
      <c r="AX35" s="1545">
        <f>IFERROR(VLOOKUP($BF$5,_Leger2,39,FALSE),"-")</f>
        <v>0</v>
      </c>
      <c r="AY35" s="1545"/>
      <c r="AZ35" s="1545"/>
      <c r="BA35" s="1545"/>
      <c r="BB35" s="1546" t="str">
        <f>IF(AX35="-","-",IF(AX35&gt;=(AO35+2/3*(100-AO35)),"A",IF(AX35&gt;=(AO35+1/3*(100-AO35)),"B",IF(AX35&gt;=AO35,"C","D"))))</f>
        <v>D</v>
      </c>
      <c r="BC35" s="1186"/>
      <c r="BD35" s="1548"/>
    </row>
    <row r="36" spans="2:56" ht="15.75" customHeight="1">
      <c r="B36" s="557">
        <v>2</v>
      </c>
      <c r="C36" s="1543" t="str">
        <f>_MP13</f>
        <v>Penjaskes</v>
      </c>
      <c r="D36" s="1543"/>
      <c r="E36" s="1543"/>
      <c r="F36" s="1543"/>
      <c r="G36" s="1543"/>
      <c r="H36" s="1543"/>
      <c r="I36" s="1543"/>
      <c r="J36" s="1543"/>
      <c r="K36" s="1543"/>
      <c r="L36" s="1543"/>
      <c r="M36" s="1544">
        <f>_KKM</f>
        <v>75</v>
      </c>
      <c r="N36" s="1544"/>
      <c r="O36" s="1545">
        <f>IFERROR(VLOOKUP($BF$5,_Leger1,41,FALSE),"-")</f>
        <v>79.2</v>
      </c>
      <c r="P36" s="1545"/>
      <c r="Q36" s="1545"/>
      <c r="R36" s="1545"/>
      <c r="S36" s="1546" t="str">
        <f>IF(O36="-","-",IF(O36&gt;=(M36+2/3*(100-M36)),"A",IF(O36&gt;=(M36+1/3*(100-M36)),"B",IF(O36&gt;=M36,"C","D"))))</f>
        <v>C</v>
      </c>
      <c r="T36" s="1186"/>
      <c r="U36" s="1547"/>
      <c r="V36" s="1545">
        <f>IFERROR(VLOOKUP($BF$5,_Leger1,42,FALSE),"-")</f>
        <v>80</v>
      </c>
      <c r="W36" s="1545"/>
      <c r="X36" s="1545"/>
      <c r="Y36" s="1545"/>
      <c r="Z36" s="1546" t="str">
        <f>IF(V36="-","-",IF(V36&gt;=(M36+2/3*(100-M36)),"A",IF(V36&gt;=(M36+1/3*(100-M36)),"B",IF(V36&gt;=M36,"C","D"))))</f>
        <v>C</v>
      </c>
      <c r="AA36" s="1186"/>
      <c r="AB36" s="1548"/>
      <c r="AC36" s="1515"/>
      <c r="AD36" s="557">
        <v>2</v>
      </c>
      <c r="AE36" s="1543" t="str">
        <f>_MP13</f>
        <v>Penjaskes</v>
      </c>
      <c r="AF36" s="1543"/>
      <c r="AG36" s="1543"/>
      <c r="AH36" s="1543"/>
      <c r="AI36" s="1543"/>
      <c r="AJ36" s="1543"/>
      <c r="AK36" s="1543"/>
      <c r="AL36" s="1543"/>
      <c r="AM36" s="1543"/>
      <c r="AN36" s="1543"/>
      <c r="AO36" s="1544">
        <f>_KKM2</f>
        <v>65</v>
      </c>
      <c r="AP36" s="1544"/>
      <c r="AQ36" s="1545">
        <f>IFERROR(VLOOKUP($BF$5,_Leger2,41,FALSE),"-")</f>
        <v>0</v>
      </c>
      <c r="AR36" s="1545"/>
      <c r="AS36" s="1545"/>
      <c r="AT36" s="1545"/>
      <c r="AU36" s="1546" t="str">
        <f>IF(AQ36="-","-",IF(AQ36&gt;=(AO36+2/3*(100-AO36)),"A",IF(AQ36&gt;=(AO36+1/3*(100-AO36)),"B",IF(AQ36&gt;=AO36,"C","D"))))</f>
        <v>D</v>
      </c>
      <c r="AV36" s="1186"/>
      <c r="AW36" s="1547"/>
      <c r="AX36" s="1545">
        <f>IFERROR(VLOOKUP($BF$5,_Leger2,42,FALSE),"-")</f>
        <v>0</v>
      </c>
      <c r="AY36" s="1545"/>
      <c r="AZ36" s="1545"/>
      <c r="BA36" s="1545"/>
      <c r="BB36" s="1546" t="str">
        <f>IF(AX36="-","-",IF(AX36&gt;=(AO36+2/3*(100-AO36)),"A",IF(AX36&gt;=(AO36+1/3*(100-AO36)),"B",IF(AX36&gt;=AO36,"C","D"))))</f>
        <v>D</v>
      </c>
      <c r="BC36" s="1186"/>
      <c r="BD36" s="1548"/>
    </row>
    <row r="37" spans="2:56" ht="15.75" customHeight="1">
      <c r="B37" s="557">
        <v>3</v>
      </c>
      <c r="C37" s="1543" t="str">
        <f>_MP14</f>
        <v>Prakarya</v>
      </c>
      <c r="D37" s="1543"/>
      <c r="E37" s="1543"/>
      <c r="F37" s="1543"/>
      <c r="G37" s="1543"/>
      <c r="H37" s="1543"/>
      <c r="I37" s="1543"/>
      <c r="J37" s="1543"/>
      <c r="K37" s="1543"/>
      <c r="L37" s="1543"/>
      <c r="M37" s="1544">
        <f>_KKM</f>
        <v>75</v>
      </c>
      <c r="N37" s="1544"/>
      <c r="O37" s="1545">
        <f>IFERROR(VLOOKUP($BF$5,_Leger1,44,FALSE),"-")</f>
        <v>81.199999999999989</v>
      </c>
      <c r="P37" s="1545"/>
      <c r="Q37" s="1545"/>
      <c r="R37" s="1545"/>
      <c r="S37" s="1546" t="str">
        <f>IF(O37="-","-",IF(O37&gt;=(M37+2/3*(100-M37)),"A",IF(O37&gt;=(M37+1/3*(100-M37)),"B",IF(O37&gt;=M37,"C","D"))))</f>
        <v>C</v>
      </c>
      <c r="T37" s="1186"/>
      <c r="U37" s="1547"/>
      <c r="V37" s="1545">
        <f>IFERROR(VLOOKUP($BF$5,_Leger1,45,FALSE),"-")</f>
        <v>83.2</v>
      </c>
      <c r="W37" s="1545"/>
      <c r="X37" s="1545"/>
      <c r="Y37" s="1545"/>
      <c r="Z37" s="1546" t="str">
        <f>IF(V37="-","-",IF(V37&gt;=(M37+2/3*(100-M37)),"A",IF(V37&gt;=(M37+1/3*(100-M37)),"B",IF(V37&gt;=M37,"C","D"))))</f>
        <v>C</v>
      </c>
      <c r="AA37" s="1186"/>
      <c r="AB37" s="1548"/>
      <c r="AC37" s="1515"/>
      <c r="AD37" s="557">
        <v>3</v>
      </c>
      <c r="AE37" s="1543" t="str">
        <f>_MP14</f>
        <v>Prakarya</v>
      </c>
      <c r="AF37" s="1543"/>
      <c r="AG37" s="1543"/>
      <c r="AH37" s="1543"/>
      <c r="AI37" s="1543"/>
      <c r="AJ37" s="1543"/>
      <c r="AK37" s="1543"/>
      <c r="AL37" s="1543"/>
      <c r="AM37" s="1543"/>
      <c r="AN37" s="1543"/>
      <c r="AO37" s="1544">
        <f>_KKM2</f>
        <v>65</v>
      </c>
      <c r="AP37" s="1544"/>
      <c r="AQ37" s="1545">
        <f>IFERROR(VLOOKUP($BF$5,_Leger2,44,FALSE),"-")</f>
        <v>0</v>
      </c>
      <c r="AR37" s="1545"/>
      <c r="AS37" s="1545"/>
      <c r="AT37" s="1545"/>
      <c r="AU37" s="1546" t="str">
        <f>IF(AQ37="-","-",IF(AQ37&gt;=(AO37+2/3*(100-AO37)),"A",IF(AQ37&gt;=(AO37+1/3*(100-AO37)),"B",IF(AQ37&gt;=AO37,"C","D"))))</f>
        <v>D</v>
      </c>
      <c r="AV37" s="1186"/>
      <c r="AW37" s="1547"/>
      <c r="AX37" s="1545">
        <f>IFERROR(VLOOKUP($BF$5,_Leger2,45,FALSE),"-")</f>
        <v>0</v>
      </c>
      <c r="AY37" s="1545"/>
      <c r="AZ37" s="1545"/>
      <c r="BA37" s="1545"/>
      <c r="BB37" s="1546" t="str">
        <f>IF(AX37="-","-",IF(AX37&gt;=(AO37+2/3*(100-AO37)),"A",IF(AX37&gt;=(AO37+1/3*(100-AO37)),"B",IF(AX37&gt;=AO37,"C","D"))))</f>
        <v>D</v>
      </c>
      <c r="BC37" s="1186"/>
      <c r="BD37" s="1548"/>
    </row>
    <row r="38" spans="2:56" ht="15.75" customHeight="1">
      <c r="B38" s="557">
        <v>4</v>
      </c>
      <c r="C38" s="1543" t="str">
        <f>_MP15&amp;"*"</f>
        <v>Bahasa dan Aksara Lampung*</v>
      </c>
      <c r="D38" s="1543"/>
      <c r="E38" s="1543"/>
      <c r="F38" s="1543"/>
      <c r="G38" s="1543"/>
      <c r="H38" s="1543"/>
      <c r="I38" s="1543"/>
      <c r="J38" s="1543"/>
      <c r="K38" s="1543"/>
      <c r="L38" s="1543"/>
      <c r="M38" s="1544">
        <f>_KKM</f>
        <v>75</v>
      </c>
      <c r="N38" s="1544"/>
      <c r="O38" s="1545">
        <f>IFERROR(VLOOKUP($BF$5,_Leger1,47,FALSE),"-")</f>
        <v>80.3</v>
      </c>
      <c r="P38" s="1545"/>
      <c r="Q38" s="1545"/>
      <c r="R38" s="1545"/>
      <c r="S38" s="1546" t="str">
        <f>IF(O38="-","-",IF(O38&gt;=(M38+2/3*(100-M38)),"A",IF(O38&gt;=(M38+1/3*(100-M38)),"B",IF(O38&gt;=M38,"C","D"))))</f>
        <v>C</v>
      </c>
      <c r="T38" s="1186"/>
      <c r="U38" s="1547"/>
      <c r="V38" s="1545">
        <f>IFERROR(VLOOKUP($BF$5,_Leger1,48,FALSE),"-")</f>
        <v>80.5</v>
      </c>
      <c r="W38" s="1545"/>
      <c r="X38" s="1545"/>
      <c r="Y38" s="1545"/>
      <c r="Z38" s="1546" t="str">
        <f>IF(V38="-","-",IF(V38&gt;=(M38+2/3*(100-M38)),"A",IF(V38&gt;=(M38+1/3*(100-M38)),"B",IF(V38&gt;=M38,"C","D"))))</f>
        <v>C</v>
      </c>
      <c r="AA38" s="1186"/>
      <c r="AB38" s="1548"/>
      <c r="AC38" s="1515"/>
      <c r="AD38" s="557">
        <v>4</v>
      </c>
      <c r="AE38" s="1543" t="str">
        <f>_MP15&amp;"*"</f>
        <v>Bahasa dan Aksara Lampung*</v>
      </c>
      <c r="AF38" s="1543"/>
      <c r="AG38" s="1543"/>
      <c r="AH38" s="1543"/>
      <c r="AI38" s="1543"/>
      <c r="AJ38" s="1543"/>
      <c r="AK38" s="1543"/>
      <c r="AL38" s="1543"/>
      <c r="AM38" s="1543"/>
      <c r="AN38" s="1543"/>
      <c r="AO38" s="1544">
        <f>_KKM2</f>
        <v>65</v>
      </c>
      <c r="AP38" s="1544"/>
      <c r="AQ38" s="1545">
        <f>IFERROR(VLOOKUP($BF$5,_Leger2,47,FALSE),"-")</f>
        <v>0</v>
      </c>
      <c r="AR38" s="1545"/>
      <c r="AS38" s="1545"/>
      <c r="AT38" s="1545"/>
      <c r="AU38" s="1546" t="str">
        <f>IF(AQ38="-","-",IF(AQ38&gt;=(AO38+2/3*(100-AO38)),"A",IF(AQ38&gt;=(AO38+1/3*(100-AO38)),"B",IF(AQ38&gt;=AO38,"C","D"))))</f>
        <v>D</v>
      </c>
      <c r="AV38" s="1186"/>
      <c r="AW38" s="1547"/>
      <c r="AX38" s="1545">
        <f>IFERROR(VLOOKUP($BF$5,_Leger2,48,FALSE),"-")</f>
        <v>0</v>
      </c>
      <c r="AY38" s="1545"/>
      <c r="AZ38" s="1545"/>
      <c r="BA38" s="1545"/>
      <c r="BB38" s="1546" t="str">
        <f>IF(AX38="-","-",IF(AX38&gt;=(AO38+2/3*(100-AO38)),"A",IF(AX38&gt;=(AO38+1/3*(100-AO38)),"B",IF(AX38&gt;=AO38,"C","D"))))</f>
        <v>D</v>
      </c>
      <c r="BC38" s="1186"/>
      <c r="BD38" s="1548"/>
    </row>
    <row r="39" spans="2:56" ht="15" customHeight="1">
      <c r="B39" s="554"/>
      <c r="AB39" s="555"/>
      <c r="AC39" s="1515"/>
      <c r="AD39" s="554"/>
      <c r="AS39" s="99"/>
      <c r="AT39" s="99"/>
      <c r="AU39" s="99"/>
      <c r="AV39" s="99"/>
      <c r="AW39" s="99"/>
      <c r="AX39" s="99"/>
      <c r="AY39" s="99"/>
      <c r="AZ39" s="99"/>
      <c r="BA39" s="99"/>
      <c r="BB39" s="99"/>
      <c r="BC39" s="99"/>
      <c r="BD39" s="555"/>
    </row>
    <row r="40" spans="2:56" s="22" customFormat="1" ht="20.25" customHeight="1">
      <c r="B40" s="1557" t="s">
        <v>177</v>
      </c>
      <c r="C40" s="1558"/>
      <c r="D40" s="1558"/>
      <c r="E40" s="1558"/>
      <c r="F40" s="1558"/>
      <c r="G40" s="1558"/>
      <c r="H40" s="1558"/>
      <c r="I40" s="1558"/>
      <c r="J40" s="1558"/>
      <c r="K40" s="1558"/>
      <c r="L40" s="1558"/>
      <c r="M40" s="1558"/>
      <c r="N40" s="1558"/>
      <c r="O40" s="1559">
        <f>IFERROR(VLOOKUP(BF5,_Leger1,50,FALSE),"-")</f>
        <v>887.9442857142858</v>
      </c>
      <c r="P40" s="1560"/>
      <c r="Q40" s="1560"/>
      <c r="R40" s="1560"/>
      <c r="S40" s="1560"/>
      <c r="T40" s="1560"/>
      <c r="U40" s="1560"/>
      <c r="V40" s="1560"/>
      <c r="W40" s="1560"/>
      <c r="X40" s="1560"/>
      <c r="Y40" s="1560"/>
      <c r="Z40" s="1560"/>
      <c r="AA40" s="1560"/>
      <c r="AB40" s="1561"/>
      <c r="AC40" s="1515"/>
      <c r="AD40" s="1557" t="s">
        <v>177</v>
      </c>
      <c r="AE40" s="1558"/>
      <c r="AF40" s="1558"/>
      <c r="AG40" s="1558"/>
      <c r="AH40" s="1558"/>
      <c r="AI40" s="1558"/>
      <c r="AJ40" s="1558"/>
      <c r="AK40" s="1558"/>
      <c r="AL40" s="1558"/>
      <c r="AM40" s="1558"/>
      <c r="AN40" s="1558"/>
      <c r="AO40" s="1558"/>
      <c r="AP40" s="1558"/>
      <c r="AQ40" s="1559" t="str">
        <f>IFERROR(VLOOKUP(BF5,_Leger2,50,FALSE),"-")</f>
        <v/>
      </c>
      <c r="AR40" s="1560"/>
      <c r="AS40" s="1560"/>
      <c r="AT40" s="1560"/>
      <c r="AU40" s="1560"/>
      <c r="AV40" s="1560"/>
      <c r="AW40" s="1560"/>
      <c r="AX40" s="1560"/>
      <c r="AY40" s="1560"/>
      <c r="AZ40" s="1560"/>
      <c r="BA40" s="1560"/>
      <c r="BB40" s="1560"/>
      <c r="BC40" s="1560"/>
      <c r="BD40" s="1561"/>
    </row>
    <row r="41" spans="2:56" s="22" customFormat="1" ht="20.25" customHeight="1">
      <c r="B41" s="1557" t="s">
        <v>178</v>
      </c>
      <c r="C41" s="1558"/>
      <c r="D41" s="1558"/>
      <c r="E41" s="1558"/>
      <c r="F41" s="1558"/>
      <c r="G41" s="1558"/>
      <c r="H41" s="1558"/>
      <c r="I41" s="1558"/>
      <c r="J41" s="1558"/>
      <c r="K41" s="1558"/>
      <c r="L41" s="1558"/>
      <c r="M41" s="1558"/>
      <c r="N41" s="1558"/>
      <c r="O41" s="1562" t="str">
        <f>IFERROR(IF(OR(VLOOKUP(BF5,_Leger1,52,FALSE)=0,(VLOOKUP(BF5,_Leger1,52,FALSE)&gt;10)),"-",(VLOOKUP(BF5,_Leger1,52,FALSE)&amp;" dari "&amp;Leger1!E47&amp;" siswa")),"-")</f>
        <v>-</v>
      </c>
      <c r="P41" s="1563"/>
      <c r="Q41" s="1563"/>
      <c r="R41" s="1563"/>
      <c r="S41" s="1563"/>
      <c r="T41" s="1563"/>
      <c r="U41" s="1563"/>
      <c r="V41" s="1563"/>
      <c r="W41" s="1563"/>
      <c r="X41" s="1563"/>
      <c r="Y41" s="1563"/>
      <c r="Z41" s="1563"/>
      <c r="AA41" s="1563"/>
      <c r="AB41" s="1564"/>
      <c r="AC41" s="1515"/>
      <c r="AD41" s="1557" t="s">
        <v>178</v>
      </c>
      <c r="AE41" s="1558"/>
      <c r="AF41" s="1558"/>
      <c r="AG41" s="1558"/>
      <c r="AH41" s="1558"/>
      <c r="AI41" s="1558"/>
      <c r="AJ41" s="1558"/>
      <c r="AK41" s="1558"/>
      <c r="AL41" s="1558"/>
      <c r="AM41" s="1558"/>
      <c r="AN41" s="1558"/>
      <c r="AO41" s="1558"/>
      <c r="AP41" s="1558"/>
      <c r="AQ41" s="1562" t="str">
        <f>IFERROR(IF(OR(VLOOKUP(BF5,_Leger2,52,FALSE)=0,(VLOOKUP(BF5,_Leger2,52,FALSE)&gt;10)),"-",(VLOOKUP(BF5,_Leger2,52,FALSE)&amp;" dari "&amp;Leger1!E47&amp;" siswa")),"-")</f>
        <v>-</v>
      </c>
      <c r="AR41" s="1563"/>
      <c r="AS41" s="1563"/>
      <c r="AT41" s="1563"/>
      <c r="AU41" s="1563"/>
      <c r="AV41" s="1563"/>
      <c r="AW41" s="1563"/>
      <c r="AX41" s="1563"/>
      <c r="AY41" s="1563"/>
      <c r="AZ41" s="1563"/>
      <c r="BA41" s="1563"/>
      <c r="BB41" s="1563"/>
      <c r="BC41" s="1563"/>
      <c r="BD41" s="1564"/>
    </row>
    <row r="42" spans="2:56" ht="15" customHeight="1">
      <c r="B42" s="556" t="s">
        <v>184</v>
      </c>
      <c r="AB42" s="555"/>
      <c r="AC42" s="1515"/>
      <c r="AD42" s="556" t="s">
        <v>184</v>
      </c>
      <c r="AS42" s="99"/>
      <c r="AT42" s="99"/>
      <c r="AU42" s="99"/>
      <c r="AV42" s="99"/>
      <c r="AW42" s="99"/>
      <c r="AX42" s="99"/>
      <c r="AY42" s="99"/>
      <c r="AZ42" s="99"/>
      <c r="BA42" s="99"/>
      <c r="BB42" s="99"/>
      <c r="BC42" s="99"/>
      <c r="BD42" s="555"/>
    </row>
    <row r="43" spans="2:56" ht="30.75" customHeight="1" thickBot="1">
      <c r="B43" s="558" t="s">
        <v>50</v>
      </c>
      <c r="C43" s="1537" t="s">
        <v>185</v>
      </c>
      <c r="D43" s="1537"/>
      <c r="E43" s="1537"/>
      <c r="F43" s="1537"/>
      <c r="G43" s="1537"/>
      <c r="H43" s="1537"/>
      <c r="I43" s="1537"/>
      <c r="J43" s="1537"/>
      <c r="K43" s="1537"/>
      <c r="L43" s="1537"/>
      <c r="M43" s="1537" t="s">
        <v>113</v>
      </c>
      <c r="N43" s="1537"/>
      <c r="O43" s="1537"/>
      <c r="P43" s="1537"/>
      <c r="Q43" s="1537" t="s">
        <v>174</v>
      </c>
      <c r="R43" s="1537"/>
      <c r="S43" s="1537"/>
      <c r="T43" s="1537"/>
      <c r="U43" s="1537"/>
      <c r="V43" s="1537"/>
      <c r="W43" s="1537"/>
      <c r="X43" s="1537"/>
      <c r="Y43" s="1537"/>
      <c r="Z43" s="1537"/>
      <c r="AA43" s="1537"/>
      <c r="AB43" s="1552"/>
      <c r="AC43" s="1515"/>
      <c r="AD43" s="558" t="s">
        <v>50</v>
      </c>
      <c r="AE43" s="1537" t="s">
        <v>185</v>
      </c>
      <c r="AF43" s="1537"/>
      <c r="AG43" s="1537"/>
      <c r="AH43" s="1537"/>
      <c r="AI43" s="1537"/>
      <c r="AJ43" s="1537"/>
      <c r="AK43" s="1537"/>
      <c r="AL43" s="1537"/>
      <c r="AM43" s="1537"/>
      <c r="AN43" s="1537"/>
      <c r="AO43" s="1537" t="s">
        <v>113</v>
      </c>
      <c r="AP43" s="1537"/>
      <c r="AQ43" s="1537"/>
      <c r="AR43" s="1537"/>
      <c r="AS43" s="1537" t="s">
        <v>174</v>
      </c>
      <c r="AT43" s="1537"/>
      <c r="AU43" s="1537"/>
      <c r="AV43" s="1537"/>
      <c r="AW43" s="1537"/>
      <c r="AX43" s="1537"/>
      <c r="AY43" s="1537"/>
      <c r="AZ43" s="1537"/>
      <c r="BA43" s="1537"/>
      <c r="BB43" s="1537"/>
      <c r="BC43" s="1537"/>
      <c r="BD43" s="1552"/>
    </row>
    <row r="44" spans="2:56" ht="15" customHeight="1" thickTop="1">
      <c r="B44" s="559">
        <v>1</v>
      </c>
      <c r="C44" s="1553" t="str">
        <f>IFERROR(IF(VLOOKUP($BF$5,_eks,4,FALSE)="","-",VLOOKUP($BF$5,_eks,4,FALSE)),"-")</f>
        <v>Kepramukaan</v>
      </c>
      <c r="D44" s="1553"/>
      <c r="E44" s="1553"/>
      <c r="F44" s="1553"/>
      <c r="G44" s="1553"/>
      <c r="H44" s="1553"/>
      <c r="I44" s="1553"/>
      <c r="J44" s="1553"/>
      <c r="K44" s="1553"/>
      <c r="L44" s="1553"/>
      <c r="M44" s="1554" t="str">
        <f>IFERROR(IF(VLOOKUP($BF$5,_eks,5,FALSE)="","-",VLOOKUP($BF$5,_eks,5,FALSE)),"-")</f>
        <v>B</v>
      </c>
      <c r="N44" s="1554"/>
      <c r="O44" s="1554"/>
      <c r="P44" s="1554"/>
      <c r="Q44" s="1555" t="str">
        <f>IF(M44="A","Sangat aktif dalam mengikuti kegiatan "&amp;C44,IF(M44="B","Aktif dalam mengikuti kegiatan "&amp;C44,IF(M44="C","Cukup aktif dalam mengikuti kegiatan "&amp;C44,IF(M44="D","Kurang dalam mengikuti kegiatan "&amp;C44,"-"))))</f>
        <v>Aktif dalam mengikuti kegiatan Kepramukaan</v>
      </c>
      <c r="R44" s="1555"/>
      <c r="S44" s="1555"/>
      <c r="T44" s="1555"/>
      <c r="U44" s="1555"/>
      <c r="V44" s="1555"/>
      <c r="W44" s="1555"/>
      <c r="X44" s="1555"/>
      <c r="Y44" s="1555"/>
      <c r="Z44" s="1555"/>
      <c r="AA44" s="1555"/>
      <c r="AB44" s="1556"/>
      <c r="AC44" s="1515"/>
      <c r="AD44" s="559">
        <v>1</v>
      </c>
      <c r="AE44" s="1553" t="str">
        <f>IFERROR(IF(VLOOKUP($BF$5,_eks2,4,FALSE)="","-",VLOOKUP($BF$5,_eks2,4,FALSE)),"-")</f>
        <v>Kepramukaan</v>
      </c>
      <c r="AF44" s="1553"/>
      <c r="AG44" s="1553"/>
      <c r="AH44" s="1553"/>
      <c r="AI44" s="1553"/>
      <c r="AJ44" s="1553"/>
      <c r="AK44" s="1553"/>
      <c r="AL44" s="1553"/>
      <c r="AM44" s="1553"/>
      <c r="AN44" s="1553"/>
      <c r="AO44" s="1554" t="str">
        <f>IFERROR(IF(VLOOKUP($BF$5,_eks2,5,FALSE)="","-",VLOOKUP($BF$5,_eks2,5,FALSE)),"-")</f>
        <v>B</v>
      </c>
      <c r="AP44" s="1554"/>
      <c r="AQ44" s="1554"/>
      <c r="AR44" s="1554"/>
      <c r="AS44" s="1555" t="str">
        <f>IF(AO44="A","Sangat aktif dalam mengikuti kegiatan "&amp;AE44,IF(AO44="B","Aktif dalam mengikuti kegiatan "&amp;AE44,IF(AO44="C","Cukup aktif dalam mengikuti kegiatan "&amp;AE44,IF(AO44="D","Kurang dalam mengikuti kegiatan "&amp;AE44,"-"))))</f>
        <v>Aktif dalam mengikuti kegiatan Kepramukaan</v>
      </c>
      <c r="AT44" s="1555"/>
      <c r="AU44" s="1555"/>
      <c r="AV44" s="1555"/>
      <c r="AW44" s="1555"/>
      <c r="AX44" s="1555"/>
      <c r="AY44" s="1555"/>
      <c r="AZ44" s="1555"/>
      <c r="BA44" s="1555"/>
      <c r="BB44" s="1555"/>
      <c r="BC44" s="1555"/>
      <c r="BD44" s="1556"/>
    </row>
    <row r="45" spans="2:56" ht="15" customHeight="1">
      <c r="B45" s="104">
        <v>2</v>
      </c>
      <c r="C45" s="1569" t="str">
        <f>IFERROR(IF(VLOOKUP($BF$5,_eks,6,FALSE)="","-",VLOOKUP($BF$5,_eks,6,FALSE)),"-")</f>
        <v>-</v>
      </c>
      <c r="D45" s="1569"/>
      <c r="E45" s="1569"/>
      <c r="F45" s="1569"/>
      <c r="G45" s="1569"/>
      <c r="H45" s="1569"/>
      <c r="I45" s="1569"/>
      <c r="J45" s="1569"/>
      <c r="K45" s="1569"/>
      <c r="L45" s="1569"/>
      <c r="M45" s="1570" t="str">
        <f>IFERROR(IF(VLOOKUP($BF$5,_eks,7,FALSE)="","-",VLOOKUP($BF$5,_eks,7,FALSE)),"-")</f>
        <v>-</v>
      </c>
      <c r="N45" s="1571"/>
      <c r="O45" s="1571"/>
      <c r="P45" s="1572"/>
      <c r="Q45" s="1573" t="str">
        <f>IF(M45="A","Sangat aktif dalam mengikuti kegiatan "&amp;C45,IF(M45="B","Aktif dalam mengikuti kegiatan "&amp;C45,IF(M45="C","Cukup aktif dalam mengikuti kegiatan "&amp;C45,IF(M45="D","Kurang dalam mengikuti kegiatan "&amp;C45,"-"))))</f>
        <v>-</v>
      </c>
      <c r="R45" s="1573"/>
      <c r="S45" s="1573"/>
      <c r="T45" s="1573"/>
      <c r="U45" s="1573"/>
      <c r="V45" s="1573"/>
      <c r="W45" s="1573"/>
      <c r="X45" s="1573"/>
      <c r="Y45" s="1573"/>
      <c r="Z45" s="1573"/>
      <c r="AA45" s="1573"/>
      <c r="AB45" s="1574"/>
      <c r="AC45" s="1515"/>
      <c r="AD45" s="104">
        <v>2</v>
      </c>
      <c r="AE45" s="1569" t="str">
        <f>IFERROR(IF(VLOOKUP($BF$5,_eks2,6,FALSE)="","-",VLOOKUP($BF$5,_eks2,6,FALSE)),"-")</f>
        <v>-</v>
      </c>
      <c r="AF45" s="1569"/>
      <c r="AG45" s="1569"/>
      <c r="AH45" s="1569"/>
      <c r="AI45" s="1569"/>
      <c r="AJ45" s="1569"/>
      <c r="AK45" s="1569"/>
      <c r="AL45" s="1569"/>
      <c r="AM45" s="1569"/>
      <c r="AN45" s="1569"/>
      <c r="AO45" s="1570" t="str">
        <f>IFERROR(IF(VLOOKUP($BF$5,_eks2,7,FALSE)="","-",VLOOKUP($BF$5,_eks2,7,FALSE)),"-")</f>
        <v>-</v>
      </c>
      <c r="AP45" s="1571"/>
      <c r="AQ45" s="1571"/>
      <c r="AR45" s="1572"/>
      <c r="AS45" s="1573" t="str">
        <f>IF(AO45="A","Sangat aktif dalam mengikuti kegiatan "&amp;AE45,IF(AO45="B","Aktif dalam mengikuti kegiatan "&amp;AE45,IF(AO45="C","Cukup aktif dalam mengikuti kegiatan "&amp;AE45,IF(AO45="D","Kurang dalam mengikuti kegiatan "&amp;AE45,"-"))))</f>
        <v>-</v>
      </c>
      <c r="AT45" s="1573"/>
      <c r="AU45" s="1573"/>
      <c r="AV45" s="1573"/>
      <c r="AW45" s="1573"/>
      <c r="AX45" s="1573"/>
      <c r="AY45" s="1573"/>
      <c r="AZ45" s="1573"/>
      <c r="BA45" s="1573"/>
      <c r="BB45" s="1573"/>
      <c r="BC45" s="1573"/>
      <c r="BD45" s="1574"/>
    </row>
    <row r="46" spans="2:56" ht="15">
      <c r="B46" s="104">
        <v>3</v>
      </c>
      <c r="C46" s="1569" t="str">
        <f>IFERROR(IF(VLOOKUP($BF$5,_eks,8,FALSE)="","-",VLOOKUP($BF$5,_eks,8,FALSE)),"-")</f>
        <v>-</v>
      </c>
      <c r="D46" s="1569"/>
      <c r="E46" s="1569"/>
      <c r="F46" s="1569"/>
      <c r="G46" s="1569"/>
      <c r="H46" s="1569"/>
      <c r="I46" s="1569"/>
      <c r="J46" s="1569"/>
      <c r="K46" s="1569"/>
      <c r="L46" s="1569"/>
      <c r="M46" s="1570" t="str">
        <f>IFERROR(IF(VLOOKUP($BF$5,_eks,9,FALSE)="","-",VLOOKUP($BF$5,_eks,9,FALSE)),"-")</f>
        <v>-</v>
      </c>
      <c r="N46" s="1571"/>
      <c r="O46" s="1571"/>
      <c r="P46" s="1572"/>
      <c r="Q46" s="1573" t="str">
        <f>IF(M46="A","Sangat aktif dalam mengikuti kegiatan "&amp;C46,IF(M46="B","Aktif dalam mengikuti kegiatan "&amp;C46,IF(M46="C","Cukup aktif dalam mengikuti kegiatan "&amp;C46,IF(M46="D","Kurang dalam mengikuti kegiatan "&amp;C46,"-"))))</f>
        <v>-</v>
      </c>
      <c r="R46" s="1573"/>
      <c r="S46" s="1573"/>
      <c r="T46" s="1573"/>
      <c r="U46" s="1573"/>
      <c r="V46" s="1573"/>
      <c r="W46" s="1573"/>
      <c r="X46" s="1573"/>
      <c r="Y46" s="1573"/>
      <c r="Z46" s="1573"/>
      <c r="AA46" s="1573"/>
      <c r="AB46" s="1574"/>
      <c r="AC46" s="1515"/>
      <c r="AD46" s="104">
        <v>3</v>
      </c>
      <c r="AE46" s="1569" t="str">
        <f>IFERROR(IF(VLOOKUP($BF$5,_eks2,8,FALSE)="","-",VLOOKUP($BF$5,_eks2,8,FALSE)),"-")</f>
        <v>-</v>
      </c>
      <c r="AF46" s="1569"/>
      <c r="AG46" s="1569"/>
      <c r="AH46" s="1569"/>
      <c r="AI46" s="1569"/>
      <c r="AJ46" s="1569"/>
      <c r="AK46" s="1569"/>
      <c r="AL46" s="1569"/>
      <c r="AM46" s="1569"/>
      <c r="AN46" s="1569"/>
      <c r="AO46" s="1570" t="str">
        <f>IFERROR(IF(VLOOKUP($BF$5,_eks2,9,FALSE)="","-",VLOOKUP($BF$5,_eks2,9,FALSE)),"-")</f>
        <v>-</v>
      </c>
      <c r="AP46" s="1571"/>
      <c r="AQ46" s="1571"/>
      <c r="AR46" s="1572"/>
      <c r="AS46" s="1573" t="str">
        <f>IF(AO46="A","Sangat aktif dalam mengikuti kegiatan "&amp;AE46,IF(AO46="B","Aktif dalam mengikuti kegiatan "&amp;AE46,IF(AO46="C","Cukup aktif dalam mengikuti kegiatan "&amp;AE46,IF(AO46="D","Kurang dalam mengikuti kegiatan "&amp;AE46,"-"))))</f>
        <v>-</v>
      </c>
      <c r="AT46" s="1573"/>
      <c r="AU46" s="1573"/>
      <c r="AV46" s="1573"/>
      <c r="AW46" s="1573"/>
      <c r="AX46" s="1573"/>
      <c r="AY46" s="1573"/>
      <c r="AZ46" s="1573"/>
      <c r="BA46" s="1573"/>
      <c r="BB46" s="1573"/>
      <c r="BC46" s="1573"/>
      <c r="BD46" s="1574"/>
    </row>
    <row r="47" spans="2:56" ht="15" customHeight="1">
      <c r="B47" s="554"/>
      <c r="AB47" s="555"/>
      <c r="AC47" s="1515"/>
      <c r="AD47" s="554"/>
      <c r="AS47" s="99"/>
      <c r="AT47" s="99"/>
      <c r="AU47" s="99"/>
      <c r="AV47" s="99"/>
      <c r="AW47" s="99"/>
      <c r="AX47" s="99"/>
      <c r="AY47" s="99"/>
      <c r="AZ47" s="99"/>
      <c r="BA47" s="99"/>
      <c r="BB47" s="99"/>
      <c r="BC47" s="99"/>
      <c r="BD47" s="555"/>
    </row>
    <row r="48" spans="2:56" ht="15" customHeight="1">
      <c r="B48" s="556" t="s">
        <v>191</v>
      </c>
      <c r="O48" s="100"/>
      <c r="AB48" s="555"/>
      <c r="AC48" s="1515"/>
      <c r="AD48" s="556" t="s">
        <v>191</v>
      </c>
      <c r="AQ48" s="1521" t="s">
        <v>366</v>
      </c>
      <c r="AR48" s="1522"/>
      <c r="AS48" s="1522"/>
      <c r="AT48" s="1522"/>
      <c r="AU48" s="1522"/>
      <c r="AV48" s="1522"/>
      <c r="AW48" s="1522"/>
      <c r="AX48" s="1522"/>
      <c r="AY48" s="1522"/>
      <c r="AZ48" s="1522"/>
      <c r="BA48" s="1522"/>
      <c r="BB48" s="1522"/>
      <c r="BC48" s="1522"/>
      <c r="BD48" s="1523"/>
    </row>
    <row r="49" spans="2:56" ht="15" customHeight="1">
      <c r="B49" s="1565" t="s">
        <v>63</v>
      </c>
      <c r="C49" s="1566"/>
      <c r="D49" s="1566"/>
      <c r="E49" s="1566"/>
      <c r="F49" s="1566"/>
      <c r="G49" s="1566"/>
      <c r="H49" s="475" t="s">
        <v>2</v>
      </c>
      <c r="I49" s="325">
        <f>IFERROR(VLOOKUP($BF$5,_Leger1,53,FALSE),"-")</f>
        <v>0</v>
      </c>
      <c r="J49" s="1517" t="s">
        <v>187</v>
      </c>
      <c r="K49" s="1518"/>
      <c r="L49" s="326"/>
      <c r="M49" s="301"/>
      <c r="O49" s="103"/>
      <c r="P49" s="103"/>
      <c r="Q49" s="103"/>
      <c r="R49" s="103"/>
      <c r="S49" s="103"/>
      <c r="T49" s="103"/>
      <c r="U49" s="103"/>
      <c r="V49" s="103"/>
      <c r="W49" s="103"/>
      <c r="X49" s="103"/>
      <c r="Y49" s="103"/>
      <c r="Z49" s="103"/>
      <c r="AA49" s="103"/>
      <c r="AB49" s="560"/>
      <c r="AC49" s="1515"/>
      <c r="AD49" s="1565" t="s">
        <v>63</v>
      </c>
      <c r="AE49" s="1566"/>
      <c r="AF49" s="1566"/>
      <c r="AG49" s="1566"/>
      <c r="AH49" s="1566"/>
      <c r="AI49" s="1566"/>
      <c r="AJ49" s="475" t="s">
        <v>2</v>
      </c>
      <c r="AK49" s="325" t="str">
        <f>IFERROR(VLOOKUP($BF$5,_Leger2,53,FALSE),"-")</f>
        <v>-</v>
      </c>
      <c r="AL49" s="1517" t="s">
        <v>187</v>
      </c>
      <c r="AM49" s="1518"/>
      <c r="AN49" s="326"/>
      <c r="AO49" s="301"/>
      <c r="AQ49" s="1578" t="str">
        <f>"Berdasarkan penilaian hasil belajar pada Semester "&amp;_smt_ganjil&amp;" dan Semester "&amp;_smt_genap&amp;", siswa ditetapkan :"</f>
        <v>Berdasarkan penilaian hasil belajar pada Semester 3 (Tiga) dan Semester 4 (Empat), siswa ditetapkan :</v>
      </c>
      <c r="AR49" s="1579"/>
      <c r="AS49" s="1579"/>
      <c r="AT49" s="1579"/>
      <c r="AU49" s="1579"/>
      <c r="AV49" s="1579"/>
      <c r="AW49" s="1579"/>
      <c r="AX49" s="1579"/>
      <c r="AY49" s="1579"/>
      <c r="AZ49" s="1579"/>
      <c r="BA49" s="1579"/>
      <c r="BB49" s="1579"/>
      <c r="BC49" s="1579"/>
      <c r="BD49" s="1580"/>
    </row>
    <row r="50" spans="2:56" ht="15" customHeight="1">
      <c r="B50" s="1565" t="s">
        <v>64</v>
      </c>
      <c r="C50" s="1566"/>
      <c r="D50" s="1566"/>
      <c r="E50" s="1566"/>
      <c r="F50" s="1566"/>
      <c r="G50" s="1566"/>
      <c r="H50" s="475" t="s">
        <v>2</v>
      </c>
      <c r="I50" s="325">
        <f>IFERROR(VLOOKUP($BF$5,_Leger1,54,FALSE),"-")</f>
        <v>0</v>
      </c>
      <c r="J50" s="1517" t="s">
        <v>187</v>
      </c>
      <c r="K50" s="1518"/>
      <c r="L50" s="326"/>
      <c r="M50" s="301"/>
      <c r="O50" s="103"/>
      <c r="P50" s="103"/>
      <c r="Q50" s="103"/>
      <c r="R50" s="103"/>
      <c r="S50" s="103"/>
      <c r="T50" s="103"/>
      <c r="U50" s="103"/>
      <c r="V50" s="103"/>
      <c r="W50" s="103"/>
      <c r="X50" s="103"/>
      <c r="Y50" s="103"/>
      <c r="Z50" s="103"/>
      <c r="AA50" s="103"/>
      <c r="AB50" s="560"/>
      <c r="AC50" s="1515"/>
      <c r="AD50" s="1565" t="s">
        <v>64</v>
      </c>
      <c r="AE50" s="1566"/>
      <c r="AF50" s="1566"/>
      <c r="AG50" s="1566"/>
      <c r="AH50" s="1566"/>
      <c r="AI50" s="1566"/>
      <c r="AJ50" s="475" t="s">
        <v>2</v>
      </c>
      <c r="AK50" s="325" t="str">
        <f>IFERROR(VLOOKUP($BF$5,_Leger2,54,FALSE),"-")</f>
        <v>-</v>
      </c>
      <c r="AL50" s="1517" t="s">
        <v>187</v>
      </c>
      <c r="AM50" s="1518"/>
      <c r="AN50" s="326"/>
      <c r="AO50" s="301"/>
      <c r="AQ50" s="1578"/>
      <c r="AR50" s="1579"/>
      <c r="AS50" s="1579"/>
      <c r="AT50" s="1579"/>
      <c r="AU50" s="1579"/>
      <c r="AV50" s="1579"/>
      <c r="AW50" s="1579"/>
      <c r="AX50" s="1579"/>
      <c r="AY50" s="1579"/>
      <c r="AZ50" s="1579"/>
      <c r="BA50" s="1579"/>
      <c r="BB50" s="1579"/>
      <c r="BC50" s="1579"/>
      <c r="BD50" s="1580"/>
    </row>
    <row r="51" spans="2:56" ht="15" customHeight="1" thickBot="1">
      <c r="B51" s="1567" t="s">
        <v>186</v>
      </c>
      <c r="C51" s="1568"/>
      <c r="D51" s="1568"/>
      <c r="E51" s="1568"/>
      <c r="F51" s="1568"/>
      <c r="G51" s="1568"/>
      <c r="H51" s="561" t="s">
        <v>2</v>
      </c>
      <c r="I51" s="562">
        <f>IFERROR(VLOOKUP($BF$5,_Leger1,55,FALSE),"-")</f>
        <v>0</v>
      </c>
      <c r="J51" s="1519" t="s">
        <v>187</v>
      </c>
      <c r="K51" s="1520"/>
      <c r="L51" s="563"/>
      <c r="M51" s="569"/>
      <c r="N51" s="564"/>
      <c r="O51" s="565"/>
      <c r="P51" s="565"/>
      <c r="Q51" s="565"/>
      <c r="R51" s="565"/>
      <c r="S51" s="565"/>
      <c r="T51" s="565"/>
      <c r="U51" s="565"/>
      <c r="V51" s="565"/>
      <c r="W51" s="565"/>
      <c r="X51" s="565"/>
      <c r="Y51" s="565"/>
      <c r="Z51" s="565"/>
      <c r="AA51" s="565"/>
      <c r="AB51" s="566"/>
      <c r="AC51" s="1515"/>
      <c r="AD51" s="1567" t="s">
        <v>186</v>
      </c>
      <c r="AE51" s="1568"/>
      <c r="AF51" s="1568"/>
      <c r="AG51" s="1568"/>
      <c r="AH51" s="1568"/>
      <c r="AI51" s="1568"/>
      <c r="AJ51" s="561" t="s">
        <v>2</v>
      </c>
      <c r="AK51" s="562" t="str">
        <f>IFERROR(VLOOKUP($BF$5,_Leger2,55,FALSE),"-")</f>
        <v>-</v>
      </c>
      <c r="AL51" s="1519" t="s">
        <v>187</v>
      </c>
      <c r="AM51" s="1520"/>
      <c r="AN51" s="563"/>
      <c r="AO51" s="569"/>
      <c r="AP51" s="564"/>
      <c r="AQ51" s="1581" t="str">
        <f>IFERROR(IF(_smt_genap="6 (Enam)",_ket_lulus,_ket_naik),"-")</f>
        <v>Naik ke Kelas IX</v>
      </c>
      <c r="AR51" s="1582"/>
      <c r="AS51" s="1582"/>
      <c r="AT51" s="1582"/>
      <c r="AU51" s="1582"/>
      <c r="AV51" s="1582"/>
      <c r="AW51" s="1582"/>
      <c r="AX51" s="1582"/>
      <c r="AY51" s="1582"/>
      <c r="AZ51" s="1582"/>
      <c r="BA51" s="1582"/>
      <c r="BB51" s="1582"/>
      <c r="BC51" s="1582"/>
      <c r="BD51" s="1583"/>
    </row>
    <row r="52" spans="2:56" ht="9" customHeight="1">
      <c r="AS52" s="359"/>
      <c r="AT52" s="359"/>
      <c r="AU52" s="359"/>
      <c r="AV52" s="359"/>
      <c r="AW52" s="359"/>
      <c r="AX52" s="359"/>
      <c r="AY52" s="359"/>
      <c r="AZ52" s="359"/>
      <c r="BA52" s="359"/>
      <c r="BB52" s="359"/>
      <c r="BC52" s="359"/>
      <c r="BD52" s="359"/>
    </row>
    <row r="53" spans="2:56" ht="15" customHeight="1">
      <c r="AS53" s="97"/>
      <c r="AT53" s="359"/>
      <c r="AU53" s="359"/>
      <c r="AV53" s="359"/>
      <c r="AW53" s="359"/>
      <c r="AX53" s="359"/>
      <c r="AY53" s="359"/>
      <c r="AZ53" s="359"/>
      <c r="BA53" s="359"/>
      <c r="BB53" s="359"/>
      <c r="BC53" s="359"/>
      <c r="BD53" s="359"/>
    </row>
    <row r="54" spans="2:56" ht="15" customHeight="1">
      <c r="AS54" s="99"/>
      <c r="AT54" s="359"/>
      <c r="AU54" s="359"/>
      <c r="AV54" s="359"/>
      <c r="AW54" s="359"/>
      <c r="AX54" s="359"/>
      <c r="AY54" s="359"/>
      <c r="AZ54" s="359"/>
      <c r="BA54" s="359"/>
      <c r="BB54" s="359"/>
      <c r="BC54" s="359"/>
      <c r="BD54" s="359"/>
    </row>
    <row r="55" spans="2:56" ht="15" customHeight="1">
      <c r="AS55" s="99"/>
      <c r="AT55" s="359"/>
      <c r="AU55" s="359"/>
      <c r="AV55" s="359"/>
      <c r="AW55" s="359"/>
      <c r="AX55" s="359"/>
      <c r="AY55" s="359"/>
      <c r="AZ55" s="359"/>
      <c r="BA55" s="359"/>
      <c r="BB55" s="359"/>
      <c r="BC55" s="359"/>
      <c r="BD55" s="359"/>
    </row>
    <row r="56" spans="2:56" ht="8.25" customHeight="1">
      <c r="AS56" s="99"/>
      <c r="AT56" s="359"/>
      <c r="AU56" s="359"/>
      <c r="AV56" s="359"/>
      <c r="AW56" s="359"/>
      <c r="AX56" s="359"/>
      <c r="AY56" s="359"/>
      <c r="AZ56" s="359"/>
      <c r="BA56" s="359"/>
      <c r="BB56" s="359"/>
      <c r="BC56" s="359"/>
      <c r="BD56" s="359"/>
    </row>
    <row r="57" spans="2:56" ht="8.25" customHeight="1">
      <c r="AS57" s="99"/>
      <c r="AT57" s="359"/>
      <c r="AU57" s="359"/>
      <c r="AV57" s="359"/>
      <c r="AW57" s="359"/>
      <c r="AX57" s="359"/>
      <c r="AY57" s="359"/>
      <c r="AZ57" s="359"/>
      <c r="BA57" s="359"/>
      <c r="BB57" s="359"/>
      <c r="BC57" s="359"/>
      <c r="BD57" s="359"/>
    </row>
    <row r="58" spans="2:56" ht="15" customHeight="1">
      <c r="AS58" s="141"/>
      <c r="AT58" s="359"/>
      <c r="AU58" s="359"/>
      <c r="AV58" s="359"/>
      <c r="AW58" s="359"/>
      <c r="AX58" s="359"/>
      <c r="AY58" s="359"/>
      <c r="AZ58" s="359"/>
      <c r="BA58" s="359"/>
      <c r="BB58" s="359"/>
      <c r="BC58" s="359"/>
      <c r="BD58" s="359"/>
    </row>
    <row r="59" spans="2:56" ht="15" customHeight="1">
      <c r="AS59" s="99"/>
      <c r="AT59" s="359"/>
      <c r="AU59" s="359"/>
      <c r="AV59" s="359"/>
      <c r="AW59" s="359"/>
      <c r="AX59" s="359"/>
      <c r="AY59" s="359"/>
      <c r="AZ59" s="359"/>
      <c r="BA59" s="359"/>
      <c r="BB59" s="359"/>
      <c r="BC59" s="359"/>
      <c r="BD59" s="359"/>
    </row>
    <row r="60" spans="2:56" ht="15" hidden="1" customHeight="1"/>
    <row r="61" spans="2:56" ht="15" hidden="1" customHeight="1"/>
    <row r="62" spans="2:56" ht="15" hidden="1" customHeight="1"/>
    <row r="63" spans="2:56" ht="15" hidden="1" customHeight="1"/>
    <row r="64" spans="2:56" ht="15" hidden="1" customHeight="1"/>
    <row r="65" ht="15" hidden="1" customHeight="1"/>
    <row r="66" ht="15" hidden="1" customHeight="1"/>
    <row r="67" ht="15" hidden="1" customHeight="1"/>
    <row r="68" ht="15" hidden="1" customHeight="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7" ht="15" hidden="1" customHeight="1"/>
    <row r="78" ht="15" hidden="1" customHeight="1"/>
    <row r="79" ht="15" hidden="1" customHeight="1"/>
    <row r="80"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row r="114" ht="15" hidden="1" customHeight="1"/>
    <row r="115" ht="15" hidden="1" customHeight="1"/>
    <row r="116" ht="15" hidden="1" customHeight="1"/>
    <row r="117" ht="15" hidden="1" customHeight="1"/>
    <row r="118" ht="15" hidden="1" customHeight="1"/>
    <row r="119" ht="15" hidden="1" customHeight="1"/>
    <row r="120" ht="15" hidden="1" customHeight="1"/>
    <row r="121" ht="15" hidden="1" customHeight="1"/>
    <row r="122" ht="15" hidden="1" customHeight="1"/>
    <row r="123" ht="15" hidden="1" customHeight="1"/>
    <row r="124" ht="15" hidden="1" customHeight="1"/>
    <row r="125" ht="15" hidden="1" customHeight="1"/>
    <row r="126" ht="15" hidden="1" customHeight="1"/>
    <row r="127" ht="15" hidden="1" customHeight="1"/>
    <row r="128" ht="15" hidden="1" customHeight="1"/>
    <row r="129" ht="15" hidden="1" customHeight="1"/>
    <row r="130" ht="15" hidden="1" customHeight="1"/>
    <row r="131" ht="15" hidden="1" customHeight="1"/>
    <row r="132" ht="15" hidden="1" customHeight="1"/>
    <row r="133" ht="15" hidden="1" customHeight="1"/>
    <row r="134" ht="15" hidden="1" customHeight="1"/>
    <row r="135" ht="15" hidden="1" customHeight="1"/>
    <row r="136" ht="15" hidden="1" customHeight="1"/>
    <row r="137" ht="15" hidden="1" customHeight="1"/>
    <row r="138" ht="15" hidden="1" customHeight="1"/>
    <row r="139" ht="15" hidden="1" customHeight="1"/>
    <row r="140" ht="15" hidden="1" customHeight="1"/>
    <row r="141" ht="15" hidden="1" customHeight="1"/>
    <row r="142" ht="15" hidden="1" customHeight="1"/>
    <row r="143" ht="15" hidden="1" customHeight="1"/>
    <row r="144"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sheetData>
  <sheetProtection password="CE75" sheet="1" objects="1" scenarios="1" selectLockedCells="1"/>
  <mergeCells count="231">
    <mergeCell ref="AD49:AI49"/>
    <mergeCell ref="AQ49:BD50"/>
    <mergeCell ref="AD50:AI50"/>
    <mergeCell ref="AD51:AI51"/>
    <mergeCell ref="AQ51:BD51"/>
    <mergeCell ref="AE45:AN45"/>
    <mergeCell ref="AO45:AR45"/>
    <mergeCell ref="AS45:BD45"/>
    <mergeCell ref="AE46:AN46"/>
    <mergeCell ref="AO46:AR46"/>
    <mergeCell ref="AS46:BD46"/>
    <mergeCell ref="AQ40:BD40"/>
    <mergeCell ref="AD41:AP41"/>
    <mergeCell ref="AQ41:BD41"/>
    <mergeCell ref="AE44:AN44"/>
    <mergeCell ref="AO44:AR44"/>
    <mergeCell ref="AS44:BD44"/>
    <mergeCell ref="AE38:AN38"/>
    <mergeCell ref="AO38:AP38"/>
    <mergeCell ref="AQ38:AT38"/>
    <mergeCell ref="AU38:AW38"/>
    <mergeCell ref="AX38:BA38"/>
    <mergeCell ref="BB38:BD38"/>
    <mergeCell ref="AE43:AN43"/>
    <mergeCell ref="AO43:AR43"/>
    <mergeCell ref="AS43:BD43"/>
    <mergeCell ref="AD40:AP40"/>
    <mergeCell ref="AE37:AN37"/>
    <mergeCell ref="AO37:AP37"/>
    <mergeCell ref="AQ37:AT37"/>
    <mergeCell ref="AU37:AW37"/>
    <mergeCell ref="AX37:BA37"/>
    <mergeCell ref="BB37:BD37"/>
    <mergeCell ref="AE36:AN36"/>
    <mergeCell ref="AO36:AP36"/>
    <mergeCell ref="AQ36:AT36"/>
    <mergeCell ref="AU36:AW36"/>
    <mergeCell ref="AX36:BA36"/>
    <mergeCell ref="BB36:BD36"/>
    <mergeCell ref="AD34:BD34"/>
    <mergeCell ref="AE35:AN35"/>
    <mergeCell ref="AO35:AP35"/>
    <mergeCell ref="AQ35:AT35"/>
    <mergeCell ref="AU35:AW35"/>
    <mergeCell ref="AX35:BA35"/>
    <mergeCell ref="BB35:BD35"/>
    <mergeCell ref="AE33:AN33"/>
    <mergeCell ref="AO33:AP33"/>
    <mergeCell ref="AQ33:AT33"/>
    <mergeCell ref="AU33:AW33"/>
    <mergeCell ref="AX33:BA33"/>
    <mergeCell ref="BB33:BD33"/>
    <mergeCell ref="AE32:AN32"/>
    <mergeCell ref="AO32:AP32"/>
    <mergeCell ref="AQ32:AT32"/>
    <mergeCell ref="AU32:AW32"/>
    <mergeCell ref="AX32:BA32"/>
    <mergeCell ref="BB32:BD32"/>
    <mergeCell ref="AE31:AN31"/>
    <mergeCell ref="AO31:AP31"/>
    <mergeCell ref="AQ31:AT31"/>
    <mergeCell ref="AU31:AW31"/>
    <mergeCell ref="AX31:BA31"/>
    <mergeCell ref="BB31:BD31"/>
    <mergeCell ref="AE30:AN30"/>
    <mergeCell ref="AO30:AP30"/>
    <mergeCell ref="AQ30:AT30"/>
    <mergeCell ref="AU30:AW30"/>
    <mergeCell ref="AX30:BA30"/>
    <mergeCell ref="BB30:BD30"/>
    <mergeCell ref="AE29:AN29"/>
    <mergeCell ref="AO29:AP29"/>
    <mergeCell ref="AQ29:AT29"/>
    <mergeCell ref="AU29:AW29"/>
    <mergeCell ref="AX29:BA29"/>
    <mergeCell ref="BB29:BD29"/>
    <mergeCell ref="AE28:AN28"/>
    <mergeCell ref="AO28:AP28"/>
    <mergeCell ref="AQ28:AT28"/>
    <mergeCell ref="AU28:AW28"/>
    <mergeCell ref="AX28:BA28"/>
    <mergeCell ref="BB28:BD28"/>
    <mergeCell ref="AX25:BA25"/>
    <mergeCell ref="BB25:BD25"/>
    <mergeCell ref="AD26:BD26"/>
    <mergeCell ref="AE27:AN27"/>
    <mergeCell ref="AO27:AP27"/>
    <mergeCell ref="AQ27:AT27"/>
    <mergeCell ref="AU27:AW27"/>
    <mergeCell ref="AX27:BA27"/>
    <mergeCell ref="BB27:BD27"/>
    <mergeCell ref="AD20:AG20"/>
    <mergeCell ref="AH20:BD20"/>
    <mergeCell ref="AD21:AG22"/>
    <mergeCell ref="AH21:BD22"/>
    <mergeCell ref="AD23:BD23"/>
    <mergeCell ref="AD24:AD25"/>
    <mergeCell ref="AE24:AN25"/>
    <mergeCell ref="AO24:AP25"/>
    <mergeCell ref="AQ24:AW24"/>
    <mergeCell ref="AX24:BD24"/>
    <mergeCell ref="AQ25:AT25"/>
    <mergeCell ref="AU25:AW25"/>
    <mergeCell ref="B49:G49"/>
    <mergeCell ref="B50:G50"/>
    <mergeCell ref="B51:G51"/>
    <mergeCell ref="J51:K51"/>
    <mergeCell ref="C45:L45"/>
    <mergeCell ref="M45:P45"/>
    <mergeCell ref="Q45:AB45"/>
    <mergeCell ref="C46:L46"/>
    <mergeCell ref="M46:P46"/>
    <mergeCell ref="Q46:AB46"/>
    <mergeCell ref="J49:K49"/>
    <mergeCell ref="J50:K50"/>
    <mergeCell ref="C43:L43"/>
    <mergeCell ref="M43:P43"/>
    <mergeCell ref="Q43:AB43"/>
    <mergeCell ref="C44:L44"/>
    <mergeCell ref="M44:P44"/>
    <mergeCell ref="Q44:AB44"/>
    <mergeCell ref="B40:N40"/>
    <mergeCell ref="O40:AB40"/>
    <mergeCell ref="B41:N41"/>
    <mergeCell ref="O41:AB41"/>
    <mergeCell ref="C38:L38"/>
    <mergeCell ref="M38:N38"/>
    <mergeCell ref="O38:R38"/>
    <mergeCell ref="S38:U38"/>
    <mergeCell ref="V38:Y38"/>
    <mergeCell ref="Z38:AB38"/>
    <mergeCell ref="C37:L37"/>
    <mergeCell ref="M37:N37"/>
    <mergeCell ref="O37:R37"/>
    <mergeCell ref="S37:U37"/>
    <mergeCell ref="V37:Y37"/>
    <mergeCell ref="Z37:AB37"/>
    <mergeCell ref="C36:L36"/>
    <mergeCell ref="M36:N36"/>
    <mergeCell ref="O36:R36"/>
    <mergeCell ref="S36:U36"/>
    <mergeCell ref="V36:Y36"/>
    <mergeCell ref="Z36:AB36"/>
    <mergeCell ref="B34:AB34"/>
    <mergeCell ref="C35:L35"/>
    <mergeCell ref="M35:N35"/>
    <mergeCell ref="O35:R35"/>
    <mergeCell ref="S35:U35"/>
    <mergeCell ref="V35:Y35"/>
    <mergeCell ref="Z35:AB35"/>
    <mergeCell ref="C33:L33"/>
    <mergeCell ref="M33:N33"/>
    <mergeCell ref="O33:R33"/>
    <mergeCell ref="S33:U33"/>
    <mergeCell ref="V33:Y33"/>
    <mergeCell ref="Z33:AB33"/>
    <mergeCell ref="C32:L32"/>
    <mergeCell ref="M32:N32"/>
    <mergeCell ref="O32:R32"/>
    <mergeCell ref="S32:U32"/>
    <mergeCell ref="V32:Y32"/>
    <mergeCell ref="Z32:AB32"/>
    <mergeCell ref="C31:L31"/>
    <mergeCell ref="M31:N31"/>
    <mergeCell ref="O31:R31"/>
    <mergeCell ref="S31:U31"/>
    <mergeCell ref="V31:Y31"/>
    <mergeCell ref="Z31:AB31"/>
    <mergeCell ref="C30:L30"/>
    <mergeCell ref="M30:N30"/>
    <mergeCell ref="O30:R30"/>
    <mergeCell ref="S30:U30"/>
    <mergeCell ref="V30:Y30"/>
    <mergeCell ref="Z30:AB30"/>
    <mergeCell ref="B26:AB26"/>
    <mergeCell ref="C27:L27"/>
    <mergeCell ref="M27:N27"/>
    <mergeCell ref="O27:R27"/>
    <mergeCell ref="S27:U27"/>
    <mergeCell ref="V27:Y27"/>
    <mergeCell ref="C29:L29"/>
    <mergeCell ref="M29:N29"/>
    <mergeCell ref="O29:R29"/>
    <mergeCell ref="S29:U29"/>
    <mergeCell ref="V29:Y29"/>
    <mergeCell ref="Z29:AB29"/>
    <mergeCell ref="Z27:AB27"/>
    <mergeCell ref="C28:L28"/>
    <mergeCell ref="M28:N28"/>
    <mergeCell ref="O28:R28"/>
    <mergeCell ref="S28:U28"/>
    <mergeCell ref="V28:Y28"/>
    <mergeCell ref="Z28:AB28"/>
    <mergeCell ref="B20:E20"/>
    <mergeCell ref="F20:AB20"/>
    <mergeCell ref="B21:E22"/>
    <mergeCell ref="F21:AB22"/>
    <mergeCell ref="B23:AB23"/>
    <mergeCell ref="B24:B25"/>
    <mergeCell ref="C24:L25"/>
    <mergeCell ref="M24:N25"/>
    <mergeCell ref="O24:U24"/>
    <mergeCell ref="V24:AB24"/>
    <mergeCell ref="O25:R25"/>
    <mergeCell ref="S25:U25"/>
    <mergeCell ref="V25:Y25"/>
    <mergeCell ref="Z25:AB25"/>
    <mergeCell ref="B11:AB11"/>
    <mergeCell ref="B12:AB12"/>
    <mergeCell ref="B13:E13"/>
    <mergeCell ref="F13:AB13"/>
    <mergeCell ref="B14:E17"/>
    <mergeCell ref="F14:AB17"/>
    <mergeCell ref="V2:AB3"/>
    <mergeCell ref="AT3:AU3"/>
    <mergeCell ref="BF5:BG8"/>
    <mergeCell ref="B10:AB10"/>
    <mergeCell ref="AD10:BD10"/>
    <mergeCell ref="AD11:BD11"/>
    <mergeCell ref="AD12:BD12"/>
    <mergeCell ref="AD13:AG13"/>
    <mergeCell ref="AH13:BD13"/>
    <mergeCell ref="AD14:AG17"/>
    <mergeCell ref="AH14:BD17"/>
    <mergeCell ref="AC10:AC51"/>
    <mergeCell ref="B4:BD4"/>
    <mergeCell ref="B5:BD5"/>
    <mergeCell ref="AL49:AM49"/>
    <mergeCell ref="AL50:AM50"/>
    <mergeCell ref="AL51:AM51"/>
    <mergeCell ref="AQ48:BD48"/>
  </mergeCells>
  <pageMargins left="0.53" right="0.33" top="0.37" bottom="0.33" header="0.3" footer="0.26"/>
  <pageSetup paperSize="9" scale="60" orientation="landscape" r:id="rId1"/>
  <drawing r:id="rId2"/>
  <legacyDrawing r:id="rId3"/>
</worksheet>
</file>

<file path=xl/worksheets/sheet78.xml><?xml version="1.0" encoding="utf-8"?>
<worksheet xmlns="http://schemas.openxmlformats.org/spreadsheetml/2006/main" xmlns:r="http://schemas.openxmlformats.org/officeDocument/2006/relationships">
  <sheetPr codeName="Sheet75">
    <tabColor theme="9"/>
  </sheetPr>
  <dimension ref="A1:J56"/>
  <sheetViews>
    <sheetView showGridLines="0" showRowColHeaders="0" showZeros="0" zoomScaleSheetLayoutView="85" workbookViewId="0">
      <selection activeCell="G56" sqref="G56"/>
    </sheetView>
  </sheetViews>
  <sheetFormatPr defaultColWidth="0" defaultRowHeight="15" customHeight="1" zeroHeight="1"/>
  <cols>
    <col min="1" max="1" width="13.28515625" style="198" customWidth="1"/>
    <col min="2" max="2" width="1.7109375" style="198" customWidth="1"/>
    <col min="3" max="3" width="5.85546875" style="198" customWidth="1"/>
    <col min="4" max="4" width="11.85546875" style="198" customWidth="1"/>
    <col min="5" max="5" width="1.5703125" style="198" customWidth="1"/>
    <col min="6" max="6" width="29.7109375" style="198" customWidth="1"/>
    <col min="7" max="7" width="3.7109375" style="198" customWidth="1"/>
    <col min="8" max="8" width="19.28515625" style="198" customWidth="1"/>
    <col min="9" max="9" width="11.140625" style="198" customWidth="1"/>
    <col min="10" max="10" width="16.140625" style="198" customWidth="1"/>
    <col min="11" max="16384" width="9.140625" style="198" hidden="1"/>
  </cols>
  <sheetData>
    <row r="1" spans="3:9" ht="18" customHeight="1">
      <c r="C1" s="1584" t="s">
        <v>593</v>
      </c>
      <c r="D1" s="1584"/>
      <c r="E1" s="1584"/>
      <c r="F1" s="1584"/>
      <c r="G1" s="1584"/>
      <c r="H1" s="1584"/>
      <c r="I1" s="1584"/>
    </row>
    <row r="2" spans="3:9" ht="18" customHeight="1" thickBot="1">
      <c r="C2" s="1586" t="str">
        <f>_nama_sekolah</f>
        <v>SMP NEGERI 1 ABUNG SURAKARTA</v>
      </c>
      <c r="D2" s="1586"/>
      <c r="E2" s="1586"/>
      <c r="F2" s="1586"/>
      <c r="G2" s="1586"/>
      <c r="H2" s="1586"/>
      <c r="I2" s="1586"/>
    </row>
    <row r="3" spans="3:9" ht="6.75" customHeight="1" thickTop="1">
      <c r="C3" s="225"/>
      <c r="D3" s="225"/>
      <c r="E3" s="225"/>
      <c r="F3" s="225"/>
      <c r="G3" s="225"/>
      <c r="H3" s="225"/>
      <c r="I3" s="225"/>
    </row>
    <row r="4" spans="3:9">
      <c r="C4" s="1001" t="s">
        <v>5</v>
      </c>
      <c r="D4" s="1001"/>
      <c r="E4" s="470" t="s">
        <v>2</v>
      </c>
      <c r="F4" s="1003" t="str">
        <f>DK!D5</f>
        <v>VIII A</v>
      </c>
      <c r="G4" s="1003"/>
      <c r="H4" s="227" t="s">
        <v>29</v>
      </c>
      <c r="I4" s="472" t="str">
        <f>": "&amp;COUNTA(Biodata!E6:E45)</f>
        <v>: 29</v>
      </c>
    </row>
    <row r="5" spans="3:9" ht="14.25" customHeight="1">
      <c r="C5" s="1001" t="s">
        <v>3</v>
      </c>
      <c r="D5" s="1001"/>
      <c r="E5" s="470" t="s">
        <v>2</v>
      </c>
      <c r="F5" s="1003" t="str">
        <f>DK!D8</f>
        <v>2018 / 2019</v>
      </c>
      <c r="G5" s="1003"/>
      <c r="H5" s="229" t="s">
        <v>4</v>
      </c>
      <c r="I5" s="229" t="str">
        <f>": "&amp;DK!D9</f>
        <v>: 3 (Tiga)</v>
      </c>
    </row>
    <row r="6" spans="3:9" ht="4.5" customHeight="1">
      <c r="C6" s="229"/>
      <c r="D6" s="229"/>
      <c r="E6" s="229"/>
      <c r="F6" s="229"/>
      <c r="G6" s="229"/>
      <c r="H6" s="229"/>
      <c r="I6" s="230"/>
    </row>
    <row r="7" spans="3:9" ht="5.25" customHeight="1" thickBot="1">
      <c r="C7" s="231"/>
      <c r="D7" s="231"/>
      <c r="E7" s="231"/>
      <c r="F7" s="231"/>
      <c r="G7" s="232"/>
      <c r="H7" s="232"/>
      <c r="I7" s="233"/>
    </row>
    <row r="8" spans="3:9" ht="30" customHeight="1" thickBot="1">
      <c r="C8" s="234" t="s">
        <v>96</v>
      </c>
      <c r="D8" s="471" t="s">
        <v>51</v>
      </c>
      <c r="E8" s="1585" t="s">
        <v>97</v>
      </c>
      <c r="F8" s="1585"/>
      <c r="G8" s="1585"/>
      <c r="H8" s="577" t="s">
        <v>594</v>
      </c>
      <c r="I8" s="235" t="s">
        <v>61</v>
      </c>
    </row>
    <row r="9" spans="3:9">
      <c r="C9" s="236">
        <f>Biodata!B6</f>
        <v>1</v>
      </c>
      <c r="D9" s="575">
        <f>Biodata!C6</f>
        <v>7057</v>
      </c>
      <c r="E9" s="997" t="str">
        <f>PROPER(Biodata!E6)</f>
        <v>Ahmad Zaki Aufa</v>
      </c>
      <c r="F9" s="998"/>
      <c r="G9" s="999"/>
      <c r="H9" s="578">
        <f>IF(C9=0,"",C9)</f>
        <v>1</v>
      </c>
      <c r="I9" s="238">
        <f t="shared" ref="I9:I48" si="0">VLOOKUP(C9,_Leger1,52,FALSE)</f>
        <v>15</v>
      </c>
    </row>
    <row r="10" spans="3:9">
      <c r="C10" s="236">
        <f>Biodata!B7</f>
        <v>2</v>
      </c>
      <c r="D10" s="575">
        <f>Biodata!C7</f>
        <v>7058</v>
      </c>
      <c r="E10" s="997" t="str">
        <f>PROPER(Biodata!E7)</f>
        <v>Anandhita Nafra Wilova</v>
      </c>
      <c r="F10" s="998"/>
      <c r="G10" s="999"/>
      <c r="H10" s="395">
        <f>IF(C10=0,"",C10)</f>
        <v>2</v>
      </c>
      <c r="I10" s="238">
        <f t="shared" si="0"/>
        <v>13</v>
      </c>
    </row>
    <row r="11" spans="3:9">
      <c r="C11" s="236">
        <f>Biodata!B8</f>
        <v>3</v>
      </c>
      <c r="D11" s="575">
        <f>Biodata!C8</f>
        <v>7059</v>
      </c>
      <c r="E11" s="997" t="str">
        <f>PROPER(Biodata!E8)</f>
        <v>Andini Dwi Aryanti</v>
      </c>
      <c r="F11" s="998"/>
      <c r="G11" s="999"/>
      <c r="H11" s="578">
        <f t="shared" ref="H11:H48" si="1">IF(C11=0,"",C11)</f>
        <v>3</v>
      </c>
      <c r="I11" s="238">
        <f t="shared" si="0"/>
        <v>19</v>
      </c>
    </row>
    <row r="12" spans="3:9">
      <c r="C12" s="236">
        <f>Biodata!B9</f>
        <v>4</v>
      </c>
      <c r="D12" s="575">
        <f>Biodata!C9</f>
        <v>7060</v>
      </c>
      <c r="E12" s="997" t="str">
        <f>PROPER(Biodata!E9)</f>
        <v>Anggun Suci Rahmadani</v>
      </c>
      <c r="F12" s="998"/>
      <c r="G12" s="999"/>
      <c r="H12" s="395">
        <f t="shared" si="1"/>
        <v>4</v>
      </c>
      <c r="I12" s="238">
        <f t="shared" si="0"/>
        <v>21</v>
      </c>
    </row>
    <row r="13" spans="3:9">
      <c r="C13" s="236">
        <f>Biodata!B10</f>
        <v>5</v>
      </c>
      <c r="D13" s="575">
        <f>Biodata!C10</f>
        <v>7061</v>
      </c>
      <c r="E13" s="997" t="str">
        <f>PROPER(Biodata!E10)</f>
        <v>Anisa Julia Tasya</v>
      </c>
      <c r="F13" s="998"/>
      <c r="G13" s="999"/>
      <c r="H13" s="578">
        <f t="shared" si="1"/>
        <v>5</v>
      </c>
      <c r="I13" s="238">
        <f t="shared" si="0"/>
        <v>12</v>
      </c>
    </row>
    <row r="14" spans="3:9">
      <c r="C14" s="236">
        <f>Biodata!B11</f>
        <v>6</v>
      </c>
      <c r="D14" s="575">
        <f>Biodata!C11</f>
        <v>7065</v>
      </c>
      <c r="E14" s="997" t="str">
        <f>PROPER(Biodata!E11)</f>
        <v>Aulia Rahmawati</v>
      </c>
      <c r="F14" s="998"/>
      <c r="G14" s="999"/>
      <c r="H14" s="395">
        <f t="shared" si="1"/>
        <v>6</v>
      </c>
      <c r="I14" s="238">
        <f t="shared" si="0"/>
        <v>16</v>
      </c>
    </row>
    <row r="15" spans="3:9">
      <c r="C15" s="236">
        <f>Biodata!B12</f>
        <v>7</v>
      </c>
      <c r="D15" s="575">
        <f>Biodata!C12</f>
        <v>7066</v>
      </c>
      <c r="E15" s="997" t="str">
        <f>PROPER(Biodata!E12)</f>
        <v>Ayu Chumaira</v>
      </c>
      <c r="F15" s="998"/>
      <c r="G15" s="999"/>
      <c r="H15" s="578">
        <f t="shared" si="1"/>
        <v>7</v>
      </c>
      <c r="I15" s="238">
        <f t="shared" si="0"/>
        <v>10</v>
      </c>
    </row>
    <row r="16" spans="3:9">
      <c r="C16" s="236">
        <f>Biodata!B13</f>
        <v>8</v>
      </c>
      <c r="D16" s="575">
        <f>Biodata!C13</f>
        <v>7067</v>
      </c>
      <c r="E16" s="997" t="str">
        <f>PROPER(Biodata!E13)</f>
        <v>Ayu Emelia Putri</v>
      </c>
      <c r="F16" s="998"/>
      <c r="G16" s="999"/>
      <c r="H16" s="395">
        <f t="shared" si="1"/>
        <v>8</v>
      </c>
      <c r="I16" s="238">
        <f t="shared" si="0"/>
        <v>5</v>
      </c>
    </row>
    <row r="17" spans="3:9">
      <c r="C17" s="236">
        <f>Biodata!B14</f>
        <v>9</v>
      </c>
      <c r="D17" s="575">
        <f>Biodata!C14</f>
        <v>7068</v>
      </c>
      <c r="E17" s="997" t="str">
        <f>PROPER(Biodata!E14)</f>
        <v>Bayu Anggoro</v>
      </c>
      <c r="F17" s="998"/>
      <c r="G17" s="999"/>
      <c r="H17" s="578">
        <f t="shared" si="1"/>
        <v>9</v>
      </c>
      <c r="I17" s="238">
        <f t="shared" si="0"/>
        <v>7</v>
      </c>
    </row>
    <row r="18" spans="3:9">
      <c r="C18" s="236">
        <f>Biodata!B15</f>
        <v>10</v>
      </c>
      <c r="D18" s="575">
        <f>Biodata!C15</f>
        <v>7069</v>
      </c>
      <c r="E18" s="997" t="str">
        <f>PROPER(Biodata!E15)</f>
        <v>Calissta Sabrina Salwa Aurelia</v>
      </c>
      <c r="F18" s="998"/>
      <c r="G18" s="999"/>
      <c r="H18" s="395">
        <f t="shared" si="1"/>
        <v>10</v>
      </c>
      <c r="I18" s="238">
        <f t="shared" si="0"/>
        <v>8</v>
      </c>
    </row>
    <row r="19" spans="3:9">
      <c r="C19" s="236">
        <f>Biodata!B16</f>
        <v>11</v>
      </c>
      <c r="D19" s="575">
        <f>Biodata!C16</f>
        <v>7074</v>
      </c>
      <c r="E19" s="997" t="str">
        <f>PROPER(Biodata!E16)</f>
        <v>Dea Safitri</v>
      </c>
      <c r="F19" s="998"/>
      <c r="G19" s="999"/>
      <c r="H19" s="578">
        <f t="shared" si="1"/>
        <v>11</v>
      </c>
      <c r="I19" s="238">
        <f t="shared" si="0"/>
        <v>20</v>
      </c>
    </row>
    <row r="20" spans="3:9">
      <c r="C20" s="236">
        <f>Biodata!B17</f>
        <v>12</v>
      </c>
      <c r="D20" s="575">
        <f>Biodata!C17</f>
        <v>7080</v>
      </c>
      <c r="E20" s="997" t="str">
        <f>PROPER(Biodata!E17)</f>
        <v>Dewi Wulandari</v>
      </c>
      <c r="F20" s="998"/>
      <c r="G20" s="999"/>
      <c r="H20" s="395">
        <f t="shared" si="1"/>
        <v>12</v>
      </c>
      <c r="I20" s="238">
        <f t="shared" si="0"/>
        <v>14</v>
      </c>
    </row>
    <row r="21" spans="3:9">
      <c r="C21" s="236">
        <f>Biodata!B18</f>
        <v>13</v>
      </c>
      <c r="D21" s="575">
        <f>Biodata!C18</f>
        <v>7084</v>
      </c>
      <c r="E21" s="997" t="str">
        <f>PROPER(Biodata!E18)</f>
        <v>Dony Pratama</v>
      </c>
      <c r="F21" s="998"/>
      <c r="G21" s="999"/>
      <c r="H21" s="578">
        <f t="shared" si="1"/>
        <v>13</v>
      </c>
      <c r="I21" s="238">
        <f t="shared" si="0"/>
        <v>24</v>
      </c>
    </row>
    <row r="22" spans="3:9">
      <c r="C22" s="236">
        <f>Biodata!B19</f>
        <v>14</v>
      </c>
      <c r="D22" s="575">
        <f>Biodata!C19</f>
        <v>7089</v>
      </c>
      <c r="E22" s="997" t="str">
        <f>PROPER(Biodata!E19)</f>
        <v>Faris Febram</v>
      </c>
      <c r="F22" s="998"/>
      <c r="G22" s="999"/>
      <c r="H22" s="395">
        <f t="shared" si="1"/>
        <v>14</v>
      </c>
      <c r="I22" s="238">
        <f t="shared" si="0"/>
        <v>22</v>
      </c>
    </row>
    <row r="23" spans="3:9">
      <c r="C23" s="236">
        <f>Biodata!B20</f>
        <v>15</v>
      </c>
      <c r="D23" s="575">
        <f>Biodata!C20</f>
        <v>7095</v>
      </c>
      <c r="E23" s="997" t="str">
        <f>PROPER(Biodata!E20)</f>
        <v>Hikmatullah Umar Malik Abdul Aziz</v>
      </c>
      <c r="F23" s="998"/>
      <c r="G23" s="999"/>
      <c r="H23" s="578">
        <f t="shared" si="1"/>
        <v>15</v>
      </c>
      <c r="I23" s="238">
        <f t="shared" si="0"/>
        <v>18</v>
      </c>
    </row>
    <row r="24" spans="3:9">
      <c r="C24" s="236">
        <f>Biodata!B21</f>
        <v>16</v>
      </c>
      <c r="D24" s="575">
        <f>Biodata!C21</f>
        <v>7096</v>
      </c>
      <c r="E24" s="997" t="str">
        <f>PROPER(Biodata!E21)</f>
        <v>Indah Purnama Ningsih</v>
      </c>
      <c r="F24" s="998"/>
      <c r="G24" s="999"/>
      <c r="H24" s="395">
        <f t="shared" si="1"/>
        <v>16</v>
      </c>
      <c r="I24" s="238">
        <f t="shared" si="0"/>
        <v>3</v>
      </c>
    </row>
    <row r="25" spans="3:9">
      <c r="C25" s="236">
        <f>Biodata!B22</f>
        <v>17</v>
      </c>
      <c r="D25" s="575">
        <f>Biodata!C22</f>
        <v>7098</v>
      </c>
      <c r="E25" s="997" t="str">
        <f>PROPER(Biodata!E22)</f>
        <v>Ladiva Nurrosa Laila</v>
      </c>
      <c r="F25" s="998"/>
      <c r="G25" s="999"/>
      <c r="H25" s="578">
        <f t="shared" si="1"/>
        <v>17</v>
      </c>
      <c r="I25" s="238">
        <f t="shared" si="0"/>
        <v>17</v>
      </c>
    </row>
    <row r="26" spans="3:9">
      <c r="C26" s="236">
        <f>Biodata!B23</f>
        <v>18</v>
      </c>
      <c r="D26" s="575">
        <f>Biodata!C23</f>
        <v>7101</v>
      </c>
      <c r="E26" s="997" t="str">
        <f>PROPER(Biodata!E23)</f>
        <v>Mefa Novita Putri</v>
      </c>
      <c r="F26" s="998"/>
      <c r="G26" s="999"/>
      <c r="H26" s="395">
        <f t="shared" si="1"/>
        <v>18</v>
      </c>
      <c r="I26" s="238">
        <f t="shared" si="0"/>
        <v>1</v>
      </c>
    </row>
    <row r="27" spans="3:9">
      <c r="C27" s="236">
        <f>Biodata!B24</f>
        <v>19</v>
      </c>
      <c r="D27" s="575">
        <f>Biodata!C24</f>
        <v>7104</v>
      </c>
      <c r="E27" s="997" t="str">
        <f>PROPER(Biodata!E24)</f>
        <v>Mellanie Bunga Aprilia</v>
      </c>
      <c r="F27" s="998"/>
      <c r="G27" s="999"/>
      <c r="H27" s="578">
        <f t="shared" si="1"/>
        <v>19</v>
      </c>
      <c r="I27" s="238">
        <f t="shared" si="0"/>
        <v>4</v>
      </c>
    </row>
    <row r="28" spans="3:9">
      <c r="C28" s="236">
        <f>Biodata!B25</f>
        <v>20</v>
      </c>
      <c r="D28" s="575">
        <f>Biodata!C25</f>
        <v>7105</v>
      </c>
      <c r="E28" s="997" t="str">
        <f>PROPER(Biodata!E25)</f>
        <v>Mirra Tusolickak</v>
      </c>
      <c r="F28" s="998"/>
      <c r="G28" s="999"/>
      <c r="H28" s="395">
        <f t="shared" si="1"/>
        <v>20</v>
      </c>
      <c r="I28" s="238">
        <f t="shared" si="0"/>
        <v>2</v>
      </c>
    </row>
    <row r="29" spans="3:9">
      <c r="C29" s="236">
        <f>Biodata!B26</f>
        <v>21</v>
      </c>
      <c r="D29" s="575">
        <f>Biodata!C26</f>
        <v>7107</v>
      </c>
      <c r="E29" s="997" t="str">
        <f>PROPER(Biodata!E26)</f>
        <v>Muhammad Daffa Rifa'I</v>
      </c>
      <c r="F29" s="998"/>
      <c r="G29" s="999"/>
      <c r="H29" s="578">
        <f t="shared" si="1"/>
        <v>21</v>
      </c>
      <c r="I29" s="238">
        <f t="shared" si="0"/>
        <v>9</v>
      </c>
    </row>
    <row r="30" spans="3:9">
      <c r="C30" s="236">
        <f>Biodata!B27</f>
        <v>22</v>
      </c>
      <c r="D30" s="575">
        <f>Biodata!C27</f>
        <v>7108</v>
      </c>
      <c r="E30" s="997" t="str">
        <f>PROPER(Biodata!E27)</f>
        <v>Muhammad Jaupanto</v>
      </c>
      <c r="F30" s="998"/>
      <c r="G30" s="999"/>
      <c r="H30" s="395">
        <f t="shared" si="1"/>
        <v>22</v>
      </c>
      <c r="I30" s="238">
        <f t="shared" si="0"/>
        <v>26</v>
      </c>
    </row>
    <row r="31" spans="3:9">
      <c r="C31" s="236">
        <f>Biodata!B28</f>
        <v>23</v>
      </c>
      <c r="D31" s="575">
        <f>Biodata!C28</f>
        <v>7111</v>
      </c>
      <c r="E31" s="997" t="str">
        <f>PROPER(Biodata!E28)</f>
        <v>Nova Laila Khusna</v>
      </c>
      <c r="F31" s="998"/>
      <c r="G31" s="999"/>
      <c r="H31" s="578">
        <f t="shared" si="1"/>
        <v>23</v>
      </c>
      <c r="I31" s="238">
        <f t="shared" si="0"/>
        <v>11</v>
      </c>
    </row>
    <row r="32" spans="3:9">
      <c r="C32" s="236">
        <f>Biodata!B29</f>
        <v>24</v>
      </c>
      <c r="D32" s="575">
        <f>Biodata!C29</f>
        <v>7126</v>
      </c>
      <c r="E32" s="997" t="str">
        <f>PROPER(Biodata!E29)</f>
        <v>Sawal Ramadian</v>
      </c>
      <c r="F32" s="998"/>
      <c r="G32" s="999"/>
      <c r="H32" s="395">
        <f t="shared" si="1"/>
        <v>24</v>
      </c>
      <c r="I32" s="238">
        <f t="shared" si="0"/>
        <v>6</v>
      </c>
    </row>
    <row r="33" spans="3:9">
      <c r="C33" s="236">
        <f>Biodata!B30</f>
        <v>25</v>
      </c>
      <c r="D33" s="575">
        <f>Biodata!C30</f>
        <v>7130</v>
      </c>
      <c r="E33" s="997" t="str">
        <f>PROPER(Biodata!E30)</f>
        <v>Sofyan Romansyah</v>
      </c>
      <c r="F33" s="998"/>
      <c r="G33" s="999"/>
      <c r="H33" s="578">
        <f t="shared" si="1"/>
        <v>25</v>
      </c>
      <c r="I33" s="238">
        <f t="shared" si="0"/>
        <v>28</v>
      </c>
    </row>
    <row r="34" spans="3:9">
      <c r="C34" s="236">
        <f>Biodata!B31</f>
        <v>26</v>
      </c>
      <c r="D34" s="575">
        <f>Biodata!C31</f>
        <v>7132</v>
      </c>
      <c r="E34" s="997" t="str">
        <f>PROPER(Biodata!E31)</f>
        <v>Tio Ardinata</v>
      </c>
      <c r="F34" s="998"/>
      <c r="G34" s="999"/>
      <c r="H34" s="395">
        <f t="shared" si="1"/>
        <v>26</v>
      </c>
      <c r="I34" s="238">
        <f t="shared" si="0"/>
        <v>27</v>
      </c>
    </row>
    <row r="35" spans="3:9">
      <c r="C35" s="236">
        <f>Biodata!B32</f>
        <v>27</v>
      </c>
      <c r="D35" s="575">
        <f>Biodata!C32</f>
        <v>7133</v>
      </c>
      <c r="E35" s="997" t="str">
        <f>PROPER(Biodata!E32)</f>
        <v>Tutik Dillayanti</v>
      </c>
      <c r="F35" s="998"/>
      <c r="G35" s="999"/>
      <c r="H35" s="578">
        <f t="shared" si="1"/>
        <v>27</v>
      </c>
      <c r="I35" s="238">
        <f t="shared" si="0"/>
        <v>23</v>
      </c>
    </row>
    <row r="36" spans="3:9">
      <c r="C36" s="236">
        <f>Biodata!B33</f>
        <v>28</v>
      </c>
      <c r="D36" s="575">
        <f>Biodata!C33</f>
        <v>7142</v>
      </c>
      <c r="E36" s="997" t="str">
        <f>PROPER(Biodata!E33)</f>
        <v>I Gede Nyoman Bagiyasa</v>
      </c>
      <c r="F36" s="998"/>
      <c r="G36" s="999"/>
      <c r="H36" s="395">
        <f t="shared" si="1"/>
        <v>28</v>
      </c>
      <c r="I36" s="238">
        <f t="shared" si="0"/>
        <v>25</v>
      </c>
    </row>
    <row r="37" spans="3:9">
      <c r="C37" s="236">
        <f>Biodata!B34</f>
        <v>29</v>
      </c>
      <c r="D37" s="575">
        <f>Biodata!C34</f>
        <v>0</v>
      </c>
      <c r="E37" s="997" t="str">
        <f>PROPER(Biodata!E34)</f>
        <v>Melati Sabilla Rochmah</v>
      </c>
      <c r="F37" s="998"/>
      <c r="G37" s="999"/>
      <c r="H37" s="578">
        <f t="shared" si="1"/>
        <v>29</v>
      </c>
      <c r="I37" s="238" t="str">
        <f t="shared" si="0"/>
        <v/>
      </c>
    </row>
    <row r="38" spans="3:9">
      <c r="C38" s="236" t="str">
        <f>Biodata!B35</f>
        <v/>
      </c>
      <c r="D38" s="575">
        <f>Biodata!C35</f>
        <v>0</v>
      </c>
      <c r="E38" s="997" t="str">
        <f>PROPER(Biodata!E35)</f>
        <v/>
      </c>
      <c r="F38" s="998"/>
      <c r="G38" s="999"/>
      <c r="H38" s="395" t="str">
        <f t="shared" si="1"/>
        <v/>
      </c>
      <c r="I38" s="238" t="str">
        <f t="shared" si="0"/>
        <v/>
      </c>
    </row>
    <row r="39" spans="3:9">
      <c r="C39" s="236" t="str">
        <f>Biodata!B36</f>
        <v/>
      </c>
      <c r="D39" s="575">
        <f>Biodata!C36</f>
        <v>0</v>
      </c>
      <c r="E39" s="997" t="str">
        <f>PROPER(Biodata!E36)</f>
        <v/>
      </c>
      <c r="F39" s="998"/>
      <c r="G39" s="999"/>
      <c r="H39" s="578" t="str">
        <f t="shared" si="1"/>
        <v/>
      </c>
      <c r="I39" s="238" t="str">
        <f t="shared" si="0"/>
        <v/>
      </c>
    </row>
    <row r="40" spans="3:9">
      <c r="C40" s="236" t="str">
        <f>Biodata!B37</f>
        <v/>
      </c>
      <c r="D40" s="575">
        <f>Biodata!C37</f>
        <v>0</v>
      </c>
      <c r="E40" s="997" t="str">
        <f>PROPER(Biodata!E37)</f>
        <v/>
      </c>
      <c r="F40" s="998"/>
      <c r="G40" s="999"/>
      <c r="H40" s="395" t="str">
        <f t="shared" si="1"/>
        <v/>
      </c>
      <c r="I40" s="238" t="str">
        <f t="shared" si="0"/>
        <v/>
      </c>
    </row>
    <row r="41" spans="3:9">
      <c r="C41" s="236" t="str">
        <f>Biodata!B38</f>
        <v/>
      </c>
      <c r="D41" s="575">
        <f>Biodata!C38</f>
        <v>0</v>
      </c>
      <c r="E41" s="997" t="str">
        <f>PROPER(Biodata!E38)</f>
        <v/>
      </c>
      <c r="F41" s="998"/>
      <c r="G41" s="999"/>
      <c r="H41" s="578" t="str">
        <f t="shared" si="1"/>
        <v/>
      </c>
      <c r="I41" s="238" t="str">
        <f t="shared" si="0"/>
        <v/>
      </c>
    </row>
    <row r="42" spans="3:9">
      <c r="C42" s="236" t="str">
        <f>Biodata!B39</f>
        <v/>
      </c>
      <c r="D42" s="575">
        <f>Biodata!C39</f>
        <v>0</v>
      </c>
      <c r="E42" s="997" t="str">
        <f>PROPER(Biodata!E39)</f>
        <v/>
      </c>
      <c r="F42" s="998"/>
      <c r="G42" s="999"/>
      <c r="H42" s="395" t="str">
        <f t="shared" si="1"/>
        <v/>
      </c>
      <c r="I42" s="238" t="str">
        <f t="shared" si="0"/>
        <v/>
      </c>
    </row>
    <row r="43" spans="3:9">
      <c r="C43" s="236" t="str">
        <f>Biodata!B40</f>
        <v/>
      </c>
      <c r="D43" s="575">
        <f>Biodata!C40</f>
        <v>0</v>
      </c>
      <c r="E43" s="997" t="str">
        <f>PROPER(Biodata!E40)</f>
        <v/>
      </c>
      <c r="F43" s="998"/>
      <c r="G43" s="999"/>
      <c r="H43" s="578" t="str">
        <f t="shared" si="1"/>
        <v/>
      </c>
      <c r="I43" s="238" t="str">
        <f t="shared" si="0"/>
        <v/>
      </c>
    </row>
    <row r="44" spans="3:9">
      <c r="C44" s="236" t="str">
        <f>Biodata!B41</f>
        <v/>
      </c>
      <c r="D44" s="575">
        <f>Biodata!C41</f>
        <v>0</v>
      </c>
      <c r="E44" s="997" t="str">
        <f>PROPER(Biodata!E41)</f>
        <v/>
      </c>
      <c r="F44" s="998"/>
      <c r="G44" s="999"/>
      <c r="H44" s="395" t="str">
        <f t="shared" si="1"/>
        <v/>
      </c>
      <c r="I44" s="238" t="str">
        <f t="shared" si="0"/>
        <v/>
      </c>
    </row>
    <row r="45" spans="3:9">
      <c r="C45" s="236" t="str">
        <f>Biodata!B42</f>
        <v/>
      </c>
      <c r="D45" s="575">
        <f>Biodata!C42</f>
        <v>0</v>
      </c>
      <c r="E45" s="997" t="str">
        <f>PROPER(Biodata!E42)</f>
        <v/>
      </c>
      <c r="F45" s="998"/>
      <c r="G45" s="999"/>
      <c r="H45" s="578" t="str">
        <f t="shared" si="1"/>
        <v/>
      </c>
      <c r="I45" s="238" t="str">
        <f t="shared" si="0"/>
        <v/>
      </c>
    </row>
    <row r="46" spans="3:9">
      <c r="C46" s="236" t="str">
        <f>Biodata!B43</f>
        <v/>
      </c>
      <c r="D46" s="575">
        <f>Biodata!C43</f>
        <v>0</v>
      </c>
      <c r="E46" s="997" t="str">
        <f>PROPER(Biodata!E43)</f>
        <v/>
      </c>
      <c r="F46" s="998"/>
      <c r="G46" s="999"/>
      <c r="H46" s="395" t="str">
        <f t="shared" si="1"/>
        <v/>
      </c>
      <c r="I46" s="238" t="str">
        <f t="shared" si="0"/>
        <v/>
      </c>
    </row>
    <row r="47" spans="3:9">
      <c r="C47" s="236" t="str">
        <f>Biodata!B44</f>
        <v/>
      </c>
      <c r="D47" s="575">
        <f>Biodata!C44</f>
        <v>0</v>
      </c>
      <c r="E47" s="997" t="str">
        <f>PROPER(Biodata!E44)</f>
        <v/>
      </c>
      <c r="F47" s="998"/>
      <c r="G47" s="999"/>
      <c r="H47" s="578" t="str">
        <f t="shared" si="1"/>
        <v/>
      </c>
      <c r="I47" s="238" t="str">
        <f t="shared" si="0"/>
        <v/>
      </c>
    </row>
    <row r="48" spans="3:9" ht="15.75" thickBot="1">
      <c r="C48" s="239" t="str">
        <f>Biodata!B45</f>
        <v/>
      </c>
      <c r="D48" s="576">
        <f>Biodata!C45</f>
        <v>0</v>
      </c>
      <c r="E48" s="1005" t="str">
        <f>PROPER(Biodata!E45)</f>
        <v/>
      </c>
      <c r="F48" s="1006"/>
      <c r="G48" s="1007"/>
      <c r="H48" s="396" t="str">
        <f t="shared" si="1"/>
        <v/>
      </c>
      <c r="I48" s="241" t="str">
        <f t="shared" si="0"/>
        <v/>
      </c>
    </row>
    <row r="49" spans="3:9" ht="9.75" customHeight="1">
      <c r="C49" s="242"/>
      <c r="D49" s="242"/>
      <c r="E49" s="243"/>
      <c r="F49" s="243"/>
      <c r="G49" s="243"/>
      <c r="H49" s="242"/>
      <c r="I49" s="242"/>
    </row>
    <row r="50" spans="3:9">
      <c r="C50" s="242"/>
      <c r="D50" s="242"/>
      <c r="E50" s="243"/>
      <c r="F50" s="243"/>
      <c r="G50" s="1004" t="str">
        <f>_tempat_penyerahan&amp;", "&amp;_tgl_rapor_ganjil</f>
        <v>Abung Surakarta, 21 Desember 2018</v>
      </c>
      <c r="H50" s="1004"/>
      <c r="I50" s="1004"/>
    </row>
    <row r="51" spans="3:9">
      <c r="C51" s="242"/>
      <c r="D51" s="242"/>
      <c r="E51" s="243"/>
      <c r="F51" s="243"/>
      <c r="G51" s="469" t="s">
        <v>149</v>
      </c>
      <c r="H51" s="245"/>
      <c r="I51" s="242"/>
    </row>
    <row r="52" spans="3:9">
      <c r="C52" s="242"/>
      <c r="D52" s="242"/>
      <c r="E52" s="243"/>
      <c r="F52" s="243"/>
      <c r="G52" s="242"/>
      <c r="H52" s="245"/>
      <c r="I52" s="242"/>
    </row>
    <row r="53" spans="3:9">
      <c r="C53" s="242"/>
      <c r="D53" s="242"/>
      <c r="E53" s="243"/>
      <c r="F53" s="243"/>
      <c r="G53" s="242"/>
      <c r="H53" s="245"/>
      <c r="I53" s="242"/>
    </row>
    <row r="54" spans="3:9">
      <c r="C54" s="242"/>
      <c r="D54" s="242"/>
      <c r="E54" s="243"/>
      <c r="F54" s="243"/>
      <c r="G54" s="246" t="str">
        <f>DK!D6</f>
        <v>Siti Kotijah, S.Pd.</v>
      </c>
      <c r="H54" s="245"/>
      <c r="I54" s="242"/>
    </row>
    <row r="55" spans="3:9">
      <c r="C55" s="242"/>
      <c r="D55" s="242"/>
      <c r="E55" s="243"/>
      <c r="F55" s="243"/>
      <c r="G55" s="469" t="str">
        <f>"NIP. "&amp;IF(DK!D7=0,"",DK!D7)</f>
        <v>NIP. 19700120199501 2 001</v>
      </c>
      <c r="H55" s="245"/>
      <c r="I55" s="242"/>
    </row>
    <row r="56" spans="3:9"/>
  </sheetData>
  <sheetProtection password="CE75" sheet="1" objects="1" scenarios="1" selectLockedCells="1"/>
  <mergeCells count="48">
    <mergeCell ref="G50:I50"/>
    <mergeCell ref="E26:G26"/>
    <mergeCell ref="E45:G45"/>
    <mergeCell ref="E46:G46"/>
    <mergeCell ref="E47:G47"/>
    <mergeCell ref="E48:G48"/>
    <mergeCell ref="E27:G27"/>
    <mergeCell ref="E28:G28"/>
    <mergeCell ref="E29:G29"/>
    <mergeCell ref="E30:G30"/>
    <mergeCell ref="E31:G31"/>
    <mergeCell ref="E21:G21"/>
    <mergeCell ref="E22:G22"/>
    <mergeCell ref="E23:G23"/>
    <mergeCell ref="E24:G24"/>
    <mergeCell ref="E25:G25"/>
    <mergeCell ref="E17:G17"/>
    <mergeCell ref="E18:G18"/>
    <mergeCell ref="E19:G19"/>
    <mergeCell ref="E43:G43"/>
    <mergeCell ref="E44:G44"/>
    <mergeCell ref="E33:G33"/>
    <mergeCell ref="E34:G34"/>
    <mergeCell ref="E35:G35"/>
    <mergeCell ref="E36:G36"/>
    <mergeCell ref="E37:G37"/>
    <mergeCell ref="E38:G38"/>
    <mergeCell ref="E39:G39"/>
    <mergeCell ref="E40:G40"/>
    <mergeCell ref="E41:G41"/>
    <mergeCell ref="E42:G42"/>
    <mergeCell ref="E32:G32"/>
    <mergeCell ref="E20:G20"/>
    <mergeCell ref="E14:G14"/>
    <mergeCell ref="C1:I1"/>
    <mergeCell ref="C4:D4"/>
    <mergeCell ref="F4:G4"/>
    <mergeCell ref="C5:D5"/>
    <mergeCell ref="F5:G5"/>
    <mergeCell ref="E8:G8"/>
    <mergeCell ref="E9:G9"/>
    <mergeCell ref="E10:G10"/>
    <mergeCell ref="E11:G11"/>
    <mergeCell ref="E12:G12"/>
    <mergeCell ref="E13:G13"/>
    <mergeCell ref="C2:I2"/>
    <mergeCell ref="E15:G15"/>
    <mergeCell ref="E16:G16"/>
  </mergeCells>
  <pageMargins left="1.02" right="0.88" top="0.55000000000000004" bottom="0.39" header="0.3" footer="0.3"/>
  <pageSetup paperSize="9" scale="95" orientation="portrait" r:id="rId1"/>
  <drawing r:id="rId2"/>
</worksheet>
</file>

<file path=xl/worksheets/sheet79.xml><?xml version="1.0" encoding="utf-8"?>
<worksheet xmlns="http://schemas.openxmlformats.org/spreadsheetml/2006/main" xmlns:r="http://schemas.openxmlformats.org/officeDocument/2006/relationships">
  <sheetPr codeName="Sheet76">
    <tabColor theme="9"/>
  </sheetPr>
  <dimension ref="A1:J56"/>
  <sheetViews>
    <sheetView showGridLines="0" showRowColHeaders="0" showZeros="0" zoomScaleSheetLayoutView="85" workbookViewId="0">
      <selection activeCell="G56" sqref="G56"/>
    </sheetView>
  </sheetViews>
  <sheetFormatPr defaultColWidth="0" defaultRowHeight="15" customHeight="1" zeroHeight="1"/>
  <cols>
    <col min="1" max="1" width="13.28515625" style="198" customWidth="1"/>
    <col min="2" max="2" width="1.7109375" style="198" customWidth="1"/>
    <col min="3" max="3" width="5.85546875" style="198" customWidth="1"/>
    <col min="4" max="4" width="11.85546875" style="198" customWidth="1"/>
    <col min="5" max="5" width="1.5703125" style="198" customWidth="1"/>
    <col min="6" max="6" width="29.7109375" style="198" customWidth="1"/>
    <col min="7" max="7" width="3.7109375" style="198" customWidth="1"/>
    <col min="8" max="8" width="19.28515625" style="198" customWidth="1"/>
    <col min="9" max="9" width="11.140625" style="198" customWidth="1"/>
    <col min="10" max="10" width="16.140625" style="198" customWidth="1"/>
    <col min="11" max="16384" width="9.140625" style="198" hidden="1"/>
  </cols>
  <sheetData>
    <row r="1" spans="3:9" ht="18" customHeight="1">
      <c r="C1" s="1584" t="s">
        <v>593</v>
      </c>
      <c r="D1" s="1584"/>
      <c r="E1" s="1584"/>
      <c r="F1" s="1584"/>
      <c r="G1" s="1584"/>
      <c r="H1" s="1584"/>
      <c r="I1" s="1584"/>
    </row>
    <row r="2" spans="3:9" ht="18" customHeight="1" thickBot="1">
      <c r="C2" s="1586" t="str">
        <f>_nama_sekolah</f>
        <v>SMP NEGERI 1 ABUNG SURAKARTA</v>
      </c>
      <c r="D2" s="1586"/>
      <c r="E2" s="1586"/>
      <c r="F2" s="1586"/>
      <c r="G2" s="1586"/>
      <c r="H2" s="1586"/>
      <c r="I2" s="1586"/>
    </row>
    <row r="3" spans="3:9" ht="6.75" customHeight="1" thickTop="1">
      <c r="C3" s="225"/>
      <c r="D3" s="225"/>
      <c r="E3" s="225"/>
      <c r="F3" s="225"/>
      <c r="G3" s="225"/>
      <c r="H3" s="225"/>
      <c r="I3" s="225"/>
    </row>
    <row r="4" spans="3:9">
      <c r="C4" s="1001" t="s">
        <v>5</v>
      </c>
      <c r="D4" s="1001"/>
      <c r="E4" s="470" t="s">
        <v>2</v>
      </c>
      <c r="F4" s="1003" t="str">
        <f>DK!D5</f>
        <v>VIII A</v>
      </c>
      <c r="G4" s="1003"/>
      <c r="H4" s="227" t="s">
        <v>29</v>
      </c>
      <c r="I4" s="472" t="str">
        <f>": "&amp;COUNTA(Biodata!E6:E45)</f>
        <v>: 29</v>
      </c>
    </row>
    <row r="5" spans="3:9" ht="14.25" customHeight="1">
      <c r="C5" s="1001" t="s">
        <v>3</v>
      </c>
      <c r="D5" s="1001"/>
      <c r="E5" s="470" t="s">
        <v>2</v>
      </c>
      <c r="F5" s="1003" t="str">
        <f>DK!D8</f>
        <v>2018 / 2019</v>
      </c>
      <c r="G5" s="1003"/>
      <c r="H5" s="229" t="s">
        <v>4</v>
      </c>
      <c r="I5" s="229" t="str">
        <f>": "&amp;DK!G9</f>
        <v>: 4 (Empat)</v>
      </c>
    </row>
    <row r="6" spans="3:9" ht="4.5" customHeight="1">
      <c r="C6" s="229"/>
      <c r="D6" s="229"/>
      <c r="E6" s="229"/>
      <c r="F6" s="229"/>
      <c r="G6" s="229"/>
      <c r="H6" s="229"/>
      <c r="I6" s="230"/>
    </row>
    <row r="7" spans="3:9" ht="5.25" customHeight="1" thickBot="1">
      <c r="C7" s="231"/>
      <c r="D7" s="231"/>
      <c r="E7" s="231"/>
      <c r="F7" s="231"/>
      <c r="G7" s="232"/>
      <c r="H7" s="232"/>
      <c r="I7" s="233"/>
    </row>
    <row r="8" spans="3:9" ht="30" customHeight="1" thickBot="1">
      <c r="C8" s="234" t="s">
        <v>96</v>
      </c>
      <c r="D8" s="471" t="s">
        <v>51</v>
      </c>
      <c r="E8" s="1585" t="s">
        <v>97</v>
      </c>
      <c r="F8" s="1585"/>
      <c r="G8" s="1585"/>
      <c r="H8" s="577" t="s">
        <v>594</v>
      </c>
      <c r="I8" s="235" t="s">
        <v>61</v>
      </c>
    </row>
    <row r="9" spans="3:9">
      <c r="C9" s="236">
        <f>Biodata!B6</f>
        <v>1</v>
      </c>
      <c r="D9" s="575">
        <f>Biodata!C6</f>
        <v>7057</v>
      </c>
      <c r="E9" s="997" t="str">
        <f>Biodata!E6</f>
        <v>Ahmad Zaki Aufa</v>
      </c>
      <c r="F9" s="998"/>
      <c r="G9" s="999"/>
      <c r="H9" s="578">
        <f>IF(C9=0,"",C9)</f>
        <v>1</v>
      </c>
      <c r="I9" s="238" t="str">
        <f t="shared" ref="I9:I48" si="0">VLOOKUP(C9,_Leger2,52,FALSE)</f>
        <v/>
      </c>
    </row>
    <row r="10" spans="3:9">
      <c r="C10" s="236">
        <f>Biodata!B7</f>
        <v>2</v>
      </c>
      <c r="D10" s="575">
        <f>Biodata!C7</f>
        <v>7058</v>
      </c>
      <c r="E10" s="997" t="str">
        <f>Biodata!E7</f>
        <v>Anandhita Nafra Wilova</v>
      </c>
      <c r="F10" s="998"/>
      <c r="G10" s="999"/>
      <c r="H10" s="395">
        <f>IF(C10=0,"",C10)</f>
        <v>2</v>
      </c>
      <c r="I10" s="238" t="str">
        <f t="shared" si="0"/>
        <v/>
      </c>
    </row>
    <row r="11" spans="3:9">
      <c r="C11" s="236">
        <f>Biodata!B8</f>
        <v>3</v>
      </c>
      <c r="D11" s="575">
        <f>Biodata!C8</f>
        <v>7059</v>
      </c>
      <c r="E11" s="997" t="str">
        <f>Biodata!E8</f>
        <v>Andini Dwi Aryanti</v>
      </c>
      <c r="F11" s="998"/>
      <c r="G11" s="999"/>
      <c r="H11" s="578">
        <f t="shared" ref="H11:H48" si="1">IF(C11=0,"",C11)</f>
        <v>3</v>
      </c>
      <c r="I11" s="238" t="str">
        <f t="shared" si="0"/>
        <v/>
      </c>
    </row>
    <row r="12" spans="3:9">
      <c r="C12" s="236">
        <f>Biodata!B9</f>
        <v>4</v>
      </c>
      <c r="D12" s="575">
        <f>Biodata!C9</f>
        <v>7060</v>
      </c>
      <c r="E12" s="997" t="str">
        <f>Biodata!E9</f>
        <v>Anggun Suci Rahmadani</v>
      </c>
      <c r="F12" s="998"/>
      <c r="G12" s="999"/>
      <c r="H12" s="395">
        <f t="shared" si="1"/>
        <v>4</v>
      </c>
      <c r="I12" s="238" t="str">
        <f t="shared" si="0"/>
        <v/>
      </c>
    </row>
    <row r="13" spans="3:9">
      <c r="C13" s="236">
        <f>Biodata!B10</f>
        <v>5</v>
      </c>
      <c r="D13" s="575">
        <f>Biodata!C10</f>
        <v>7061</v>
      </c>
      <c r="E13" s="997" t="str">
        <f>Biodata!E10</f>
        <v>Anisa Julia Tasya</v>
      </c>
      <c r="F13" s="998"/>
      <c r="G13" s="999"/>
      <c r="H13" s="578">
        <f t="shared" si="1"/>
        <v>5</v>
      </c>
      <c r="I13" s="238" t="str">
        <f t="shared" si="0"/>
        <v/>
      </c>
    </row>
    <row r="14" spans="3:9">
      <c r="C14" s="236">
        <f>Biodata!B11</f>
        <v>6</v>
      </c>
      <c r="D14" s="575">
        <f>Biodata!C11</f>
        <v>7065</v>
      </c>
      <c r="E14" s="997" t="str">
        <f>Biodata!E11</f>
        <v>Aulia Rahmawati</v>
      </c>
      <c r="F14" s="998"/>
      <c r="G14" s="999"/>
      <c r="H14" s="395">
        <f t="shared" si="1"/>
        <v>6</v>
      </c>
      <c r="I14" s="238" t="str">
        <f t="shared" si="0"/>
        <v/>
      </c>
    </row>
    <row r="15" spans="3:9">
      <c r="C15" s="236">
        <f>Biodata!B12</f>
        <v>7</v>
      </c>
      <c r="D15" s="575">
        <f>Biodata!C12</f>
        <v>7066</v>
      </c>
      <c r="E15" s="997" t="str">
        <f>Biodata!E12</f>
        <v>Ayu Chumaira</v>
      </c>
      <c r="F15" s="998"/>
      <c r="G15" s="999"/>
      <c r="H15" s="578">
        <f t="shared" si="1"/>
        <v>7</v>
      </c>
      <c r="I15" s="238" t="str">
        <f t="shared" si="0"/>
        <v/>
      </c>
    </row>
    <row r="16" spans="3:9">
      <c r="C16" s="236">
        <f>Biodata!B13</f>
        <v>8</v>
      </c>
      <c r="D16" s="575">
        <f>Biodata!C13</f>
        <v>7067</v>
      </c>
      <c r="E16" s="997" t="str">
        <f>Biodata!E13</f>
        <v>Ayu Emelia Putri</v>
      </c>
      <c r="F16" s="998"/>
      <c r="G16" s="999"/>
      <c r="H16" s="395">
        <f t="shared" si="1"/>
        <v>8</v>
      </c>
      <c r="I16" s="238" t="str">
        <f t="shared" si="0"/>
        <v/>
      </c>
    </row>
    <row r="17" spans="3:9">
      <c r="C17" s="236">
        <f>Biodata!B14</f>
        <v>9</v>
      </c>
      <c r="D17" s="575">
        <f>Biodata!C14</f>
        <v>7068</v>
      </c>
      <c r="E17" s="997" t="str">
        <f>Biodata!E14</f>
        <v>Bayu Anggoro</v>
      </c>
      <c r="F17" s="998"/>
      <c r="G17" s="999"/>
      <c r="H17" s="578">
        <f t="shared" si="1"/>
        <v>9</v>
      </c>
      <c r="I17" s="238" t="str">
        <f t="shared" si="0"/>
        <v/>
      </c>
    </row>
    <row r="18" spans="3:9">
      <c r="C18" s="236">
        <f>Biodata!B15</f>
        <v>10</v>
      </c>
      <c r="D18" s="575">
        <f>Biodata!C15</f>
        <v>7069</v>
      </c>
      <c r="E18" s="997" t="str">
        <f>Biodata!E15</f>
        <v>Calissta Sabrina Salwa Aurelia</v>
      </c>
      <c r="F18" s="998"/>
      <c r="G18" s="999"/>
      <c r="H18" s="395">
        <f t="shared" si="1"/>
        <v>10</v>
      </c>
      <c r="I18" s="238" t="str">
        <f t="shared" si="0"/>
        <v/>
      </c>
    </row>
    <row r="19" spans="3:9">
      <c r="C19" s="236">
        <f>Biodata!B16</f>
        <v>11</v>
      </c>
      <c r="D19" s="575">
        <f>Biodata!C16</f>
        <v>7074</v>
      </c>
      <c r="E19" s="997" t="str">
        <f>Biodata!E16</f>
        <v>Dea Safitri</v>
      </c>
      <c r="F19" s="998"/>
      <c r="G19" s="999"/>
      <c r="H19" s="578">
        <f t="shared" si="1"/>
        <v>11</v>
      </c>
      <c r="I19" s="238" t="str">
        <f t="shared" si="0"/>
        <v/>
      </c>
    </row>
    <row r="20" spans="3:9">
      <c r="C20" s="236">
        <f>Biodata!B17</f>
        <v>12</v>
      </c>
      <c r="D20" s="575">
        <f>Biodata!C17</f>
        <v>7080</v>
      </c>
      <c r="E20" s="997" t="str">
        <f>Biodata!E17</f>
        <v>Dewi Wulandari</v>
      </c>
      <c r="F20" s="998"/>
      <c r="G20" s="999"/>
      <c r="H20" s="395">
        <f t="shared" si="1"/>
        <v>12</v>
      </c>
      <c r="I20" s="238" t="str">
        <f t="shared" si="0"/>
        <v/>
      </c>
    </row>
    <row r="21" spans="3:9">
      <c r="C21" s="236">
        <f>Biodata!B18</f>
        <v>13</v>
      </c>
      <c r="D21" s="575">
        <f>Biodata!C18</f>
        <v>7084</v>
      </c>
      <c r="E21" s="997" t="str">
        <f>Biodata!E18</f>
        <v>Dony Pratama</v>
      </c>
      <c r="F21" s="998"/>
      <c r="G21" s="999"/>
      <c r="H21" s="578">
        <f t="shared" si="1"/>
        <v>13</v>
      </c>
      <c r="I21" s="238" t="str">
        <f t="shared" si="0"/>
        <v/>
      </c>
    </row>
    <row r="22" spans="3:9">
      <c r="C22" s="236">
        <f>Biodata!B19</f>
        <v>14</v>
      </c>
      <c r="D22" s="575">
        <f>Biodata!C19</f>
        <v>7089</v>
      </c>
      <c r="E22" s="997" t="str">
        <f>Biodata!E19</f>
        <v>Faris Febram</v>
      </c>
      <c r="F22" s="998"/>
      <c r="G22" s="999"/>
      <c r="H22" s="395">
        <f t="shared" si="1"/>
        <v>14</v>
      </c>
      <c r="I22" s="238" t="str">
        <f t="shared" si="0"/>
        <v/>
      </c>
    </row>
    <row r="23" spans="3:9">
      <c r="C23" s="236">
        <f>Biodata!B20</f>
        <v>15</v>
      </c>
      <c r="D23" s="575">
        <f>Biodata!C20</f>
        <v>7095</v>
      </c>
      <c r="E23" s="997" t="str">
        <f>Biodata!E20</f>
        <v>Hikmatullah Umar Malik Abdul Aziz</v>
      </c>
      <c r="F23" s="998"/>
      <c r="G23" s="999"/>
      <c r="H23" s="578">
        <f t="shared" si="1"/>
        <v>15</v>
      </c>
      <c r="I23" s="238" t="str">
        <f t="shared" si="0"/>
        <v/>
      </c>
    </row>
    <row r="24" spans="3:9">
      <c r="C24" s="236">
        <f>Biodata!B21</f>
        <v>16</v>
      </c>
      <c r="D24" s="575">
        <f>Biodata!C21</f>
        <v>7096</v>
      </c>
      <c r="E24" s="997" t="str">
        <f>Biodata!E21</f>
        <v>Indah Purnama Ningsih</v>
      </c>
      <c r="F24" s="998"/>
      <c r="G24" s="999"/>
      <c r="H24" s="395">
        <f t="shared" si="1"/>
        <v>16</v>
      </c>
      <c r="I24" s="238" t="str">
        <f t="shared" si="0"/>
        <v/>
      </c>
    </row>
    <row r="25" spans="3:9">
      <c r="C25" s="236">
        <f>Biodata!B22</f>
        <v>17</v>
      </c>
      <c r="D25" s="575">
        <f>Biodata!C22</f>
        <v>7098</v>
      </c>
      <c r="E25" s="997" t="str">
        <f>Biodata!E22</f>
        <v>Ladiva Nurrosa Laila</v>
      </c>
      <c r="F25" s="998"/>
      <c r="G25" s="999"/>
      <c r="H25" s="578">
        <f t="shared" si="1"/>
        <v>17</v>
      </c>
      <c r="I25" s="238" t="str">
        <f t="shared" si="0"/>
        <v/>
      </c>
    </row>
    <row r="26" spans="3:9">
      <c r="C26" s="236">
        <f>Biodata!B23</f>
        <v>18</v>
      </c>
      <c r="D26" s="575">
        <f>Biodata!C23</f>
        <v>7101</v>
      </c>
      <c r="E26" s="997" t="str">
        <f>Biodata!E23</f>
        <v>Mefa Novita Putri</v>
      </c>
      <c r="F26" s="998"/>
      <c r="G26" s="999"/>
      <c r="H26" s="395">
        <f t="shared" si="1"/>
        <v>18</v>
      </c>
      <c r="I26" s="238" t="str">
        <f t="shared" si="0"/>
        <v/>
      </c>
    </row>
    <row r="27" spans="3:9">
      <c r="C27" s="236">
        <f>Biodata!B24</f>
        <v>19</v>
      </c>
      <c r="D27" s="575">
        <f>Biodata!C24</f>
        <v>7104</v>
      </c>
      <c r="E27" s="997" t="str">
        <f>Biodata!E24</f>
        <v>Mellanie Bunga Aprilia</v>
      </c>
      <c r="F27" s="998"/>
      <c r="G27" s="999"/>
      <c r="H27" s="578">
        <f t="shared" si="1"/>
        <v>19</v>
      </c>
      <c r="I27" s="238" t="str">
        <f t="shared" si="0"/>
        <v/>
      </c>
    </row>
    <row r="28" spans="3:9">
      <c r="C28" s="236">
        <f>Biodata!B25</f>
        <v>20</v>
      </c>
      <c r="D28" s="575">
        <f>Biodata!C25</f>
        <v>7105</v>
      </c>
      <c r="E28" s="997" t="str">
        <f>Biodata!E25</f>
        <v>Mirra Tusolickak</v>
      </c>
      <c r="F28" s="998"/>
      <c r="G28" s="999"/>
      <c r="H28" s="395">
        <f t="shared" si="1"/>
        <v>20</v>
      </c>
      <c r="I28" s="238" t="str">
        <f t="shared" si="0"/>
        <v/>
      </c>
    </row>
    <row r="29" spans="3:9">
      <c r="C29" s="236">
        <f>Biodata!B26</f>
        <v>21</v>
      </c>
      <c r="D29" s="575">
        <f>Biodata!C26</f>
        <v>7107</v>
      </c>
      <c r="E29" s="997" t="str">
        <f>Biodata!E26</f>
        <v>Muhammad Daffa Rifa'i</v>
      </c>
      <c r="F29" s="998"/>
      <c r="G29" s="999"/>
      <c r="H29" s="578">
        <f t="shared" si="1"/>
        <v>21</v>
      </c>
      <c r="I29" s="238" t="str">
        <f t="shared" si="0"/>
        <v/>
      </c>
    </row>
    <row r="30" spans="3:9">
      <c r="C30" s="236">
        <f>Biodata!B27</f>
        <v>22</v>
      </c>
      <c r="D30" s="575">
        <f>Biodata!C27</f>
        <v>7108</v>
      </c>
      <c r="E30" s="997" t="str">
        <f>Biodata!E27</f>
        <v>Muhammad Jaupanto</v>
      </c>
      <c r="F30" s="998"/>
      <c r="G30" s="999"/>
      <c r="H30" s="395">
        <f t="shared" si="1"/>
        <v>22</v>
      </c>
      <c r="I30" s="238" t="str">
        <f t="shared" si="0"/>
        <v/>
      </c>
    </row>
    <row r="31" spans="3:9">
      <c r="C31" s="236">
        <f>Biodata!B28</f>
        <v>23</v>
      </c>
      <c r="D31" s="575">
        <f>Biodata!C28</f>
        <v>7111</v>
      </c>
      <c r="E31" s="997" t="str">
        <f>Biodata!E28</f>
        <v>Nova Laila Khusna</v>
      </c>
      <c r="F31" s="998"/>
      <c r="G31" s="999"/>
      <c r="H31" s="578">
        <f t="shared" si="1"/>
        <v>23</v>
      </c>
      <c r="I31" s="238" t="str">
        <f t="shared" si="0"/>
        <v/>
      </c>
    </row>
    <row r="32" spans="3:9">
      <c r="C32" s="236">
        <f>Biodata!B29</f>
        <v>24</v>
      </c>
      <c r="D32" s="575">
        <f>Biodata!C29</f>
        <v>7126</v>
      </c>
      <c r="E32" s="997" t="str">
        <f>Biodata!E29</f>
        <v>Sawal Ramadian</v>
      </c>
      <c r="F32" s="998"/>
      <c r="G32" s="999"/>
      <c r="H32" s="395">
        <f t="shared" si="1"/>
        <v>24</v>
      </c>
      <c r="I32" s="238" t="str">
        <f t="shared" si="0"/>
        <v/>
      </c>
    </row>
    <row r="33" spans="3:9">
      <c r="C33" s="236">
        <f>Biodata!B30</f>
        <v>25</v>
      </c>
      <c r="D33" s="575">
        <f>Biodata!C30</f>
        <v>7130</v>
      </c>
      <c r="E33" s="997" t="str">
        <f>Biodata!E30</f>
        <v>Sofyan Romansyah</v>
      </c>
      <c r="F33" s="998"/>
      <c r="G33" s="999"/>
      <c r="H33" s="578">
        <f t="shared" si="1"/>
        <v>25</v>
      </c>
      <c r="I33" s="238" t="str">
        <f t="shared" si="0"/>
        <v/>
      </c>
    </row>
    <row r="34" spans="3:9">
      <c r="C34" s="236">
        <f>Biodata!B31</f>
        <v>26</v>
      </c>
      <c r="D34" s="575">
        <f>Biodata!C31</f>
        <v>7132</v>
      </c>
      <c r="E34" s="997" t="str">
        <f>Biodata!E31</f>
        <v>Tio Ardinata</v>
      </c>
      <c r="F34" s="998"/>
      <c r="G34" s="999"/>
      <c r="H34" s="395">
        <f t="shared" si="1"/>
        <v>26</v>
      </c>
      <c r="I34" s="238" t="str">
        <f t="shared" si="0"/>
        <v/>
      </c>
    </row>
    <row r="35" spans="3:9">
      <c r="C35" s="236">
        <f>Biodata!B32</f>
        <v>27</v>
      </c>
      <c r="D35" s="575">
        <f>Biodata!C32</f>
        <v>7133</v>
      </c>
      <c r="E35" s="997" t="str">
        <f>Biodata!E32</f>
        <v>Tutik Dillayanti</v>
      </c>
      <c r="F35" s="998"/>
      <c r="G35" s="999"/>
      <c r="H35" s="578">
        <f t="shared" si="1"/>
        <v>27</v>
      </c>
      <c r="I35" s="238" t="str">
        <f t="shared" si="0"/>
        <v/>
      </c>
    </row>
    <row r="36" spans="3:9">
      <c r="C36" s="236">
        <f>Biodata!B33</f>
        <v>28</v>
      </c>
      <c r="D36" s="575">
        <f>Biodata!C33</f>
        <v>7142</v>
      </c>
      <c r="E36" s="997" t="str">
        <f>Biodata!E33</f>
        <v>I Gede Nyoman Bagiyasa</v>
      </c>
      <c r="F36" s="998"/>
      <c r="G36" s="999"/>
      <c r="H36" s="395">
        <f t="shared" si="1"/>
        <v>28</v>
      </c>
      <c r="I36" s="238" t="str">
        <f t="shared" si="0"/>
        <v/>
      </c>
    </row>
    <row r="37" spans="3:9">
      <c r="C37" s="236">
        <f>Biodata!B34</f>
        <v>29</v>
      </c>
      <c r="D37" s="575">
        <f>Biodata!C34</f>
        <v>0</v>
      </c>
      <c r="E37" s="997" t="str">
        <f>Biodata!E34</f>
        <v>Melati Sabilla Rochmah</v>
      </c>
      <c r="F37" s="998"/>
      <c r="G37" s="999"/>
      <c r="H37" s="578">
        <f t="shared" si="1"/>
        <v>29</v>
      </c>
      <c r="I37" s="238" t="str">
        <f t="shared" si="0"/>
        <v/>
      </c>
    </row>
    <row r="38" spans="3:9">
      <c r="C38" s="236" t="str">
        <f>Biodata!B35</f>
        <v/>
      </c>
      <c r="D38" s="575">
        <f>Biodata!C35</f>
        <v>0</v>
      </c>
      <c r="E38" s="997">
        <f>Biodata!E35</f>
        <v>0</v>
      </c>
      <c r="F38" s="998"/>
      <c r="G38" s="999"/>
      <c r="H38" s="395" t="str">
        <f t="shared" si="1"/>
        <v/>
      </c>
      <c r="I38" s="238" t="str">
        <f t="shared" si="0"/>
        <v/>
      </c>
    </row>
    <row r="39" spans="3:9">
      <c r="C39" s="236" t="str">
        <f>Biodata!B36</f>
        <v/>
      </c>
      <c r="D39" s="575">
        <f>Biodata!C36</f>
        <v>0</v>
      </c>
      <c r="E39" s="997">
        <f>Biodata!E36</f>
        <v>0</v>
      </c>
      <c r="F39" s="998"/>
      <c r="G39" s="999"/>
      <c r="H39" s="578" t="str">
        <f t="shared" si="1"/>
        <v/>
      </c>
      <c r="I39" s="238" t="str">
        <f t="shared" si="0"/>
        <v/>
      </c>
    </row>
    <row r="40" spans="3:9">
      <c r="C40" s="236" t="str">
        <f>Biodata!B37</f>
        <v/>
      </c>
      <c r="D40" s="575">
        <f>Biodata!C37</f>
        <v>0</v>
      </c>
      <c r="E40" s="997">
        <f>Biodata!E37</f>
        <v>0</v>
      </c>
      <c r="F40" s="998"/>
      <c r="G40" s="999"/>
      <c r="H40" s="395" t="str">
        <f t="shared" si="1"/>
        <v/>
      </c>
      <c r="I40" s="238" t="str">
        <f t="shared" si="0"/>
        <v/>
      </c>
    </row>
    <row r="41" spans="3:9">
      <c r="C41" s="236" t="str">
        <f>Biodata!B38</f>
        <v/>
      </c>
      <c r="D41" s="575">
        <f>Biodata!C38</f>
        <v>0</v>
      </c>
      <c r="E41" s="997">
        <f>Biodata!E38</f>
        <v>0</v>
      </c>
      <c r="F41" s="998"/>
      <c r="G41" s="999"/>
      <c r="H41" s="578" t="str">
        <f t="shared" si="1"/>
        <v/>
      </c>
      <c r="I41" s="238" t="str">
        <f t="shared" si="0"/>
        <v/>
      </c>
    </row>
    <row r="42" spans="3:9">
      <c r="C42" s="236" t="str">
        <f>Biodata!B39</f>
        <v/>
      </c>
      <c r="D42" s="575">
        <f>Biodata!C39</f>
        <v>0</v>
      </c>
      <c r="E42" s="997">
        <f>Biodata!E39</f>
        <v>0</v>
      </c>
      <c r="F42" s="998"/>
      <c r="G42" s="999"/>
      <c r="H42" s="395" t="str">
        <f t="shared" si="1"/>
        <v/>
      </c>
      <c r="I42" s="238" t="str">
        <f t="shared" si="0"/>
        <v/>
      </c>
    </row>
    <row r="43" spans="3:9">
      <c r="C43" s="236" t="str">
        <f>Biodata!B40</f>
        <v/>
      </c>
      <c r="D43" s="575">
        <f>Biodata!C40</f>
        <v>0</v>
      </c>
      <c r="E43" s="997">
        <f>Biodata!E40</f>
        <v>0</v>
      </c>
      <c r="F43" s="998"/>
      <c r="G43" s="999"/>
      <c r="H43" s="578" t="str">
        <f t="shared" si="1"/>
        <v/>
      </c>
      <c r="I43" s="238" t="str">
        <f t="shared" si="0"/>
        <v/>
      </c>
    </row>
    <row r="44" spans="3:9">
      <c r="C44" s="236" t="str">
        <f>Biodata!B41</f>
        <v/>
      </c>
      <c r="D44" s="575">
        <f>Biodata!C41</f>
        <v>0</v>
      </c>
      <c r="E44" s="997">
        <f>Biodata!E41</f>
        <v>0</v>
      </c>
      <c r="F44" s="998"/>
      <c r="G44" s="999"/>
      <c r="H44" s="395" t="str">
        <f t="shared" si="1"/>
        <v/>
      </c>
      <c r="I44" s="238" t="str">
        <f t="shared" si="0"/>
        <v/>
      </c>
    </row>
    <row r="45" spans="3:9">
      <c r="C45" s="236" t="str">
        <f>Biodata!B42</f>
        <v/>
      </c>
      <c r="D45" s="575">
        <f>Biodata!C42</f>
        <v>0</v>
      </c>
      <c r="E45" s="997">
        <f>Biodata!E42</f>
        <v>0</v>
      </c>
      <c r="F45" s="998"/>
      <c r="G45" s="999"/>
      <c r="H45" s="578" t="str">
        <f t="shared" si="1"/>
        <v/>
      </c>
      <c r="I45" s="238" t="str">
        <f t="shared" si="0"/>
        <v/>
      </c>
    </row>
    <row r="46" spans="3:9">
      <c r="C46" s="236" t="str">
        <f>Biodata!B43</f>
        <v/>
      </c>
      <c r="D46" s="575">
        <f>Biodata!C43</f>
        <v>0</v>
      </c>
      <c r="E46" s="997">
        <f>Biodata!E43</f>
        <v>0</v>
      </c>
      <c r="F46" s="998"/>
      <c r="G46" s="999"/>
      <c r="H46" s="395" t="str">
        <f t="shared" si="1"/>
        <v/>
      </c>
      <c r="I46" s="238" t="str">
        <f t="shared" si="0"/>
        <v/>
      </c>
    </row>
    <row r="47" spans="3:9">
      <c r="C47" s="236" t="str">
        <f>Biodata!B44</f>
        <v/>
      </c>
      <c r="D47" s="575">
        <f>Biodata!C44</f>
        <v>0</v>
      </c>
      <c r="E47" s="997">
        <f>Biodata!E44</f>
        <v>0</v>
      </c>
      <c r="F47" s="998"/>
      <c r="G47" s="999"/>
      <c r="H47" s="578" t="str">
        <f t="shared" si="1"/>
        <v/>
      </c>
      <c r="I47" s="238" t="str">
        <f t="shared" si="0"/>
        <v/>
      </c>
    </row>
    <row r="48" spans="3:9" ht="15.75" thickBot="1">
      <c r="C48" s="239" t="str">
        <f>Biodata!B45</f>
        <v/>
      </c>
      <c r="D48" s="576">
        <f>Biodata!C45</f>
        <v>0</v>
      </c>
      <c r="E48" s="1005">
        <f>Biodata!E45</f>
        <v>0</v>
      </c>
      <c r="F48" s="1006"/>
      <c r="G48" s="1007"/>
      <c r="H48" s="396" t="str">
        <f t="shared" si="1"/>
        <v/>
      </c>
      <c r="I48" s="241" t="str">
        <f t="shared" si="0"/>
        <v/>
      </c>
    </row>
    <row r="49" spans="3:9" ht="9.75" customHeight="1">
      <c r="C49" s="242"/>
      <c r="D49" s="242"/>
      <c r="E49" s="243"/>
      <c r="F49" s="243"/>
      <c r="G49" s="243"/>
      <c r="H49" s="242"/>
      <c r="I49" s="242"/>
    </row>
    <row r="50" spans="3:9">
      <c r="C50" s="242"/>
      <c r="D50" s="242"/>
      <c r="E50" s="243"/>
      <c r="F50" s="243"/>
      <c r="G50" s="1004" t="str">
        <f>_tempat_penyerahan&amp;", "&amp;_tgl_rapor_genap</f>
        <v>Abung Surakarta, 22 Juni 2020</v>
      </c>
      <c r="H50" s="1004"/>
      <c r="I50" s="1004"/>
    </row>
    <row r="51" spans="3:9">
      <c r="C51" s="242"/>
      <c r="D51" s="242"/>
      <c r="E51" s="243"/>
      <c r="F51" s="243"/>
      <c r="G51" s="469" t="s">
        <v>149</v>
      </c>
      <c r="H51" s="245"/>
      <c r="I51" s="242"/>
    </row>
    <row r="52" spans="3:9">
      <c r="C52" s="242"/>
      <c r="D52" s="242"/>
      <c r="E52" s="243"/>
      <c r="F52" s="243"/>
      <c r="G52" s="242"/>
      <c r="H52" s="245"/>
      <c r="I52" s="242"/>
    </row>
    <row r="53" spans="3:9">
      <c r="C53" s="242"/>
      <c r="D53" s="242"/>
      <c r="E53" s="243"/>
      <c r="F53" s="243"/>
      <c r="G53" s="242"/>
      <c r="H53" s="245"/>
      <c r="I53" s="242"/>
    </row>
    <row r="54" spans="3:9">
      <c r="C54" s="242"/>
      <c r="D54" s="242"/>
      <c r="E54" s="243"/>
      <c r="F54" s="243"/>
      <c r="G54" s="246" t="str">
        <f>DK!D6</f>
        <v>Siti Kotijah, S.Pd.</v>
      </c>
      <c r="H54" s="245"/>
      <c r="I54" s="242"/>
    </row>
    <row r="55" spans="3:9">
      <c r="C55" s="242"/>
      <c r="D55" s="242"/>
      <c r="E55" s="243"/>
      <c r="F55" s="243"/>
      <c r="G55" s="469" t="str">
        <f>"NIP. "&amp;IF(DK!D7=0,"",DK!D7)</f>
        <v>NIP. 19700120199501 2 001</v>
      </c>
      <c r="H55" s="245"/>
      <c r="I55" s="242"/>
    </row>
    <row r="56" spans="3:9"/>
  </sheetData>
  <sheetProtection password="CE75" sheet="1" objects="1" scenarios="1" selectLockedCells="1"/>
  <mergeCells count="48">
    <mergeCell ref="G50:I50"/>
    <mergeCell ref="E38:G38"/>
    <mergeCell ref="E39:G39"/>
    <mergeCell ref="E40:G40"/>
    <mergeCell ref="E41:G41"/>
    <mergeCell ref="E42:G42"/>
    <mergeCell ref="E43:G43"/>
    <mergeCell ref="E44:G44"/>
    <mergeCell ref="E45:G45"/>
    <mergeCell ref="E46:G46"/>
    <mergeCell ref="E47:G47"/>
    <mergeCell ref="E48:G48"/>
    <mergeCell ref="E37:G37"/>
    <mergeCell ref="E26:G26"/>
    <mergeCell ref="E27:G27"/>
    <mergeCell ref="E28:G28"/>
    <mergeCell ref="E29:G29"/>
    <mergeCell ref="E30:G30"/>
    <mergeCell ref="E31:G31"/>
    <mergeCell ref="E32:G32"/>
    <mergeCell ref="E33:G33"/>
    <mergeCell ref="E34:G34"/>
    <mergeCell ref="E35:G35"/>
    <mergeCell ref="E36:G36"/>
    <mergeCell ref="E25:G25"/>
    <mergeCell ref="E14:G14"/>
    <mergeCell ref="E15:G15"/>
    <mergeCell ref="E16:G16"/>
    <mergeCell ref="E17:G17"/>
    <mergeCell ref="E18:G18"/>
    <mergeCell ref="E19:G19"/>
    <mergeCell ref="E20:G20"/>
    <mergeCell ref="E21:G21"/>
    <mergeCell ref="E22:G22"/>
    <mergeCell ref="E23:G23"/>
    <mergeCell ref="E24:G24"/>
    <mergeCell ref="E13:G13"/>
    <mergeCell ref="C1:I1"/>
    <mergeCell ref="C2:I2"/>
    <mergeCell ref="C4:D4"/>
    <mergeCell ref="F4:G4"/>
    <mergeCell ref="C5:D5"/>
    <mergeCell ref="F5:G5"/>
    <mergeCell ref="E8:G8"/>
    <mergeCell ref="E9:G9"/>
    <mergeCell ref="E10:G10"/>
    <mergeCell ref="E11:G11"/>
    <mergeCell ref="E12:G12"/>
  </mergeCells>
  <pageMargins left="0.96" right="0.88" top="0.48" bottom="0.39" header="0.3" footer="0.3"/>
  <pageSetup paperSize="9" scale="95" orientation="portrait" r:id="rId1"/>
  <drawing r:id="rId2"/>
</worksheet>
</file>

<file path=xl/worksheets/sheet80.xml><?xml version="1.0" encoding="utf-8"?>
<worksheet xmlns="http://schemas.openxmlformats.org/spreadsheetml/2006/main" xmlns:r="http://schemas.openxmlformats.org/officeDocument/2006/relationships">
  <sheetPr codeName="Sheet79">
    <tabColor theme="1"/>
  </sheetPr>
  <dimension ref="A1:AN74"/>
  <sheetViews>
    <sheetView showRowColHeaders="0" topLeftCell="A3" zoomScale="85" zoomScaleNormal="85" workbookViewId="0">
      <selection activeCell="Y9" sqref="Y9:Z36"/>
    </sheetView>
  </sheetViews>
  <sheetFormatPr defaultColWidth="0" defaultRowHeight="16.5" customHeight="1" zeroHeight="1"/>
  <cols>
    <col min="1" max="1" width="1.7109375" style="16" customWidth="1"/>
    <col min="2" max="2" width="11" style="19" customWidth="1"/>
    <col min="3" max="3" width="0.42578125" style="16" customWidth="1"/>
    <col min="4" max="4" width="2.5703125" style="16" customWidth="1"/>
    <col min="5" max="5" width="4.85546875" style="684" customWidth="1"/>
    <col min="6" max="6" width="7.85546875" style="684" customWidth="1"/>
    <col min="7" max="7" width="13.42578125" style="684" customWidth="1"/>
    <col min="8" max="8" width="17.5703125" style="684" customWidth="1"/>
    <col min="9" max="38" width="7.85546875" style="16" customWidth="1"/>
    <col min="39" max="39" width="9.140625" style="16" customWidth="1"/>
    <col min="40" max="40" width="28.7109375" style="16" hidden="1" customWidth="1"/>
    <col min="41" max="16384" width="9.140625" style="16" hidden="1"/>
  </cols>
  <sheetData>
    <row r="1" spans="1:39" ht="10.5" customHeight="1" thickBot="1"/>
    <row r="2" spans="1:39" ht="21" customHeight="1" thickBot="1">
      <c r="E2" s="1596" t="s">
        <v>614</v>
      </c>
      <c r="F2" s="1597"/>
      <c r="G2" s="1597"/>
      <c r="H2" s="1597"/>
      <c r="I2" s="1597"/>
      <c r="J2" s="1597"/>
      <c r="K2" s="1597"/>
      <c r="L2" s="1597"/>
      <c r="M2" s="1597"/>
      <c r="N2" s="1597"/>
      <c r="O2" s="1597"/>
      <c r="P2" s="1598"/>
    </row>
    <row r="3" spans="1:39" ht="12" customHeight="1" thickBot="1">
      <c r="E3" s="199"/>
      <c r="F3" s="199"/>
      <c r="G3" s="199"/>
      <c r="H3" s="199"/>
      <c r="I3" s="198"/>
      <c r="J3" s="198"/>
      <c r="K3" s="198"/>
      <c r="L3" s="198"/>
      <c r="M3" s="198"/>
      <c r="N3" s="198"/>
      <c r="O3" s="198"/>
      <c r="P3" s="198"/>
      <c r="Q3" s="198"/>
      <c r="R3" s="198"/>
      <c r="S3" s="198"/>
      <c r="T3" s="198"/>
      <c r="U3" s="198"/>
      <c r="V3" s="198"/>
      <c r="W3" s="198"/>
      <c r="X3" s="198"/>
      <c r="Y3" s="198"/>
      <c r="Z3" s="198"/>
      <c r="AA3" s="198"/>
      <c r="AB3" s="198"/>
      <c r="AC3" s="198"/>
      <c r="AD3" s="198"/>
      <c r="AE3" s="198"/>
      <c r="AF3" s="198"/>
      <c r="AG3" s="198"/>
      <c r="AH3" s="198"/>
      <c r="AI3" s="198"/>
      <c r="AJ3" s="198"/>
      <c r="AK3" s="198"/>
      <c r="AL3" s="198"/>
    </row>
    <row r="4" spans="1:39" ht="18.75" customHeight="1" thickBot="1">
      <c r="E4" s="1590" t="str">
        <f>"LEGER DESK. SEMESTER "&amp;UPPER(_smt_ganjil)</f>
        <v>LEGER DESK. SEMESTER 3 (TIGA)</v>
      </c>
      <c r="F4" s="1591"/>
      <c r="G4" s="1591"/>
      <c r="H4" s="1592"/>
      <c r="I4" s="1599" t="s">
        <v>613</v>
      </c>
      <c r="J4" s="1600"/>
      <c r="K4" s="1600"/>
      <c r="L4" s="1600"/>
      <c r="M4" s="1600"/>
      <c r="N4" s="1600"/>
      <c r="O4" s="1600"/>
      <c r="P4" s="1600"/>
      <c r="Q4" s="1600"/>
      <c r="R4" s="1600"/>
      <c r="S4" s="1600"/>
      <c r="T4" s="1600"/>
      <c r="U4" s="1600"/>
      <c r="V4" s="1600"/>
      <c r="W4" s="1600"/>
      <c r="X4" s="1600"/>
      <c r="Y4" s="1600"/>
      <c r="Z4" s="1600"/>
      <c r="AA4" s="1600"/>
      <c r="AB4" s="1600"/>
      <c r="AC4" s="1600"/>
      <c r="AD4" s="1600"/>
      <c r="AE4" s="1600"/>
      <c r="AF4" s="1600"/>
      <c r="AG4" s="1600"/>
      <c r="AH4" s="1600"/>
      <c r="AI4" s="1600"/>
      <c r="AJ4" s="1600"/>
      <c r="AK4" s="1600"/>
      <c r="AL4" s="1601"/>
    </row>
    <row r="5" spans="1:39" s="22" customFormat="1" ht="17.25" customHeight="1" thickBot="1">
      <c r="B5" s="21"/>
      <c r="E5" s="1593"/>
      <c r="F5" s="1594"/>
      <c r="G5" s="1594"/>
      <c r="H5" s="1595"/>
      <c r="I5" s="1587">
        <v>1</v>
      </c>
      <c r="J5" s="1588"/>
      <c r="K5" s="1587">
        <v>2</v>
      </c>
      <c r="L5" s="1588"/>
      <c r="M5" s="1587">
        <v>3</v>
      </c>
      <c r="N5" s="1588"/>
      <c r="O5" s="1587">
        <v>4</v>
      </c>
      <c r="P5" s="1588"/>
      <c r="Q5" s="1587">
        <v>5</v>
      </c>
      <c r="R5" s="1588"/>
      <c r="S5" s="1587">
        <v>6</v>
      </c>
      <c r="T5" s="1588"/>
      <c r="U5" s="1587">
        <v>7</v>
      </c>
      <c r="V5" s="1588"/>
      <c r="W5" s="1587">
        <v>8</v>
      </c>
      <c r="X5" s="1588"/>
      <c r="Y5" s="1587">
        <v>9</v>
      </c>
      <c r="Z5" s="1588"/>
      <c r="AA5" s="1587">
        <v>10</v>
      </c>
      <c r="AB5" s="1588"/>
      <c r="AC5" s="1587">
        <v>11</v>
      </c>
      <c r="AD5" s="1588"/>
      <c r="AE5" s="1587">
        <v>12</v>
      </c>
      <c r="AF5" s="1588"/>
      <c r="AG5" s="1587">
        <v>13</v>
      </c>
      <c r="AH5" s="1588"/>
      <c r="AI5" s="1587">
        <v>14</v>
      </c>
      <c r="AJ5" s="1588"/>
      <c r="AK5" s="1587">
        <v>15</v>
      </c>
      <c r="AL5" s="1589"/>
    </row>
    <row r="6" spans="1:39" ht="33" customHeight="1" thickBot="1">
      <c r="E6" s="1023" t="str">
        <f>"KELAS "&amp;_kelas&amp;" - TP. "&amp;DK!D8</f>
        <v>KELAS VIII A - TP. 2018 / 2019</v>
      </c>
      <c r="F6" s="1024"/>
      <c r="G6" s="1024"/>
      <c r="H6" s="1025"/>
      <c r="I6" s="1019" t="str">
        <f>_MP1</f>
        <v>Pendidikan Agama Islam</v>
      </c>
      <c r="J6" s="1026"/>
      <c r="K6" s="1019" t="str">
        <f>_MP2</f>
        <v>Pendidikan Agama Kristen</v>
      </c>
      <c r="L6" s="1020"/>
      <c r="M6" s="1019" t="str">
        <f>_MP3</f>
        <v>Pendidikan Agama Katolik</v>
      </c>
      <c r="N6" s="1020"/>
      <c r="O6" s="1019" t="str">
        <f>_MP4</f>
        <v>Pendidikan Agama Hindu</v>
      </c>
      <c r="P6" s="1020"/>
      <c r="Q6" s="1019" t="str">
        <f>_MP5</f>
        <v>Pendidikan Agama Budha</v>
      </c>
      <c r="R6" s="1020"/>
      <c r="S6" s="885" t="str">
        <f>_MP6</f>
        <v>PKn</v>
      </c>
      <c r="T6" s="886"/>
      <c r="U6" s="885" t="str">
        <f>_MP7</f>
        <v xml:space="preserve">Bahasa Indonesia </v>
      </c>
      <c r="V6" s="886"/>
      <c r="W6" s="885" t="str">
        <f>_MP8</f>
        <v xml:space="preserve">Matematika </v>
      </c>
      <c r="X6" s="886"/>
      <c r="Y6" s="885" t="str">
        <f>_MP9</f>
        <v xml:space="preserve">Ilmu Pengetahuan Alam </v>
      </c>
      <c r="Z6" s="886"/>
      <c r="AA6" s="885" t="str">
        <f>_MP10</f>
        <v xml:space="preserve">Ilmu Pengetahuan Sosial </v>
      </c>
      <c r="AB6" s="886"/>
      <c r="AC6" s="885" t="str">
        <f>_MP11</f>
        <v xml:space="preserve">Bahasa Inggris </v>
      </c>
      <c r="AD6" s="886"/>
      <c r="AE6" s="885" t="str">
        <f>_MP12</f>
        <v>Seni Budaya</v>
      </c>
      <c r="AF6" s="886"/>
      <c r="AG6" s="885" t="str">
        <f>_MP13</f>
        <v>Penjaskes</v>
      </c>
      <c r="AH6" s="886"/>
      <c r="AI6" s="885" t="str">
        <f>_MP14</f>
        <v>Prakarya</v>
      </c>
      <c r="AJ6" s="886"/>
      <c r="AK6" s="885" t="str">
        <f>_MP15</f>
        <v>Bahasa dan Aksara Lampung</v>
      </c>
      <c r="AL6" s="887"/>
    </row>
    <row r="7" spans="1:39" ht="17.25" thickBot="1">
      <c r="E7" s="1029" t="s">
        <v>50</v>
      </c>
      <c r="F7" s="1031" t="s">
        <v>51</v>
      </c>
      <c r="G7" s="1033" t="s">
        <v>52</v>
      </c>
      <c r="H7" s="1034"/>
      <c r="I7" s="1027"/>
      <c r="J7" s="1028"/>
      <c r="K7" s="1021"/>
      <c r="L7" s="1022"/>
      <c r="M7" s="1021"/>
      <c r="N7" s="1022"/>
      <c r="O7" s="1021"/>
      <c r="P7" s="1022"/>
      <c r="Q7" s="1021"/>
      <c r="R7" s="1022"/>
      <c r="S7" s="888"/>
      <c r="T7" s="889"/>
      <c r="U7" s="888"/>
      <c r="V7" s="889"/>
      <c r="W7" s="888"/>
      <c r="X7" s="889"/>
      <c r="Y7" s="888"/>
      <c r="Z7" s="889"/>
      <c r="AA7" s="888"/>
      <c r="AB7" s="889"/>
      <c r="AC7" s="888"/>
      <c r="AD7" s="889"/>
      <c r="AE7" s="888"/>
      <c r="AF7" s="889"/>
      <c r="AG7" s="888"/>
      <c r="AH7" s="889"/>
      <c r="AI7" s="888"/>
      <c r="AJ7" s="889"/>
      <c r="AK7" s="888"/>
      <c r="AL7" s="890"/>
      <c r="AM7" s="16" t="s">
        <v>612</v>
      </c>
    </row>
    <row r="8" spans="1:39" ht="17.25" thickBot="1">
      <c r="E8" s="1030"/>
      <c r="F8" s="1032"/>
      <c r="G8" s="1035"/>
      <c r="H8" s="1036"/>
      <c r="I8" s="204" t="s">
        <v>54</v>
      </c>
      <c r="J8" s="205" t="s">
        <v>55</v>
      </c>
      <c r="K8" s="204" t="s">
        <v>54</v>
      </c>
      <c r="L8" s="205" t="s">
        <v>55</v>
      </c>
      <c r="M8" s="204" t="s">
        <v>54</v>
      </c>
      <c r="N8" s="205" t="s">
        <v>55</v>
      </c>
      <c r="O8" s="204" t="s">
        <v>54</v>
      </c>
      <c r="P8" s="205" t="s">
        <v>55</v>
      </c>
      <c r="Q8" s="204" t="s">
        <v>54</v>
      </c>
      <c r="R8" s="205" t="s">
        <v>55</v>
      </c>
      <c r="S8" s="204" t="s">
        <v>54</v>
      </c>
      <c r="T8" s="205" t="s">
        <v>55</v>
      </c>
      <c r="U8" s="204" t="s">
        <v>54</v>
      </c>
      <c r="V8" s="205" t="s">
        <v>55</v>
      </c>
      <c r="W8" s="204" t="s">
        <v>54</v>
      </c>
      <c r="X8" s="205" t="s">
        <v>55</v>
      </c>
      <c r="Y8" s="204" t="s">
        <v>54</v>
      </c>
      <c r="Z8" s="205" t="s">
        <v>55</v>
      </c>
      <c r="AA8" s="204" t="s">
        <v>54</v>
      </c>
      <c r="AB8" s="205" t="s">
        <v>55</v>
      </c>
      <c r="AC8" s="204" t="s">
        <v>54</v>
      </c>
      <c r="AD8" s="205" t="s">
        <v>55</v>
      </c>
      <c r="AE8" s="204" t="s">
        <v>54</v>
      </c>
      <c r="AF8" s="205" t="s">
        <v>55</v>
      </c>
      <c r="AG8" s="204" t="s">
        <v>54</v>
      </c>
      <c r="AH8" s="205" t="s">
        <v>55</v>
      </c>
      <c r="AI8" s="204" t="s">
        <v>54</v>
      </c>
      <c r="AJ8" s="205" t="s">
        <v>55</v>
      </c>
      <c r="AK8" s="204" t="s">
        <v>54</v>
      </c>
      <c r="AL8" s="205" t="s">
        <v>55</v>
      </c>
      <c r="AM8" s="16" t="s">
        <v>612</v>
      </c>
    </row>
    <row r="9" spans="1:39">
      <c r="E9" s="247">
        <f>Biodata!B6</f>
        <v>1</v>
      </c>
      <c r="F9" s="248">
        <f>IF(Biodata!C6="","",VLOOKUP(E9,Biodata_Siswa,2,FALSE))</f>
        <v>7057</v>
      </c>
      <c r="G9" s="1015" t="str">
        <f>IF(Biodata!E6="","",PROPER(VLOOKUP(E9,Biodata_Siswa,4,FALSE)))</f>
        <v>Ahmad Zaki Aufa</v>
      </c>
      <c r="H9" s="1016"/>
      <c r="I9" s="707" t="s">
        <v>810</v>
      </c>
      <c r="J9" s="708" t="s">
        <v>811</v>
      </c>
      <c r="K9" s="707" t="s">
        <v>612</v>
      </c>
      <c r="L9" s="708" t="s">
        <v>612</v>
      </c>
      <c r="M9" s="707" t="s">
        <v>612</v>
      </c>
      <c r="N9" s="708" t="s">
        <v>612</v>
      </c>
      <c r="O9" s="707" t="s">
        <v>612</v>
      </c>
      <c r="P9" s="708"/>
      <c r="Q9" s="707"/>
      <c r="R9" s="708" t="s">
        <v>612</v>
      </c>
      <c r="S9" s="707" t="s">
        <v>826</v>
      </c>
      <c r="T9" s="708" t="s">
        <v>827</v>
      </c>
      <c r="U9" s="707" t="s">
        <v>830</v>
      </c>
      <c r="V9" s="708" t="s">
        <v>831</v>
      </c>
      <c r="W9" s="707" t="s">
        <v>839</v>
      </c>
      <c r="X9" s="708" t="s">
        <v>840</v>
      </c>
      <c r="Y9" s="707" t="s">
        <v>937</v>
      </c>
      <c r="Z9" s="708" t="s">
        <v>938</v>
      </c>
      <c r="AA9" s="707" t="s">
        <v>860</v>
      </c>
      <c r="AB9" s="708" t="s">
        <v>861</v>
      </c>
      <c r="AC9" s="707" t="s">
        <v>900</v>
      </c>
      <c r="AD9" s="708" t="s">
        <v>901</v>
      </c>
      <c r="AE9" s="707" t="s">
        <v>868</v>
      </c>
      <c r="AF9" s="708" t="s">
        <v>869</v>
      </c>
      <c r="AG9" s="707" t="s">
        <v>879</v>
      </c>
      <c r="AH9" s="708" t="s">
        <v>880</v>
      </c>
      <c r="AI9" s="707" t="s">
        <v>889</v>
      </c>
      <c r="AJ9" s="708" t="s">
        <v>920</v>
      </c>
      <c r="AK9" s="707" t="s">
        <v>883</v>
      </c>
      <c r="AL9" s="708" t="s">
        <v>884</v>
      </c>
      <c r="AM9" s="16" t="s">
        <v>612</v>
      </c>
    </row>
    <row r="10" spans="1:39">
      <c r="E10" s="211">
        <f>Biodata!B7</f>
        <v>2</v>
      </c>
      <c r="F10" s="212">
        <f>IF(Biodata!C7="","",VLOOKUP(E10,Biodata_Siswa,2,FALSE))</f>
        <v>7058</v>
      </c>
      <c r="G10" s="1015" t="str">
        <f>IF(Biodata!E7="","",PROPER(VLOOKUP(E10,Biodata_Siswa,4,FALSE)))</f>
        <v>Anandhita Nafra Wilova</v>
      </c>
      <c r="H10" s="1016"/>
      <c r="I10" s="707" t="s">
        <v>812</v>
      </c>
      <c r="J10" s="709" t="s">
        <v>813</v>
      </c>
      <c r="K10" s="707" t="s">
        <v>612</v>
      </c>
      <c r="L10" s="709" t="s">
        <v>612</v>
      </c>
      <c r="M10" s="707" t="s">
        <v>612</v>
      </c>
      <c r="N10" s="709" t="s">
        <v>612</v>
      </c>
      <c r="O10" s="707" t="s">
        <v>612</v>
      </c>
      <c r="P10" s="709"/>
      <c r="Q10" s="707"/>
      <c r="R10" s="709" t="s">
        <v>612</v>
      </c>
      <c r="S10" s="707" t="s">
        <v>828</v>
      </c>
      <c r="T10" s="709" t="s">
        <v>827</v>
      </c>
      <c r="U10" s="707" t="s">
        <v>832</v>
      </c>
      <c r="V10" s="709" t="s">
        <v>833</v>
      </c>
      <c r="W10" s="707" t="s">
        <v>839</v>
      </c>
      <c r="X10" s="709" t="s">
        <v>840</v>
      </c>
      <c r="Y10" s="707" t="s">
        <v>939</v>
      </c>
      <c r="Z10" s="709" t="s">
        <v>938</v>
      </c>
      <c r="AA10" s="707" t="s">
        <v>862</v>
      </c>
      <c r="AB10" s="709" t="s">
        <v>861</v>
      </c>
      <c r="AC10" s="707" t="s">
        <v>902</v>
      </c>
      <c r="AD10" s="709" t="s">
        <v>901</v>
      </c>
      <c r="AE10" s="707" t="s">
        <v>870</v>
      </c>
      <c r="AF10" s="709" t="s">
        <v>871</v>
      </c>
      <c r="AG10" s="707" t="s">
        <v>879</v>
      </c>
      <c r="AH10" s="709" t="s">
        <v>880</v>
      </c>
      <c r="AI10" s="707" t="s">
        <v>890</v>
      </c>
      <c r="AJ10" s="709" t="s">
        <v>921</v>
      </c>
      <c r="AK10" s="707" t="s">
        <v>883</v>
      </c>
      <c r="AL10" s="709" t="s">
        <v>884</v>
      </c>
      <c r="AM10" s="16" t="s">
        <v>612</v>
      </c>
    </row>
    <row r="11" spans="1:39">
      <c r="E11" s="211">
        <f>Biodata!B8</f>
        <v>3</v>
      </c>
      <c r="F11" s="212">
        <f>IF(Biodata!C8="","",VLOOKUP(E11,Biodata_Siswa,2,FALSE))</f>
        <v>7059</v>
      </c>
      <c r="G11" s="1015" t="str">
        <f>IF(Biodata!E8="","",PROPER(VLOOKUP(E11,Biodata_Siswa,4,FALSE)))</f>
        <v>Andini Dwi Aryanti</v>
      </c>
      <c r="H11" s="1016"/>
      <c r="I11" s="707" t="s">
        <v>810</v>
      </c>
      <c r="J11" s="709" t="s">
        <v>813</v>
      </c>
      <c r="K11" s="707" t="s">
        <v>612</v>
      </c>
      <c r="L11" s="709" t="s">
        <v>612</v>
      </c>
      <c r="M11" s="707" t="s">
        <v>612</v>
      </c>
      <c r="N11" s="709" t="s">
        <v>612</v>
      </c>
      <c r="O11" s="707" t="s">
        <v>612</v>
      </c>
      <c r="P11" s="709"/>
      <c r="Q11" s="707"/>
      <c r="R11" s="709" t="s">
        <v>612</v>
      </c>
      <c r="S11" s="707" t="s">
        <v>826</v>
      </c>
      <c r="T11" s="709" t="s">
        <v>827</v>
      </c>
      <c r="U11" s="707" t="s">
        <v>834</v>
      </c>
      <c r="V11" s="709" t="s">
        <v>833</v>
      </c>
      <c r="W11" s="707" t="s">
        <v>839</v>
      </c>
      <c r="X11" s="709" t="s">
        <v>840</v>
      </c>
      <c r="Y11" s="707" t="s">
        <v>937</v>
      </c>
      <c r="Z11" s="709" t="s">
        <v>938</v>
      </c>
      <c r="AA11" s="707" t="s">
        <v>863</v>
      </c>
      <c r="AB11" s="709" t="s">
        <v>864</v>
      </c>
      <c r="AC11" s="707" t="s">
        <v>903</v>
      </c>
      <c r="AD11" s="709" t="s">
        <v>901</v>
      </c>
      <c r="AE11" s="707" t="s">
        <v>870</v>
      </c>
      <c r="AF11" s="709" t="s">
        <v>869</v>
      </c>
      <c r="AG11" s="707" t="s">
        <v>879</v>
      </c>
      <c r="AH11" s="709" t="s">
        <v>880</v>
      </c>
      <c r="AI11" s="707" t="s">
        <v>890</v>
      </c>
      <c r="AJ11" s="709" t="s">
        <v>921</v>
      </c>
      <c r="AK11" s="707" t="s">
        <v>885</v>
      </c>
      <c r="AL11" s="709" t="s">
        <v>886</v>
      </c>
      <c r="AM11" s="16" t="s">
        <v>612</v>
      </c>
    </row>
    <row r="12" spans="1:39" ht="15.75" customHeight="1">
      <c r="A12" s="1017"/>
      <c r="B12" s="1017"/>
      <c r="E12" s="211">
        <f>Biodata!B9</f>
        <v>4</v>
      </c>
      <c r="F12" s="212">
        <f>IF(Biodata!C9="","",VLOOKUP(E12,Biodata_Siswa,2,FALSE))</f>
        <v>7060</v>
      </c>
      <c r="G12" s="1015" t="str">
        <f>IF(Biodata!E9="","",PROPER(VLOOKUP(E12,Biodata_Siswa,4,FALSE)))</f>
        <v>Anggun Suci Rahmadani</v>
      </c>
      <c r="H12" s="1016"/>
      <c r="I12" s="707" t="s">
        <v>812</v>
      </c>
      <c r="J12" s="709" t="s">
        <v>813</v>
      </c>
      <c r="K12" s="707" t="s">
        <v>612</v>
      </c>
      <c r="L12" s="709" t="s">
        <v>612</v>
      </c>
      <c r="M12" s="707" t="s">
        <v>612</v>
      </c>
      <c r="N12" s="709" t="s">
        <v>612</v>
      </c>
      <c r="O12" s="707" t="s">
        <v>612</v>
      </c>
      <c r="P12" s="709"/>
      <c r="Q12" s="707"/>
      <c r="R12" s="709" t="s">
        <v>612</v>
      </c>
      <c r="S12" s="707" t="s">
        <v>826</v>
      </c>
      <c r="T12" s="709" t="s">
        <v>827</v>
      </c>
      <c r="U12" s="707" t="s">
        <v>834</v>
      </c>
      <c r="V12" s="709" t="s">
        <v>833</v>
      </c>
      <c r="W12" s="707" t="s">
        <v>841</v>
      </c>
      <c r="X12" s="709" t="s">
        <v>842</v>
      </c>
      <c r="Y12" s="707" t="s">
        <v>940</v>
      </c>
      <c r="Z12" s="709" t="s">
        <v>941</v>
      </c>
      <c r="AA12" s="707" t="s">
        <v>865</v>
      </c>
      <c r="AB12" s="709" t="s">
        <v>866</v>
      </c>
      <c r="AC12" s="707" t="s">
        <v>904</v>
      </c>
      <c r="AD12" s="709" t="s">
        <v>901</v>
      </c>
      <c r="AE12" s="707" t="s">
        <v>870</v>
      </c>
      <c r="AF12" s="709" t="s">
        <v>869</v>
      </c>
      <c r="AG12" s="707" t="s">
        <v>879</v>
      </c>
      <c r="AH12" s="709" t="s">
        <v>880</v>
      </c>
      <c r="AI12" s="707" t="s">
        <v>891</v>
      </c>
      <c r="AJ12" s="709" t="s">
        <v>922</v>
      </c>
      <c r="AK12" s="707" t="s">
        <v>883</v>
      </c>
      <c r="AL12" s="709" t="s">
        <v>884</v>
      </c>
      <c r="AM12" s="16" t="s">
        <v>612</v>
      </c>
    </row>
    <row r="13" spans="1:39">
      <c r="A13" s="1017"/>
      <c r="B13" s="1017"/>
      <c r="E13" s="211">
        <f>Biodata!B10</f>
        <v>5</v>
      </c>
      <c r="F13" s="212">
        <f>IF(Biodata!C10="","",VLOOKUP(E13,Biodata_Siswa,2,FALSE))</f>
        <v>7061</v>
      </c>
      <c r="G13" s="1015" t="str">
        <f>IF(Biodata!E10="","",PROPER(VLOOKUP(E13,Biodata_Siswa,4,FALSE)))</f>
        <v>Anisa Julia Tasya</v>
      </c>
      <c r="H13" s="1016"/>
      <c r="I13" s="707" t="s">
        <v>814</v>
      </c>
      <c r="J13" s="709" t="s">
        <v>811</v>
      </c>
      <c r="K13" s="707" t="s">
        <v>612</v>
      </c>
      <c r="L13" s="709" t="s">
        <v>612</v>
      </c>
      <c r="M13" s="707" t="s">
        <v>612</v>
      </c>
      <c r="N13" s="709" t="s">
        <v>612</v>
      </c>
      <c r="O13" s="707" t="s">
        <v>612</v>
      </c>
      <c r="P13" s="709"/>
      <c r="Q13" s="707"/>
      <c r="R13" s="709" t="s">
        <v>612</v>
      </c>
      <c r="S13" s="707" t="s">
        <v>828</v>
      </c>
      <c r="T13" s="709" t="s">
        <v>827</v>
      </c>
      <c r="U13" s="707" t="s">
        <v>834</v>
      </c>
      <c r="V13" s="709" t="s">
        <v>833</v>
      </c>
      <c r="W13" s="707" t="s">
        <v>839</v>
      </c>
      <c r="X13" s="709" t="s">
        <v>840</v>
      </c>
      <c r="Y13" s="707" t="s">
        <v>937</v>
      </c>
      <c r="Z13" s="709" t="s">
        <v>938</v>
      </c>
      <c r="AA13" s="707" t="s">
        <v>860</v>
      </c>
      <c r="AB13" s="709" t="s">
        <v>861</v>
      </c>
      <c r="AC13" s="707" t="s">
        <v>905</v>
      </c>
      <c r="AD13" s="709" t="s">
        <v>901</v>
      </c>
      <c r="AE13" s="707" t="s">
        <v>870</v>
      </c>
      <c r="AF13" s="709" t="s">
        <v>872</v>
      </c>
      <c r="AG13" s="707" t="s">
        <v>879</v>
      </c>
      <c r="AH13" s="709" t="s">
        <v>881</v>
      </c>
      <c r="AI13" s="707" t="s">
        <v>892</v>
      </c>
      <c r="AJ13" s="709" t="s">
        <v>922</v>
      </c>
      <c r="AK13" s="707" t="s">
        <v>883</v>
      </c>
      <c r="AL13" s="709" t="s">
        <v>884</v>
      </c>
      <c r="AM13" s="16" t="s">
        <v>612</v>
      </c>
    </row>
    <row r="14" spans="1:39">
      <c r="A14" s="1017"/>
      <c r="B14" s="1017"/>
      <c r="E14" s="211">
        <f>Biodata!B11</f>
        <v>6</v>
      </c>
      <c r="F14" s="212">
        <f>IF(Biodata!C11="","",VLOOKUP(E14,Biodata_Siswa,2,FALSE))</f>
        <v>7065</v>
      </c>
      <c r="G14" s="1015" t="str">
        <f>IF(Biodata!E11="","",PROPER(VLOOKUP(E14,Biodata_Siswa,4,FALSE)))</f>
        <v>Aulia Rahmawati</v>
      </c>
      <c r="H14" s="1016"/>
      <c r="I14" s="707" t="s">
        <v>815</v>
      </c>
      <c r="J14" s="709" t="s">
        <v>813</v>
      </c>
      <c r="K14" s="707" t="s">
        <v>612</v>
      </c>
      <c r="L14" s="709" t="s">
        <v>612</v>
      </c>
      <c r="M14" s="707" t="s">
        <v>612</v>
      </c>
      <c r="N14" s="709" t="s">
        <v>612</v>
      </c>
      <c r="O14" s="707" t="s">
        <v>612</v>
      </c>
      <c r="P14" s="709"/>
      <c r="Q14" s="707"/>
      <c r="R14" s="709" t="s">
        <v>612</v>
      </c>
      <c r="S14" s="707" t="s">
        <v>828</v>
      </c>
      <c r="T14" s="709" t="s">
        <v>827</v>
      </c>
      <c r="U14" s="707" t="s">
        <v>834</v>
      </c>
      <c r="V14" s="709" t="s">
        <v>833</v>
      </c>
      <c r="W14" s="707" t="s">
        <v>839</v>
      </c>
      <c r="X14" s="709" t="s">
        <v>840</v>
      </c>
      <c r="Y14" s="707" t="s">
        <v>940</v>
      </c>
      <c r="Z14" s="709" t="s">
        <v>941</v>
      </c>
      <c r="AA14" s="707" t="s">
        <v>860</v>
      </c>
      <c r="AB14" s="709" t="s">
        <v>861</v>
      </c>
      <c r="AC14" s="707" t="s">
        <v>900</v>
      </c>
      <c r="AD14" s="709" t="s">
        <v>901</v>
      </c>
      <c r="AE14" s="707" t="s">
        <v>870</v>
      </c>
      <c r="AF14" s="709" t="s">
        <v>869</v>
      </c>
      <c r="AG14" s="707" t="s">
        <v>879</v>
      </c>
      <c r="AH14" s="709" t="s">
        <v>880</v>
      </c>
      <c r="AI14" s="707" t="s">
        <v>893</v>
      </c>
      <c r="AJ14" s="709" t="s">
        <v>920</v>
      </c>
      <c r="AK14" s="707" t="s">
        <v>883</v>
      </c>
      <c r="AL14" s="709" t="s">
        <v>884</v>
      </c>
      <c r="AM14" s="16" t="s">
        <v>612</v>
      </c>
    </row>
    <row r="15" spans="1:39">
      <c r="A15" s="1017"/>
      <c r="B15" s="1017"/>
      <c r="E15" s="211">
        <f>Biodata!B12</f>
        <v>7</v>
      </c>
      <c r="F15" s="212">
        <f>IF(Biodata!C12="","",VLOOKUP(E15,Biodata_Siswa,2,FALSE))</f>
        <v>7066</v>
      </c>
      <c r="G15" s="1015" t="str">
        <f>IF(Biodata!E12="","",PROPER(VLOOKUP(E15,Biodata_Siswa,4,FALSE)))</f>
        <v>Ayu Chumaira</v>
      </c>
      <c r="H15" s="1016"/>
      <c r="I15" s="707" t="s">
        <v>816</v>
      </c>
      <c r="J15" s="709" t="s">
        <v>811</v>
      </c>
      <c r="K15" s="707" t="s">
        <v>612</v>
      </c>
      <c r="L15" s="709" t="s">
        <v>612</v>
      </c>
      <c r="M15" s="707" t="s">
        <v>612</v>
      </c>
      <c r="N15" s="709" t="s">
        <v>612</v>
      </c>
      <c r="O15" s="707" t="s">
        <v>612</v>
      </c>
      <c r="P15" s="709"/>
      <c r="Q15" s="707"/>
      <c r="R15" s="709" t="s">
        <v>612</v>
      </c>
      <c r="S15" s="707" t="s">
        <v>828</v>
      </c>
      <c r="T15" s="709" t="s">
        <v>827</v>
      </c>
      <c r="U15" s="707" t="s">
        <v>835</v>
      </c>
      <c r="V15" s="709" t="s">
        <v>836</v>
      </c>
      <c r="W15" s="707" t="s">
        <v>841</v>
      </c>
      <c r="X15" s="709" t="s">
        <v>842</v>
      </c>
      <c r="Y15" s="707" t="s">
        <v>937</v>
      </c>
      <c r="Z15" s="709" t="s">
        <v>938</v>
      </c>
      <c r="AA15" s="707" t="s">
        <v>863</v>
      </c>
      <c r="AB15" s="709" t="s">
        <v>864</v>
      </c>
      <c r="AC15" s="707" t="s">
        <v>906</v>
      </c>
      <c r="AD15" s="709" t="s">
        <v>901</v>
      </c>
      <c r="AE15" s="707" t="s">
        <v>868</v>
      </c>
      <c r="AF15" s="709" t="s">
        <v>869</v>
      </c>
      <c r="AG15" s="707" t="s">
        <v>879</v>
      </c>
      <c r="AH15" s="709" t="s">
        <v>880</v>
      </c>
      <c r="AI15" s="707" t="s">
        <v>890</v>
      </c>
      <c r="AJ15" s="709" t="s">
        <v>923</v>
      </c>
      <c r="AK15" s="707" t="s">
        <v>883</v>
      </c>
      <c r="AL15" s="709" t="s">
        <v>884</v>
      </c>
      <c r="AM15" s="16" t="s">
        <v>612</v>
      </c>
    </row>
    <row r="16" spans="1:39">
      <c r="A16" s="1017"/>
      <c r="B16" s="1017"/>
      <c r="E16" s="211">
        <f>Biodata!B13</f>
        <v>8</v>
      </c>
      <c r="F16" s="212">
        <f>IF(Biodata!C13="","",VLOOKUP(E16,Biodata_Siswa,2,FALSE))</f>
        <v>7067</v>
      </c>
      <c r="G16" s="1015" t="str">
        <f>IF(Biodata!E13="","",PROPER(VLOOKUP(E16,Biodata_Siswa,4,FALSE)))</f>
        <v>Ayu Emelia Putri</v>
      </c>
      <c r="H16" s="1016"/>
      <c r="I16" s="707" t="s">
        <v>816</v>
      </c>
      <c r="J16" s="709" t="s">
        <v>811</v>
      </c>
      <c r="K16" s="707" t="s">
        <v>612</v>
      </c>
      <c r="L16" s="709" t="s">
        <v>612</v>
      </c>
      <c r="M16" s="707" t="s">
        <v>612</v>
      </c>
      <c r="N16" s="709" t="s">
        <v>612</v>
      </c>
      <c r="O16" s="707" t="s">
        <v>612</v>
      </c>
      <c r="P16" s="709"/>
      <c r="Q16" s="707"/>
      <c r="R16" s="709" t="s">
        <v>612</v>
      </c>
      <c r="S16" s="707" t="s">
        <v>828</v>
      </c>
      <c r="T16" s="709" t="s">
        <v>827</v>
      </c>
      <c r="U16" s="707" t="s">
        <v>837</v>
      </c>
      <c r="V16" s="709" t="s">
        <v>836</v>
      </c>
      <c r="W16" s="707" t="s">
        <v>843</v>
      </c>
      <c r="X16" s="709" t="s">
        <v>844</v>
      </c>
      <c r="Y16" s="707" t="s">
        <v>937</v>
      </c>
      <c r="Z16" s="709" t="s">
        <v>938</v>
      </c>
      <c r="AA16" s="707" t="s">
        <v>862</v>
      </c>
      <c r="AB16" s="709" t="s">
        <v>861</v>
      </c>
      <c r="AC16" s="707" t="s">
        <v>907</v>
      </c>
      <c r="AD16" s="709" t="s">
        <v>908</v>
      </c>
      <c r="AE16" s="707" t="s">
        <v>873</v>
      </c>
      <c r="AF16" s="709" t="s">
        <v>869</v>
      </c>
      <c r="AG16" s="707" t="s">
        <v>879</v>
      </c>
      <c r="AH16" s="709" t="s">
        <v>880</v>
      </c>
      <c r="AI16" s="707" t="s">
        <v>890</v>
      </c>
      <c r="AJ16" s="709" t="s">
        <v>924</v>
      </c>
      <c r="AK16" s="707" t="s">
        <v>883</v>
      </c>
      <c r="AL16" s="709" t="s">
        <v>884</v>
      </c>
      <c r="AM16" s="16" t="s">
        <v>612</v>
      </c>
    </row>
    <row r="17" spans="1:39">
      <c r="A17" s="1017"/>
      <c r="B17" s="1017"/>
      <c r="E17" s="211">
        <f>Biodata!B14</f>
        <v>9</v>
      </c>
      <c r="F17" s="212">
        <f>IF(Biodata!C14="","",VLOOKUP(E17,Biodata_Siswa,2,FALSE))</f>
        <v>7068</v>
      </c>
      <c r="G17" s="1015" t="str">
        <f>IF(Biodata!E14="","",PROPER(VLOOKUP(E17,Biodata_Siswa,4,FALSE)))</f>
        <v>Bayu Anggoro</v>
      </c>
      <c r="H17" s="1016"/>
      <c r="I17" s="707" t="s">
        <v>817</v>
      </c>
      <c r="J17" s="709" t="s">
        <v>818</v>
      </c>
      <c r="K17" s="707"/>
      <c r="L17" s="709" t="s">
        <v>612</v>
      </c>
      <c r="M17" s="707" t="s">
        <v>612</v>
      </c>
      <c r="N17" s="709" t="s">
        <v>612</v>
      </c>
      <c r="O17" s="707" t="s">
        <v>612</v>
      </c>
      <c r="P17" s="709"/>
      <c r="Q17" s="707"/>
      <c r="R17" s="709" t="s">
        <v>612</v>
      </c>
      <c r="S17" s="707" t="s">
        <v>828</v>
      </c>
      <c r="T17" s="709" t="s">
        <v>827</v>
      </c>
      <c r="U17" s="707" t="s">
        <v>835</v>
      </c>
      <c r="V17" s="709" t="s">
        <v>836</v>
      </c>
      <c r="W17" s="707" t="s">
        <v>839</v>
      </c>
      <c r="X17" s="709" t="s">
        <v>845</v>
      </c>
      <c r="Y17" s="707" t="s">
        <v>937</v>
      </c>
      <c r="Z17" s="709" t="s">
        <v>938</v>
      </c>
      <c r="AA17" s="707" t="s">
        <v>860</v>
      </c>
      <c r="AB17" s="709" t="s">
        <v>864</v>
      </c>
      <c r="AC17" s="707" t="s">
        <v>906</v>
      </c>
      <c r="AD17" s="709" t="s">
        <v>909</v>
      </c>
      <c r="AE17" s="707" t="s">
        <v>874</v>
      </c>
      <c r="AF17" s="709" t="s">
        <v>875</v>
      </c>
      <c r="AG17" s="707" t="s">
        <v>879</v>
      </c>
      <c r="AH17" s="709" t="s">
        <v>880</v>
      </c>
      <c r="AI17" s="707" t="s">
        <v>893</v>
      </c>
      <c r="AJ17" s="709" t="s">
        <v>925</v>
      </c>
      <c r="AK17" s="707" t="s">
        <v>883</v>
      </c>
      <c r="AL17" s="709" t="s">
        <v>884</v>
      </c>
      <c r="AM17" s="16" t="s">
        <v>612</v>
      </c>
    </row>
    <row r="18" spans="1:39">
      <c r="A18" s="1017"/>
      <c r="B18" s="1017"/>
      <c r="E18" s="211">
        <f>Biodata!B15</f>
        <v>10</v>
      </c>
      <c r="F18" s="212">
        <f>IF(Biodata!C15="","",VLOOKUP(E18,Biodata_Siswa,2,FALSE))</f>
        <v>7069</v>
      </c>
      <c r="G18" s="1015" t="str">
        <f>IF(Biodata!E15="","",PROPER(VLOOKUP(E18,Biodata_Siswa,4,FALSE)))</f>
        <v>Calissta Sabrina Salwa Aurelia</v>
      </c>
      <c r="H18" s="1016"/>
      <c r="I18" s="707" t="s">
        <v>810</v>
      </c>
      <c r="J18" s="709" t="s">
        <v>813</v>
      </c>
      <c r="K18" s="707"/>
      <c r="L18" s="709" t="s">
        <v>612</v>
      </c>
      <c r="M18" s="707" t="s">
        <v>612</v>
      </c>
      <c r="N18" s="709" t="s">
        <v>612</v>
      </c>
      <c r="O18" s="707" t="s">
        <v>612</v>
      </c>
      <c r="P18" s="709"/>
      <c r="Q18" s="707"/>
      <c r="R18" s="709" t="s">
        <v>612</v>
      </c>
      <c r="S18" s="707" t="s">
        <v>828</v>
      </c>
      <c r="T18" s="709" t="s">
        <v>827</v>
      </c>
      <c r="U18" s="707" t="s">
        <v>834</v>
      </c>
      <c r="V18" s="709" t="s">
        <v>833</v>
      </c>
      <c r="W18" s="707" t="s">
        <v>846</v>
      </c>
      <c r="X18" s="709" t="s">
        <v>847</v>
      </c>
      <c r="Y18" s="707" t="s">
        <v>940</v>
      </c>
      <c r="Z18" s="709" t="s">
        <v>941</v>
      </c>
      <c r="AA18" s="707" t="s">
        <v>862</v>
      </c>
      <c r="AB18" s="709" t="s">
        <v>861</v>
      </c>
      <c r="AC18" s="707" t="s">
        <v>910</v>
      </c>
      <c r="AD18" s="709" t="s">
        <v>901</v>
      </c>
      <c r="AE18" s="707" t="s">
        <v>870</v>
      </c>
      <c r="AF18" s="709" t="s">
        <v>869</v>
      </c>
      <c r="AG18" s="707" t="s">
        <v>882</v>
      </c>
      <c r="AH18" s="709" t="s">
        <v>880</v>
      </c>
      <c r="AI18" s="707" t="s">
        <v>890</v>
      </c>
      <c r="AJ18" s="709" t="s">
        <v>924</v>
      </c>
      <c r="AK18" s="707" t="s">
        <v>885</v>
      </c>
      <c r="AL18" s="709" t="s">
        <v>886</v>
      </c>
      <c r="AM18" s="16" t="s">
        <v>612</v>
      </c>
    </row>
    <row r="19" spans="1:39">
      <c r="A19" s="1017"/>
      <c r="B19" s="1017"/>
      <c r="E19" s="211">
        <f>Biodata!B16</f>
        <v>11</v>
      </c>
      <c r="F19" s="212">
        <f>IF(Biodata!C16="","",VLOOKUP(E19,Biodata_Siswa,2,FALSE))</f>
        <v>7074</v>
      </c>
      <c r="G19" s="1015" t="str">
        <f>IF(Biodata!E16="","",PROPER(VLOOKUP(E19,Biodata_Siswa,4,FALSE)))</f>
        <v>Dea Safitri</v>
      </c>
      <c r="H19" s="1016"/>
      <c r="I19" s="707" t="s">
        <v>815</v>
      </c>
      <c r="J19" s="709" t="s">
        <v>819</v>
      </c>
      <c r="K19" s="707"/>
      <c r="L19" s="709" t="s">
        <v>612</v>
      </c>
      <c r="M19" s="707" t="s">
        <v>612</v>
      </c>
      <c r="N19" s="709" t="s">
        <v>612</v>
      </c>
      <c r="O19" s="707" t="s">
        <v>612</v>
      </c>
      <c r="P19" s="709"/>
      <c r="Q19" s="707"/>
      <c r="R19" s="709" t="s">
        <v>612</v>
      </c>
      <c r="S19" s="707" t="s">
        <v>828</v>
      </c>
      <c r="T19" s="709" t="s">
        <v>827</v>
      </c>
      <c r="U19" s="707" t="s">
        <v>834</v>
      </c>
      <c r="V19" s="709" t="s">
        <v>833</v>
      </c>
      <c r="W19" s="707" t="s">
        <v>848</v>
      </c>
      <c r="X19" s="709" t="s">
        <v>849</v>
      </c>
      <c r="Y19" s="707" t="s">
        <v>940</v>
      </c>
      <c r="Z19" s="709" t="s">
        <v>941</v>
      </c>
      <c r="AA19" s="707" t="s">
        <v>863</v>
      </c>
      <c r="AB19" s="709" t="s">
        <v>861</v>
      </c>
      <c r="AC19" s="707" t="s">
        <v>900</v>
      </c>
      <c r="AD19" s="709" t="s">
        <v>901</v>
      </c>
      <c r="AE19" s="707" t="s">
        <v>870</v>
      </c>
      <c r="AF19" s="709" t="s">
        <v>872</v>
      </c>
      <c r="AG19" s="707" t="s">
        <v>879</v>
      </c>
      <c r="AH19" s="709" t="s">
        <v>880</v>
      </c>
      <c r="AI19" s="707" t="s">
        <v>894</v>
      </c>
      <c r="AJ19" s="709" t="s">
        <v>926</v>
      </c>
      <c r="AK19" s="707" t="s">
        <v>883</v>
      </c>
      <c r="AL19" s="709" t="s">
        <v>884</v>
      </c>
      <c r="AM19" s="16" t="s">
        <v>612</v>
      </c>
    </row>
    <row r="20" spans="1:39">
      <c r="A20" s="1017"/>
      <c r="B20" s="1017"/>
      <c r="E20" s="211">
        <f>Biodata!B17</f>
        <v>12</v>
      </c>
      <c r="F20" s="212">
        <f>IF(Biodata!C17="","",VLOOKUP(E20,Biodata_Siswa,2,FALSE))</f>
        <v>7080</v>
      </c>
      <c r="G20" s="1015" t="str">
        <f>IF(Biodata!E17="","",PROPER(VLOOKUP(E20,Biodata_Siswa,4,FALSE)))</f>
        <v>Dewi Wulandari</v>
      </c>
      <c r="H20" s="1016"/>
      <c r="I20" s="707" t="s">
        <v>814</v>
      </c>
      <c r="J20" s="709" t="s">
        <v>813</v>
      </c>
      <c r="K20" s="707"/>
      <c r="L20" s="709" t="s">
        <v>612</v>
      </c>
      <c r="M20" s="707" t="s">
        <v>612</v>
      </c>
      <c r="N20" s="709" t="s">
        <v>612</v>
      </c>
      <c r="O20" s="707" t="s">
        <v>612</v>
      </c>
      <c r="P20" s="709"/>
      <c r="Q20" s="707"/>
      <c r="R20" s="709" t="s">
        <v>612</v>
      </c>
      <c r="S20" s="707" t="s">
        <v>828</v>
      </c>
      <c r="T20" s="709" t="s">
        <v>827</v>
      </c>
      <c r="U20" s="707" t="s">
        <v>834</v>
      </c>
      <c r="V20" s="709" t="s">
        <v>833</v>
      </c>
      <c r="W20" s="707" t="s">
        <v>843</v>
      </c>
      <c r="X20" s="709" t="s">
        <v>844</v>
      </c>
      <c r="Y20" s="707" t="s">
        <v>940</v>
      </c>
      <c r="Z20" s="709" t="s">
        <v>941</v>
      </c>
      <c r="AA20" s="707" t="s">
        <v>862</v>
      </c>
      <c r="AB20" s="709" t="s">
        <v>861</v>
      </c>
      <c r="AC20" s="707" t="s">
        <v>911</v>
      </c>
      <c r="AD20" s="709" t="s">
        <v>901</v>
      </c>
      <c r="AE20" s="707" t="s">
        <v>870</v>
      </c>
      <c r="AF20" s="709" t="s">
        <v>872</v>
      </c>
      <c r="AG20" s="707" t="s">
        <v>879</v>
      </c>
      <c r="AH20" s="709" t="s">
        <v>880</v>
      </c>
      <c r="AI20" s="707" t="s">
        <v>895</v>
      </c>
      <c r="AJ20" s="709" t="s">
        <v>927</v>
      </c>
      <c r="AK20" s="707" t="s">
        <v>885</v>
      </c>
      <c r="AL20" s="709" t="s">
        <v>886</v>
      </c>
      <c r="AM20" s="16" t="s">
        <v>612</v>
      </c>
    </row>
    <row r="21" spans="1:39">
      <c r="A21" s="1017"/>
      <c r="B21" s="1017"/>
      <c r="E21" s="211">
        <f>Biodata!B18</f>
        <v>13</v>
      </c>
      <c r="F21" s="212">
        <f>IF(Biodata!C18="","",VLOOKUP(E21,Biodata_Siswa,2,FALSE))</f>
        <v>7084</v>
      </c>
      <c r="G21" s="1015" t="str">
        <f>IF(Biodata!E18="","",PROPER(VLOOKUP(E21,Biodata_Siswa,4,FALSE)))</f>
        <v>Dony Pratama</v>
      </c>
      <c r="H21" s="1016"/>
      <c r="I21" s="707" t="s">
        <v>820</v>
      </c>
      <c r="J21" s="709" t="s">
        <v>819</v>
      </c>
      <c r="K21" s="707"/>
      <c r="L21" s="709" t="s">
        <v>612</v>
      </c>
      <c r="M21" s="707" t="s">
        <v>612</v>
      </c>
      <c r="N21" s="709" t="s">
        <v>612</v>
      </c>
      <c r="O21" s="707" t="s">
        <v>612</v>
      </c>
      <c r="P21" s="709"/>
      <c r="Q21" s="707"/>
      <c r="R21" s="709" t="s">
        <v>612</v>
      </c>
      <c r="S21" s="707" t="s">
        <v>828</v>
      </c>
      <c r="T21" s="709" t="s">
        <v>827</v>
      </c>
      <c r="U21" s="707" t="s">
        <v>834</v>
      </c>
      <c r="V21" s="709" t="s">
        <v>833</v>
      </c>
      <c r="W21" s="707" t="s">
        <v>841</v>
      </c>
      <c r="X21" s="709" t="s">
        <v>842</v>
      </c>
      <c r="Y21" s="707" t="s">
        <v>940</v>
      </c>
      <c r="Z21" s="709" t="s">
        <v>941</v>
      </c>
      <c r="AA21" s="707" t="s">
        <v>865</v>
      </c>
      <c r="AB21" s="709" t="s">
        <v>864</v>
      </c>
      <c r="AC21" s="707" t="s">
        <v>905</v>
      </c>
      <c r="AD21" s="709" t="s">
        <v>901</v>
      </c>
      <c r="AE21" s="707" t="s">
        <v>870</v>
      </c>
      <c r="AF21" s="709" t="s">
        <v>872</v>
      </c>
      <c r="AG21" s="707" t="s">
        <v>879</v>
      </c>
      <c r="AH21" s="709" t="s">
        <v>880</v>
      </c>
      <c r="AI21" s="707" t="s">
        <v>896</v>
      </c>
      <c r="AJ21" s="709" t="s">
        <v>928</v>
      </c>
      <c r="AK21" s="707" t="s">
        <v>883</v>
      </c>
      <c r="AL21" s="709" t="s">
        <v>884</v>
      </c>
      <c r="AM21" s="16" t="s">
        <v>612</v>
      </c>
    </row>
    <row r="22" spans="1:39" ht="15.75">
      <c r="B22" s="16"/>
      <c r="E22" s="211">
        <f>Biodata!B19</f>
        <v>14</v>
      </c>
      <c r="F22" s="212">
        <f>IF(Biodata!C19="","",VLOOKUP(E22,Biodata_Siswa,2,FALSE))</f>
        <v>7089</v>
      </c>
      <c r="G22" s="1015" t="str">
        <f>IF(Biodata!E19="","",PROPER(VLOOKUP(E22,Biodata_Siswa,4,FALSE)))</f>
        <v>Faris Febram</v>
      </c>
      <c r="H22" s="1016"/>
      <c r="I22" s="707" t="s">
        <v>820</v>
      </c>
      <c r="J22" s="709" t="s">
        <v>819</v>
      </c>
      <c r="K22" s="707"/>
      <c r="L22" s="709" t="s">
        <v>612</v>
      </c>
      <c r="M22" s="707" t="s">
        <v>612</v>
      </c>
      <c r="N22" s="709" t="s">
        <v>612</v>
      </c>
      <c r="O22" s="707" t="s">
        <v>612</v>
      </c>
      <c r="P22" s="709"/>
      <c r="Q22" s="707"/>
      <c r="R22" s="709" t="s">
        <v>612</v>
      </c>
      <c r="S22" s="707" t="s">
        <v>828</v>
      </c>
      <c r="T22" s="709" t="s">
        <v>827</v>
      </c>
      <c r="U22" s="707" t="s">
        <v>834</v>
      </c>
      <c r="V22" s="709" t="s">
        <v>833</v>
      </c>
      <c r="W22" s="707" t="s">
        <v>841</v>
      </c>
      <c r="X22" s="709" t="s">
        <v>842</v>
      </c>
      <c r="Y22" s="707" t="s">
        <v>940</v>
      </c>
      <c r="Z22" s="709" t="s">
        <v>941</v>
      </c>
      <c r="AA22" s="707" t="s">
        <v>860</v>
      </c>
      <c r="AB22" s="709" t="s">
        <v>861</v>
      </c>
      <c r="AC22" s="707" t="s">
        <v>900</v>
      </c>
      <c r="AD22" s="709" t="s">
        <v>901</v>
      </c>
      <c r="AE22" s="707" t="s">
        <v>870</v>
      </c>
      <c r="AF22" s="709" t="s">
        <v>869</v>
      </c>
      <c r="AG22" s="707" t="s">
        <v>879</v>
      </c>
      <c r="AH22" s="709" t="s">
        <v>880</v>
      </c>
      <c r="AI22" s="707" t="s">
        <v>897</v>
      </c>
      <c r="AJ22" s="709" t="s">
        <v>929</v>
      </c>
      <c r="AK22" s="707" t="s">
        <v>883</v>
      </c>
      <c r="AL22" s="709" t="s">
        <v>884</v>
      </c>
      <c r="AM22" s="16" t="s">
        <v>612</v>
      </c>
    </row>
    <row r="23" spans="1:39" ht="15.75">
      <c r="B23" s="16"/>
      <c r="E23" s="211">
        <f>Biodata!B20</f>
        <v>15</v>
      </c>
      <c r="F23" s="212">
        <f>IF(Biodata!C20="","",VLOOKUP(E23,Biodata_Siswa,2,FALSE))</f>
        <v>7095</v>
      </c>
      <c r="G23" s="1015" t="str">
        <f>IF(Biodata!E20="","",PROPER(VLOOKUP(E23,Biodata_Siswa,4,FALSE)))</f>
        <v>Hikmatullah Umar Malik Abdul Aziz</v>
      </c>
      <c r="H23" s="1016"/>
      <c r="I23" s="707" t="s">
        <v>810</v>
      </c>
      <c r="J23" s="709" t="s">
        <v>813</v>
      </c>
      <c r="K23" s="707"/>
      <c r="L23" s="709" t="s">
        <v>612</v>
      </c>
      <c r="M23" s="707" t="s">
        <v>612</v>
      </c>
      <c r="N23" s="709" t="s">
        <v>612</v>
      </c>
      <c r="O23" s="707" t="s">
        <v>612</v>
      </c>
      <c r="P23" s="709"/>
      <c r="Q23" s="707"/>
      <c r="R23" s="709" t="s">
        <v>612</v>
      </c>
      <c r="S23" s="707" t="s">
        <v>826</v>
      </c>
      <c r="T23" s="709" t="s">
        <v>827</v>
      </c>
      <c r="U23" s="707" t="s">
        <v>835</v>
      </c>
      <c r="V23" s="709" t="s">
        <v>836</v>
      </c>
      <c r="W23" s="707" t="s">
        <v>839</v>
      </c>
      <c r="X23" s="709" t="s">
        <v>840</v>
      </c>
      <c r="Y23" s="707" t="s">
        <v>940</v>
      </c>
      <c r="Z23" s="709" t="s">
        <v>941</v>
      </c>
      <c r="AA23" s="707" t="s">
        <v>860</v>
      </c>
      <c r="AB23" s="709" t="s">
        <v>864</v>
      </c>
      <c r="AC23" s="707" t="s">
        <v>900</v>
      </c>
      <c r="AD23" s="709" t="s">
        <v>901</v>
      </c>
      <c r="AE23" s="707" t="s">
        <v>870</v>
      </c>
      <c r="AF23" s="709" t="s">
        <v>876</v>
      </c>
      <c r="AG23" s="707" t="s">
        <v>879</v>
      </c>
      <c r="AH23" s="709" t="s">
        <v>880</v>
      </c>
      <c r="AI23" s="707" t="s">
        <v>898</v>
      </c>
      <c r="AJ23" s="709" t="s">
        <v>926</v>
      </c>
      <c r="AK23" s="707" t="s">
        <v>883</v>
      </c>
      <c r="AL23" s="709" t="s">
        <v>884</v>
      </c>
      <c r="AM23" s="16" t="s">
        <v>612</v>
      </c>
    </row>
    <row r="24" spans="1:39" ht="15.75">
      <c r="B24" s="16"/>
      <c r="E24" s="211">
        <f>Biodata!B21</f>
        <v>16</v>
      </c>
      <c r="F24" s="212">
        <f>IF(Biodata!C21="","",VLOOKUP(E24,Biodata_Siswa,2,FALSE))</f>
        <v>7096</v>
      </c>
      <c r="G24" s="1015" t="str">
        <f>IF(Biodata!E21="","",PROPER(VLOOKUP(E24,Biodata_Siswa,4,FALSE)))</f>
        <v>Indah Purnama Ningsih</v>
      </c>
      <c r="H24" s="1016"/>
      <c r="I24" s="707" t="s">
        <v>817</v>
      </c>
      <c r="J24" s="709" t="s">
        <v>821</v>
      </c>
      <c r="K24" s="707"/>
      <c r="L24" s="709" t="s">
        <v>612</v>
      </c>
      <c r="M24" s="707" t="s">
        <v>612</v>
      </c>
      <c r="N24" s="709" t="s">
        <v>612</v>
      </c>
      <c r="O24" s="707" t="s">
        <v>612</v>
      </c>
      <c r="P24" s="709"/>
      <c r="Q24" s="707"/>
      <c r="R24" s="709" t="s">
        <v>612</v>
      </c>
      <c r="S24" s="707" t="s">
        <v>828</v>
      </c>
      <c r="T24" s="709" t="s">
        <v>827</v>
      </c>
      <c r="U24" s="707" t="s">
        <v>838</v>
      </c>
      <c r="V24" s="709" t="s">
        <v>833</v>
      </c>
      <c r="W24" s="707" t="s">
        <v>850</v>
      </c>
      <c r="X24" s="709" t="s">
        <v>851</v>
      </c>
      <c r="Y24" s="707" t="s">
        <v>937</v>
      </c>
      <c r="Z24" s="709" t="s">
        <v>938</v>
      </c>
      <c r="AA24" s="707" t="s">
        <v>862</v>
      </c>
      <c r="AB24" s="709" t="s">
        <v>861</v>
      </c>
      <c r="AC24" s="707" t="s">
        <v>906</v>
      </c>
      <c r="AD24" s="709" t="s">
        <v>912</v>
      </c>
      <c r="AE24" s="707" t="s">
        <v>868</v>
      </c>
      <c r="AF24" s="709" t="s">
        <v>871</v>
      </c>
      <c r="AG24" s="707" t="s">
        <v>879</v>
      </c>
      <c r="AH24" s="709" t="s">
        <v>880</v>
      </c>
      <c r="AI24" s="707" t="s">
        <v>890</v>
      </c>
      <c r="AJ24" s="709" t="s">
        <v>925</v>
      </c>
      <c r="AK24" s="707" t="s">
        <v>885</v>
      </c>
      <c r="AL24" s="709" t="s">
        <v>886</v>
      </c>
      <c r="AM24" s="16" t="s">
        <v>612</v>
      </c>
    </row>
    <row r="25" spans="1:39">
      <c r="B25" s="1017"/>
      <c r="C25" s="1017"/>
      <c r="E25" s="211">
        <f>Biodata!B22</f>
        <v>17</v>
      </c>
      <c r="F25" s="212">
        <f>IF(Biodata!C22="","",VLOOKUP(E25,Biodata_Siswa,2,FALSE))</f>
        <v>7098</v>
      </c>
      <c r="G25" s="1015" t="str">
        <f>IF(Biodata!E22="","",PROPER(VLOOKUP(E25,Biodata_Siswa,4,FALSE)))</f>
        <v>Ladiva Nurrosa Laila</v>
      </c>
      <c r="H25" s="1016"/>
      <c r="I25" s="707" t="s">
        <v>822</v>
      </c>
      <c r="J25" s="709" t="s">
        <v>813</v>
      </c>
      <c r="K25" s="707"/>
      <c r="L25" s="709" t="s">
        <v>612</v>
      </c>
      <c r="M25" s="707" t="s">
        <v>612</v>
      </c>
      <c r="N25" s="709" t="s">
        <v>612</v>
      </c>
      <c r="O25" s="707" t="s">
        <v>612</v>
      </c>
      <c r="P25" s="709"/>
      <c r="Q25" s="707"/>
      <c r="R25" s="709" t="s">
        <v>612</v>
      </c>
      <c r="S25" s="707" t="s">
        <v>828</v>
      </c>
      <c r="T25" s="709" t="s">
        <v>827</v>
      </c>
      <c r="U25" s="707" t="s">
        <v>834</v>
      </c>
      <c r="V25" s="709" t="s">
        <v>833</v>
      </c>
      <c r="W25" s="707" t="s">
        <v>841</v>
      </c>
      <c r="X25" s="709" t="s">
        <v>842</v>
      </c>
      <c r="Y25" s="707" t="s">
        <v>937</v>
      </c>
      <c r="Z25" s="709" t="s">
        <v>938</v>
      </c>
      <c r="AA25" s="707" t="s">
        <v>865</v>
      </c>
      <c r="AB25" s="709" t="s">
        <v>861</v>
      </c>
      <c r="AC25" s="707" t="s">
        <v>913</v>
      </c>
      <c r="AD25" s="709" t="s">
        <v>901</v>
      </c>
      <c r="AE25" s="707" t="s">
        <v>870</v>
      </c>
      <c r="AF25" s="709" t="s">
        <v>869</v>
      </c>
      <c r="AG25" s="707" t="s">
        <v>879</v>
      </c>
      <c r="AH25" s="709" t="s">
        <v>880</v>
      </c>
      <c r="AI25" s="707" t="s">
        <v>894</v>
      </c>
      <c r="AJ25" s="709" t="s">
        <v>930</v>
      </c>
      <c r="AK25" s="707" t="s">
        <v>885</v>
      </c>
      <c r="AL25" s="709" t="s">
        <v>886</v>
      </c>
      <c r="AM25" s="16" t="s">
        <v>612</v>
      </c>
    </row>
    <row r="26" spans="1:39">
      <c r="E26" s="211">
        <f>Biodata!B23</f>
        <v>18</v>
      </c>
      <c r="F26" s="212">
        <f>IF(Biodata!C23="","",VLOOKUP(E26,Biodata_Siswa,2,FALSE))</f>
        <v>7101</v>
      </c>
      <c r="G26" s="1015" t="str">
        <f>IF(Biodata!E23="","",PROPER(VLOOKUP(E26,Biodata_Siswa,4,FALSE)))</f>
        <v>Mefa Novita Putri</v>
      </c>
      <c r="H26" s="1016"/>
      <c r="I26" s="707" t="s">
        <v>817</v>
      </c>
      <c r="J26" s="709" t="s">
        <v>818</v>
      </c>
      <c r="K26" s="707"/>
      <c r="L26" s="709" t="s">
        <v>612</v>
      </c>
      <c r="M26" s="707" t="s">
        <v>612</v>
      </c>
      <c r="N26" s="709" t="s">
        <v>612</v>
      </c>
      <c r="O26" s="707" t="s">
        <v>612</v>
      </c>
      <c r="P26" s="709"/>
      <c r="Q26" s="707"/>
      <c r="R26" s="709" t="s">
        <v>612</v>
      </c>
      <c r="S26" s="707" t="s">
        <v>828</v>
      </c>
      <c r="T26" s="709" t="s">
        <v>827</v>
      </c>
      <c r="U26" s="707" t="s">
        <v>838</v>
      </c>
      <c r="V26" s="709" t="s">
        <v>833</v>
      </c>
      <c r="W26" s="707" t="s">
        <v>852</v>
      </c>
      <c r="X26" s="709" t="s">
        <v>853</v>
      </c>
      <c r="Y26" s="707" t="s">
        <v>937</v>
      </c>
      <c r="Z26" s="709" t="s">
        <v>938</v>
      </c>
      <c r="AA26" s="707" t="s">
        <v>867</v>
      </c>
      <c r="AB26" s="709" t="s">
        <v>861</v>
      </c>
      <c r="AC26" s="707" t="s">
        <v>906</v>
      </c>
      <c r="AD26" s="709" t="s">
        <v>914</v>
      </c>
      <c r="AE26" s="707" t="s">
        <v>877</v>
      </c>
      <c r="AF26" s="709" t="s">
        <v>876</v>
      </c>
      <c r="AG26" s="707" t="s">
        <v>879</v>
      </c>
      <c r="AH26" s="709" t="s">
        <v>880</v>
      </c>
      <c r="AI26" s="707" t="s">
        <v>892</v>
      </c>
      <c r="AJ26" s="709" t="s">
        <v>931</v>
      </c>
      <c r="AK26" s="707" t="s">
        <v>887</v>
      </c>
      <c r="AL26" s="709" t="s">
        <v>888</v>
      </c>
      <c r="AM26" s="16" t="s">
        <v>612</v>
      </c>
    </row>
    <row r="27" spans="1:39">
      <c r="E27" s="211">
        <f>Biodata!B24</f>
        <v>19</v>
      </c>
      <c r="F27" s="212">
        <f>IF(Biodata!C24="","",VLOOKUP(E27,Biodata_Siswa,2,FALSE))</f>
        <v>7104</v>
      </c>
      <c r="G27" s="1015" t="str">
        <f>IF(Biodata!E24="","",PROPER(VLOOKUP(E27,Biodata_Siswa,4,FALSE)))</f>
        <v>Mellanie Bunga Aprilia</v>
      </c>
      <c r="H27" s="1016"/>
      <c r="I27" s="707" t="s">
        <v>817</v>
      </c>
      <c r="J27" s="709" t="s">
        <v>818</v>
      </c>
      <c r="K27" s="707"/>
      <c r="L27" s="709" t="s">
        <v>612</v>
      </c>
      <c r="M27" s="707" t="s">
        <v>612</v>
      </c>
      <c r="N27" s="709" t="s">
        <v>612</v>
      </c>
      <c r="O27" s="707" t="s">
        <v>612</v>
      </c>
      <c r="P27" s="709"/>
      <c r="Q27" s="707"/>
      <c r="R27" s="709" t="s">
        <v>612</v>
      </c>
      <c r="S27" s="707" t="s">
        <v>828</v>
      </c>
      <c r="T27" s="709" t="s">
        <v>827</v>
      </c>
      <c r="U27" s="707" t="s">
        <v>834</v>
      </c>
      <c r="V27" s="709" t="s">
        <v>833</v>
      </c>
      <c r="W27" s="707" t="s">
        <v>854</v>
      </c>
      <c r="X27" s="709" t="s">
        <v>855</v>
      </c>
      <c r="Y27" s="707" t="s">
        <v>937</v>
      </c>
      <c r="Z27" s="709" t="s">
        <v>938</v>
      </c>
      <c r="AA27" s="707" t="s">
        <v>862</v>
      </c>
      <c r="AB27" s="709" t="s">
        <v>861</v>
      </c>
      <c r="AC27" s="707" t="s">
        <v>915</v>
      </c>
      <c r="AD27" s="709" t="s">
        <v>916</v>
      </c>
      <c r="AE27" s="707" t="s">
        <v>878</v>
      </c>
      <c r="AF27" s="709" t="s">
        <v>869</v>
      </c>
      <c r="AG27" s="707" t="s">
        <v>879</v>
      </c>
      <c r="AH27" s="709" t="s">
        <v>880</v>
      </c>
      <c r="AI27" s="707" t="s">
        <v>890</v>
      </c>
      <c r="AJ27" s="709" t="s">
        <v>927</v>
      </c>
      <c r="AK27" s="707" t="s">
        <v>885</v>
      </c>
      <c r="AL27" s="709" t="s">
        <v>886</v>
      </c>
      <c r="AM27" s="16" t="s">
        <v>612</v>
      </c>
    </row>
    <row r="28" spans="1:39">
      <c r="E28" s="211">
        <f>Biodata!B25</f>
        <v>20</v>
      </c>
      <c r="F28" s="212">
        <f>IF(Biodata!C25="","",VLOOKUP(E28,Biodata_Siswa,2,FALSE))</f>
        <v>7105</v>
      </c>
      <c r="G28" s="1015" t="str">
        <f>IF(Biodata!E25="","",PROPER(VLOOKUP(E28,Biodata_Siswa,4,FALSE)))</f>
        <v>Mirra Tusolickak</v>
      </c>
      <c r="H28" s="1016"/>
      <c r="I28" s="707" t="s">
        <v>810</v>
      </c>
      <c r="J28" s="709" t="s">
        <v>813</v>
      </c>
      <c r="K28" s="707"/>
      <c r="L28" s="709" t="s">
        <v>612</v>
      </c>
      <c r="M28" s="707" t="s">
        <v>612</v>
      </c>
      <c r="N28" s="709" t="s">
        <v>612</v>
      </c>
      <c r="O28" s="707" t="s">
        <v>612</v>
      </c>
      <c r="P28" s="709"/>
      <c r="Q28" s="707"/>
      <c r="R28" s="709" t="s">
        <v>612</v>
      </c>
      <c r="S28" s="707" t="s">
        <v>828</v>
      </c>
      <c r="T28" s="709" t="s">
        <v>827</v>
      </c>
      <c r="U28" s="707" t="s">
        <v>838</v>
      </c>
      <c r="V28" s="709" t="s">
        <v>833</v>
      </c>
      <c r="W28" s="707" t="s">
        <v>856</v>
      </c>
      <c r="X28" s="709" t="s">
        <v>857</v>
      </c>
      <c r="Y28" s="707" t="s">
        <v>942</v>
      </c>
      <c r="Z28" s="709" t="s">
        <v>943</v>
      </c>
      <c r="AA28" s="707" t="s">
        <v>862</v>
      </c>
      <c r="AB28" s="709" t="s">
        <v>861</v>
      </c>
      <c r="AC28" s="707" t="s">
        <v>917</v>
      </c>
      <c r="AD28" s="709" t="s">
        <v>901</v>
      </c>
      <c r="AE28" s="707" t="s">
        <v>874</v>
      </c>
      <c r="AF28" s="709" t="s">
        <v>869</v>
      </c>
      <c r="AG28" s="707" t="s">
        <v>879</v>
      </c>
      <c r="AH28" s="709" t="s">
        <v>880</v>
      </c>
      <c r="AI28" s="707" t="s">
        <v>890</v>
      </c>
      <c r="AJ28" s="709" t="s">
        <v>931</v>
      </c>
      <c r="AK28" s="707" t="s">
        <v>885</v>
      </c>
      <c r="AL28" s="709" t="s">
        <v>886</v>
      </c>
      <c r="AM28" s="16" t="s">
        <v>612</v>
      </c>
    </row>
    <row r="29" spans="1:39">
      <c r="E29" s="211">
        <f>Biodata!B26</f>
        <v>21</v>
      </c>
      <c r="F29" s="212">
        <f>IF(Biodata!C26="","",VLOOKUP(E29,Biodata_Siswa,2,FALSE))</f>
        <v>7107</v>
      </c>
      <c r="G29" s="1015" t="str">
        <f>IF(Biodata!E26="","",PROPER(VLOOKUP(E29,Biodata_Siswa,4,FALSE)))</f>
        <v>Muhammad Daffa Rifa'I</v>
      </c>
      <c r="H29" s="1016"/>
      <c r="I29" s="707" t="s">
        <v>823</v>
      </c>
      <c r="J29" s="709" t="s">
        <v>811</v>
      </c>
      <c r="K29" s="707" t="s">
        <v>612</v>
      </c>
      <c r="L29" s="709" t="s">
        <v>612</v>
      </c>
      <c r="M29" s="707" t="s">
        <v>612</v>
      </c>
      <c r="N29" s="709" t="s">
        <v>612</v>
      </c>
      <c r="O29" s="707" t="s">
        <v>612</v>
      </c>
      <c r="P29" s="709" t="s">
        <v>612</v>
      </c>
      <c r="Q29" s="707" t="s">
        <v>612</v>
      </c>
      <c r="R29" s="709" t="s">
        <v>612</v>
      </c>
      <c r="S29" s="707" t="s">
        <v>828</v>
      </c>
      <c r="T29" s="709" t="s">
        <v>827</v>
      </c>
      <c r="U29" s="707" t="s">
        <v>838</v>
      </c>
      <c r="V29" s="709" t="s">
        <v>836</v>
      </c>
      <c r="W29" s="707" t="s">
        <v>854</v>
      </c>
      <c r="X29" s="709" t="s">
        <v>855</v>
      </c>
      <c r="Y29" s="707" t="s">
        <v>937</v>
      </c>
      <c r="Z29" s="709" t="s">
        <v>938</v>
      </c>
      <c r="AA29" s="707" t="s">
        <v>865</v>
      </c>
      <c r="AB29" s="709" t="s">
        <v>864</v>
      </c>
      <c r="AC29" s="707" t="s">
        <v>918</v>
      </c>
      <c r="AD29" s="709" t="s">
        <v>919</v>
      </c>
      <c r="AE29" s="707" t="s">
        <v>868</v>
      </c>
      <c r="AF29" s="709" t="s">
        <v>869</v>
      </c>
      <c r="AG29" s="707" t="s">
        <v>879</v>
      </c>
      <c r="AH29" s="709" t="s">
        <v>880</v>
      </c>
      <c r="AI29" s="707" t="s">
        <v>892</v>
      </c>
      <c r="AJ29" s="709" t="s">
        <v>932</v>
      </c>
      <c r="AK29" s="707" t="s">
        <v>883</v>
      </c>
      <c r="AL29" s="709" t="s">
        <v>884</v>
      </c>
      <c r="AM29" s="16" t="s">
        <v>612</v>
      </c>
    </row>
    <row r="30" spans="1:39">
      <c r="E30" s="211">
        <f>Biodata!B27</f>
        <v>22</v>
      </c>
      <c r="F30" s="212">
        <f>IF(Biodata!C27="","",VLOOKUP(E30,Biodata_Siswa,2,FALSE))</f>
        <v>7108</v>
      </c>
      <c r="G30" s="1015" t="str">
        <f>IF(Biodata!E27="","",PROPER(VLOOKUP(E30,Biodata_Siswa,4,FALSE)))</f>
        <v>Muhammad Jaupanto</v>
      </c>
      <c r="H30" s="1016"/>
      <c r="I30" s="707" t="s">
        <v>820</v>
      </c>
      <c r="J30" s="709" t="s">
        <v>824</v>
      </c>
      <c r="K30" s="707" t="s">
        <v>612</v>
      </c>
      <c r="L30" s="709" t="s">
        <v>612</v>
      </c>
      <c r="M30" s="707" t="s">
        <v>612</v>
      </c>
      <c r="N30" s="709" t="s">
        <v>612</v>
      </c>
      <c r="O30" s="707" t="s">
        <v>612</v>
      </c>
      <c r="P30" s="709" t="s">
        <v>612</v>
      </c>
      <c r="Q30" s="707" t="s">
        <v>612</v>
      </c>
      <c r="R30" s="709" t="s">
        <v>612</v>
      </c>
      <c r="S30" s="707" t="s">
        <v>826</v>
      </c>
      <c r="T30" s="709" t="s">
        <v>829</v>
      </c>
      <c r="U30" s="707" t="s">
        <v>834</v>
      </c>
      <c r="V30" s="709" t="s">
        <v>833</v>
      </c>
      <c r="W30" s="707" t="s">
        <v>841</v>
      </c>
      <c r="X30" s="709" t="s">
        <v>842</v>
      </c>
      <c r="Y30" s="707" t="s">
        <v>940</v>
      </c>
      <c r="Z30" s="709" t="s">
        <v>941</v>
      </c>
      <c r="AA30" s="707" t="s">
        <v>865</v>
      </c>
      <c r="AB30" s="709" t="s">
        <v>864</v>
      </c>
      <c r="AC30" s="707" t="s">
        <v>900</v>
      </c>
      <c r="AD30" s="709" t="s">
        <v>901</v>
      </c>
      <c r="AE30" s="707" t="s">
        <v>870</v>
      </c>
      <c r="AF30" s="709" t="s">
        <v>872</v>
      </c>
      <c r="AG30" s="707" t="s">
        <v>879</v>
      </c>
      <c r="AH30" s="709" t="s">
        <v>880</v>
      </c>
      <c r="AI30" s="707" t="s">
        <v>893</v>
      </c>
      <c r="AJ30" s="709" t="s">
        <v>933</v>
      </c>
      <c r="AK30" s="707" t="s">
        <v>883</v>
      </c>
      <c r="AL30" s="709" t="s">
        <v>884</v>
      </c>
      <c r="AM30" s="16" t="s">
        <v>612</v>
      </c>
    </row>
    <row r="31" spans="1:39">
      <c r="E31" s="211">
        <f>Biodata!B28</f>
        <v>23</v>
      </c>
      <c r="F31" s="212">
        <f>IF(Biodata!C28="","",VLOOKUP(E31,Biodata_Siswa,2,FALSE))</f>
        <v>7111</v>
      </c>
      <c r="G31" s="1015" t="str">
        <f>IF(Biodata!E28="","",PROPER(VLOOKUP(E31,Biodata_Siswa,4,FALSE)))</f>
        <v>Nova Laila Khusna</v>
      </c>
      <c r="H31" s="1016"/>
      <c r="I31" s="707" t="s">
        <v>817</v>
      </c>
      <c r="J31" s="709" t="s">
        <v>811</v>
      </c>
      <c r="K31" s="707" t="s">
        <v>612</v>
      </c>
      <c r="L31" s="709" t="s">
        <v>612</v>
      </c>
      <c r="M31" s="707" t="s">
        <v>612</v>
      </c>
      <c r="N31" s="709" t="s">
        <v>612</v>
      </c>
      <c r="O31" s="707" t="s">
        <v>612</v>
      </c>
      <c r="P31" s="709" t="s">
        <v>612</v>
      </c>
      <c r="Q31" s="707" t="s">
        <v>612</v>
      </c>
      <c r="R31" s="709" t="s">
        <v>612</v>
      </c>
      <c r="S31" s="707" t="s">
        <v>826</v>
      </c>
      <c r="T31" s="709" t="s">
        <v>827</v>
      </c>
      <c r="U31" s="707" t="s">
        <v>834</v>
      </c>
      <c r="V31" s="709" t="s">
        <v>833</v>
      </c>
      <c r="W31" s="707" t="s">
        <v>843</v>
      </c>
      <c r="X31" s="709" t="s">
        <v>844</v>
      </c>
      <c r="Y31" s="707" t="s">
        <v>937</v>
      </c>
      <c r="Z31" s="709" t="s">
        <v>938</v>
      </c>
      <c r="AA31" s="707" t="s">
        <v>862</v>
      </c>
      <c r="AB31" s="709" t="s">
        <v>861</v>
      </c>
      <c r="AC31" s="707" t="s">
        <v>900</v>
      </c>
      <c r="AD31" s="709" t="s">
        <v>901</v>
      </c>
      <c r="AE31" s="707" t="s">
        <v>870</v>
      </c>
      <c r="AF31" s="709" t="s">
        <v>869</v>
      </c>
      <c r="AG31" s="707" t="s">
        <v>879</v>
      </c>
      <c r="AH31" s="709" t="s">
        <v>880</v>
      </c>
      <c r="AI31" s="707" t="s">
        <v>897</v>
      </c>
      <c r="AJ31" s="709" t="s">
        <v>934</v>
      </c>
      <c r="AK31" s="707" t="s">
        <v>883</v>
      </c>
      <c r="AL31" s="709" t="s">
        <v>884</v>
      </c>
      <c r="AM31" s="16" t="s">
        <v>612</v>
      </c>
    </row>
    <row r="32" spans="1:39">
      <c r="E32" s="211">
        <f>Biodata!B29</f>
        <v>24</v>
      </c>
      <c r="F32" s="212">
        <f>IF(Biodata!C29="","",VLOOKUP(E32,Biodata_Siswa,2,FALSE))</f>
        <v>7126</v>
      </c>
      <c r="G32" s="1015" t="str">
        <f>IF(Biodata!E29="","",PROPER(VLOOKUP(E32,Biodata_Siswa,4,FALSE)))</f>
        <v>Sawal Ramadian</v>
      </c>
      <c r="H32" s="1016"/>
      <c r="I32" s="707" t="s">
        <v>823</v>
      </c>
      <c r="J32" s="709" t="s">
        <v>825</v>
      </c>
      <c r="K32" s="707" t="s">
        <v>612</v>
      </c>
      <c r="L32" s="709" t="s">
        <v>612</v>
      </c>
      <c r="M32" s="707" t="s">
        <v>612</v>
      </c>
      <c r="N32" s="709" t="s">
        <v>612</v>
      </c>
      <c r="O32" s="707" t="s">
        <v>612</v>
      </c>
      <c r="P32" s="709" t="s">
        <v>612</v>
      </c>
      <c r="Q32" s="707" t="s">
        <v>612</v>
      </c>
      <c r="R32" s="709" t="s">
        <v>612</v>
      </c>
      <c r="S32" s="707" t="s">
        <v>826</v>
      </c>
      <c r="T32" s="709" t="s">
        <v>827</v>
      </c>
      <c r="U32" s="707" t="s">
        <v>838</v>
      </c>
      <c r="V32" s="709" t="s">
        <v>836</v>
      </c>
      <c r="W32" s="707" t="s">
        <v>858</v>
      </c>
      <c r="X32" s="709" t="s">
        <v>859</v>
      </c>
      <c r="Y32" s="707" t="s">
        <v>942</v>
      </c>
      <c r="Z32" s="709" t="s">
        <v>943</v>
      </c>
      <c r="AA32" s="707" t="s">
        <v>860</v>
      </c>
      <c r="AB32" s="709" t="s">
        <v>864</v>
      </c>
      <c r="AC32" s="707" t="s">
        <v>906</v>
      </c>
      <c r="AD32" s="709" t="s">
        <v>901</v>
      </c>
      <c r="AE32" s="707" t="s">
        <v>870</v>
      </c>
      <c r="AF32" s="709" t="s">
        <v>869</v>
      </c>
      <c r="AG32" s="707" t="s">
        <v>879</v>
      </c>
      <c r="AH32" s="709" t="s">
        <v>880</v>
      </c>
      <c r="AI32" s="707" t="s">
        <v>897</v>
      </c>
      <c r="AJ32" s="709" t="s">
        <v>933</v>
      </c>
      <c r="AK32" s="707" t="s">
        <v>883</v>
      </c>
      <c r="AL32" s="709" t="s">
        <v>884</v>
      </c>
      <c r="AM32" s="16" t="s">
        <v>612</v>
      </c>
    </row>
    <row r="33" spans="5:39">
      <c r="E33" s="211">
        <f>Biodata!B30</f>
        <v>25</v>
      </c>
      <c r="F33" s="212">
        <f>IF(Biodata!C30="","",VLOOKUP(E33,Biodata_Siswa,2,FALSE))</f>
        <v>7130</v>
      </c>
      <c r="G33" s="1015" t="str">
        <f>IF(Biodata!E30="","",PROPER(VLOOKUP(E33,Biodata_Siswa,4,FALSE)))</f>
        <v>Sofyan Romansyah</v>
      </c>
      <c r="H33" s="1016"/>
      <c r="I33" s="707" t="s">
        <v>820</v>
      </c>
      <c r="J33" s="709" t="s">
        <v>824</v>
      </c>
      <c r="K33" s="707" t="s">
        <v>612</v>
      </c>
      <c r="L33" s="709" t="s">
        <v>612</v>
      </c>
      <c r="M33" s="707" t="s">
        <v>612</v>
      </c>
      <c r="N33" s="709" t="s">
        <v>612</v>
      </c>
      <c r="O33" s="707" t="s">
        <v>612</v>
      </c>
      <c r="P33" s="709" t="s">
        <v>612</v>
      </c>
      <c r="Q33" s="707" t="s">
        <v>612</v>
      </c>
      <c r="R33" s="709" t="s">
        <v>612</v>
      </c>
      <c r="S33" s="707" t="s">
        <v>826</v>
      </c>
      <c r="T33" s="709" t="s">
        <v>829</v>
      </c>
      <c r="U33" s="707" t="s">
        <v>834</v>
      </c>
      <c r="V33" s="709" t="s">
        <v>833</v>
      </c>
      <c r="W33" s="707" t="s">
        <v>841</v>
      </c>
      <c r="X33" s="709" t="s">
        <v>842</v>
      </c>
      <c r="Y33" s="707" t="s">
        <v>940</v>
      </c>
      <c r="Z33" s="709" t="s">
        <v>941</v>
      </c>
      <c r="AA33" s="707" t="s">
        <v>865</v>
      </c>
      <c r="AB33" s="709" t="s">
        <v>866</v>
      </c>
      <c r="AC33" s="707" t="s">
        <v>900</v>
      </c>
      <c r="AD33" s="709" t="s">
        <v>901</v>
      </c>
      <c r="AE33" s="707" t="s">
        <v>870</v>
      </c>
      <c r="AF33" s="709" t="s">
        <v>872</v>
      </c>
      <c r="AG33" s="707" t="s">
        <v>879</v>
      </c>
      <c r="AH33" s="709" t="s">
        <v>880</v>
      </c>
      <c r="AI33" s="707" t="s">
        <v>899</v>
      </c>
      <c r="AJ33" s="709" t="s">
        <v>935</v>
      </c>
      <c r="AK33" s="707" t="s">
        <v>883</v>
      </c>
      <c r="AL33" s="709" t="s">
        <v>884</v>
      </c>
      <c r="AM33" s="16" t="s">
        <v>612</v>
      </c>
    </row>
    <row r="34" spans="5:39">
      <c r="E34" s="211">
        <f>Biodata!B31</f>
        <v>26</v>
      </c>
      <c r="F34" s="212">
        <f>IF(Biodata!C31="","",VLOOKUP(E34,Biodata_Siswa,2,FALSE))</f>
        <v>7132</v>
      </c>
      <c r="G34" s="1015" t="str">
        <f>IF(Biodata!E31="","",PROPER(VLOOKUP(E34,Biodata_Siswa,4,FALSE)))</f>
        <v>Tio Ardinata</v>
      </c>
      <c r="H34" s="1016"/>
      <c r="I34" s="707" t="s">
        <v>820</v>
      </c>
      <c r="J34" s="709" t="s">
        <v>824</v>
      </c>
      <c r="K34" s="707" t="s">
        <v>612</v>
      </c>
      <c r="L34" s="709" t="s">
        <v>612</v>
      </c>
      <c r="M34" s="707" t="s">
        <v>612</v>
      </c>
      <c r="N34" s="709" t="s">
        <v>612</v>
      </c>
      <c r="O34" s="707" t="s">
        <v>612</v>
      </c>
      <c r="P34" s="709" t="s">
        <v>612</v>
      </c>
      <c r="Q34" s="707" t="s">
        <v>612</v>
      </c>
      <c r="R34" s="709" t="s">
        <v>612</v>
      </c>
      <c r="S34" s="707" t="s">
        <v>826</v>
      </c>
      <c r="T34" s="709" t="s">
        <v>827</v>
      </c>
      <c r="U34" s="707" t="s">
        <v>834</v>
      </c>
      <c r="V34" s="709" t="s">
        <v>833</v>
      </c>
      <c r="W34" s="707" t="s">
        <v>841</v>
      </c>
      <c r="X34" s="709" t="s">
        <v>842</v>
      </c>
      <c r="Y34" s="707" t="s">
        <v>940</v>
      </c>
      <c r="Z34" s="709" t="s">
        <v>941</v>
      </c>
      <c r="AA34" s="707" t="s">
        <v>865</v>
      </c>
      <c r="AB34" s="709" t="s">
        <v>864</v>
      </c>
      <c r="AC34" s="707" t="s">
        <v>900</v>
      </c>
      <c r="AD34" s="709" t="s">
        <v>901</v>
      </c>
      <c r="AE34" s="707" t="s">
        <v>870</v>
      </c>
      <c r="AF34" s="709" t="s">
        <v>872</v>
      </c>
      <c r="AG34" s="707" t="s">
        <v>879</v>
      </c>
      <c r="AH34" s="709" t="s">
        <v>880</v>
      </c>
      <c r="AI34" s="707" t="s">
        <v>895</v>
      </c>
      <c r="AJ34" s="709" t="s">
        <v>931</v>
      </c>
      <c r="AK34" s="707" t="s">
        <v>883</v>
      </c>
      <c r="AL34" s="709" t="s">
        <v>884</v>
      </c>
      <c r="AM34" s="16" t="s">
        <v>612</v>
      </c>
    </row>
    <row r="35" spans="5:39">
      <c r="E35" s="211">
        <f>Biodata!B32</f>
        <v>27</v>
      </c>
      <c r="F35" s="212">
        <f>IF(Biodata!C32="","",VLOOKUP(E35,Biodata_Siswa,2,FALSE))</f>
        <v>7133</v>
      </c>
      <c r="G35" s="1015" t="str">
        <f>IF(Biodata!E32="","",PROPER(VLOOKUP(E35,Biodata_Siswa,4,FALSE)))</f>
        <v>Tutik Dillayanti</v>
      </c>
      <c r="H35" s="1016"/>
      <c r="I35" s="707" t="s">
        <v>812</v>
      </c>
      <c r="J35" s="709" t="s">
        <v>813</v>
      </c>
      <c r="K35" s="707" t="s">
        <v>612</v>
      </c>
      <c r="L35" s="709" t="s">
        <v>612</v>
      </c>
      <c r="M35" s="707" t="s">
        <v>612</v>
      </c>
      <c r="N35" s="709" t="s">
        <v>612</v>
      </c>
      <c r="O35" s="707" t="s">
        <v>612</v>
      </c>
      <c r="P35" s="709" t="s">
        <v>612</v>
      </c>
      <c r="Q35" s="707" t="s">
        <v>612</v>
      </c>
      <c r="R35" s="709" t="s">
        <v>612</v>
      </c>
      <c r="S35" s="707" t="s">
        <v>826</v>
      </c>
      <c r="T35" s="709" t="s">
        <v>827</v>
      </c>
      <c r="U35" s="707" t="s">
        <v>834</v>
      </c>
      <c r="V35" s="709" t="s">
        <v>833</v>
      </c>
      <c r="W35" s="707" t="s">
        <v>841</v>
      </c>
      <c r="X35" s="709" t="s">
        <v>842</v>
      </c>
      <c r="Y35" s="707" t="s">
        <v>940</v>
      </c>
      <c r="Z35" s="709" t="s">
        <v>941</v>
      </c>
      <c r="AA35" s="707" t="s">
        <v>865</v>
      </c>
      <c r="AB35" s="709" t="s">
        <v>861</v>
      </c>
      <c r="AC35" s="707" t="s">
        <v>900</v>
      </c>
      <c r="AD35" s="709" t="s">
        <v>901</v>
      </c>
      <c r="AE35" s="707" t="s">
        <v>870</v>
      </c>
      <c r="AF35" s="709" t="s">
        <v>869</v>
      </c>
      <c r="AG35" s="707" t="s">
        <v>879</v>
      </c>
      <c r="AH35" s="709" t="s">
        <v>880</v>
      </c>
      <c r="AI35" s="707" t="s">
        <v>894</v>
      </c>
      <c r="AJ35" s="709" t="s">
        <v>934</v>
      </c>
      <c r="AK35" s="707" t="s">
        <v>885</v>
      </c>
      <c r="AL35" s="709" t="s">
        <v>886</v>
      </c>
      <c r="AM35" s="16" t="s">
        <v>612</v>
      </c>
    </row>
    <row r="36" spans="5:39">
      <c r="E36" s="211">
        <f>Biodata!B33</f>
        <v>28</v>
      </c>
      <c r="F36" s="212">
        <f>IF(Biodata!C33="","",VLOOKUP(E36,Biodata_Siswa,2,FALSE))</f>
        <v>7142</v>
      </c>
      <c r="G36" s="1015" t="str">
        <f>IF(Biodata!E33="","",PROPER(VLOOKUP(E36,Biodata_Siswa,4,FALSE)))</f>
        <v>I Gede Nyoman Bagiyasa</v>
      </c>
      <c r="H36" s="1016"/>
      <c r="I36" s="707" t="s">
        <v>820</v>
      </c>
      <c r="J36" s="709" t="s">
        <v>824</v>
      </c>
      <c r="K36" s="707" t="s">
        <v>612</v>
      </c>
      <c r="L36" s="709" t="s">
        <v>612</v>
      </c>
      <c r="M36" s="707" t="s">
        <v>612</v>
      </c>
      <c r="N36" s="709" t="s">
        <v>612</v>
      </c>
      <c r="O36" s="707" t="s">
        <v>612</v>
      </c>
      <c r="P36" s="709" t="s">
        <v>612</v>
      </c>
      <c r="Q36" s="707" t="s">
        <v>612</v>
      </c>
      <c r="R36" s="709" t="s">
        <v>612</v>
      </c>
      <c r="S36" s="707" t="s">
        <v>826</v>
      </c>
      <c r="T36" s="709" t="s">
        <v>829</v>
      </c>
      <c r="U36" s="707" t="s">
        <v>834</v>
      </c>
      <c r="V36" s="709" t="s">
        <v>833</v>
      </c>
      <c r="W36" s="707" t="s">
        <v>841</v>
      </c>
      <c r="X36" s="709" t="s">
        <v>842</v>
      </c>
      <c r="Y36" s="707" t="s">
        <v>940</v>
      </c>
      <c r="Z36" s="709" t="s">
        <v>941</v>
      </c>
      <c r="AA36" s="707" t="s">
        <v>865</v>
      </c>
      <c r="AB36" s="709" t="s">
        <v>864</v>
      </c>
      <c r="AC36" s="707" t="s">
        <v>900</v>
      </c>
      <c r="AD36" s="709" t="s">
        <v>901</v>
      </c>
      <c r="AE36" s="707" t="s">
        <v>870</v>
      </c>
      <c r="AF36" s="709" t="s">
        <v>872</v>
      </c>
      <c r="AG36" s="707" t="s">
        <v>879</v>
      </c>
      <c r="AH36" s="709" t="s">
        <v>880</v>
      </c>
      <c r="AI36" s="707" t="s">
        <v>889</v>
      </c>
      <c r="AJ36" s="709" t="s">
        <v>936</v>
      </c>
      <c r="AK36" s="707" t="s">
        <v>883</v>
      </c>
      <c r="AL36" s="709" t="s">
        <v>884</v>
      </c>
      <c r="AM36" s="16" t="s">
        <v>612</v>
      </c>
    </row>
    <row r="37" spans="5:39">
      <c r="E37" s="211">
        <f>Biodata!B34</f>
        <v>29</v>
      </c>
      <c r="F37" s="212" t="str">
        <f>IF(Biodata!C34="","",VLOOKUP(E37,Biodata_Siswa,2,FALSE))</f>
        <v/>
      </c>
      <c r="G37" s="1015" t="str">
        <f>IF(Biodata!E34="","",PROPER(VLOOKUP(E37,Biodata_Siswa,4,FALSE)))</f>
        <v>Melati Sabilla Rochmah</v>
      </c>
      <c r="H37" s="1016"/>
      <c r="I37" s="707" t="s">
        <v>612</v>
      </c>
      <c r="J37" s="709" t="s">
        <v>612</v>
      </c>
      <c r="K37" s="707" t="s">
        <v>612</v>
      </c>
      <c r="L37" s="709" t="s">
        <v>612</v>
      </c>
      <c r="M37" s="707" t="s">
        <v>612</v>
      </c>
      <c r="N37" s="709" t="s">
        <v>612</v>
      </c>
      <c r="O37" s="707" t="s">
        <v>612</v>
      </c>
      <c r="P37" s="709" t="s">
        <v>612</v>
      </c>
      <c r="Q37" s="707" t="s">
        <v>612</v>
      </c>
      <c r="R37" s="709" t="s">
        <v>612</v>
      </c>
      <c r="S37" s="707" t="s">
        <v>612</v>
      </c>
      <c r="T37" s="709" t="s">
        <v>612</v>
      </c>
      <c r="U37" s="707" t="s">
        <v>612</v>
      </c>
      <c r="V37" s="709" t="s">
        <v>612</v>
      </c>
      <c r="W37" s="707" t="s">
        <v>612</v>
      </c>
      <c r="X37" s="709" t="s">
        <v>612</v>
      </c>
      <c r="Y37" s="707" t="s">
        <v>612</v>
      </c>
      <c r="Z37" s="709" t="s">
        <v>612</v>
      </c>
      <c r="AA37" s="707" t="s">
        <v>612</v>
      </c>
      <c r="AB37" s="709" t="s">
        <v>612</v>
      </c>
      <c r="AC37" s="707" t="s">
        <v>612</v>
      </c>
      <c r="AD37" s="709" t="s">
        <v>612</v>
      </c>
      <c r="AE37" s="707"/>
      <c r="AF37" s="709"/>
      <c r="AG37" s="707" t="s">
        <v>612</v>
      </c>
      <c r="AH37" s="709" t="s">
        <v>612</v>
      </c>
      <c r="AI37" s="707" t="s">
        <v>612</v>
      </c>
      <c r="AJ37" s="709" t="s">
        <v>612</v>
      </c>
      <c r="AK37" s="707" t="s">
        <v>612</v>
      </c>
      <c r="AL37" s="709" t="s">
        <v>612</v>
      </c>
      <c r="AM37" s="16" t="s">
        <v>612</v>
      </c>
    </row>
    <row r="38" spans="5:39">
      <c r="E38" s="211" t="str">
        <f>Biodata!B35</f>
        <v/>
      </c>
      <c r="F38" s="212" t="str">
        <f>IF(Biodata!C35="","",VLOOKUP(E38,Biodata_Siswa,2,FALSE))</f>
        <v/>
      </c>
      <c r="G38" s="1015" t="str">
        <f>IF(Biodata!E35="","",PROPER(VLOOKUP(E38,Biodata_Siswa,4,FALSE)))</f>
        <v/>
      </c>
      <c r="H38" s="1016"/>
      <c r="I38" s="707" t="s">
        <v>612</v>
      </c>
      <c r="J38" s="709" t="s">
        <v>612</v>
      </c>
      <c r="K38" s="707" t="s">
        <v>612</v>
      </c>
      <c r="L38" s="709" t="s">
        <v>612</v>
      </c>
      <c r="M38" s="707" t="s">
        <v>612</v>
      </c>
      <c r="N38" s="709" t="s">
        <v>612</v>
      </c>
      <c r="O38" s="707" t="s">
        <v>612</v>
      </c>
      <c r="P38" s="709" t="s">
        <v>612</v>
      </c>
      <c r="Q38" s="707" t="s">
        <v>612</v>
      </c>
      <c r="R38" s="709" t="s">
        <v>612</v>
      </c>
      <c r="S38" s="707" t="s">
        <v>612</v>
      </c>
      <c r="T38" s="709" t="s">
        <v>612</v>
      </c>
      <c r="U38" s="707" t="s">
        <v>612</v>
      </c>
      <c r="V38" s="709" t="s">
        <v>612</v>
      </c>
      <c r="W38" s="707" t="s">
        <v>612</v>
      </c>
      <c r="X38" s="709" t="s">
        <v>612</v>
      </c>
      <c r="Y38" s="707" t="s">
        <v>612</v>
      </c>
      <c r="Z38" s="709" t="s">
        <v>612</v>
      </c>
      <c r="AA38" s="707" t="s">
        <v>612</v>
      </c>
      <c r="AB38" s="709" t="s">
        <v>612</v>
      </c>
      <c r="AC38" s="707" t="s">
        <v>612</v>
      </c>
      <c r="AD38" s="709" t="s">
        <v>612</v>
      </c>
      <c r="AE38" s="707"/>
      <c r="AF38" s="709"/>
      <c r="AG38" s="707" t="s">
        <v>612</v>
      </c>
      <c r="AH38" s="709" t="s">
        <v>612</v>
      </c>
      <c r="AI38" s="707" t="s">
        <v>612</v>
      </c>
      <c r="AJ38" s="709" t="s">
        <v>612</v>
      </c>
      <c r="AK38" s="707" t="s">
        <v>612</v>
      </c>
      <c r="AL38" s="709" t="s">
        <v>612</v>
      </c>
      <c r="AM38" s="16" t="s">
        <v>612</v>
      </c>
    </row>
    <row r="39" spans="5:39">
      <c r="E39" s="211" t="str">
        <f>Biodata!B36</f>
        <v/>
      </c>
      <c r="F39" s="212" t="str">
        <f>IF(Biodata!C36="","",VLOOKUP(E39,Biodata_Siswa,2,FALSE))</f>
        <v/>
      </c>
      <c r="G39" s="1015" t="str">
        <f>IF(Biodata!E36="","",PROPER(VLOOKUP(E39,Biodata_Siswa,4,FALSE)))</f>
        <v/>
      </c>
      <c r="H39" s="1016"/>
      <c r="I39" s="707" t="s">
        <v>612</v>
      </c>
      <c r="J39" s="709" t="s">
        <v>612</v>
      </c>
      <c r="K39" s="707" t="s">
        <v>612</v>
      </c>
      <c r="L39" s="709" t="s">
        <v>612</v>
      </c>
      <c r="M39" s="707" t="s">
        <v>612</v>
      </c>
      <c r="N39" s="709" t="s">
        <v>612</v>
      </c>
      <c r="O39" s="707" t="s">
        <v>612</v>
      </c>
      <c r="P39" s="709" t="s">
        <v>612</v>
      </c>
      <c r="Q39" s="707" t="s">
        <v>612</v>
      </c>
      <c r="R39" s="709" t="s">
        <v>612</v>
      </c>
      <c r="S39" s="707" t="s">
        <v>612</v>
      </c>
      <c r="T39" s="709" t="s">
        <v>612</v>
      </c>
      <c r="U39" s="707" t="s">
        <v>612</v>
      </c>
      <c r="V39" s="709" t="s">
        <v>612</v>
      </c>
      <c r="W39" s="707" t="s">
        <v>612</v>
      </c>
      <c r="X39" s="709" t="s">
        <v>612</v>
      </c>
      <c r="Y39" s="707" t="s">
        <v>612</v>
      </c>
      <c r="Z39" s="709" t="s">
        <v>612</v>
      </c>
      <c r="AA39" s="707" t="s">
        <v>612</v>
      </c>
      <c r="AB39" s="709" t="s">
        <v>612</v>
      </c>
      <c r="AC39" s="707" t="s">
        <v>612</v>
      </c>
      <c r="AD39" s="709" t="s">
        <v>612</v>
      </c>
      <c r="AE39" s="707"/>
      <c r="AF39" s="709"/>
      <c r="AG39" s="707" t="s">
        <v>612</v>
      </c>
      <c r="AH39" s="709" t="s">
        <v>612</v>
      </c>
      <c r="AI39" s="707" t="s">
        <v>612</v>
      </c>
      <c r="AJ39" s="709" t="s">
        <v>612</v>
      </c>
      <c r="AK39" s="707" t="s">
        <v>612</v>
      </c>
      <c r="AL39" s="709" t="s">
        <v>612</v>
      </c>
      <c r="AM39" s="16" t="s">
        <v>612</v>
      </c>
    </row>
    <row r="40" spans="5:39">
      <c r="E40" s="211" t="str">
        <f>Biodata!B37</f>
        <v/>
      </c>
      <c r="F40" s="212" t="str">
        <f>IF(Biodata!C37="","",VLOOKUP(E40,Biodata_Siswa,2,FALSE))</f>
        <v/>
      </c>
      <c r="G40" s="1015" t="str">
        <f>IF(Biodata!E37="","",PROPER(VLOOKUP(E40,Biodata_Siswa,4,FALSE)))</f>
        <v/>
      </c>
      <c r="H40" s="1016"/>
      <c r="I40" s="707" t="s">
        <v>612</v>
      </c>
      <c r="J40" s="709" t="s">
        <v>612</v>
      </c>
      <c r="K40" s="707" t="s">
        <v>612</v>
      </c>
      <c r="L40" s="709" t="s">
        <v>612</v>
      </c>
      <c r="M40" s="707" t="s">
        <v>612</v>
      </c>
      <c r="N40" s="709" t="s">
        <v>612</v>
      </c>
      <c r="O40" s="707" t="s">
        <v>612</v>
      </c>
      <c r="P40" s="709" t="s">
        <v>612</v>
      </c>
      <c r="Q40" s="707" t="s">
        <v>612</v>
      </c>
      <c r="R40" s="709" t="s">
        <v>612</v>
      </c>
      <c r="S40" s="707" t="s">
        <v>612</v>
      </c>
      <c r="T40" s="709" t="s">
        <v>612</v>
      </c>
      <c r="U40" s="707" t="s">
        <v>612</v>
      </c>
      <c r="V40" s="709" t="s">
        <v>612</v>
      </c>
      <c r="W40" s="707" t="s">
        <v>612</v>
      </c>
      <c r="X40" s="709" t="s">
        <v>612</v>
      </c>
      <c r="Y40" s="707" t="s">
        <v>612</v>
      </c>
      <c r="Z40" s="709" t="s">
        <v>612</v>
      </c>
      <c r="AA40" s="707" t="s">
        <v>612</v>
      </c>
      <c r="AB40" s="709" t="s">
        <v>612</v>
      </c>
      <c r="AC40" s="707" t="s">
        <v>612</v>
      </c>
      <c r="AD40" s="709" t="s">
        <v>612</v>
      </c>
      <c r="AE40" s="707"/>
      <c r="AF40" s="709"/>
      <c r="AG40" s="707" t="s">
        <v>612</v>
      </c>
      <c r="AH40" s="709" t="s">
        <v>612</v>
      </c>
      <c r="AI40" s="707" t="s">
        <v>612</v>
      </c>
      <c r="AJ40" s="709" t="s">
        <v>612</v>
      </c>
      <c r="AK40" s="707" t="s">
        <v>612</v>
      </c>
      <c r="AL40" s="709" t="s">
        <v>612</v>
      </c>
      <c r="AM40" s="16" t="s">
        <v>612</v>
      </c>
    </row>
    <row r="41" spans="5:39">
      <c r="E41" s="211" t="str">
        <f>Biodata!B38</f>
        <v/>
      </c>
      <c r="F41" s="212" t="str">
        <f>IF(Biodata!C38="","",VLOOKUP(E41,Biodata_Siswa,2,FALSE))</f>
        <v/>
      </c>
      <c r="G41" s="1015" t="str">
        <f>IF(Biodata!E38="","",PROPER(VLOOKUP(E41,Biodata_Siswa,4,FALSE)))</f>
        <v/>
      </c>
      <c r="H41" s="1016"/>
      <c r="I41" s="707" t="s">
        <v>612</v>
      </c>
      <c r="J41" s="709" t="s">
        <v>612</v>
      </c>
      <c r="K41" s="707" t="s">
        <v>612</v>
      </c>
      <c r="L41" s="709" t="s">
        <v>612</v>
      </c>
      <c r="M41" s="707" t="s">
        <v>612</v>
      </c>
      <c r="N41" s="709" t="s">
        <v>612</v>
      </c>
      <c r="O41" s="707" t="s">
        <v>612</v>
      </c>
      <c r="P41" s="709" t="s">
        <v>612</v>
      </c>
      <c r="Q41" s="707" t="s">
        <v>612</v>
      </c>
      <c r="R41" s="709" t="s">
        <v>612</v>
      </c>
      <c r="S41" s="707" t="s">
        <v>612</v>
      </c>
      <c r="T41" s="709" t="s">
        <v>612</v>
      </c>
      <c r="U41" s="707" t="s">
        <v>612</v>
      </c>
      <c r="V41" s="709" t="s">
        <v>612</v>
      </c>
      <c r="W41" s="707" t="s">
        <v>612</v>
      </c>
      <c r="X41" s="709" t="s">
        <v>612</v>
      </c>
      <c r="Y41" s="707" t="s">
        <v>612</v>
      </c>
      <c r="Z41" s="709" t="s">
        <v>612</v>
      </c>
      <c r="AA41" s="707" t="s">
        <v>612</v>
      </c>
      <c r="AB41" s="709" t="s">
        <v>612</v>
      </c>
      <c r="AC41" s="707" t="s">
        <v>612</v>
      </c>
      <c r="AD41" s="709" t="s">
        <v>612</v>
      </c>
      <c r="AE41" s="707" t="s">
        <v>612</v>
      </c>
      <c r="AF41" s="709" t="s">
        <v>612</v>
      </c>
      <c r="AG41" s="707" t="s">
        <v>612</v>
      </c>
      <c r="AH41" s="709" t="s">
        <v>612</v>
      </c>
      <c r="AI41" s="707" t="s">
        <v>612</v>
      </c>
      <c r="AJ41" s="709" t="s">
        <v>612</v>
      </c>
      <c r="AK41" s="707" t="s">
        <v>612</v>
      </c>
      <c r="AL41" s="709" t="s">
        <v>612</v>
      </c>
      <c r="AM41" s="16" t="s">
        <v>612</v>
      </c>
    </row>
    <row r="42" spans="5:39">
      <c r="E42" s="211" t="str">
        <f>Biodata!B39</f>
        <v/>
      </c>
      <c r="F42" s="212" t="str">
        <f>IF(Biodata!C39="","",VLOOKUP(E42,Biodata_Siswa,2,FALSE))</f>
        <v/>
      </c>
      <c r="G42" s="1015" t="str">
        <f>IF(Biodata!E39="","",PROPER(VLOOKUP(E42,Biodata_Siswa,4,FALSE)))</f>
        <v/>
      </c>
      <c r="H42" s="1016"/>
      <c r="I42" s="707" t="s">
        <v>612</v>
      </c>
      <c r="J42" s="709" t="s">
        <v>612</v>
      </c>
      <c r="K42" s="707" t="s">
        <v>612</v>
      </c>
      <c r="L42" s="709" t="s">
        <v>612</v>
      </c>
      <c r="M42" s="707" t="s">
        <v>612</v>
      </c>
      <c r="N42" s="709" t="s">
        <v>612</v>
      </c>
      <c r="O42" s="707" t="s">
        <v>612</v>
      </c>
      <c r="P42" s="709" t="s">
        <v>612</v>
      </c>
      <c r="Q42" s="707" t="s">
        <v>612</v>
      </c>
      <c r="R42" s="709" t="s">
        <v>612</v>
      </c>
      <c r="S42" s="707" t="s">
        <v>612</v>
      </c>
      <c r="T42" s="709" t="s">
        <v>612</v>
      </c>
      <c r="U42" s="707" t="s">
        <v>612</v>
      </c>
      <c r="V42" s="709" t="s">
        <v>612</v>
      </c>
      <c r="W42" s="707" t="s">
        <v>612</v>
      </c>
      <c r="X42" s="709" t="s">
        <v>612</v>
      </c>
      <c r="Y42" s="707" t="s">
        <v>612</v>
      </c>
      <c r="Z42" s="709" t="s">
        <v>612</v>
      </c>
      <c r="AA42" s="707" t="s">
        <v>612</v>
      </c>
      <c r="AB42" s="709" t="s">
        <v>612</v>
      </c>
      <c r="AC42" s="707" t="s">
        <v>612</v>
      </c>
      <c r="AD42" s="709" t="s">
        <v>612</v>
      </c>
      <c r="AE42" s="707" t="s">
        <v>612</v>
      </c>
      <c r="AF42" s="709" t="s">
        <v>612</v>
      </c>
      <c r="AG42" s="707" t="s">
        <v>612</v>
      </c>
      <c r="AH42" s="709" t="s">
        <v>612</v>
      </c>
      <c r="AI42" s="707" t="s">
        <v>612</v>
      </c>
      <c r="AJ42" s="709" t="s">
        <v>612</v>
      </c>
      <c r="AK42" s="707" t="s">
        <v>612</v>
      </c>
      <c r="AL42" s="709" t="s">
        <v>612</v>
      </c>
      <c r="AM42" s="16" t="s">
        <v>612</v>
      </c>
    </row>
    <row r="43" spans="5:39">
      <c r="E43" s="211" t="str">
        <f>Biodata!B40</f>
        <v/>
      </c>
      <c r="F43" s="212" t="str">
        <f>IF(Biodata!C40="","",VLOOKUP(E43,Biodata_Siswa,2,FALSE))</f>
        <v/>
      </c>
      <c r="G43" s="1015" t="str">
        <f>IF(Biodata!E40="","",PROPER(VLOOKUP(E43,Biodata_Siswa,4,FALSE)))</f>
        <v/>
      </c>
      <c r="H43" s="1016"/>
      <c r="I43" s="707" t="s">
        <v>612</v>
      </c>
      <c r="J43" s="709" t="s">
        <v>612</v>
      </c>
      <c r="K43" s="707" t="s">
        <v>612</v>
      </c>
      <c r="L43" s="709" t="s">
        <v>612</v>
      </c>
      <c r="M43" s="707" t="s">
        <v>612</v>
      </c>
      <c r="N43" s="709" t="s">
        <v>612</v>
      </c>
      <c r="O43" s="707" t="s">
        <v>612</v>
      </c>
      <c r="P43" s="709" t="s">
        <v>612</v>
      </c>
      <c r="Q43" s="707" t="s">
        <v>612</v>
      </c>
      <c r="R43" s="709" t="s">
        <v>612</v>
      </c>
      <c r="S43" s="707" t="s">
        <v>612</v>
      </c>
      <c r="T43" s="709" t="s">
        <v>612</v>
      </c>
      <c r="U43" s="707" t="s">
        <v>612</v>
      </c>
      <c r="V43" s="709" t="s">
        <v>612</v>
      </c>
      <c r="W43" s="707" t="s">
        <v>612</v>
      </c>
      <c r="X43" s="709" t="s">
        <v>612</v>
      </c>
      <c r="Y43" s="707" t="s">
        <v>612</v>
      </c>
      <c r="Z43" s="709" t="s">
        <v>612</v>
      </c>
      <c r="AA43" s="707" t="s">
        <v>612</v>
      </c>
      <c r="AB43" s="709" t="s">
        <v>612</v>
      </c>
      <c r="AC43" s="707" t="s">
        <v>612</v>
      </c>
      <c r="AD43" s="709" t="s">
        <v>612</v>
      </c>
      <c r="AE43" s="707" t="s">
        <v>612</v>
      </c>
      <c r="AF43" s="709" t="s">
        <v>612</v>
      </c>
      <c r="AG43" s="707" t="s">
        <v>612</v>
      </c>
      <c r="AH43" s="709" t="s">
        <v>612</v>
      </c>
      <c r="AI43" s="707" t="s">
        <v>612</v>
      </c>
      <c r="AJ43" s="709" t="s">
        <v>612</v>
      </c>
      <c r="AK43" s="707" t="s">
        <v>612</v>
      </c>
      <c r="AL43" s="709" t="s">
        <v>612</v>
      </c>
      <c r="AM43" s="16" t="s">
        <v>612</v>
      </c>
    </row>
    <row r="44" spans="5:39">
      <c r="E44" s="211" t="str">
        <f>Biodata!B41</f>
        <v/>
      </c>
      <c r="F44" s="212" t="str">
        <f>IF(Biodata!C41="","",VLOOKUP(E44,Biodata_Siswa,2,FALSE))</f>
        <v/>
      </c>
      <c r="G44" s="1015" t="str">
        <f>IF(Biodata!E41="","",PROPER(VLOOKUP(E44,Biodata_Siswa,4,FALSE)))</f>
        <v/>
      </c>
      <c r="H44" s="1016"/>
      <c r="I44" s="707" t="s">
        <v>612</v>
      </c>
      <c r="J44" s="709" t="s">
        <v>612</v>
      </c>
      <c r="K44" s="707" t="s">
        <v>612</v>
      </c>
      <c r="L44" s="709" t="s">
        <v>612</v>
      </c>
      <c r="M44" s="707" t="s">
        <v>612</v>
      </c>
      <c r="N44" s="709" t="s">
        <v>612</v>
      </c>
      <c r="O44" s="707" t="s">
        <v>612</v>
      </c>
      <c r="P44" s="709" t="s">
        <v>612</v>
      </c>
      <c r="Q44" s="707" t="s">
        <v>612</v>
      </c>
      <c r="R44" s="709" t="s">
        <v>612</v>
      </c>
      <c r="S44" s="707" t="s">
        <v>612</v>
      </c>
      <c r="T44" s="709" t="s">
        <v>612</v>
      </c>
      <c r="U44" s="707" t="s">
        <v>612</v>
      </c>
      <c r="V44" s="709" t="s">
        <v>612</v>
      </c>
      <c r="W44" s="707" t="s">
        <v>612</v>
      </c>
      <c r="X44" s="709" t="s">
        <v>612</v>
      </c>
      <c r="Y44" s="707" t="s">
        <v>612</v>
      </c>
      <c r="Z44" s="709" t="s">
        <v>612</v>
      </c>
      <c r="AA44" s="707" t="s">
        <v>612</v>
      </c>
      <c r="AB44" s="709" t="s">
        <v>612</v>
      </c>
      <c r="AC44" s="707" t="s">
        <v>612</v>
      </c>
      <c r="AD44" s="709" t="s">
        <v>612</v>
      </c>
      <c r="AE44" s="707" t="s">
        <v>612</v>
      </c>
      <c r="AF44" s="709" t="s">
        <v>612</v>
      </c>
      <c r="AG44" s="707" t="s">
        <v>612</v>
      </c>
      <c r="AH44" s="709" t="s">
        <v>612</v>
      </c>
      <c r="AI44" s="707" t="s">
        <v>612</v>
      </c>
      <c r="AJ44" s="709" t="s">
        <v>612</v>
      </c>
      <c r="AK44" s="707" t="s">
        <v>612</v>
      </c>
      <c r="AL44" s="709" t="s">
        <v>612</v>
      </c>
      <c r="AM44" s="16" t="s">
        <v>612</v>
      </c>
    </row>
    <row r="45" spans="5:39">
      <c r="E45" s="211" t="str">
        <f>Biodata!B42</f>
        <v/>
      </c>
      <c r="F45" s="212" t="str">
        <f>IF(Biodata!C42="","",VLOOKUP(E45,Biodata_Siswa,2,FALSE))</f>
        <v/>
      </c>
      <c r="G45" s="1015" t="str">
        <f>IF(Biodata!E42="","",PROPER(VLOOKUP(E45,Biodata_Siswa,4,FALSE)))</f>
        <v/>
      </c>
      <c r="H45" s="1016"/>
      <c r="I45" s="707" t="s">
        <v>612</v>
      </c>
      <c r="J45" s="709" t="s">
        <v>612</v>
      </c>
      <c r="K45" s="707" t="s">
        <v>612</v>
      </c>
      <c r="L45" s="709" t="s">
        <v>612</v>
      </c>
      <c r="M45" s="707" t="s">
        <v>612</v>
      </c>
      <c r="N45" s="709" t="s">
        <v>612</v>
      </c>
      <c r="O45" s="707" t="s">
        <v>612</v>
      </c>
      <c r="P45" s="709" t="s">
        <v>612</v>
      </c>
      <c r="Q45" s="707" t="s">
        <v>612</v>
      </c>
      <c r="R45" s="709" t="s">
        <v>612</v>
      </c>
      <c r="S45" s="707" t="s">
        <v>612</v>
      </c>
      <c r="T45" s="709" t="s">
        <v>612</v>
      </c>
      <c r="U45" s="707" t="s">
        <v>612</v>
      </c>
      <c r="V45" s="709" t="s">
        <v>612</v>
      </c>
      <c r="W45" s="707" t="s">
        <v>612</v>
      </c>
      <c r="X45" s="709" t="s">
        <v>612</v>
      </c>
      <c r="Y45" s="707" t="s">
        <v>612</v>
      </c>
      <c r="Z45" s="709" t="s">
        <v>612</v>
      </c>
      <c r="AA45" s="707" t="s">
        <v>612</v>
      </c>
      <c r="AB45" s="709" t="s">
        <v>612</v>
      </c>
      <c r="AC45" s="707" t="s">
        <v>612</v>
      </c>
      <c r="AD45" s="709" t="s">
        <v>612</v>
      </c>
      <c r="AE45" s="707" t="s">
        <v>612</v>
      </c>
      <c r="AF45" s="709" t="s">
        <v>612</v>
      </c>
      <c r="AG45" s="707" t="s">
        <v>612</v>
      </c>
      <c r="AH45" s="709" t="s">
        <v>612</v>
      </c>
      <c r="AI45" s="707" t="s">
        <v>612</v>
      </c>
      <c r="AJ45" s="709" t="s">
        <v>612</v>
      </c>
      <c r="AK45" s="707" t="s">
        <v>612</v>
      </c>
      <c r="AL45" s="709" t="s">
        <v>612</v>
      </c>
      <c r="AM45" s="16" t="s">
        <v>612</v>
      </c>
    </row>
    <row r="46" spans="5:39">
      <c r="E46" s="211" t="str">
        <f>Biodata!B43</f>
        <v/>
      </c>
      <c r="F46" s="212" t="str">
        <f>IF(Biodata!C43="","",VLOOKUP(E46,Biodata_Siswa,2,FALSE))</f>
        <v/>
      </c>
      <c r="G46" s="1015" t="str">
        <f>IF(Biodata!E43="","",PROPER(VLOOKUP(E46,Biodata_Siswa,4,FALSE)))</f>
        <v/>
      </c>
      <c r="H46" s="1016"/>
      <c r="I46" s="707" t="s">
        <v>612</v>
      </c>
      <c r="J46" s="709" t="s">
        <v>612</v>
      </c>
      <c r="K46" s="707" t="s">
        <v>612</v>
      </c>
      <c r="L46" s="709" t="s">
        <v>612</v>
      </c>
      <c r="M46" s="707" t="s">
        <v>612</v>
      </c>
      <c r="N46" s="709" t="s">
        <v>612</v>
      </c>
      <c r="O46" s="707" t="s">
        <v>612</v>
      </c>
      <c r="P46" s="709" t="s">
        <v>612</v>
      </c>
      <c r="Q46" s="707" t="s">
        <v>612</v>
      </c>
      <c r="R46" s="709" t="s">
        <v>612</v>
      </c>
      <c r="S46" s="707" t="s">
        <v>612</v>
      </c>
      <c r="T46" s="709" t="s">
        <v>612</v>
      </c>
      <c r="U46" s="707" t="s">
        <v>612</v>
      </c>
      <c r="V46" s="709" t="s">
        <v>612</v>
      </c>
      <c r="W46" s="707" t="s">
        <v>612</v>
      </c>
      <c r="X46" s="709" t="s">
        <v>612</v>
      </c>
      <c r="Y46" s="707" t="s">
        <v>612</v>
      </c>
      <c r="Z46" s="709" t="s">
        <v>612</v>
      </c>
      <c r="AA46" s="707" t="s">
        <v>612</v>
      </c>
      <c r="AB46" s="709" t="s">
        <v>612</v>
      </c>
      <c r="AC46" s="707" t="s">
        <v>612</v>
      </c>
      <c r="AD46" s="709" t="s">
        <v>612</v>
      </c>
      <c r="AE46" s="707" t="s">
        <v>612</v>
      </c>
      <c r="AF46" s="709" t="s">
        <v>612</v>
      </c>
      <c r="AG46" s="707" t="s">
        <v>612</v>
      </c>
      <c r="AH46" s="709" t="s">
        <v>612</v>
      </c>
      <c r="AI46" s="707" t="s">
        <v>612</v>
      </c>
      <c r="AJ46" s="709" t="s">
        <v>612</v>
      </c>
      <c r="AK46" s="707" t="s">
        <v>612</v>
      </c>
      <c r="AL46" s="709" t="s">
        <v>612</v>
      </c>
      <c r="AM46" s="16" t="s">
        <v>612</v>
      </c>
    </row>
    <row r="47" spans="5:39">
      <c r="E47" s="211" t="str">
        <f>Biodata!B44</f>
        <v/>
      </c>
      <c r="F47" s="212" t="str">
        <f>IF(Biodata!C44="","",VLOOKUP(E47,Biodata_Siswa,2,FALSE))</f>
        <v/>
      </c>
      <c r="G47" s="1015" t="str">
        <f>IF(Biodata!E44="","",PROPER(VLOOKUP(E47,Biodata_Siswa,4,FALSE)))</f>
        <v/>
      </c>
      <c r="H47" s="1016"/>
      <c r="I47" s="707" t="s">
        <v>612</v>
      </c>
      <c r="J47" s="709" t="s">
        <v>612</v>
      </c>
      <c r="K47" s="707" t="s">
        <v>612</v>
      </c>
      <c r="L47" s="709" t="s">
        <v>612</v>
      </c>
      <c r="M47" s="707" t="s">
        <v>612</v>
      </c>
      <c r="N47" s="709" t="s">
        <v>612</v>
      </c>
      <c r="O47" s="707" t="s">
        <v>612</v>
      </c>
      <c r="P47" s="709" t="s">
        <v>612</v>
      </c>
      <c r="Q47" s="707" t="s">
        <v>612</v>
      </c>
      <c r="R47" s="709" t="s">
        <v>612</v>
      </c>
      <c r="S47" s="707" t="s">
        <v>612</v>
      </c>
      <c r="T47" s="709" t="s">
        <v>612</v>
      </c>
      <c r="U47" s="707" t="s">
        <v>612</v>
      </c>
      <c r="V47" s="709" t="s">
        <v>612</v>
      </c>
      <c r="W47" s="707" t="s">
        <v>612</v>
      </c>
      <c r="X47" s="709" t="s">
        <v>612</v>
      </c>
      <c r="Y47" s="707" t="s">
        <v>612</v>
      </c>
      <c r="Z47" s="709" t="s">
        <v>612</v>
      </c>
      <c r="AA47" s="707" t="s">
        <v>612</v>
      </c>
      <c r="AB47" s="709" t="s">
        <v>612</v>
      </c>
      <c r="AC47" s="707" t="s">
        <v>612</v>
      </c>
      <c r="AD47" s="709" t="s">
        <v>612</v>
      </c>
      <c r="AE47" s="707" t="s">
        <v>612</v>
      </c>
      <c r="AF47" s="709" t="s">
        <v>612</v>
      </c>
      <c r="AG47" s="707" t="s">
        <v>612</v>
      </c>
      <c r="AH47" s="709" t="s">
        <v>612</v>
      </c>
      <c r="AI47" s="707" t="s">
        <v>612</v>
      </c>
      <c r="AJ47" s="709" t="s">
        <v>612</v>
      </c>
      <c r="AK47" s="707" t="s">
        <v>612</v>
      </c>
      <c r="AL47" s="709" t="s">
        <v>612</v>
      </c>
      <c r="AM47" s="16" t="s">
        <v>612</v>
      </c>
    </row>
    <row r="48" spans="5:39" ht="17.25" thickBot="1">
      <c r="E48" s="218" t="str">
        <f>Biodata!B45</f>
        <v/>
      </c>
      <c r="F48" s="219" t="str">
        <f>IF(Biodata!C45="","",VLOOKUP(E48,Biodata_Siswa,2,FALSE))</f>
        <v/>
      </c>
      <c r="G48" s="899" t="str">
        <f>IF(Biodata!E45="","",PROPER(VLOOKUP(E48,Biodata_Siswa,4,FALSE)))</f>
        <v/>
      </c>
      <c r="H48" s="900"/>
      <c r="I48" s="710" t="s">
        <v>612</v>
      </c>
      <c r="J48" s="711" t="s">
        <v>612</v>
      </c>
      <c r="K48" s="710" t="s">
        <v>612</v>
      </c>
      <c r="L48" s="711" t="s">
        <v>612</v>
      </c>
      <c r="M48" s="710" t="s">
        <v>612</v>
      </c>
      <c r="N48" s="711" t="s">
        <v>612</v>
      </c>
      <c r="O48" s="710" t="s">
        <v>612</v>
      </c>
      <c r="P48" s="711" t="s">
        <v>612</v>
      </c>
      <c r="Q48" s="710" t="s">
        <v>612</v>
      </c>
      <c r="R48" s="711" t="s">
        <v>612</v>
      </c>
      <c r="S48" s="710" t="s">
        <v>612</v>
      </c>
      <c r="T48" s="711" t="s">
        <v>612</v>
      </c>
      <c r="U48" s="710" t="s">
        <v>612</v>
      </c>
      <c r="V48" s="711" t="s">
        <v>612</v>
      </c>
      <c r="W48" s="710" t="s">
        <v>612</v>
      </c>
      <c r="X48" s="711" t="s">
        <v>612</v>
      </c>
      <c r="Y48" s="710" t="s">
        <v>612</v>
      </c>
      <c r="Z48" s="711" t="s">
        <v>612</v>
      </c>
      <c r="AA48" s="710" t="s">
        <v>612</v>
      </c>
      <c r="AB48" s="711" t="s">
        <v>612</v>
      </c>
      <c r="AC48" s="710" t="s">
        <v>612</v>
      </c>
      <c r="AD48" s="711" t="s">
        <v>612</v>
      </c>
      <c r="AE48" s="710" t="s">
        <v>612</v>
      </c>
      <c r="AF48" s="711" t="s">
        <v>612</v>
      </c>
      <c r="AG48" s="710" t="s">
        <v>612</v>
      </c>
      <c r="AH48" s="711" t="s">
        <v>612</v>
      </c>
      <c r="AI48" s="710" t="s">
        <v>612</v>
      </c>
      <c r="AJ48" s="711" t="s">
        <v>612</v>
      </c>
      <c r="AK48" s="710" t="s">
        <v>612</v>
      </c>
      <c r="AL48" s="711" t="s">
        <v>612</v>
      </c>
      <c r="AM48" s="16" t="s">
        <v>612</v>
      </c>
    </row>
    <row r="49" spans="2:3"/>
    <row r="50" spans="2:3" hidden="1"/>
    <row r="51" spans="2:3" hidden="1"/>
    <row r="52" spans="2:3" hidden="1"/>
    <row r="53" spans="2:3" hidden="1"/>
    <row r="54" spans="2:3" hidden="1"/>
    <row r="55" spans="2:3" hidden="1"/>
    <row r="56" spans="2:3" hidden="1">
      <c r="B56" s="20"/>
      <c r="C56" s="684"/>
    </row>
    <row r="57" spans="2:3" hidden="1"/>
    <row r="58" spans="2:3" hidden="1"/>
    <row r="59" spans="2:3" hidden="1"/>
    <row r="60" spans="2:3" hidden="1"/>
    <row r="61" spans="2:3" hidden="1"/>
    <row r="62" spans="2:3" hidden="1"/>
    <row r="63" spans="2:3" hidden="1"/>
    <row r="64" spans="2:3" hidden="1"/>
    <row r="65" spans="2:38" hidden="1"/>
    <row r="66" spans="2:38" hidden="1"/>
    <row r="67" spans="2:38" hidden="1"/>
    <row r="68" spans="2:38" hidden="1"/>
    <row r="69" spans="2:38" hidden="1"/>
    <row r="70" spans="2:38" hidden="1"/>
    <row r="71" spans="2:38" hidden="1"/>
    <row r="72" spans="2:38" hidden="1"/>
    <row r="73" spans="2:38" hidden="1"/>
    <row r="74" spans="2:38" s="684" customFormat="1" hidden="1">
      <c r="B74" s="19"/>
      <c r="C74" s="16"/>
      <c r="E74" s="684">
        <f>DL!M32</f>
        <v>0</v>
      </c>
      <c r="I74" s="16"/>
      <c r="J74" s="16"/>
      <c r="K74" s="16"/>
      <c r="L74" s="16"/>
      <c r="M74" s="16"/>
      <c r="N74" s="16"/>
      <c r="O74" s="16"/>
      <c r="P74" s="16"/>
      <c r="Q74" s="16"/>
      <c r="R74" s="16"/>
      <c r="S74" s="16"/>
      <c r="T74" s="16"/>
      <c r="U74" s="16"/>
      <c r="V74" s="16"/>
      <c r="W74" s="16"/>
      <c r="X74" s="16"/>
      <c r="Y74" s="16"/>
      <c r="Z74" s="16"/>
      <c r="AA74" s="16"/>
      <c r="AB74" s="16"/>
      <c r="AC74" s="16"/>
      <c r="AD74" s="16"/>
      <c r="AE74" s="16"/>
      <c r="AF74" s="16"/>
      <c r="AG74" s="16"/>
      <c r="AH74" s="16"/>
      <c r="AI74" s="16"/>
      <c r="AJ74" s="16"/>
      <c r="AK74" s="16"/>
      <c r="AL74" s="16"/>
    </row>
  </sheetData>
  <sheetProtection password="CE75" sheet="1" objects="1" scenarios="1" selectLockedCells="1"/>
  <mergeCells count="88">
    <mergeCell ref="E4:H5"/>
    <mergeCell ref="E2:P2"/>
    <mergeCell ref="A12:B12"/>
    <mergeCell ref="A13:B13"/>
    <mergeCell ref="A14:B14"/>
    <mergeCell ref="I4:AL4"/>
    <mergeCell ref="G9:H9"/>
    <mergeCell ref="G10:H10"/>
    <mergeCell ref="G11:H11"/>
    <mergeCell ref="G12:H12"/>
    <mergeCell ref="G13:H13"/>
    <mergeCell ref="AG6:AH7"/>
    <mergeCell ref="AI6:AJ7"/>
    <mergeCell ref="AK6:AL7"/>
    <mergeCell ref="E7:E8"/>
    <mergeCell ref="F7:F8"/>
    <mergeCell ref="G44:H44"/>
    <mergeCell ref="G45:H45"/>
    <mergeCell ref="G46:H46"/>
    <mergeCell ref="G47:H47"/>
    <mergeCell ref="G48:H48"/>
    <mergeCell ref="G43:H43"/>
    <mergeCell ref="G32:H32"/>
    <mergeCell ref="G33:H33"/>
    <mergeCell ref="G34:H34"/>
    <mergeCell ref="G35:H35"/>
    <mergeCell ref="G36:H36"/>
    <mergeCell ref="G37:H37"/>
    <mergeCell ref="G38:H38"/>
    <mergeCell ref="G39:H39"/>
    <mergeCell ref="G40:H40"/>
    <mergeCell ref="G41:H41"/>
    <mergeCell ref="G42:H42"/>
    <mergeCell ref="G31:H31"/>
    <mergeCell ref="G20:H20"/>
    <mergeCell ref="G21:H21"/>
    <mergeCell ref="G22:H22"/>
    <mergeCell ref="G23:H23"/>
    <mergeCell ref="G24:H24"/>
    <mergeCell ref="G26:H26"/>
    <mergeCell ref="G27:H27"/>
    <mergeCell ref="G28:H28"/>
    <mergeCell ref="G29:H29"/>
    <mergeCell ref="G30:H30"/>
    <mergeCell ref="B25:C25"/>
    <mergeCell ref="G25:H25"/>
    <mergeCell ref="G14:H14"/>
    <mergeCell ref="G15:H15"/>
    <mergeCell ref="G16:H16"/>
    <mergeCell ref="G17:H17"/>
    <mergeCell ref="G18:H18"/>
    <mergeCell ref="G19:H19"/>
    <mergeCell ref="A21:B21"/>
    <mergeCell ref="A15:B15"/>
    <mergeCell ref="A16:B16"/>
    <mergeCell ref="A17:B17"/>
    <mergeCell ref="A18:B18"/>
    <mergeCell ref="A19:B19"/>
    <mergeCell ref="A20:B20"/>
    <mergeCell ref="G7:H8"/>
    <mergeCell ref="U6:V7"/>
    <mergeCell ref="W6:X7"/>
    <mergeCell ref="Y6:Z7"/>
    <mergeCell ref="AA6:AB7"/>
    <mergeCell ref="E6:H6"/>
    <mergeCell ref="I6:J7"/>
    <mergeCell ref="K6:L7"/>
    <mergeCell ref="M6:N7"/>
    <mergeCell ref="O6:P7"/>
    <mergeCell ref="Q6:R7"/>
    <mergeCell ref="S6:T7"/>
    <mergeCell ref="AC6:AD7"/>
    <mergeCell ref="AE6:AF7"/>
    <mergeCell ref="AG5:AH5"/>
    <mergeCell ref="AI5:AJ5"/>
    <mergeCell ref="AK5:AL5"/>
    <mergeCell ref="AE5:AF5"/>
    <mergeCell ref="U5:V5"/>
    <mergeCell ref="W5:X5"/>
    <mergeCell ref="Y5:Z5"/>
    <mergeCell ref="AA5:AB5"/>
    <mergeCell ref="AC5:AD5"/>
    <mergeCell ref="S5:T5"/>
    <mergeCell ref="I5:J5"/>
    <mergeCell ref="K5:L5"/>
    <mergeCell ref="M5:N5"/>
    <mergeCell ref="O5:P5"/>
    <mergeCell ref="Q5:R5"/>
  </mergeCells>
  <pageMargins left="0.32" right="0.26" top="0.36" bottom="0.35" header="0.3" footer="0.3"/>
  <pageSetup paperSize="9" scale="71" orientation="landscape" r:id="rId1"/>
  <drawing r:id="rId2"/>
</worksheet>
</file>

<file path=xl/worksheets/sheet81.xml><?xml version="1.0" encoding="utf-8"?>
<worksheet xmlns="http://schemas.openxmlformats.org/spreadsheetml/2006/main" xmlns:r="http://schemas.openxmlformats.org/officeDocument/2006/relationships">
  <sheetPr codeName="Sheet80">
    <tabColor theme="1"/>
  </sheetPr>
  <dimension ref="A1:AN74"/>
  <sheetViews>
    <sheetView showRowColHeaders="0" zoomScale="85" zoomScaleNormal="85" workbookViewId="0">
      <selection activeCell="J11" sqref="J11"/>
    </sheetView>
  </sheetViews>
  <sheetFormatPr defaultColWidth="0" defaultRowHeight="16.5" customHeight="1" zeroHeight="1"/>
  <cols>
    <col min="1" max="1" width="1.7109375" style="16" customWidth="1"/>
    <col min="2" max="2" width="11" style="19" customWidth="1"/>
    <col min="3" max="3" width="0.42578125" style="16" customWidth="1"/>
    <col min="4" max="4" width="2.5703125" style="16" customWidth="1"/>
    <col min="5" max="5" width="4.85546875" style="684" customWidth="1"/>
    <col min="6" max="6" width="7.85546875" style="684" customWidth="1"/>
    <col min="7" max="7" width="13.42578125" style="684" customWidth="1"/>
    <col min="8" max="8" width="17.5703125" style="684" customWidth="1"/>
    <col min="9" max="38" width="7.85546875" style="16" customWidth="1"/>
    <col min="39" max="39" width="9.140625" style="16" customWidth="1"/>
    <col min="40" max="40" width="28.7109375" style="16" hidden="1" customWidth="1"/>
    <col min="41" max="16384" width="9.140625" style="16" hidden="1"/>
  </cols>
  <sheetData>
    <row r="1" spans="1:39" ht="10.5" customHeight="1" thickBot="1"/>
    <row r="2" spans="1:39" ht="21" customHeight="1" thickBot="1">
      <c r="E2" s="1596" t="s">
        <v>614</v>
      </c>
      <c r="F2" s="1597"/>
      <c r="G2" s="1597"/>
      <c r="H2" s="1597"/>
      <c r="I2" s="1597"/>
      <c r="J2" s="1597"/>
      <c r="K2" s="1597"/>
      <c r="L2" s="1597"/>
      <c r="M2" s="1597"/>
      <c r="N2" s="1597"/>
      <c r="O2" s="1597"/>
      <c r="P2" s="1598"/>
    </row>
    <row r="3" spans="1:39" ht="12" customHeight="1" thickBot="1">
      <c r="E3" s="199"/>
      <c r="F3" s="199"/>
      <c r="G3" s="199"/>
      <c r="H3" s="199"/>
      <c r="I3" s="198"/>
      <c r="J3" s="198"/>
      <c r="K3" s="198"/>
      <c r="L3" s="198"/>
      <c r="M3" s="198"/>
      <c r="N3" s="198"/>
      <c r="O3" s="198"/>
      <c r="P3" s="198"/>
      <c r="Q3" s="198"/>
      <c r="R3" s="198"/>
      <c r="S3" s="198"/>
      <c r="T3" s="198"/>
      <c r="U3" s="198"/>
      <c r="V3" s="198"/>
      <c r="W3" s="198"/>
      <c r="X3" s="198"/>
      <c r="Y3" s="198"/>
      <c r="Z3" s="198"/>
      <c r="AA3" s="198"/>
      <c r="AB3" s="198"/>
      <c r="AC3" s="198"/>
      <c r="AD3" s="198"/>
      <c r="AE3" s="198"/>
      <c r="AF3" s="198"/>
      <c r="AG3" s="198"/>
      <c r="AH3" s="198"/>
      <c r="AI3" s="198"/>
      <c r="AJ3" s="198"/>
      <c r="AK3" s="198"/>
      <c r="AL3" s="198"/>
    </row>
    <row r="4" spans="1:39" ht="18.75" customHeight="1" thickBot="1">
      <c r="E4" s="1590" t="str">
        <f>"LEGER DESK. SEMESTER "&amp;UPPER(_smt_genap)</f>
        <v>LEGER DESK. SEMESTER 4 (EMPAT)</v>
      </c>
      <c r="F4" s="1591"/>
      <c r="G4" s="1591"/>
      <c r="H4" s="1592"/>
      <c r="I4" s="1599" t="s">
        <v>613</v>
      </c>
      <c r="J4" s="1600"/>
      <c r="K4" s="1600"/>
      <c r="L4" s="1600"/>
      <c r="M4" s="1600"/>
      <c r="N4" s="1600"/>
      <c r="O4" s="1600"/>
      <c r="P4" s="1600"/>
      <c r="Q4" s="1600"/>
      <c r="R4" s="1600"/>
      <c r="S4" s="1600"/>
      <c r="T4" s="1600"/>
      <c r="U4" s="1600"/>
      <c r="V4" s="1600"/>
      <c r="W4" s="1600"/>
      <c r="X4" s="1600"/>
      <c r="Y4" s="1600"/>
      <c r="Z4" s="1600"/>
      <c r="AA4" s="1600"/>
      <c r="AB4" s="1600"/>
      <c r="AC4" s="1600"/>
      <c r="AD4" s="1600"/>
      <c r="AE4" s="1600"/>
      <c r="AF4" s="1600"/>
      <c r="AG4" s="1600"/>
      <c r="AH4" s="1600"/>
      <c r="AI4" s="1600"/>
      <c r="AJ4" s="1600"/>
      <c r="AK4" s="1600"/>
      <c r="AL4" s="1601"/>
    </row>
    <row r="5" spans="1:39" s="22" customFormat="1" ht="17.25" customHeight="1" thickBot="1">
      <c r="B5" s="21"/>
      <c r="E5" s="1593"/>
      <c r="F5" s="1594"/>
      <c r="G5" s="1594"/>
      <c r="H5" s="1595"/>
      <c r="I5" s="1587">
        <v>1</v>
      </c>
      <c r="J5" s="1588"/>
      <c r="K5" s="1587">
        <v>2</v>
      </c>
      <c r="L5" s="1588"/>
      <c r="M5" s="1587">
        <v>3</v>
      </c>
      <c r="N5" s="1588"/>
      <c r="O5" s="1587">
        <v>4</v>
      </c>
      <c r="P5" s="1588"/>
      <c r="Q5" s="1587">
        <v>5</v>
      </c>
      <c r="R5" s="1588"/>
      <c r="S5" s="1587">
        <v>6</v>
      </c>
      <c r="T5" s="1588"/>
      <c r="U5" s="1587">
        <v>7</v>
      </c>
      <c r="V5" s="1588"/>
      <c r="W5" s="1587">
        <v>8</v>
      </c>
      <c r="X5" s="1588"/>
      <c r="Y5" s="1587">
        <v>9</v>
      </c>
      <c r="Z5" s="1588"/>
      <c r="AA5" s="1587">
        <v>10</v>
      </c>
      <c r="AB5" s="1588"/>
      <c r="AC5" s="1587">
        <v>11</v>
      </c>
      <c r="AD5" s="1588"/>
      <c r="AE5" s="1587">
        <v>12</v>
      </c>
      <c r="AF5" s="1588"/>
      <c r="AG5" s="1587">
        <v>13</v>
      </c>
      <c r="AH5" s="1588"/>
      <c r="AI5" s="1587">
        <v>14</v>
      </c>
      <c r="AJ5" s="1588"/>
      <c r="AK5" s="1587">
        <v>15</v>
      </c>
      <c r="AL5" s="1589"/>
    </row>
    <row r="6" spans="1:39" ht="33" customHeight="1" thickBot="1">
      <c r="E6" s="1023" t="str">
        <f>"KELAS "&amp;_kelas&amp;" - TP. "&amp;DK!D8</f>
        <v>KELAS VIII A - TP. 2018 / 2019</v>
      </c>
      <c r="F6" s="1024"/>
      <c r="G6" s="1024"/>
      <c r="H6" s="1025"/>
      <c r="I6" s="1019" t="str">
        <f>_MP1</f>
        <v>Pendidikan Agama Islam</v>
      </c>
      <c r="J6" s="1026"/>
      <c r="K6" s="1019" t="str">
        <f>_MP2</f>
        <v>Pendidikan Agama Kristen</v>
      </c>
      <c r="L6" s="1020"/>
      <c r="M6" s="1019" t="str">
        <f>_MP3</f>
        <v>Pendidikan Agama Katolik</v>
      </c>
      <c r="N6" s="1020"/>
      <c r="O6" s="1019" t="str">
        <f>_MP4</f>
        <v>Pendidikan Agama Hindu</v>
      </c>
      <c r="P6" s="1020"/>
      <c r="Q6" s="1019" t="str">
        <f>_MP5</f>
        <v>Pendidikan Agama Budha</v>
      </c>
      <c r="R6" s="1020"/>
      <c r="S6" s="885" t="str">
        <f>_MP6</f>
        <v>PKn</v>
      </c>
      <c r="T6" s="886"/>
      <c r="U6" s="885" t="str">
        <f>_MP7</f>
        <v xml:space="preserve">Bahasa Indonesia </v>
      </c>
      <c r="V6" s="886"/>
      <c r="W6" s="885" t="str">
        <f>_MP8</f>
        <v xml:space="preserve">Matematika </v>
      </c>
      <c r="X6" s="886"/>
      <c r="Y6" s="885" t="str">
        <f>_MP9</f>
        <v xml:space="preserve">Ilmu Pengetahuan Alam </v>
      </c>
      <c r="Z6" s="886"/>
      <c r="AA6" s="885" t="str">
        <f>_MP10</f>
        <v xml:space="preserve">Ilmu Pengetahuan Sosial </v>
      </c>
      <c r="AB6" s="886"/>
      <c r="AC6" s="885" t="str">
        <f>_MP11</f>
        <v xml:space="preserve">Bahasa Inggris </v>
      </c>
      <c r="AD6" s="886"/>
      <c r="AE6" s="885" t="str">
        <f>_MP12</f>
        <v>Seni Budaya</v>
      </c>
      <c r="AF6" s="886"/>
      <c r="AG6" s="885" t="str">
        <f>_MP13</f>
        <v>Penjaskes</v>
      </c>
      <c r="AH6" s="886"/>
      <c r="AI6" s="885" t="str">
        <f>_MP14</f>
        <v>Prakarya</v>
      </c>
      <c r="AJ6" s="886"/>
      <c r="AK6" s="885" t="str">
        <f>_MP15</f>
        <v>Bahasa dan Aksara Lampung</v>
      </c>
      <c r="AL6" s="887"/>
    </row>
    <row r="7" spans="1:39" ht="17.25" thickBot="1">
      <c r="E7" s="1029" t="s">
        <v>50</v>
      </c>
      <c r="F7" s="1031" t="s">
        <v>51</v>
      </c>
      <c r="G7" s="1033" t="s">
        <v>52</v>
      </c>
      <c r="H7" s="1034"/>
      <c r="I7" s="1027"/>
      <c r="J7" s="1028"/>
      <c r="K7" s="1021"/>
      <c r="L7" s="1022"/>
      <c r="M7" s="1021"/>
      <c r="N7" s="1022"/>
      <c r="O7" s="1021"/>
      <c r="P7" s="1022"/>
      <c r="Q7" s="1021"/>
      <c r="R7" s="1022"/>
      <c r="S7" s="888"/>
      <c r="T7" s="889"/>
      <c r="U7" s="888"/>
      <c r="V7" s="889"/>
      <c r="W7" s="888"/>
      <c r="X7" s="889"/>
      <c r="Y7" s="888"/>
      <c r="Z7" s="889"/>
      <c r="AA7" s="888"/>
      <c r="AB7" s="889"/>
      <c r="AC7" s="888"/>
      <c r="AD7" s="889"/>
      <c r="AE7" s="888"/>
      <c r="AF7" s="889"/>
      <c r="AG7" s="888"/>
      <c r="AH7" s="889"/>
      <c r="AI7" s="888"/>
      <c r="AJ7" s="889"/>
      <c r="AK7" s="888"/>
      <c r="AL7" s="890"/>
    </row>
    <row r="8" spans="1:39" ht="17.25" thickBot="1">
      <c r="E8" s="1030"/>
      <c r="F8" s="1032"/>
      <c r="G8" s="1035"/>
      <c r="H8" s="1036"/>
      <c r="I8" s="204" t="s">
        <v>54</v>
      </c>
      <c r="J8" s="205" t="s">
        <v>55</v>
      </c>
      <c r="K8" s="204" t="s">
        <v>54</v>
      </c>
      <c r="L8" s="205" t="s">
        <v>55</v>
      </c>
      <c r="M8" s="204" t="s">
        <v>54</v>
      </c>
      <c r="N8" s="205" t="s">
        <v>55</v>
      </c>
      <c r="O8" s="204" t="s">
        <v>54</v>
      </c>
      <c r="P8" s="205" t="s">
        <v>55</v>
      </c>
      <c r="Q8" s="204" t="s">
        <v>54</v>
      </c>
      <c r="R8" s="205" t="s">
        <v>55</v>
      </c>
      <c r="S8" s="204" t="s">
        <v>54</v>
      </c>
      <c r="T8" s="205" t="s">
        <v>55</v>
      </c>
      <c r="U8" s="204" t="s">
        <v>54</v>
      </c>
      <c r="V8" s="205" t="s">
        <v>55</v>
      </c>
      <c r="W8" s="204" t="s">
        <v>54</v>
      </c>
      <c r="X8" s="205" t="s">
        <v>55</v>
      </c>
      <c r="Y8" s="204" t="s">
        <v>54</v>
      </c>
      <c r="Z8" s="205" t="s">
        <v>55</v>
      </c>
      <c r="AA8" s="204" t="s">
        <v>54</v>
      </c>
      <c r="AB8" s="205" t="s">
        <v>55</v>
      </c>
      <c r="AC8" s="204" t="s">
        <v>54</v>
      </c>
      <c r="AD8" s="205" t="s">
        <v>55</v>
      </c>
      <c r="AE8" s="204" t="s">
        <v>54</v>
      </c>
      <c r="AF8" s="205" t="s">
        <v>55</v>
      </c>
      <c r="AG8" s="204" t="s">
        <v>54</v>
      </c>
      <c r="AH8" s="205" t="s">
        <v>55</v>
      </c>
      <c r="AI8" s="204" t="s">
        <v>54</v>
      </c>
      <c r="AJ8" s="205" t="s">
        <v>55</v>
      </c>
      <c r="AK8" s="204" t="s">
        <v>54</v>
      </c>
      <c r="AL8" s="205" t="s">
        <v>55</v>
      </c>
      <c r="AM8" s="16" t="s">
        <v>612</v>
      </c>
    </row>
    <row r="9" spans="1:39">
      <c r="E9" s="247">
        <f>Biodata!B6</f>
        <v>1</v>
      </c>
      <c r="F9" s="248">
        <f>IF(Biodata!C6="","",VLOOKUP(E9,Biodata_Siswa,2,FALSE))</f>
        <v>7057</v>
      </c>
      <c r="G9" s="1015" t="str">
        <f>IF(Biodata!E6="","",PROPER(VLOOKUP(E9,Biodata_Siswa,4,FALSE)))</f>
        <v>Ahmad Zaki Aufa</v>
      </c>
      <c r="H9" s="1016"/>
      <c r="I9" s="707" t="s">
        <v>612</v>
      </c>
      <c r="J9" s="708" t="s">
        <v>612</v>
      </c>
      <c r="K9" s="707" t="s">
        <v>612</v>
      </c>
      <c r="L9" s="708" t="s">
        <v>612</v>
      </c>
      <c r="M9" s="707" t="s">
        <v>612</v>
      </c>
      <c r="N9" s="708" t="s">
        <v>612</v>
      </c>
      <c r="O9" s="707" t="s">
        <v>612</v>
      </c>
      <c r="P9" s="708" t="s">
        <v>612</v>
      </c>
      <c r="Q9" s="707" t="s">
        <v>612</v>
      </c>
      <c r="R9" s="708" t="s">
        <v>612</v>
      </c>
      <c r="S9" s="707" t="s">
        <v>612</v>
      </c>
      <c r="T9" s="708" t="s">
        <v>612</v>
      </c>
      <c r="U9" s="707" t="s">
        <v>612</v>
      </c>
      <c r="V9" s="708" t="s">
        <v>612</v>
      </c>
      <c r="W9" s="707" t="s">
        <v>612</v>
      </c>
      <c r="X9" s="708" t="s">
        <v>612</v>
      </c>
      <c r="Y9" s="707" t="s">
        <v>612</v>
      </c>
      <c r="Z9" s="708" t="s">
        <v>612</v>
      </c>
      <c r="AA9" s="707" t="s">
        <v>612</v>
      </c>
      <c r="AB9" s="708" t="s">
        <v>612</v>
      </c>
      <c r="AC9" s="707" t="s">
        <v>612</v>
      </c>
      <c r="AD9" s="708" t="s">
        <v>612</v>
      </c>
      <c r="AE9" s="707" t="s">
        <v>612</v>
      </c>
      <c r="AF9" s="708" t="s">
        <v>612</v>
      </c>
      <c r="AG9" s="707" t="s">
        <v>612</v>
      </c>
      <c r="AH9" s="708" t="s">
        <v>612</v>
      </c>
      <c r="AI9" s="707" t="s">
        <v>612</v>
      </c>
      <c r="AJ9" s="708" t="s">
        <v>612</v>
      </c>
      <c r="AK9" s="707" t="s">
        <v>612</v>
      </c>
      <c r="AL9" s="708" t="s">
        <v>612</v>
      </c>
      <c r="AM9" s="16" t="s">
        <v>612</v>
      </c>
    </row>
    <row r="10" spans="1:39">
      <c r="E10" s="211">
        <f>Biodata!B7</f>
        <v>2</v>
      </c>
      <c r="F10" s="212">
        <f>IF(Biodata!C7="","",VLOOKUP(E10,Biodata_Siswa,2,FALSE))</f>
        <v>7058</v>
      </c>
      <c r="G10" s="1015" t="str">
        <f>IF(Biodata!E7="","",PROPER(VLOOKUP(E10,Biodata_Siswa,4,FALSE)))</f>
        <v>Anandhita Nafra Wilova</v>
      </c>
      <c r="H10" s="1016"/>
      <c r="I10" s="707" t="s">
        <v>612</v>
      </c>
      <c r="J10" s="709" t="s">
        <v>612</v>
      </c>
      <c r="K10" s="707" t="s">
        <v>612</v>
      </c>
      <c r="L10" s="709" t="s">
        <v>612</v>
      </c>
      <c r="M10" s="707" t="s">
        <v>612</v>
      </c>
      <c r="N10" s="709" t="s">
        <v>612</v>
      </c>
      <c r="O10" s="707" t="s">
        <v>612</v>
      </c>
      <c r="P10" s="709" t="s">
        <v>612</v>
      </c>
      <c r="Q10" s="707" t="s">
        <v>612</v>
      </c>
      <c r="R10" s="709" t="s">
        <v>612</v>
      </c>
      <c r="S10" s="707" t="s">
        <v>612</v>
      </c>
      <c r="T10" s="709" t="s">
        <v>612</v>
      </c>
      <c r="U10" s="707" t="s">
        <v>612</v>
      </c>
      <c r="V10" s="709" t="s">
        <v>612</v>
      </c>
      <c r="W10" s="707" t="s">
        <v>612</v>
      </c>
      <c r="X10" s="709" t="s">
        <v>612</v>
      </c>
      <c r="Y10" s="707" t="s">
        <v>612</v>
      </c>
      <c r="Z10" s="709" t="s">
        <v>612</v>
      </c>
      <c r="AA10" s="707" t="s">
        <v>612</v>
      </c>
      <c r="AB10" s="709" t="s">
        <v>612</v>
      </c>
      <c r="AC10" s="707" t="s">
        <v>612</v>
      </c>
      <c r="AD10" s="709" t="s">
        <v>612</v>
      </c>
      <c r="AE10" s="707" t="s">
        <v>612</v>
      </c>
      <c r="AF10" s="709" t="s">
        <v>612</v>
      </c>
      <c r="AG10" s="707" t="s">
        <v>612</v>
      </c>
      <c r="AH10" s="709" t="s">
        <v>612</v>
      </c>
      <c r="AI10" s="707" t="s">
        <v>612</v>
      </c>
      <c r="AJ10" s="709" t="s">
        <v>612</v>
      </c>
      <c r="AK10" s="707" t="s">
        <v>612</v>
      </c>
      <c r="AL10" s="709" t="s">
        <v>612</v>
      </c>
      <c r="AM10" s="16" t="s">
        <v>612</v>
      </c>
    </row>
    <row r="11" spans="1:39">
      <c r="E11" s="211">
        <f>Biodata!B8</f>
        <v>3</v>
      </c>
      <c r="F11" s="212">
        <f>IF(Biodata!C8="","",VLOOKUP(E11,Biodata_Siswa,2,FALSE))</f>
        <v>7059</v>
      </c>
      <c r="G11" s="1015" t="str">
        <f>IF(Biodata!E8="","",PROPER(VLOOKUP(E11,Biodata_Siswa,4,FALSE)))</f>
        <v>Andini Dwi Aryanti</v>
      </c>
      <c r="H11" s="1016"/>
      <c r="I11" s="707" t="s">
        <v>612</v>
      </c>
      <c r="J11" s="709" t="s">
        <v>612</v>
      </c>
      <c r="K11" s="707" t="s">
        <v>612</v>
      </c>
      <c r="L11" s="709" t="s">
        <v>612</v>
      </c>
      <c r="M11" s="707" t="s">
        <v>612</v>
      </c>
      <c r="N11" s="709" t="s">
        <v>612</v>
      </c>
      <c r="O11" s="707" t="s">
        <v>612</v>
      </c>
      <c r="P11" s="709" t="s">
        <v>612</v>
      </c>
      <c r="Q11" s="707" t="s">
        <v>612</v>
      </c>
      <c r="R11" s="709" t="s">
        <v>612</v>
      </c>
      <c r="S11" s="707" t="s">
        <v>612</v>
      </c>
      <c r="T11" s="709" t="s">
        <v>612</v>
      </c>
      <c r="U11" s="707" t="s">
        <v>612</v>
      </c>
      <c r="V11" s="709" t="s">
        <v>612</v>
      </c>
      <c r="W11" s="707" t="s">
        <v>612</v>
      </c>
      <c r="X11" s="709" t="s">
        <v>612</v>
      </c>
      <c r="Y11" s="707" t="s">
        <v>612</v>
      </c>
      <c r="Z11" s="709" t="s">
        <v>612</v>
      </c>
      <c r="AA11" s="707" t="s">
        <v>612</v>
      </c>
      <c r="AB11" s="709" t="s">
        <v>612</v>
      </c>
      <c r="AC11" s="707" t="s">
        <v>612</v>
      </c>
      <c r="AD11" s="709" t="s">
        <v>612</v>
      </c>
      <c r="AE11" s="707" t="s">
        <v>612</v>
      </c>
      <c r="AF11" s="709" t="s">
        <v>612</v>
      </c>
      <c r="AG11" s="707" t="s">
        <v>612</v>
      </c>
      <c r="AH11" s="709" t="s">
        <v>612</v>
      </c>
      <c r="AI11" s="707" t="s">
        <v>612</v>
      </c>
      <c r="AJ11" s="709" t="s">
        <v>612</v>
      </c>
      <c r="AK11" s="707" t="s">
        <v>612</v>
      </c>
      <c r="AL11" s="709" t="s">
        <v>612</v>
      </c>
      <c r="AM11" s="16" t="s">
        <v>612</v>
      </c>
    </row>
    <row r="12" spans="1:39" ht="15.75" customHeight="1">
      <c r="A12" s="1017"/>
      <c r="B12" s="1017"/>
      <c r="E12" s="211">
        <f>Biodata!B9</f>
        <v>4</v>
      </c>
      <c r="F12" s="212">
        <f>IF(Biodata!C9="","",VLOOKUP(E12,Biodata_Siswa,2,FALSE))</f>
        <v>7060</v>
      </c>
      <c r="G12" s="1015" t="str">
        <f>IF(Biodata!E9="","",PROPER(VLOOKUP(E12,Biodata_Siswa,4,FALSE)))</f>
        <v>Anggun Suci Rahmadani</v>
      </c>
      <c r="H12" s="1016"/>
      <c r="I12" s="707" t="s">
        <v>612</v>
      </c>
      <c r="J12" s="709" t="s">
        <v>612</v>
      </c>
      <c r="K12" s="707" t="s">
        <v>612</v>
      </c>
      <c r="L12" s="709" t="s">
        <v>612</v>
      </c>
      <c r="M12" s="707" t="s">
        <v>612</v>
      </c>
      <c r="N12" s="709" t="s">
        <v>612</v>
      </c>
      <c r="O12" s="707" t="s">
        <v>612</v>
      </c>
      <c r="P12" s="709" t="s">
        <v>612</v>
      </c>
      <c r="Q12" s="707" t="s">
        <v>612</v>
      </c>
      <c r="R12" s="709" t="s">
        <v>612</v>
      </c>
      <c r="S12" s="707" t="s">
        <v>612</v>
      </c>
      <c r="T12" s="709" t="s">
        <v>612</v>
      </c>
      <c r="U12" s="707" t="s">
        <v>612</v>
      </c>
      <c r="V12" s="709" t="s">
        <v>612</v>
      </c>
      <c r="W12" s="707" t="s">
        <v>612</v>
      </c>
      <c r="X12" s="709" t="s">
        <v>612</v>
      </c>
      <c r="Y12" s="707" t="s">
        <v>612</v>
      </c>
      <c r="Z12" s="709" t="s">
        <v>612</v>
      </c>
      <c r="AA12" s="707" t="s">
        <v>612</v>
      </c>
      <c r="AB12" s="709" t="s">
        <v>612</v>
      </c>
      <c r="AC12" s="707" t="s">
        <v>612</v>
      </c>
      <c r="AD12" s="709" t="s">
        <v>612</v>
      </c>
      <c r="AE12" s="707" t="s">
        <v>612</v>
      </c>
      <c r="AF12" s="709" t="s">
        <v>612</v>
      </c>
      <c r="AG12" s="707" t="s">
        <v>612</v>
      </c>
      <c r="AH12" s="709" t="s">
        <v>612</v>
      </c>
      <c r="AI12" s="707" t="s">
        <v>612</v>
      </c>
      <c r="AJ12" s="709" t="s">
        <v>612</v>
      </c>
      <c r="AK12" s="707" t="s">
        <v>612</v>
      </c>
      <c r="AL12" s="709" t="s">
        <v>612</v>
      </c>
      <c r="AM12" s="16" t="s">
        <v>612</v>
      </c>
    </row>
    <row r="13" spans="1:39">
      <c r="A13" s="1017"/>
      <c r="B13" s="1017"/>
      <c r="E13" s="211">
        <f>Biodata!B10</f>
        <v>5</v>
      </c>
      <c r="F13" s="212">
        <f>IF(Biodata!C10="","",VLOOKUP(E13,Biodata_Siswa,2,FALSE))</f>
        <v>7061</v>
      </c>
      <c r="G13" s="1015" t="str">
        <f>IF(Biodata!E10="","",PROPER(VLOOKUP(E13,Biodata_Siswa,4,FALSE)))</f>
        <v>Anisa Julia Tasya</v>
      </c>
      <c r="H13" s="1016"/>
      <c r="I13" s="707" t="s">
        <v>612</v>
      </c>
      <c r="J13" s="709" t="s">
        <v>612</v>
      </c>
      <c r="K13" s="707" t="s">
        <v>612</v>
      </c>
      <c r="L13" s="709" t="s">
        <v>612</v>
      </c>
      <c r="M13" s="707" t="s">
        <v>612</v>
      </c>
      <c r="N13" s="709" t="s">
        <v>612</v>
      </c>
      <c r="O13" s="707" t="s">
        <v>612</v>
      </c>
      <c r="P13" s="709" t="s">
        <v>612</v>
      </c>
      <c r="Q13" s="707" t="s">
        <v>612</v>
      </c>
      <c r="R13" s="709" t="s">
        <v>612</v>
      </c>
      <c r="S13" s="707" t="s">
        <v>612</v>
      </c>
      <c r="T13" s="709" t="s">
        <v>612</v>
      </c>
      <c r="U13" s="707" t="s">
        <v>612</v>
      </c>
      <c r="V13" s="709" t="s">
        <v>612</v>
      </c>
      <c r="W13" s="707" t="s">
        <v>612</v>
      </c>
      <c r="X13" s="709" t="s">
        <v>612</v>
      </c>
      <c r="Y13" s="707" t="s">
        <v>612</v>
      </c>
      <c r="Z13" s="709" t="s">
        <v>612</v>
      </c>
      <c r="AA13" s="707" t="s">
        <v>612</v>
      </c>
      <c r="AB13" s="709" t="s">
        <v>612</v>
      </c>
      <c r="AC13" s="707" t="s">
        <v>612</v>
      </c>
      <c r="AD13" s="709" t="s">
        <v>612</v>
      </c>
      <c r="AE13" s="707" t="s">
        <v>612</v>
      </c>
      <c r="AF13" s="709" t="s">
        <v>612</v>
      </c>
      <c r="AG13" s="707" t="s">
        <v>612</v>
      </c>
      <c r="AH13" s="709" t="s">
        <v>612</v>
      </c>
      <c r="AI13" s="707" t="s">
        <v>612</v>
      </c>
      <c r="AJ13" s="709" t="s">
        <v>612</v>
      </c>
      <c r="AK13" s="707" t="s">
        <v>612</v>
      </c>
      <c r="AL13" s="709" t="s">
        <v>612</v>
      </c>
      <c r="AM13" s="16" t="s">
        <v>612</v>
      </c>
    </row>
    <row r="14" spans="1:39">
      <c r="A14" s="1017"/>
      <c r="B14" s="1017"/>
      <c r="E14" s="211">
        <f>Biodata!B11</f>
        <v>6</v>
      </c>
      <c r="F14" s="212">
        <f>IF(Biodata!C11="","",VLOOKUP(E14,Biodata_Siswa,2,FALSE))</f>
        <v>7065</v>
      </c>
      <c r="G14" s="1015" t="str">
        <f>IF(Biodata!E11="","",PROPER(VLOOKUP(E14,Biodata_Siswa,4,FALSE)))</f>
        <v>Aulia Rahmawati</v>
      </c>
      <c r="H14" s="1016"/>
      <c r="I14" s="707" t="s">
        <v>612</v>
      </c>
      <c r="J14" s="709" t="s">
        <v>612</v>
      </c>
      <c r="K14" s="707" t="s">
        <v>612</v>
      </c>
      <c r="L14" s="709" t="s">
        <v>612</v>
      </c>
      <c r="M14" s="707" t="s">
        <v>612</v>
      </c>
      <c r="N14" s="709" t="s">
        <v>612</v>
      </c>
      <c r="O14" s="707" t="s">
        <v>612</v>
      </c>
      <c r="P14" s="709" t="s">
        <v>612</v>
      </c>
      <c r="Q14" s="707" t="s">
        <v>612</v>
      </c>
      <c r="R14" s="709" t="s">
        <v>612</v>
      </c>
      <c r="S14" s="707" t="s">
        <v>612</v>
      </c>
      <c r="T14" s="709" t="s">
        <v>612</v>
      </c>
      <c r="U14" s="707" t="s">
        <v>612</v>
      </c>
      <c r="V14" s="709" t="s">
        <v>612</v>
      </c>
      <c r="W14" s="707" t="s">
        <v>612</v>
      </c>
      <c r="X14" s="709" t="s">
        <v>612</v>
      </c>
      <c r="Y14" s="707" t="s">
        <v>612</v>
      </c>
      <c r="Z14" s="709" t="s">
        <v>612</v>
      </c>
      <c r="AA14" s="707" t="s">
        <v>612</v>
      </c>
      <c r="AB14" s="709" t="s">
        <v>612</v>
      </c>
      <c r="AC14" s="707" t="s">
        <v>612</v>
      </c>
      <c r="AD14" s="709" t="s">
        <v>612</v>
      </c>
      <c r="AE14" s="707" t="s">
        <v>612</v>
      </c>
      <c r="AF14" s="709" t="s">
        <v>612</v>
      </c>
      <c r="AG14" s="707" t="s">
        <v>612</v>
      </c>
      <c r="AH14" s="709" t="s">
        <v>612</v>
      </c>
      <c r="AI14" s="707" t="s">
        <v>612</v>
      </c>
      <c r="AJ14" s="709" t="s">
        <v>612</v>
      </c>
      <c r="AK14" s="707" t="s">
        <v>612</v>
      </c>
      <c r="AL14" s="709" t="s">
        <v>612</v>
      </c>
      <c r="AM14" s="16" t="s">
        <v>612</v>
      </c>
    </row>
    <row r="15" spans="1:39">
      <c r="A15" s="1017"/>
      <c r="B15" s="1017"/>
      <c r="E15" s="211">
        <f>Biodata!B12</f>
        <v>7</v>
      </c>
      <c r="F15" s="212">
        <f>IF(Biodata!C12="","",VLOOKUP(E15,Biodata_Siswa,2,FALSE))</f>
        <v>7066</v>
      </c>
      <c r="G15" s="1015" t="str">
        <f>IF(Biodata!E12="","",PROPER(VLOOKUP(E15,Biodata_Siswa,4,FALSE)))</f>
        <v>Ayu Chumaira</v>
      </c>
      <c r="H15" s="1016"/>
      <c r="I15" s="707" t="s">
        <v>612</v>
      </c>
      <c r="J15" s="709" t="s">
        <v>612</v>
      </c>
      <c r="K15" s="707" t="s">
        <v>612</v>
      </c>
      <c r="L15" s="709" t="s">
        <v>612</v>
      </c>
      <c r="M15" s="707" t="s">
        <v>612</v>
      </c>
      <c r="N15" s="709" t="s">
        <v>612</v>
      </c>
      <c r="O15" s="707" t="s">
        <v>612</v>
      </c>
      <c r="P15" s="709" t="s">
        <v>612</v>
      </c>
      <c r="Q15" s="707" t="s">
        <v>612</v>
      </c>
      <c r="R15" s="709" t="s">
        <v>612</v>
      </c>
      <c r="S15" s="707" t="s">
        <v>612</v>
      </c>
      <c r="T15" s="709" t="s">
        <v>612</v>
      </c>
      <c r="U15" s="707" t="s">
        <v>612</v>
      </c>
      <c r="V15" s="709" t="s">
        <v>612</v>
      </c>
      <c r="W15" s="707" t="s">
        <v>612</v>
      </c>
      <c r="X15" s="709" t="s">
        <v>612</v>
      </c>
      <c r="Y15" s="707" t="s">
        <v>612</v>
      </c>
      <c r="Z15" s="709" t="s">
        <v>612</v>
      </c>
      <c r="AA15" s="707" t="s">
        <v>612</v>
      </c>
      <c r="AB15" s="709" t="s">
        <v>612</v>
      </c>
      <c r="AC15" s="707" t="s">
        <v>612</v>
      </c>
      <c r="AD15" s="709" t="s">
        <v>612</v>
      </c>
      <c r="AE15" s="707" t="s">
        <v>612</v>
      </c>
      <c r="AF15" s="709" t="s">
        <v>612</v>
      </c>
      <c r="AG15" s="707" t="s">
        <v>612</v>
      </c>
      <c r="AH15" s="709" t="s">
        <v>612</v>
      </c>
      <c r="AI15" s="707" t="s">
        <v>612</v>
      </c>
      <c r="AJ15" s="709" t="s">
        <v>612</v>
      </c>
      <c r="AK15" s="707" t="s">
        <v>612</v>
      </c>
      <c r="AL15" s="709" t="s">
        <v>612</v>
      </c>
      <c r="AM15" s="16" t="s">
        <v>612</v>
      </c>
    </row>
    <row r="16" spans="1:39">
      <c r="A16" s="1017"/>
      <c r="B16" s="1017"/>
      <c r="E16" s="211">
        <f>Biodata!B13</f>
        <v>8</v>
      </c>
      <c r="F16" s="212">
        <f>IF(Biodata!C13="","",VLOOKUP(E16,Biodata_Siswa,2,FALSE))</f>
        <v>7067</v>
      </c>
      <c r="G16" s="1015" t="str">
        <f>IF(Biodata!E13="","",PROPER(VLOOKUP(E16,Biodata_Siswa,4,FALSE)))</f>
        <v>Ayu Emelia Putri</v>
      </c>
      <c r="H16" s="1016"/>
      <c r="I16" s="707" t="s">
        <v>612</v>
      </c>
      <c r="J16" s="709" t="s">
        <v>612</v>
      </c>
      <c r="K16" s="707" t="s">
        <v>612</v>
      </c>
      <c r="L16" s="709" t="s">
        <v>612</v>
      </c>
      <c r="M16" s="707" t="s">
        <v>612</v>
      </c>
      <c r="N16" s="709" t="s">
        <v>612</v>
      </c>
      <c r="O16" s="707" t="s">
        <v>612</v>
      </c>
      <c r="P16" s="709" t="s">
        <v>612</v>
      </c>
      <c r="Q16" s="707" t="s">
        <v>612</v>
      </c>
      <c r="R16" s="709" t="s">
        <v>612</v>
      </c>
      <c r="S16" s="707" t="s">
        <v>612</v>
      </c>
      <c r="T16" s="709" t="s">
        <v>612</v>
      </c>
      <c r="U16" s="707" t="s">
        <v>612</v>
      </c>
      <c r="V16" s="709" t="s">
        <v>612</v>
      </c>
      <c r="W16" s="707" t="s">
        <v>612</v>
      </c>
      <c r="X16" s="709" t="s">
        <v>612</v>
      </c>
      <c r="Y16" s="707" t="s">
        <v>612</v>
      </c>
      <c r="Z16" s="709" t="s">
        <v>612</v>
      </c>
      <c r="AA16" s="707" t="s">
        <v>612</v>
      </c>
      <c r="AB16" s="709" t="s">
        <v>612</v>
      </c>
      <c r="AC16" s="707" t="s">
        <v>612</v>
      </c>
      <c r="AD16" s="709" t="s">
        <v>612</v>
      </c>
      <c r="AE16" s="707" t="s">
        <v>612</v>
      </c>
      <c r="AF16" s="709" t="s">
        <v>612</v>
      </c>
      <c r="AG16" s="707" t="s">
        <v>612</v>
      </c>
      <c r="AH16" s="709" t="s">
        <v>612</v>
      </c>
      <c r="AI16" s="707" t="s">
        <v>612</v>
      </c>
      <c r="AJ16" s="709" t="s">
        <v>612</v>
      </c>
      <c r="AK16" s="707" t="s">
        <v>612</v>
      </c>
      <c r="AL16" s="709" t="s">
        <v>612</v>
      </c>
      <c r="AM16" s="16" t="s">
        <v>612</v>
      </c>
    </row>
    <row r="17" spans="1:39">
      <c r="A17" s="1017"/>
      <c r="B17" s="1017"/>
      <c r="E17" s="211">
        <f>Biodata!B14</f>
        <v>9</v>
      </c>
      <c r="F17" s="212">
        <f>IF(Biodata!C14="","",VLOOKUP(E17,Biodata_Siswa,2,FALSE))</f>
        <v>7068</v>
      </c>
      <c r="G17" s="1015" t="str">
        <f>IF(Biodata!E14="","",PROPER(VLOOKUP(E17,Biodata_Siswa,4,FALSE)))</f>
        <v>Bayu Anggoro</v>
      </c>
      <c r="H17" s="1016"/>
      <c r="I17" s="707" t="s">
        <v>612</v>
      </c>
      <c r="J17" s="709" t="s">
        <v>612</v>
      </c>
      <c r="K17" s="707" t="s">
        <v>612</v>
      </c>
      <c r="L17" s="709" t="s">
        <v>612</v>
      </c>
      <c r="M17" s="707" t="s">
        <v>612</v>
      </c>
      <c r="N17" s="709" t="s">
        <v>612</v>
      </c>
      <c r="O17" s="707" t="s">
        <v>612</v>
      </c>
      <c r="P17" s="709" t="s">
        <v>612</v>
      </c>
      <c r="Q17" s="707" t="s">
        <v>612</v>
      </c>
      <c r="R17" s="709" t="s">
        <v>612</v>
      </c>
      <c r="S17" s="707" t="s">
        <v>612</v>
      </c>
      <c r="T17" s="709" t="s">
        <v>612</v>
      </c>
      <c r="U17" s="707" t="s">
        <v>612</v>
      </c>
      <c r="V17" s="709" t="s">
        <v>612</v>
      </c>
      <c r="W17" s="707" t="s">
        <v>612</v>
      </c>
      <c r="X17" s="709" t="s">
        <v>612</v>
      </c>
      <c r="Y17" s="707" t="s">
        <v>612</v>
      </c>
      <c r="Z17" s="709" t="s">
        <v>612</v>
      </c>
      <c r="AA17" s="707" t="s">
        <v>612</v>
      </c>
      <c r="AB17" s="709" t="s">
        <v>612</v>
      </c>
      <c r="AC17" s="707" t="s">
        <v>612</v>
      </c>
      <c r="AD17" s="709" t="s">
        <v>612</v>
      </c>
      <c r="AE17" s="707" t="s">
        <v>612</v>
      </c>
      <c r="AF17" s="709" t="s">
        <v>612</v>
      </c>
      <c r="AG17" s="707" t="s">
        <v>612</v>
      </c>
      <c r="AH17" s="709" t="s">
        <v>612</v>
      </c>
      <c r="AI17" s="707" t="s">
        <v>612</v>
      </c>
      <c r="AJ17" s="709" t="s">
        <v>612</v>
      </c>
      <c r="AK17" s="707" t="s">
        <v>612</v>
      </c>
      <c r="AL17" s="709" t="s">
        <v>612</v>
      </c>
      <c r="AM17" s="16" t="s">
        <v>612</v>
      </c>
    </row>
    <row r="18" spans="1:39">
      <c r="A18" s="1017"/>
      <c r="B18" s="1017"/>
      <c r="E18" s="211">
        <f>Biodata!B15</f>
        <v>10</v>
      </c>
      <c r="F18" s="212">
        <f>IF(Biodata!C15="","",VLOOKUP(E18,Biodata_Siswa,2,FALSE))</f>
        <v>7069</v>
      </c>
      <c r="G18" s="1015" t="str">
        <f>IF(Biodata!E15="","",PROPER(VLOOKUP(E18,Biodata_Siswa,4,FALSE)))</f>
        <v>Calissta Sabrina Salwa Aurelia</v>
      </c>
      <c r="H18" s="1016"/>
      <c r="I18" s="707" t="s">
        <v>612</v>
      </c>
      <c r="J18" s="709" t="s">
        <v>612</v>
      </c>
      <c r="K18" s="707" t="s">
        <v>612</v>
      </c>
      <c r="L18" s="709" t="s">
        <v>612</v>
      </c>
      <c r="M18" s="707" t="s">
        <v>612</v>
      </c>
      <c r="N18" s="709" t="s">
        <v>612</v>
      </c>
      <c r="O18" s="707" t="s">
        <v>612</v>
      </c>
      <c r="P18" s="709" t="s">
        <v>612</v>
      </c>
      <c r="Q18" s="707" t="s">
        <v>612</v>
      </c>
      <c r="R18" s="709" t="s">
        <v>612</v>
      </c>
      <c r="S18" s="707" t="s">
        <v>612</v>
      </c>
      <c r="T18" s="709" t="s">
        <v>612</v>
      </c>
      <c r="U18" s="707" t="s">
        <v>612</v>
      </c>
      <c r="V18" s="709" t="s">
        <v>612</v>
      </c>
      <c r="W18" s="707" t="s">
        <v>612</v>
      </c>
      <c r="X18" s="709" t="s">
        <v>612</v>
      </c>
      <c r="Y18" s="707" t="s">
        <v>612</v>
      </c>
      <c r="Z18" s="709" t="s">
        <v>612</v>
      </c>
      <c r="AA18" s="707" t="s">
        <v>612</v>
      </c>
      <c r="AB18" s="709" t="s">
        <v>612</v>
      </c>
      <c r="AC18" s="707" t="s">
        <v>612</v>
      </c>
      <c r="AD18" s="709" t="s">
        <v>612</v>
      </c>
      <c r="AE18" s="707" t="s">
        <v>612</v>
      </c>
      <c r="AF18" s="709" t="s">
        <v>612</v>
      </c>
      <c r="AG18" s="707" t="s">
        <v>612</v>
      </c>
      <c r="AH18" s="709" t="s">
        <v>612</v>
      </c>
      <c r="AI18" s="707" t="s">
        <v>612</v>
      </c>
      <c r="AJ18" s="709" t="s">
        <v>612</v>
      </c>
      <c r="AK18" s="707" t="s">
        <v>612</v>
      </c>
      <c r="AL18" s="709" t="s">
        <v>612</v>
      </c>
      <c r="AM18" s="16" t="s">
        <v>612</v>
      </c>
    </row>
    <row r="19" spans="1:39">
      <c r="A19" s="1017"/>
      <c r="B19" s="1017"/>
      <c r="E19" s="211">
        <f>Biodata!B16</f>
        <v>11</v>
      </c>
      <c r="F19" s="212">
        <f>IF(Biodata!C16="","",VLOOKUP(E19,Biodata_Siswa,2,FALSE))</f>
        <v>7074</v>
      </c>
      <c r="G19" s="1015" t="str">
        <f>IF(Biodata!E16="","",PROPER(VLOOKUP(E19,Biodata_Siswa,4,FALSE)))</f>
        <v>Dea Safitri</v>
      </c>
      <c r="H19" s="1016"/>
      <c r="I19" s="707" t="s">
        <v>612</v>
      </c>
      <c r="J19" s="709" t="s">
        <v>612</v>
      </c>
      <c r="K19" s="707" t="s">
        <v>612</v>
      </c>
      <c r="L19" s="709" t="s">
        <v>612</v>
      </c>
      <c r="M19" s="707" t="s">
        <v>612</v>
      </c>
      <c r="N19" s="709" t="s">
        <v>612</v>
      </c>
      <c r="O19" s="707" t="s">
        <v>612</v>
      </c>
      <c r="P19" s="709" t="s">
        <v>612</v>
      </c>
      <c r="Q19" s="707" t="s">
        <v>612</v>
      </c>
      <c r="R19" s="709" t="s">
        <v>612</v>
      </c>
      <c r="S19" s="707" t="s">
        <v>612</v>
      </c>
      <c r="T19" s="709" t="s">
        <v>612</v>
      </c>
      <c r="U19" s="707" t="s">
        <v>612</v>
      </c>
      <c r="V19" s="709" t="s">
        <v>612</v>
      </c>
      <c r="W19" s="707" t="s">
        <v>612</v>
      </c>
      <c r="X19" s="709" t="s">
        <v>612</v>
      </c>
      <c r="Y19" s="707" t="s">
        <v>612</v>
      </c>
      <c r="Z19" s="709" t="s">
        <v>612</v>
      </c>
      <c r="AA19" s="707" t="s">
        <v>612</v>
      </c>
      <c r="AB19" s="709" t="s">
        <v>612</v>
      </c>
      <c r="AC19" s="707" t="s">
        <v>612</v>
      </c>
      <c r="AD19" s="709" t="s">
        <v>612</v>
      </c>
      <c r="AE19" s="707" t="s">
        <v>612</v>
      </c>
      <c r="AF19" s="709" t="s">
        <v>612</v>
      </c>
      <c r="AG19" s="707" t="s">
        <v>612</v>
      </c>
      <c r="AH19" s="709" t="s">
        <v>612</v>
      </c>
      <c r="AI19" s="707" t="s">
        <v>612</v>
      </c>
      <c r="AJ19" s="709" t="s">
        <v>612</v>
      </c>
      <c r="AK19" s="707" t="s">
        <v>612</v>
      </c>
      <c r="AL19" s="709" t="s">
        <v>612</v>
      </c>
      <c r="AM19" s="16" t="s">
        <v>612</v>
      </c>
    </row>
    <row r="20" spans="1:39">
      <c r="A20" s="1017"/>
      <c r="B20" s="1017"/>
      <c r="E20" s="211">
        <f>Biodata!B17</f>
        <v>12</v>
      </c>
      <c r="F20" s="212">
        <f>IF(Biodata!C17="","",VLOOKUP(E20,Biodata_Siswa,2,FALSE))</f>
        <v>7080</v>
      </c>
      <c r="G20" s="1015" t="str">
        <f>IF(Biodata!E17="","",PROPER(VLOOKUP(E20,Biodata_Siswa,4,FALSE)))</f>
        <v>Dewi Wulandari</v>
      </c>
      <c r="H20" s="1016"/>
      <c r="I20" s="707" t="s">
        <v>612</v>
      </c>
      <c r="J20" s="709" t="s">
        <v>612</v>
      </c>
      <c r="K20" s="707" t="s">
        <v>612</v>
      </c>
      <c r="L20" s="709" t="s">
        <v>612</v>
      </c>
      <c r="M20" s="707" t="s">
        <v>612</v>
      </c>
      <c r="N20" s="709" t="s">
        <v>612</v>
      </c>
      <c r="O20" s="707" t="s">
        <v>612</v>
      </c>
      <c r="P20" s="709" t="s">
        <v>612</v>
      </c>
      <c r="Q20" s="707" t="s">
        <v>612</v>
      </c>
      <c r="R20" s="709" t="s">
        <v>612</v>
      </c>
      <c r="S20" s="707" t="s">
        <v>612</v>
      </c>
      <c r="T20" s="709" t="s">
        <v>612</v>
      </c>
      <c r="U20" s="707" t="s">
        <v>612</v>
      </c>
      <c r="V20" s="709" t="s">
        <v>612</v>
      </c>
      <c r="W20" s="707" t="s">
        <v>612</v>
      </c>
      <c r="X20" s="709" t="s">
        <v>612</v>
      </c>
      <c r="Y20" s="707" t="s">
        <v>612</v>
      </c>
      <c r="Z20" s="709" t="s">
        <v>612</v>
      </c>
      <c r="AA20" s="707" t="s">
        <v>612</v>
      </c>
      <c r="AB20" s="709" t="s">
        <v>612</v>
      </c>
      <c r="AC20" s="707" t="s">
        <v>612</v>
      </c>
      <c r="AD20" s="709" t="s">
        <v>612</v>
      </c>
      <c r="AE20" s="707" t="s">
        <v>612</v>
      </c>
      <c r="AF20" s="709" t="s">
        <v>612</v>
      </c>
      <c r="AG20" s="707" t="s">
        <v>612</v>
      </c>
      <c r="AH20" s="709" t="s">
        <v>612</v>
      </c>
      <c r="AI20" s="707" t="s">
        <v>612</v>
      </c>
      <c r="AJ20" s="709" t="s">
        <v>612</v>
      </c>
      <c r="AK20" s="707" t="s">
        <v>612</v>
      </c>
      <c r="AL20" s="709" t="s">
        <v>612</v>
      </c>
      <c r="AM20" s="16" t="s">
        <v>612</v>
      </c>
    </row>
    <row r="21" spans="1:39">
      <c r="A21" s="1017"/>
      <c r="B21" s="1017"/>
      <c r="E21" s="211">
        <f>Biodata!B18</f>
        <v>13</v>
      </c>
      <c r="F21" s="212">
        <f>IF(Biodata!C18="","",VLOOKUP(E21,Biodata_Siswa,2,FALSE))</f>
        <v>7084</v>
      </c>
      <c r="G21" s="1015" t="str">
        <f>IF(Biodata!E18="","",PROPER(VLOOKUP(E21,Biodata_Siswa,4,FALSE)))</f>
        <v>Dony Pratama</v>
      </c>
      <c r="H21" s="1016"/>
      <c r="I21" s="707" t="s">
        <v>612</v>
      </c>
      <c r="J21" s="709" t="s">
        <v>612</v>
      </c>
      <c r="K21" s="707" t="s">
        <v>612</v>
      </c>
      <c r="L21" s="709" t="s">
        <v>612</v>
      </c>
      <c r="M21" s="707" t="s">
        <v>612</v>
      </c>
      <c r="N21" s="709" t="s">
        <v>612</v>
      </c>
      <c r="O21" s="707" t="s">
        <v>612</v>
      </c>
      <c r="P21" s="709" t="s">
        <v>612</v>
      </c>
      <c r="Q21" s="707" t="s">
        <v>612</v>
      </c>
      <c r="R21" s="709" t="s">
        <v>612</v>
      </c>
      <c r="S21" s="707" t="s">
        <v>612</v>
      </c>
      <c r="T21" s="709" t="s">
        <v>612</v>
      </c>
      <c r="U21" s="707" t="s">
        <v>612</v>
      </c>
      <c r="V21" s="709" t="s">
        <v>612</v>
      </c>
      <c r="W21" s="707" t="s">
        <v>612</v>
      </c>
      <c r="X21" s="709" t="s">
        <v>612</v>
      </c>
      <c r="Y21" s="707" t="s">
        <v>612</v>
      </c>
      <c r="Z21" s="709" t="s">
        <v>612</v>
      </c>
      <c r="AA21" s="707" t="s">
        <v>612</v>
      </c>
      <c r="AB21" s="709" t="s">
        <v>612</v>
      </c>
      <c r="AC21" s="707" t="s">
        <v>612</v>
      </c>
      <c r="AD21" s="709" t="s">
        <v>612</v>
      </c>
      <c r="AE21" s="707" t="s">
        <v>612</v>
      </c>
      <c r="AF21" s="709" t="s">
        <v>612</v>
      </c>
      <c r="AG21" s="707" t="s">
        <v>612</v>
      </c>
      <c r="AH21" s="709" t="s">
        <v>612</v>
      </c>
      <c r="AI21" s="707" t="s">
        <v>612</v>
      </c>
      <c r="AJ21" s="709" t="s">
        <v>612</v>
      </c>
      <c r="AK21" s="707" t="s">
        <v>612</v>
      </c>
      <c r="AL21" s="709" t="s">
        <v>612</v>
      </c>
      <c r="AM21" s="16" t="s">
        <v>612</v>
      </c>
    </row>
    <row r="22" spans="1:39" ht="15.75">
      <c r="B22" s="16"/>
      <c r="E22" s="211">
        <f>Biodata!B19</f>
        <v>14</v>
      </c>
      <c r="F22" s="212">
        <f>IF(Biodata!C19="","",VLOOKUP(E22,Biodata_Siswa,2,FALSE))</f>
        <v>7089</v>
      </c>
      <c r="G22" s="1015" t="str">
        <f>IF(Biodata!E19="","",PROPER(VLOOKUP(E22,Biodata_Siswa,4,FALSE)))</f>
        <v>Faris Febram</v>
      </c>
      <c r="H22" s="1016"/>
      <c r="I22" s="707" t="s">
        <v>612</v>
      </c>
      <c r="J22" s="709" t="s">
        <v>612</v>
      </c>
      <c r="K22" s="707" t="s">
        <v>612</v>
      </c>
      <c r="L22" s="709" t="s">
        <v>612</v>
      </c>
      <c r="M22" s="707" t="s">
        <v>612</v>
      </c>
      <c r="N22" s="709" t="s">
        <v>612</v>
      </c>
      <c r="O22" s="707" t="s">
        <v>612</v>
      </c>
      <c r="P22" s="709" t="s">
        <v>612</v>
      </c>
      <c r="Q22" s="707" t="s">
        <v>612</v>
      </c>
      <c r="R22" s="709" t="s">
        <v>612</v>
      </c>
      <c r="S22" s="707" t="s">
        <v>612</v>
      </c>
      <c r="T22" s="709" t="s">
        <v>612</v>
      </c>
      <c r="U22" s="707" t="s">
        <v>612</v>
      </c>
      <c r="V22" s="709" t="s">
        <v>612</v>
      </c>
      <c r="W22" s="707" t="s">
        <v>612</v>
      </c>
      <c r="X22" s="709" t="s">
        <v>612</v>
      </c>
      <c r="Y22" s="707" t="s">
        <v>612</v>
      </c>
      <c r="Z22" s="709" t="s">
        <v>612</v>
      </c>
      <c r="AA22" s="707" t="s">
        <v>612</v>
      </c>
      <c r="AB22" s="709" t="s">
        <v>612</v>
      </c>
      <c r="AC22" s="707" t="s">
        <v>612</v>
      </c>
      <c r="AD22" s="709" t="s">
        <v>612</v>
      </c>
      <c r="AE22" s="707" t="s">
        <v>612</v>
      </c>
      <c r="AF22" s="709" t="s">
        <v>612</v>
      </c>
      <c r="AG22" s="707" t="s">
        <v>612</v>
      </c>
      <c r="AH22" s="709" t="s">
        <v>612</v>
      </c>
      <c r="AI22" s="707" t="s">
        <v>612</v>
      </c>
      <c r="AJ22" s="709" t="s">
        <v>612</v>
      </c>
      <c r="AK22" s="707" t="s">
        <v>612</v>
      </c>
      <c r="AL22" s="709" t="s">
        <v>612</v>
      </c>
      <c r="AM22" s="16" t="s">
        <v>612</v>
      </c>
    </row>
    <row r="23" spans="1:39" ht="15.75">
      <c r="B23" s="16"/>
      <c r="E23" s="211">
        <f>Biodata!B20</f>
        <v>15</v>
      </c>
      <c r="F23" s="212">
        <f>IF(Biodata!C20="","",VLOOKUP(E23,Biodata_Siswa,2,FALSE))</f>
        <v>7095</v>
      </c>
      <c r="G23" s="1015" t="str">
        <f>IF(Biodata!E20="","",PROPER(VLOOKUP(E23,Biodata_Siswa,4,FALSE)))</f>
        <v>Hikmatullah Umar Malik Abdul Aziz</v>
      </c>
      <c r="H23" s="1016"/>
      <c r="I23" s="707" t="s">
        <v>612</v>
      </c>
      <c r="J23" s="709" t="s">
        <v>612</v>
      </c>
      <c r="K23" s="707" t="s">
        <v>612</v>
      </c>
      <c r="L23" s="709" t="s">
        <v>612</v>
      </c>
      <c r="M23" s="707" t="s">
        <v>612</v>
      </c>
      <c r="N23" s="709" t="s">
        <v>612</v>
      </c>
      <c r="O23" s="707" t="s">
        <v>612</v>
      </c>
      <c r="P23" s="709" t="s">
        <v>612</v>
      </c>
      <c r="Q23" s="707" t="s">
        <v>612</v>
      </c>
      <c r="R23" s="709" t="s">
        <v>612</v>
      </c>
      <c r="S23" s="707" t="s">
        <v>612</v>
      </c>
      <c r="T23" s="709" t="s">
        <v>612</v>
      </c>
      <c r="U23" s="707" t="s">
        <v>612</v>
      </c>
      <c r="V23" s="709" t="s">
        <v>612</v>
      </c>
      <c r="W23" s="707" t="s">
        <v>612</v>
      </c>
      <c r="X23" s="709" t="s">
        <v>612</v>
      </c>
      <c r="Y23" s="707" t="s">
        <v>612</v>
      </c>
      <c r="Z23" s="709" t="s">
        <v>612</v>
      </c>
      <c r="AA23" s="707" t="s">
        <v>612</v>
      </c>
      <c r="AB23" s="709" t="s">
        <v>612</v>
      </c>
      <c r="AC23" s="707" t="s">
        <v>612</v>
      </c>
      <c r="AD23" s="709" t="s">
        <v>612</v>
      </c>
      <c r="AE23" s="707" t="s">
        <v>612</v>
      </c>
      <c r="AF23" s="709" t="s">
        <v>612</v>
      </c>
      <c r="AG23" s="707" t="s">
        <v>612</v>
      </c>
      <c r="AH23" s="709" t="s">
        <v>612</v>
      </c>
      <c r="AI23" s="707" t="s">
        <v>612</v>
      </c>
      <c r="AJ23" s="709" t="s">
        <v>612</v>
      </c>
      <c r="AK23" s="707" t="s">
        <v>612</v>
      </c>
      <c r="AL23" s="709" t="s">
        <v>612</v>
      </c>
      <c r="AM23" s="16" t="s">
        <v>612</v>
      </c>
    </row>
    <row r="24" spans="1:39" ht="15.75">
      <c r="B24" s="16"/>
      <c r="E24" s="211">
        <f>Biodata!B21</f>
        <v>16</v>
      </c>
      <c r="F24" s="212">
        <f>IF(Biodata!C21="","",VLOOKUP(E24,Biodata_Siswa,2,FALSE))</f>
        <v>7096</v>
      </c>
      <c r="G24" s="1015" t="str">
        <f>IF(Biodata!E21="","",PROPER(VLOOKUP(E24,Biodata_Siswa,4,FALSE)))</f>
        <v>Indah Purnama Ningsih</v>
      </c>
      <c r="H24" s="1016"/>
      <c r="I24" s="707" t="s">
        <v>612</v>
      </c>
      <c r="J24" s="709" t="s">
        <v>612</v>
      </c>
      <c r="K24" s="707" t="s">
        <v>612</v>
      </c>
      <c r="L24" s="709" t="s">
        <v>612</v>
      </c>
      <c r="M24" s="707" t="s">
        <v>612</v>
      </c>
      <c r="N24" s="709" t="s">
        <v>612</v>
      </c>
      <c r="O24" s="707" t="s">
        <v>612</v>
      </c>
      <c r="P24" s="709" t="s">
        <v>612</v>
      </c>
      <c r="Q24" s="707" t="s">
        <v>612</v>
      </c>
      <c r="R24" s="709" t="s">
        <v>612</v>
      </c>
      <c r="S24" s="707" t="s">
        <v>612</v>
      </c>
      <c r="T24" s="709" t="s">
        <v>612</v>
      </c>
      <c r="U24" s="707" t="s">
        <v>612</v>
      </c>
      <c r="V24" s="709" t="s">
        <v>612</v>
      </c>
      <c r="W24" s="707" t="s">
        <v>612</v>
      </c>
      <c r="X24" s="709" t="s">
        <v>612</v>
      </c>
      <c r="Y24" s="707" t="s">
        <v>612</v>
      </c>
      <c r="Z24" s="709" t="s">
        <v>612</v>
      </c>
      <c r="AA24" s="707" t="s">
        <v>612</v>
      </c>
      <c r="AB24" s="709" t="s">
        <v>612</v>
      </c>
      <c r="AC24" s="707" t="s">
        <v>612</v>
      </c>
      <c r="AD24" s="709" t="s">
        <v>612</v>
      </c>
      <c r="AE24" s="707" t="s">
        <v>612</v>
      </c>
      <c r="AF24" s="709" t="s">
        <v>612</v>
      </c>
      <c r="AG24" s="707" t="s">
        <v>612</v>
      </c>
      <c r="AH24" s="709" t="s">
        <v>612</v>
      </c>
      <c r="AI24" s="707" t="s">
        <v>612</v>
      </c>
      <c r="AJ24" s="709" t="s">
        <v>612</v>
      </c>
      <c r="AK24" s="707" t="s">
        <v>612</v>
      </c>
      <c r="AL24" s="709" t="s">
        <v>612</v>
      </c>
      <c r="AM24" s="16" t="s">
        <v>612</v>
      </c>
    </row>
    <row r="25" spans="1:39">
      <c r="B25" s="1017"/>
      <c r="C25" s="1017"/>
      <c r="E25" s="211">
        <f>Biodata!B22</f>
        <v>17</v>
      </c>
      <c r="F25" s="212">
        <f>IF(Biodata!C22="","",VLOOKUP(E25,Biodata_Siswa,2,FALSE))</f>
        <v>7098</v>
      </c>
      <c r="G25" s="1015" t="str">
        <f>IF(Biodata!E22="","",PROPER(VLOOKUP(E25,Biodata_Siswa,4,FALSE)))</f>
        <v>Ladiva Nurrosa Laila</v>
      </c>
      <c r="H25" s="1016"/>
      <c r="I25" s="707" t="s">
        <v>612</v>
      </c>
      <c r="J25" s="709" t="s">
        <v>612</v>
      </c>
      <c r="K25" s="707" t="s">
        <v>612</v>
      </c>
      <c r="L25" s="709" t="s">
        <v>612</v>
      </c>
      <c r="M25" s="707" t="s">
        <v>612</v>
      </c>
      <c r="N25" s="709" t="s">
        <v>612</v>
      </c>
      <c r="O25" s="707" t="s">
        <v>612</v>
      </c>
      <c r="P25" s="709" t="s">
        <v>612</v>
      </c>
      <c r="Q25" s="707" t="s">
        <v>612</v>
      </c>
      <c r="R25" s="709" t="s">
        <v>612</v>
      </c>
      <c r="S25" s="707" t="s">
        <v>612</v>
      </c>
      <c r="T25" s="709" t="s">
        <v>612</v>
      </c>
      <c r="U25" s="707" t="s">
        <v>612</v>
      </c>
      <c r="V25" s="709" t="s">
        <v>612</v>
      </c>
      <c r="W25" s="707" t="s">
        <v>612</v>
      </c>
      <c r="X25" s="709" t="s">
        <v>612</v>
      </c>
      <c r="Y25" s="707" t="s">
        <v>612</v>
      </c>
      <c r="Z25" s="709" t="s">
        <v>612</v>
      </c>
      <c r="AA25" s="707" t="s">
        <v>612</v>
      </c>
      <c r="AB25" s="709" t="s">
        <v>612</v>
      </c>
      <c r="AC25" s="707" t="s">
        <v>612</v>
      </c>
      <c r="AD25" s="709" t="s">
        <v>612</v>
      </c>
      <c r="AE25" s="707" t="s">
        <v>612</v>
      </c>
      <c r="AF25" s="709" t="s">
        <v>612</v>
      </c>
      <c r="AG25" s="707" t="s">
        <v>612</v>
      </c>
      <c r="AH25" s="709" t="s">
        <v>612</v>
      </c>
      <c r="AI25" s="707" t="s">
        <v>612</v>
      </c>
      <c r="AJ25" s="709" t="s">
        <v>612</v>
      </c>
      <c r="AK25" s="707" t="s">
        <v>612</v>
      </c>
      <c r="AL25" s="709" t="s">
        <v>612</v>
      </c>
      <c r="AM25" s="16" t="s">
        <v>612</v>
      </c>
    </row>
    <row r="26" spans="1:39">
      <c r="E26" s="211">
        <f>Biodata!B23</f>
        <v>18</v>
      </c>
      <c r="F26" s="212">
        <f>IF(Biodata!C23="","",VLOOKUP(E26,Biodata_Siswa,2,FALSE))</f>
        <v>7101</v>
      </c>
      <c r="G26" s="1015" t="str">
        <f>IF(Biodata!E23="","",PROPER(VLOOKUP(E26,Biodata_Siswa,4,FALSE)))</f>
        <v>Mefa Novita Putri</v>
      </c>
      <c r="H26" s="1016"/>
      <c r="I26" s="707" t="s">
        <v>612</v>
      </c>
      <c r="J26" s="709" t="s">
        <v>612</v>
      </c>
      <c r="K26" s="707" t="s">
        <v>612</v>
      </c>
      <c r="L26" s="709" t="s">
        <v>612</v>
      </c>
      <c r="M26" s="707" t="s">
        <v>612</v>
      </c>
      <c r="N26" s="709" t="s">
        <v>612</v>
      </c>
      <c r="O26" s="707" t="s">
        <v>612</v>
      </c>
      <c r="P26" s="709" t="s">
        <v>612</v>
      </c>
      <c r="Q26" s="707" t="s">
        <v>612</v>
      </c>
      <c r="R26" s="709" t="s">
        <v>612</v>
      </c>
      <c r="S26" s="707" t="s">
        <v>612</v>
      </c>
      <c r="T26" s="709" t="s">
        <v>612</v>
      </c>
      <c r="U26" s="707" t="s">
        <v>612</v>
      </c>
      <c r="V26" s="709" t="s">
        <v>612</v>
      </c>
      <c r="W26" s="707" t="s">
        <v>612</v>
      </c>
      <c r="X26" s="709" t="s">
        <v>612</v>
      </c>
      <c r="Y26" s="707" t="s">
        <v>612</v>
      </c>
      <c r="Z26" s="709" t="s">
        <v>612</v>
      </c>
      <c r="AA26" s="707" t="s">
        <v>612</v>
      </c>
      <c r="AB26" s="709" t="s">
        <v>612</v>
      </c>
      <c r="AC26" s="707" t="s">
        <v>612</v>
      </c>
      <c r="AD26" s="709" t="s">
        <v>612</v>
      </c>
      <c r="AE26" s="707" t="s">
        <v>612</v>
      </c>
      <c r="AF26" s="709" t="s">
        <v>612</v>
      </c>
      <c r="AG26" s="707" t="s">
        <v>612</v>
      </c>
      <c r="AH26" s="709" t="s">
        <v>612</v>
      </c>
      <c r="AI26" s="707" t="s">
        <v>612</v>
      </c>
      <c r="AJ26" s="709" t="s">
        <v>612</v>
      </c>
      <c r="AK26" s="707" t="s">
        <v>612</v>
      </c>
      <c r="AL26" s="709" t="s">
        <v>612</v>
      </c>
      <c r="AM26" s="16" t="s">
        <v>612</v>
      </c>
    </row>
    <row r="27" spans="1:39">
      <c r="E27" s="211">
        <f>Biodata!B24</f>
        <v>19</v>
      </c>
      <c r="F27" s="212">
        <f>IF(Biodata!C24="","",VLOOKUP(E27,Biodata_Siswa,2,FALSE))</f>
        <v>7104</v>
      </c>
      <c r="G27" s="1015" t="str">
        <f>IF(Biodata!E24="","",PROPER(VLOOKUP(E27,Biodata_Siswa,4,FALSE)))</f>
        <v>Mellanie Bunga Aprilia</v>
      </c>
      <c r="H27" s="1016"/>
      <c r="I27" s="707" t="s">
        <v>612</v>
      </c>
      <c r="J27" s="709" t="s">
        <v>612</v>
      </c>
      <c r="K27" s="707" t="s">
        <v>612</v>
      </c>
      <c r="L27" s="709" t="s">
        <v>612</v>
      </c>
      <c r="M27" s="707" t="s">
        <v>612</v>
      </c>
      <c r="N27" s="709" t="s">
        <v>612</v>
      </c>
      <c r="O27" s="707" t="s">
        <v>612</v>
      </c>
      <c r="P27" s="709" t="s">
        <v>612</v>
      </c>
      <c r="Q27" s="707" t="s">
        <v>612</v>
      </c>
      <c r="R27" s="709" t="s">
        <v>612</v>
      </c>
      <c r="S27" s="707" t="s">
        <v>612</v>
      </c>
      <c r="T27" s="709" t="s">
        <v>612</v>
      </c>
      <c r="U27" s="707" t="s">
        <v>612</v>
      </c>
      <c r="V27" s="709" t="s">
        <v>612</v>
      </c>
      <c r="W27" s="707" t="s">
        <v>612</v>
      </c>
      <c r="X27" s="709" t="s">
        <v>612</v>
      </c>
      <c r="Y27" s="707" t="s">
        <v>612</v>
      </c>
      <c r="Z27" s="709" t="s">
        <v>612</v>
      </c>
      <c r="AA27" s="707" t="s">
        <v>612</v>
      </c>
      <c r="AB27" s="709" t="s">
        <v>612</v>
      </c>
      <c r="AC27" s="707" t="s">
        <v>612</v>
      </c>
      <c r="AD27" s="709" t="s">
        <v>612</v>
      </c>
      <c r="AE27" s="707" t="s">
        <v>612</v>
      </c>
      <c r="AF27" s="709" t="s">
        <v>612</v>
      </c>
      <c r="AG27" s="707" t="s">
        <v>612</v>
      </c>
      <c r="AH27" s="709" t="s">
        <v>612</v>
      </c>
      <c r="AI27" s="707" t="s">
        <v>612</v>
      </c>
      <c r="AJ27" s="709" t="s">
        <v>612</v>
      </c>
      <c r="AK27" s="707" t="s">
        <v>612</v>
      </c>
      <c r="AL27" s="709" t="s">
        <v>612</v>
      </c>
      <c r="AM27" s="16" t="s">
        <v>612</v>
      </c>
    </row>
    <row r="28" spans="1:39">
      <c r="E28" s="211">
        <f>Biodata!B25</f>
        <v>20</v>
      </c>
      <c r="F28" s="212">
        <f>IF(Biodata!C25="","",VLOOKUP(E28,Biodata_Siswa,2,FALSE))</f>
        <v>7105</v>
      </c>
      <c r="G28" s="1015" t="str">
        <f>IF(Biodata!E25="","",PROPER(VLOOKUP(E28,Biodata_Siswa,4,FALSE)))</f>
        <v>Mirra Tusolickak</v>
      </c>
      <c r="H28" s="1016"/>
      <c r="I28" s="707" t="s">
        <v>612</v>
      </c>
      <c r="J28" s="709" t="s">
        <v>612</v>
      </c>
      <c r="K28" s="707" t="s">
        <v>612</v>
      </c>
      <c r="L28" s="709" t="s">
        <v>612</v>
      </c>
      <c r="M28" s="707" t="s">
        <v>612</v>
      </c>
      <c r="N28" s="709" t="s">
        <v>612</v>
      </c>
      <c r="O28" s="707" t="s">
        <v>612</v>
      </c>
      <c r="P28" s="709" t="s">
        <v>612</v>
      </c>
      <c r="Q28" s="707" t="s">
        <v>612</v>
      </c>
      <c r="R28" s="709" t="s">
        <v>612</v>
      </c>
      <c r="S28" s="707" t="s">
        <v>612</v>
      </c>
      <c r="T28" s="709" t="s">
        <v>612</v>
      </c>
      <c r="U28" s="707" t="s">
        <v>612</v>
      </c>
      <c r="V28" s="709" t="s">
        <v>612</v>
      </c>
      <c r="W28" s="707" t="s">
        <v>612</v>
      </c>
      <c r="X28" s="709" t="s">
        <v>612</v>
      </c>
      <c r="Y28" s="707" t="s">
        <v>612</v>
      </c>
      <c r="Z28" s="709" t="s">
        <v>612</v>
      </c>
      <c r="AA28" s="707" t="s">
        <v>612</v>
      </c>
      <c r="AB28" s="709" t="s">
        <v>612</v>
      </c>
      <c r="AC28" s="707" t="s">
        <v>612</v>
      </c>
      <c r="AD28" s="709" t="s">
        <v>612</v>
      </c>
      <c r="AE28" s="707" t="s">
        <v>612</v>
      </c>
      <c r="AF28" s="709" t="s">
        <v>612</v>
      </c>
      <c r="AG28" s="707" t="s">
        <v>612</v>
      </c>
      <c r="AH28" s="709" t="s">
        <v>612</v>
      </c>
      <c r="AI28" s="707" t="s">
        <v>612</v>
      </c>
      <c r="AJ28" s="709" t="s">
        <v>612</v>
      </c>
      <c r="AK28" s="707" t="s">
        <v>612</v>
      </c>
      <c r="AL28" s="709" t="s">
        <v>612</v>
      </c>
      <c r="AM28" s="16" t="s">
        <v>612</v>
      </c>
    </row>
    <row r="29" spans="1:39">
      <c r="E29" s="211">
        <f>Biodata!B26</f>
        <v>21</v>
      </c>
      <c r="F29" s="212">
        <f>IF(Biodata!C26="","",VLOOKUP(E29,Biodata_Siswa,2,FALSE))</f>
        <v>7107</v>
      </c>
      <c r="G29" s="1015" t="str">
        <f>IF(Biodata!E26="","",PROPER(VLOOKUP(E29,Biodata_Siswa,4,FALSE)))</f>
        <v>Muhammad Daffa Rifa'I</v>
      </c>
      <c r="H29" s="1016"/>
      <c r="I29" s="707" t="s">
        <v>612</v>
      </c>
      <c r="J29" s="709" t="s">
        <v>612</v>
      </c>
      <c r="K29" s="707" t="s">
        <v>612</v>
      </c>
      <c r="L29" s="709" t="s">
        <v>612</v>
      </c>
      <c r="M29" s="707" t="s">
        <v>612</v>
      </c>
      <c r="N29" s="709" t="s">
        <v>612</v>
      </c>
      <c r="O29" s="707" t="s">
        <v>612</v>
      </c>
      <c r="P29" s="709" t="s">
        <v>612</v>
      </c>
      <c r="Q29" s="707" t="s">
        <v>612</v>
      </c>
      <c r="R29" s="709" t="s">
        <v>612</v>
      </c>
      <c r="S29" s="707" t="s">
        <v>612</v>
      </c>
      <c r="T29" s="709" t="s">
        <v>612</v>
      </c>
      <c r="U29" s="707" t="s">
        <v>612</v>
      </c>
      <c r="V29" s="709" t="s">
        <v>612</v>
      </c>
      <c r="W29" s="707" t="s">
        <v>612</v>
      </c>
      <c r="X29" s="709" t="s">
        <v>612</v>
      </c>
      <c r="Y29" s="707" t="s">
        <v>612</v>
      </c>
      <c r="Z29" s="709" t="s">
        <v>612</v>
      </c>
      <c r="AA29" s="707" t="s">
        <v>612</v>
      </c>
      <c r="AB29" s="709" t="s">
        <v>612</v>
      </c>
      <c r="AC29" s="707" t="s">
        <v>612</v>
      </c>
      <c r="AD29" s="709" t="s">
        <v>612</v>
      </c>
      <c r="AE29" s="707" t="s">
        <v>612</v>
      </c>
      <c r="AF29" s="709" t="s">
        <v>612</v>
      </c>
      <c r="AG29" s="707" t="s">
        <v>612</v>
      </c>
      <c r="AH29" s="709" t="s">
        <v>612</v>
      </c>
      <c r="AI29" s="707" t="s">
        <v>612</v>
      </c>
      <c r="AJ29" s="709" t="s">
        <v>612</v>
      </c>
      <c r="AK29" s="707" t="s">
        <v>612</v>
      </c>
      <c r="AL29" s="709" t="s">
        <v>612</v>
      </c>
      <c r="AM29" s="16" t="s">
        <v>612</v>
      </c>
    </row>
    <row r="30" spans="1:39">
      <c r="E30" s="211">
        <f>Biodata!B27</f>
        <v>22</v>
      </c>
      <c r="F30" s="212">
        <f>IF(Biodata!C27="","",VLOOKUP(E30,Biodata_Siswa,2,FALSE))</f>
        <v>7108</v>
      </c>
      <c r="G30" s="1015" t="str">
        <f>IF(Biodata!E27="","",PROPER(VLOOKUP(E30,Biodata_Siswa,4,FALSE)))</f>
        <v>Muhammad Jaupanto</v>
      </c>
      <c r="H30" s="1016"/>
      <c r="I30" s="707" t="s">
        <v>612</v>
      </c>
      <c r="J30" s="709" t="s">
        <v>612</v>
      </c>
      <c r="K30" s="707" t="s">
        <v>612</v>
      </c>
      <c r="L30" s="709" t="s">
        <v>612</v>
      </c>
      <c r="M30" s="707" t="s">
        <v>612</v>
      </c>
      <c r="N30" s="709" t="s">
        <v>612</v>
      </c>
      <c r="O30" s="707" t="s">
        <v>612</v>
      </c>
      <c r="P30" s="709" t="s">
        <v>612</v>
      </c>
      <c r="Q30" s="707" t="s">
        <v>612</v>
      </c>
      <c r="R30" s="709" t="s">
        <v>612</v>
      </c>
      <c r="S30" s="707" t="s">
        <v>612</v>
      </c>
      <c r="T30" s="709" t="s">
        <v>612</v>
      </c>
      <c r="U30" s="707" t="s">
        <v>612</v>
      </c>
      <c r="V30" s="709" t="s">
        <v>612</v>
      </c>
      <c r="W30" s="707" t="s">
        <v>612</v>
      </c>
      <c r="X30" s="709" t="s">
        <v>612</v>
      </c>
      <c r="Y30" s="707" t="s">
        <v>612</v>
      </c>
      <c r="Z30" s="709" t="s">
        <v>612</v>
      </c>
      <c r="AA30" s="707" t="s">
        <v>612</v>
      </c>
      <c r="AB30" s="709" t="s">
        <v>612</v>
      </c>
      <c r="AC30" s="707" t="s">
        <v>612</v>
      </c>
      <c r="AD30" s="709" t="s">
        <v>612</v>
      </c>
      <c r="AE30" s="707" t="s">
        <v>612</v>
      </c>
      <c r="AF30" s="709" t="s">
        <v>612</v>
      </c>
      <c r="AG30" s="707" t="s">
        <v>612</v>
      </c>
      <c r="AH30" s="709" t="s">
        <v>612</v>
      </c>
      <c r="AI30" s="707" t="s">
        <v>612</v>
      </c>
      <c r="AJ30" s="709" t="s">
        <v>612</v>
      </c>
      <c r="AK30" s="707" t="s">
        <v>612</v>
      </c>
      <c r="AL30" s="709" t="s">
        <v>612</v>
      </c>
      <c r="AM30" s="16" t="s">
        <v>612</v>
      </c>
    </row>
    <row r="31" spans="1:39">
      <c r="E31" s="211">
        <f>Biodata!B28</f>
        <v>23</v>
      </c>
      <c r="F31" s="212">
        <f>IF(Biodata!C28="","",VLOOKUP(E31,Biodata_Siswa,2,FALSE))</f>
        <v>7111</v>
      </c>
      <c r="G31" s="1015" t="str">
        <f>IF(Biodata!E28="","",PROPER(VLOOKUP(E31,Biodata_Siswa,4,FALSE)))</f>
        <v>Nova Laila Khusna</v>
      </c>
      <c r="H31" s="1016"/>
      <c r="I31" s="707" t="s">
        <v>612</v>
      </c>
      <c r="J31" s="709" t="s">
        <v>612</v>
      </c>
      <c r="K31" s="707" t="s">
        <v>612</v>
      </c>
      <c r="L31" s="709" t="s">
        <v>612</v>
      </c>
      <c r="M31" s="707" t="s">
        <v>612</v>
      </c>
      <c r="N31" s="709" t="s">
        <v>612</v>
      </c>
      <c r="O31" s="707" t="s">
        <v>612</v>
      </c>
      <c r="P31" s="709" t="s">
        <v>612</v>
      </c>
      <c r="Q31" s="707" t="s">
        <v>612</v>
      </c>
      <c r="R31" s="709" t="s">
        <v>612</v>
      </c>
      <c r="S31" s="707" t="s">
        <v>612</v>
      </c>
      <c r="T31" s="709" t="s">
        <v>612</v>
      </c>
      <c r="U31" s="707" t="s">
        <v>612</v>
      </c>
      <c r="V31" s="709" t="s">
        <v>612</v>
      </c>
      <c r="W31" s="707" t="s">
        <v>612</v>
      </c>
      <c r="X31" s="709" t="s">
        <v>612</v>
      </c>
      <c r="Y31" s="707" t="s">
        <v>612</v>
      </c>
      <c r="Z31" s="709" t="s">
        <v>612</v>
      </c>
      <c r="AA31" s="707" t="s">
        <v>612</v>
      </c>
      <c r="AB31" s="709" t="s">
        <v>612</v>
      </c>
      <c r="AC31" s="707" t="s">
        <v>612</v>
      </c>
      <c r="AD31" s="709" t="s">
        <v>612</v>
      </c>
      <c r="AE31" s="707" t="s">
        <v>612</v>
      </c>
      <c r="AF31" s="709" t="s">
        <v>612</v>
      </c>
      <c r="AG31" s="707" t="s">
        <v>612</v>
      </c>
      <c r="AH31" s="709" t="s">
        <v>612</v>
      </c>
      <c r="AI31" s="707" t="s">
        <v>612</v>
      </c>
      <c r="AJ31" s="709" t="s">
        <v>612</v>
      </c>
      <c r="AK31" s="707" t="s">
        <v>612</v>
      </c>
      <c r="AL31" s="709" t="s">
        <v>612</v>
      </c>
      <c r="AM31" s="16" t="s">
        <v>612</v>
      </c>
    </row>
    <row r="32" spans="1:39">
      <c r="E32" s="211">
        <f>Biodata!B29</f>
        <v>24</v>
      </c>
      <c r="F32" s="212">
        <f>IF(Biodata!C29="","",VLOOKUP(E32,Biodata_Siswa,2,FALSE))</f>
        <v>7126</v>
      </c>
      <c r="G32" s="1015" t="str">
        <f>IF(Biodata!E29="","",PROPER(VLOOKUP(E32,Biodata_Siswa,4,FALSE)))</f>
        <v>Sawal Ramadian</v>
      </c>
      <c r="H32" s="1016"/>
      <c r="I32" s="707" t="s">
        <v>612</v>
      </c>
      <c r="J32" s="709" t="s">
        <v>612</v>
      </c>
      <c r="K32" s="707" t="s">
        <v>612</v>
      </c>
      <c r="L32" s="709" t="s">
        <v>612</v>
      </c>
      <c r="M32" s="707" t="s">
        <v>612</v>
      </c>
      <c r="N32" s="709" t="s">
        <v>612</v>
      </c>
      <c r="O32" s="707" t="s">
        <v>612</v>
      </c>
      <c r="P32" s="709" t="s">
        <v>612</v>
      </c>
      <c r="Q32" s="707" t="s">
        <v>612</v>
      </c>
      <c r="R32" s="709" t="s">
        <v>612</v>
      </c>
      <c r="S32" s="707" t="s">
        <v>612</v>
      </c>
      <c r="T32" s="709" t="s">
        <v>612</v>
      </c>
      <c r="U32" s="707" t="s">
        <v>612</v>
      </c>
      <c r="V32" s="709" t="s">
        <v>612</v>
      </c>
      <c r="W32" s="707" t="s">
        <v>612</v>
      </c>
      <c r="X32" s="709" t="s">
        <v>612</v>
      </c>
      <c r="Y32" s="707" t="s">
        <v>612</v>
      </c>
      <c r="Z32" s="709" t="s">
        <v>612</v>
      </c>
      <c r="AA32" s="707" t="s">
        <v>612</v>
      </c>
      <c r="AB32" s="709" t="s">
        <v>612</v>
      </c>
      <c r="AC32" s="707" t="s">
        <v>612</v>
      </c>
      <c r="AD32" s="709" t="s">
        <v>612</v>
      </c>
      <c r="AE32" s="707" t="s">
        <v>612</v>
      </c>
      <c r="AF32" s="709" t="s">
        <v>612</v>
      </c>
      <c r="AG32" s="707" t="s">
        <v>612</v>
      </c>
      <c r="AH32" s="709" t="s">
        <v>612</v>
      </c>
      <c r="AI32" s="707" t="s">
        <v>612</v>
      </c>
      <c r="AJ32" s="709" t="s">
        <v>612</v>
      </c>
      <c r="AK32" s="707" t="s">
        <v>612</v>
      </c>
      <c r="AL32" s="709" t="s">
        <v>612</v>
      </c>
      <c r="AM32" s="16" t="s">
        <v>612</v>
      </c>
    </row>
    <row r="33" spans="5:39">
      <c r="E33" s="211">
        <f>Biodata!B30</f>
        <v>25</v>
      </c>
      <c r="F33" s="212">
        <f>IF(Biodata!C30="","",VLOOKUP(E33,Biodata_Siswa,2,FALSE))</f>
        <v>7130</v>
      </c>
      <c r="G33" s="1015" t="str">
        <f>IF(Biodata!E30="","",PROPER(VLOOKUP(E33,Biodata_Siswa,4,FALSE)))</f>
        <v>Sofyan Romansyah</v>
      </c>
      <c r="H33" s="1016"/>
      <c r="I33" s="707" t="s">
        <v>612</v>
      </c>
      <c r="J33" s="709" t="s">
        <v>612</v>
      </c>
      <c r="K33" s="707" t="s">
        <v>612</v>
      </c>
      <c r="L33" s="709" t="s">
        <v>612</v>
      </c>
      <c r="M33" s="707" t="s">
        <v>612</v>
      </c>
      <c r="N33" s="709" t="s">
        <v>612</v>
      </c>
      <c r="O33" s="707" t="s">
        <v>612</v>
      </c>
      <c r="P33" s="709" t="s">
        <v>612</v>
      </c>
      <c r="Q33" s="707" t="s">
        <v>612</v>
      </c>
      <c r="R33" s="709" t="s">
        <v>612</v>
      </c>
      <c r="S33" s="707" t="s">
        <v>612</v>
      </c>
      <c r="T33" s="709" t="s">
        <v>612</v>
      </c>
      <c r="U33" s="707" t="s">
        <v>612</v>
      </c>
      <c r="V33" s="709" t="s">
        <v>612</v>
      </c>
      <c r="W33" s="707" t="s">
        <v>612</v>
      </c>
      <c r="X33" s="709" t="s">
        <v>612</v>
      </c>
      <c r="Y33" s="707" t="s">
        <v>612</v>
      </c>
      <c r="Z33" s="709" t="s">
        <v>612</v>
      </c>
      <c r="AA33" s="707" t="s">
        <v>612</v>
      </c>
      <c r="AB33" s="709" t="s">
        <v>612</v>
      </c>
      <c r="AC33" s="707" t="s">
        <v>612</v>
      </c>
      <c r="AD33" s="709" t="s">
        <v>612</v>
      </c>
      <c r="AE33" s="707" t="s">
        <v>612</v>
      </c>
      <c r="AF33" s="709" t="s">
        <v>612</v>
      </c>
      <c r="AG33" s="707" t="s">
        <v>612</v>
      </c>
      <c r="AH33" s="709" t="s">
        <v>612</v>
      </c>
      <c r="AI33" s="707" t="s">
        <v>612</v>
      </c>
      <c r="AJ33" s="709" t="s">
        <v>612</v>
      </c>
      <c r="AK33" s="707" t="s">
        <v>612</v>
      </c>
      <c r="AL33" s="709" t="s">
        <v>612</v>
      </c>
      <c r="AM33" s="16" t="s">
        <v>612</v>
      </c>
    </row>
    <row r="34" spans="5:39">
      <c r="E34" s="211">
        <f>Biodata!B31</f>
        <v>26</v>
      </c>
      <c r="F34" s="212">
        <f>IF(Biodata!C31="","",VLOOKUP(E34,Biodata_Siswa,2,FALSE))</f>
        <v>7132</v>
      </c>
      <c r="G34" s="1015" t="str">
        <f>IF(Biodata!E31="","",PROPER(VLOOKUP(E34,Biodata_Siswa,4,FALSE)))</f>
        <v>Tio Ardinata</v>
      </c>
      <c r="H34" s="1016"/>
      <c r="I34" s="707" t="s">
        <v>612</v>
      </c>
      <c r="J34" s="709" t="s">
        <v>612</v>
      </c>
      <c r="K34" s="707" t="s">
        <v>612</v>
      </c>
      <c r="L34" s="709" t="s">
        <v>612</v>
      </c>
      <c r="M34" s="707" t="s">
        <v>612</v>
      </c>
      <c r="N34" s="709" t="s">
        <v>612</v>
      </c>
      <c r="O34" s="707" t="s">
        <v>612</v>
      </c>
      <c r="P34" s="709" t="s">
        <v>612</v>
      </c>
      <c r="Q34" s="707" t="s">
        <v>612</v>
      </c>
      <c r="R34" s="709" t="s">
        <v>612</v>
      </c>
      <c r="S34" s="707" t="s">
        <v>612</v>
      </c>
      <c r="T34" s="709" t="s">
        <v>612</v>
      </c>
      <c r="U34" s="707" t="s">
        <v>612</v>
      </c>
      <c r="V34" s="709" t="s">
        <v>612</v>
      </c>
      <c r="W34" s="707" t="s">
        <v>612</v>
      </c>
      <c r="X34" s="709" t="s">
        <v>612</v>
      </c>
      <c r="Y34" s="707" t="s">
        <v>612</v>
      </c>
      <c r="Z34" s="709" t="s">
        <v>612</v>
      </c>
      <c r="AA34" s="707" t="s">
        <v>612</v>
      </c>
      <c r="AB34" s="709" t="s">
        <v>612</v>
      </c>
      <c r="AC34" s="707" t="s">
        <v>612</v>
      </c>
      <c r="AD34" s="709" t="s">
        <v>612</v>
      </c>
      <c r="AE34" s="707" t="s">
        <v>612</v>
      </c>
      <c r="AF34" s="709" t="s">
        <v>612</v>
      </c>
      <c r="AG34" s="707" t="s">
        <v>612</v>
      </c>
      <c r="AH34" s="709" t="s">
        <v>612</v>
      </c>
      <c r="AI34" s="707" t="s">
        <v>612</v>
      </c>
      <c r="AJ34" s="709" t="s">
        <v>612</v>
      </c>
      <c r="AK34" s="707" t="s">
        <v>612</v>
      </c>
      <c r="AL34" s="709" t="s">
        <v>612</v>
      </c>
      <c r="AM34" s="16" t="s">
        <v>612</v>
      </c>
    </row>
    <row r="35" spans="5:39">
      <c r="E35" s="211">
        <f>Biodata!B32</f>
        <v>27</v>
      </c>
      <c r="F35" s="212">
        <f>IF(Biodata!C32="","",VLOOKUP(E35,Biodata_Siswa,2,FALSE))</f>
        <v>7133</v>
      </c>
      <c r="G35" s="1015" t="str">
        <f>IF(Biodata!E32="","",PROPER(VLOOKUP(E35,Biodata_Siswa,4,FALSE)))</f>
        <v>Tutik Dillayanti</v>
      </c>
      <c r="H35" s="1016"/>
      <c r="I35" s="707" t="s">
        <v>612</v>
      </c>
      <c r="J35" s="709" t="s">
        <v>612</v>
      </c>
      <c r="K35" s="707" t="s">
        <v>612</v>
      </c>
      <c r="L35" s="709" t="s">
        <v>612</v>
      </c>
      <c r="M35" s="707" t="s">
        <v>612</v>
      </c>
      <c r="N35" s="709" t="s">
        <v>612</v>
      </c>
      <c r="O35" s="707" t="s">
        <v>612</v>
      </c>
      <c r="P35" s="709" t="s">
        <v>612</v>
      </c>
      <c r="Q35" s="707" t="s">
        <v>612</v>
      </c>
      <c r="R35" s="709" t="s">
        <v>612</v>
      </c>
      <c r="S35" s="707" t="s">
        <v>612</v>
      </c>
      <c r="T35" s="709" t="s">
        <v>612</v>
      </c>
      <c r="U35" s="707" t="s">
        <v>612</v>
      </c>
      <c r="V35" s="709" t="s">
        <v>612</v>
      </c>
      <c r="W35" s="707" t="s">
        <v>612</v>
      </c>
      <c r="X35" s="709" t="s">
        <v>612</v>
      </c>
      <c r="Y35" s="707" t="s">
        <v>612</v>
      </c>
      <c r="Z35" s="709" t="s">
        <v>612</v>
      </c>
      <c r="AA35" s="707" t="s">
        <v>612</v>
      </c>
      <c r="AB35" s="709" t="s">
        <v>612</v>
      </c>
      <c r="AC35" s="707" t="s">
        <v>612</v>
      </c>
      <c r="AD35" s="709" t="s">
        <v>612</v>
      </c>
      <c r="AE35" s="707" t="s">
        <v>612</v>
      </c>
      <c r="AF35" s="709" t="s">
        <v>612</v>
      </c>
      <c r="AG35" s="707" t="s">
        <v>612</v>
      </c>
      <c r="AH35" s="709" t="s">
        <v>612</v>
      </c>
      <c r="AI35" s="707" t="s">
        <v>612</v>
      </c>
      <c r="AJ35" s="709" t="s">
        <v>612</v>
      </c>
      <c r="AK35" s="707" t="s">
        <v>612</v>
      </c>
      <c r="AL35" s="709" t="s">
        <v>612</v>
      </c>
      <c r="AM35" s="16" t="s">
        <v>612</v>
      </c>
    </row>
    <row r="36" spans="5:39">
      <c r="E36" s="211">
        <f>Biodata!B33</f>
        <v>28</v>
      </c>
      <c r="F36" s="212">
        <f>IF(Biodata!C33="","",VLOOKUP(E36,Biodata_Siswa,2,FALSE))</f>
        <v>7142</v>
      </c>
      <c r="G36" s="1015" t="str">
        <f>IF(Biodata!E33="","",PROPER(VLOOKUP(E36,Biodata_Siswa,4,FALSE)))</f>
        <v>I Gede Nyoman Bagiyasa</v>
      </c>
      <c r="H36" s="1016"/>
      <c r="I36" s="707" t="s">
        <v>612</v>
      </c>
      <c r="J36" s="709" t="s">
        <v>612</v>
      </c>
      <c r="K36" s="707" t="s">
        <v>612</v>
      </c>
      <c r="L36" s="709" t="s">
        <v>612</v>
      </c>
      <c r="M36" s="707" t="s">
        <v>612</v>
      </c>
      <c r="N36" s="709" t="s">
        <v>612</v>
      </c>
      <c r="O36" s="707" t="s">
        <v>612</v>
      </c>
      <c r="P36" s="709" t="s">
        <v>612</v>
      </c>
      <c r="Q36" s="707" t="s">
        <v>612</v>
      </c>
      <c r="R36" s="709" t="s">
        <v>612</v>
      </c>
      <c r="S36" s="707" t="s">
        <v>612</v>
      </c>
      <c r="T36" s="709" t="s">
        <v>612</v>
      </c>
      <c r="U36" s="707" t="s">
        <v>612</v>
      </c>
      <c r="V36" s="709" t="s">
        <v>612</v>
      </c>
      <c r="W36" s="707" t="s">
        <v>612</v>
      </c>
      <c r="X36" s="709" t="s">
        <v>612</v>
      </c>
      <c r="Y36" s="707" t="s">
        <v>612</v>
      </c>
      <c r="Z36" s="709" t="s">
        <v>612</v>
      </c>
      <c r="AA36" s="707" t="s">
        <v>612</v>
      </c>
      <c r="AB36" s="709" t="s">
        <v>612</v>
      </c>
      <c r="AC36" s="707" t="s">
        <v>612</v>
      </c>
      <c r="AD36" s="709" t="s">
        <v>612</v>
      </c>
      <c r="AE36" s="707" t="s">
        <v>612</v>
      </c>
      <c r="AF36" s="709" t="s">
        <v>612</v>
      </c>
      <c r="AG36" s="707" t="s">
        <v>612</v>
      </c>
      <c r="AH36" s="709" t="s">
        <v>612</v>
      </c>
      <c r="AI36" s="707" t="s">
        <v>612</v>
      </c>
      <c r="AJ36" s="709" t="s">
        <v>612</v>
      </c>
      <c r="AK36" s="707" t="s">
        <v>612</v>
      </c>
      <c r="AL36" s="709" t="s">
        <v>612</v>
      </c>
      <c r="AM36" s="16" t="s">
        <v>612</v>
      </c>
    </row>
    <row r="37" spans="5:39">
      <c r="E37" s="211">
        <f>Biodata!B34</f>
        <v>29</v>
      </c>
      <c r="F37" s="212" t="str">
        <f>IF(Biodata!C34="","",VLOOKUP(E37,Biodata_Siswa,2,FALSE))</f>
        <v/>
      </c>
      <c r="G37" s="1015" t="str">
        <f>IF(Biodata!E34="","",PROPER(VLOOKUP(E37,Biodata_Siswa,4,FALSE)))</f>
        <v>Melati Sabilla Rochmah</v>
      </c>
      <c r="H37" s="1016"/>
      <c r="I37" s="707" t="s">
        <v>612</v>
      </c>
      <c r="J37" s="709" t="s">
        <v>612</v>
      </c>
      <c r="K37" s="707" t="s">
        <v>612</v>
      </c>
      <c r="L37" s="709" t="s">
        <v>612</v>
      </c>
      <c r="M37" s="707" t="s">
        <v>612</v>
      </c>
      <c r="N37" s="709" t="s">
        <v>612</v>
      </c>
      <c r="O37" s="707" t="s">
        <v>612</v>
      </c>
      <c r="P37" s="709" t="s">
        <v>612</v>
      </c>
      <c r="Q37" s="707" t="s">
        <v>612</v>
      </c>
      <c r="R37" s="709" t="s">
        <v>612</v>
      </c>
      <c r="S37" s="707" t="s">
        <v>612</v>
      </c>
      <c r="T37" s="709" t="s">
        <v>612</v>
      </c>
      <c r="U37" s="707" t="s">
        <v>612</v>
      </c>
      <c r="V37" s="709" t="s">
        <v>612</v>
      </c>
      <c r="W37" s="707" t="s">
        <v>612</v>
      </c>
      <c r="X37" s="709" t="s">
        <v>612</v>
      </c>
      <c r="Y37" s="707" t="s">
        <v>612</v>
      </c>
      <c r="Z37" s="709" t="s">
        <v>612</v>
      </c>
      <c r="AA37" s="707" t="s">
        <v>612</v>
      </c>
      <c r="AB37" s="709" t="s">
        <v>612</v>
      </c>
      <c r="AC37" s="707" t="s">
        <v>612</v>
      </c>
      <c r="AD37" s="709" t="s">
        <v>612</v>
      </c>
      <c r="AE37" s="707" t="s">
        <v>612</v>
      </c>
      <c r="AF37" s="709" t="s">
        <v>612</v>
      </c>
      <c r="AG37" s="707" t="s">
        <v>612</v>
      </c>
      <c r="AH37" s="709" t="s">
        <v>612</v>
      </c>
      <c r="AI37" s="707" t="s">
        <v>612</v>
      </c>
      <c r="AJ37" s="709" t="s">
        <v>612</v>
      </c>
      <c r="AK37" s="707" t="s">
        <v>612</v>
      </c>
      <c r="AL37" s="709" t="s">
        <v>612</v>
      </c>
      <c r="AM37" s="16" t="s">
        <v>612</v>
      </c>
    </row>
    <row r="38" spans="5:39">
      <c r="E38" s="211" t="str">
        <f>Biodata!B35</f>
        <v/>
      </c>
      <c r="F38" s="212" t="str">
        <f>IF(Biodata!C35="","",VLOOKUP(E38,Biodata_Siswa,2,FALSE))</f>
        <v/>
      </c>
      <c r="G38" s="1015" t="str">
        <f>IF(Biodata!E35="","",PROPER(VLOOKUP(E38,Biodata_Siswa,4,FALSE)))</f>
        <v/>
      </c>
      <c r="H38" s="1016"/>
      <c r="I38" s="707" t="s">
        <v>612</v>
      </c>
      <c r="J38" s="709" t="s">
        <v>612</v>
      </c>
      <c r="K38" s="707" t="s">
        <v>612</v>
      </c>
      <c r="L38" s="709" t="s">
        <v>612</v>
      </c>
      <c r="M38" s="707" t="s">
        <v>612</v>
      </c>
      <c r="N38" s="709" t="s">
        <v>612</v>
      </c>
      <c r="O38" s="707" t="s">
        <v>612</v>
      </c>
      <c r="P38" s="709" t="s">
        <v>612</v>
      </c>
      <c r="Q38" s="707" t="s">
        <v>612</v>
      </c>
      <c r="R38" s="709" t="s">
        <v>612</v>
      </c>
      <c r="S38" s="707" t="s">
        <v>612</v>
      </c>
      <c r="T38" s="709" t="s">
        <v>612</v>
      </c>
      <c r="U38" s="707" t="s">
        <v>612</v>
      </c>
      <c r="V38" s="709" t="s">
        <v>612</v>
      </c>
      <c r="W38" s="707" t="s">
        <v>612</v>
      </c>
      <c r="X38" s="709" t="s">
        <v>612</v>
      </c>
      <c r="Y38" s="707" t="s">
        <v>612</v>
      </c>
      <c r="Z38" s="709" t="s">
        <v>612</v>
      </c>
      <c r="AA38" s="707" t="s">
        <v>612</v>
      </c>
      <c r="AB38" s="709" t="s">
        <v>612</v>
      </c>
      <c r="AC38" s="707" t="s">
        <v>612</v>
      </c>
      <c r="AD38" s="709" t="s">
        <v>612</v>
      </c>
      <c r="AE38" s="707" t="s">
        <v>612</v>
      </c>
      <c r="AF38" s="709" t="s">
        <v>612</v>
      </c>
      <c r="AG38" s="707" t="s">
        <v>612</v>
      </c>
      <c r="AH38" s="709" t="s">
        <v>612</v>
      </c>
      <c r="AI38" s="707" t="s">
        <v>612</v>
      </c>
      <c r="AJ38" s="709" t="s">
        <v>612</v>
      </c>
      <c r="AK38" s="707" t="s">
        <v>612</v>
      </c>
      <c r="AL38" s="709" t="s">
        <v>612</v>
      </c>
      <c r="AM38" s="16" t="s">
        <v>612</v>
      </c>
    </row>
    <row r="39" spans="5:39">
      <c r="E39" s="211" t="str">
        <f>Biodata!B36</f>
        <v/>
      </c>
      <c r="F39" s="212" t="str">
        <f>IF(Biodata!C36="","",VLOOKUP(E39,Biodata_Siswa,2,FALSE))</f>
        <v/>
      </c>
      <c r="G39" s="1015" t="str">
        <f>IF(Biodata!E36="","",PROPER(VLOOKUP(E39,Biodata_Siswa,4,FALSE)))</f>
        <v/>
      </c>
      <c r="H39" s="1016"/>
      <c r="I39" s="707" t="s">
        <v>612</v>
      </c>
      <c r="J39" s="709" t="s">
        <v>612</v>
      </c>
      <c r="K39" s="707" t="s">
        <v>612</v>
      </c>
      <c r="L39" s="709" t="s">
        <v>612</v>
      </c>
      <c r="M39" s="707" t="s">
        <v>612</v>
      </c>
      <c r="N39" s="709" t="s">
        <v>612</v>
      </c>
      <c r="O39" s="707" t="s">
        <v>612</v>
      </c>
      <c r="P39" s="709" t="s">
        <v>612</v>
      </c>
      <c r="Q39" s="707" t="s">
        <v>612</v>
      </c>
      <c r="R39" s="709" t="s">
        <v>612</v>
      </c>
      <c r="S39" s="707" t="s">
        <v>612</v>
      </c>
      <c r="T39" s="709" t="s">
        <v>612</v>
      </c>
      <c r="U39" s="707" t="s">
        <v>612</v>
      </c>
      <c r="V39" s="709" t="s">
        <v>612</v>
      </c>
      <c r="W39" s="707" t="s">
        <v>612</v>
      </c>
      <c r="X39" s="709" t="s">
        <v>612</v>
      </c>
      <c r="Y39" s="707" t="s">
        <v>612</v>
      </c>
      <c r="Z39" s="709" t="s">
        <v>612</v>
      </c>
      <c r="AA39" s="707" t="s">
        <v>612</v>
      </c>
      <c r="AB39" s="709" t="s">
        <v>612</v>
      </c>
      <c r="AC39" s="707" t="s">
        <v>612</v>
      </c>
      <c r="AD39" s="709" t="s">
        <v>612</v>
      </c>
      <c r="AE39" s="707" t="s">
        <v>612</v>
      </c>
      <c r="AF39" s="709" t="s">
        <v>612</v>
      </c>
      <c r="AG39" s="707" t="s">
        <v>612</v>
      </c>
      <c r="AH39" s="709" t="s">
        <v>612</v>
      </c>
      <c r="AI39" s="707" t="s">
        <v>612</v>
      </c>
      <c r="AJ39" s="709" t="s">
        <v>612</v>
      </c>
      <c r="AK39" s="707" t="s">
        <v>612</v>
      </c>
      <c r="AL39" s="709" t="s">
        <v>612</v>
      </c>
      <c r="AM39" s="16" t="s">
        <v>612</v>
      </c>
    </row>
    <row r="40" spans="5:39">
      <c r="E40" s="211" t="str">
        <f>Biodata!B37</f>
        <v/>
      </c>
      <c r="F40" s="212" t="str">
        <f>IF(Biodata!C37="","",VLOOKUP(E40,Biodata_Siswa,2,FALSE))</f>
        <v/>
      </c>
      <c r="G40" s="1015" t="str">
        <f>IF(Biodata!E37="","",PROPER(VLOOKUP(E40,Biodata_Siswa,4,FALSE)))</f>
        <v/>
      </c>
      <c r="H40" s="1016"/>
      <c r="I40" s="707" t="s">
        <v>612</v>
      </c>
      <c r="J40" s="709" t="s">
        <v>612</v>
      </c>
      <c r="K40" s="707" t="s">
        <v>612</v>
      </c>
      <c r="L40" s="709" t="s">
        <v>612</v>
      </c>
      <c r="M40" s="707" t="s">
        <v>612</v>
      </c>
      <c r="N40" s="709" t="s">
        <v>612</v>
      </c>
      <c r="O40" s="707" t="s">
        <v>612</v>
      </c>
      <c r="P40" s="709" t="s">
        <v>612</v>
      </c>
      <c r="Q40" s="707" t="s">
        <v>612</v>
      </c>
      <c r="R40" s="709" t="s">
        <v>612</v>
      </c>
      <c r="S40" s="707" t="s">
        <v>612</v>
      </c>
      <c r="T40" s="709" t="s">
        <v>612</v>
      </c>
      <c r="U40" s="707" t="s">
        <v>612</v>
      </c>
      <c r="V40" s="709" t="s">
        <v>612</v>
      </c>
      <c r="W40" s="707" t="s">
        <v>612</v>
      </c>
      <c r="X40" s="709" t="s">
        <v>612</v>
      </c>
      <c r="Y40" s="707" t="s">
        <v>612</v>
      </c>
      <c r="Z40" s="709" t="s">
        <v>612</v>
      </c>
      <c r="AA40" s="707" t="s">
        <v>612</v>
      </c>
      <c r="AB40" s="709" t="s">
        <v>612</v>
      </c>
      <c r="AC40" s="707" t="s">
        <v>612</v>
      </c>
      <c r="AD40" s="709" t="s">
        <v>612</v>
      </c>
      <c r="AE40" s="707" t="s">
        <v>612</v>
      </c>
      <c r="AF40" s="709" t="s">
        <v>612</v>
      </c>
      <c r="AG40" s="707" t="s">
        <v>612</v>
      </c>
      <c r="AH40" s="709" t="s">
        <v>612</v>
      </c>
      <c r="AI40" s="707" t="s">
        <v>612</v>
      </c>
      <c r="AJ40" s="709" t="s">
        <v>612</v>
      </c>
      <c r="AK40" s="707" t="s">
        <v>612</v>
      </c>
      <c r="AL40" s="709" t="s">
        <v>612</v>
      </c>
      <c r="AM40" s="16" t="s">
        <v>612</v>
      </c>
    </row>
    <row r="41" spans="5:39">
      <c r="E41" s="211" t="str">
        <f>Biodata!B38</f>
        <v/>
      </c>
      <c r="F41" s="212" t="str">
        <f>IF(Biodata!C38="","",VLOOKUP(E41,Biodata_Siswa,2,FALSE))</f>
        <v/>
      </c>
      <c r="G41" s="1015" t="str">
        <f>IF(Biodata!E38="","",PROPER(VLOOKUP(E41,Biodata_Siswa,4,FALSE)))</f>
        <v/>
      </c>
      <c r="H41" s="1016"/>
      <c r="I41" s="707" t="s">
        <v>612</v>
      </c>
      <c r="J41" s="709" t="s">
        <v>612</v>
      </c>
      <c r="K41" s="707" t="s">
        <v>612</v>
      </c>
      <c r="L41" s="709" t="s">
        <v>612</v>
      </c>
      <c r="M41" s="707" t="s">
        <v>612</v>
      </c>
      <c r="N41" s="709" t="s">
        <v>612</v>
      </c>
      <c r="O41" s="707" t="s">
        <v>612</v>
      </c>
      <c r="P41" s="709" t="s">
        <v>612</v>
      </c>
      <c r="Q41" s="707" t="s">
        <v>612</v>
      </c>
      <c r="R41" s="709" t="s">
        <v>612</v>
      </c>
      <c r="S41" s="707" t="s">
        <v>612</v>
      </c>
      <c r="T41" s="709" t="s">
        <v>612</v>
      </c>
      <c r="U41" s="707" t="s">
        <v>612</v>
      </c>
      <c r="V41" s="709" t="s">
        <v>612</v>
      </c>
      <c r="W41" s="707" t="s">
        <v>612</v>
      </c>
      <c r="X41" s="709" t="s">
        <v>612</v>
      </c>
      <c r="Y41" s="707" t="s">
        <v>612</v>
      </c>
      <c r="Z41" s="709" t="s">
        <v>612</v>
      </c>
      <c r="AA41" s="707" t="s">
        <v>612</v>
      </c>
      <c r="AB41" s="709" t="s">
        <v>612</v>
      </c>
      <c r="AC41" s="707" t="s">
        <v>612</v>
      </c>
      <c r="AD41" s="709" t="s">
        <v>612</v>
      </c>
      <c r="AE41" s="707" t="s">
        <v>612</v>
      </c>
      <c r="AF41" s="709" t="s">
        <v>612</v>
      </c>
      <c r="AG41" s="707" t="s">
        <v>612</v>
      </c>
      <c r="AH41" s="709" t="s">
        <v>612</v>
      </c>
      <c r="AI41" s="707" t="s">
        <v>612</v>
      </c>
      <c r="AJ41" s="709" t="s">
        <v>612</v>
      </c>
      <c r="AK41" s="707" t="s">
        <v>612</v>
      </c>
      <c r="AL41" s="709" t="s">
        <v>612</v>
      </c>
      <c r="AM41" s="16" t="s">
        <v>612</v>
      </c>
    </row>
    <row r="42" spans="5:39">
      <c r="E42" s="211" t="str">
        <f>Biodata!B39</f>
        <v/>
      </c>
      <c r="F42" s="212" t="str">
        <f>IF(Biodata!C39="","",VLOOKUP(E42,Biodata_Siswa,2,FALSE))</f>
        <v/>
      </c>
      <c r="G42" s="1015" t="str">
        <f>IF(Biodata!E39="","",PROPER(VLOOKUP(E42,Biodata_Siswa,4,FALSE)))</f>
        <v/>
      </c>
      <c r="H42" s="1016"/>
      <c r="I42" s="707" t="s">
        <v>612</v>
      </c>
      <c r="J42" s="709" t="s">
        <v>612</v>
      </c>
      <c r="K42" s="707" t="s">
        <v>612</v>
      </c>
      <c r="L42" s="709" t="s">
        <v>612</v>
      </c>
      <c r="M42" s="707" t="s">
        <v>612</v>
      </c>
      <c r="N42" s="709" t="s">
        <v>612</v>
      </c>
      <c r="O42" s="707" t="s">
        <v>612</v>
      </c>
      <c r="P42" s="709" t="s">
        <v>612</v>
      </c>
      <c r="Q42" s="707" t="s">
        <v>612</v>
      </c>
      <c r="R42" s="709" t="s">
        <v>612</v>
      </c>
      <c r="S42" s="707" t="s">
        <v>612</v>
      </c>
      <c r="T42" s="709" t="s">
        <v>612</v>
      </c>
      <c r="U42" s="707" t="s">
        <v>612</v>
      </c>
      <c r="V42" s="709" t="s">
        <v>612</v>
      </c>
      <c r="W42" s="707" t="s">
        <v>612</v>
      </c>
      <c r="X42" s="709" t="s">
        <v>612</v>
      </c>
      <c r="Y42" s="707" t="s">
        <v>612</v>
      </c>
      <c r="Z42" s="709" t="s">
        <v>612</v>
      </c>
      <c r="AA42" s="707" t="s">
        <v>612</v>
      </c>
      <c r="AB42" s="709" t="s">
        <v>612</v>
      </c>
      <c r="AC42" s="707" t="s">
        <v>612</v>
      </c>
      <c r="AD42" s="709" t="s">
        <v>612</v>
      </c>
      <c r="AE42" s="707" t="s">
        <v>612</v>
      </c>
      <c r="AF42" s="709" t="s">
        <v>612</v>
      </c>
      <c r="AG42" s="707" t="s">
        <v>612</v>
      </c>
      <c r="AH42" s="709" t="s">
        <v>612</v>
      </c>
      <c r="AI42" s="707" t="s">
        <v>612</v>
      </c>
      <c r="AJ42" s="709" t="s">
        <v>612</v>
      </c>
      <c r="AK42" s="707" t="s">
        <v>612</v>
      </c>
      <c r="AL42" s="709" t="s">
        <v>612</v>
      </c>
      <c r="AM42" s="16" t="s">
        <v>612</v>
      </c>
    </row>
    <row r="43" spans="5:39">
      <c r="E43" s="211" t="str">
        <f>Biodata!B40</f>
        <v/>
      </c>
      <c r="F43" s="212" t="str">
        <f>IF(Biodata!C40="","",VLOOKUP(E43,Biodata_Siswa,2,FALSE))</f>
        <v/>
      </c>
      <c r="G43" s="1015" t="str">
        <f>IF(Biodata!E40="","",PROPER(VLOOKUP(E43,Biodata_Siswa,4,FALSE)))</f>
        <v/>
      </c>
      <c r="H43" s="1016"/>
      <c r="I43" s="707" t="s">
        <v>612</v>
      </c>
      <c r="J43" s="709" t="s">
        <v>612</v>
      </c>
      <c r="K43" s="707" t="s">
        <v>612</v>
      </c>
      <c r="L43" s="709" t="s">
        <v>612</v>
      </c>
      <c r="M43" s="707" t="s">
        <v>612</v>
      </c>
      <c r="N43" s="709" t="s">
        <v>612</v>
      </c>
      <c r="O43" s="707" t="s">
        <v>612</v>
      </c>
      <c r="P43" s="709" t="s">
        <v>612</v>
      </c>
      <c r="Q43" s="707" t="s">
        <v>612</v>
      </c>
      <c r="R43" s="709" t="s">
        <v>612</v>
      </c>
      <c r="S43" s="707" t="s">
        <v>612</v>
      </c>
      <c r="T43" s="709" t="s">
        <v>612</v>
      </c>
      <c r="U43" s="707" t="s">
        <v>612</v>
      </c>
      <c r="V43" s="709" t="s">
        <v>612</v>
      </c>
      <c r="W43" s="707" t="s">
        <v>612</v>
      </c>
      <c r="X43" s="709" t="s">
        <v>612</v>
      </c>
      <c r="Y43" s="707" t="s">
        <v>612</v>
      </c>
      <c r="Z43" s="709" t="s">
        <v>612</v>
      </c>
      <c r="AA43" s="707" t="s">
        <v>612</v>
      </c>
      <c r="AB43" s="709" t="s">
        <v>612</v>
      </c>
      <c r="AC43" s="707" t="s">
        <v>612</v>
      </c>
      <c r="AD43" s="709" t="s">
        <v>612</v>
      </c>
      <c r="AE43" s="707" t="s">
        <v>612</v>
      </c>
      <c r="AF43" s="709" t="s">
        <v>612</v>
      </c>
      <c r="AG43" s="707" t="s">
        <v>612</v>
      </c>
      <c r="AH43" s="709" t="s">
        <v>612</v>
      </c>
      <c r="AI43" s="707" t="s">
        <v>612</v>
      </c>
      <c r="AJ43" s="709" t="s">
        <v>612</v>
      </c>
      <c r="AK43" s="707" t="s">
        <v>612</v>
      </c>
      <c r="AL43" s="709" t="s">
        <v>612</v>
      </c>
      <c r="AM43" s="16" t="s">
        <v>612</v>
      </c>
    </row>
    <row r="44" spans="5:39">
      <c r="E44" s="211" t="str">
        <f>Biodata!B41</f>
        <v/>
      </c>
      <c r="F44" s="212" t="str">
        <f>IF(Biodata!C41="","",VLOOKUP(E44,Biodata_Siswa,2,FALSE))</f>
        <v/>
      </c>
      <c r="G44" s="1015" t="str">
        <f>IF(Biodata!E41="","",PROPER(VLOOKUP(E44,Biodata_Siswa,4,FALSE)))</f>
        <v/>
      </c>
      <c r="H44" s="1016"/>
      <c r="I44" s="707" t="s">
        <v>612</v>
      </c>
      <c r="J44" s="709" t="s">
        <v>612</v>
      </c>
      <c r="K44" s="707" t="s">
        <v>612</v>
      </c>
      <c r="L44" s="709" t="s">
        <v>612</v>
      </c>
      <c r="M44" s="707" t="s">
        <v>612</v>
      </c>
      <c r="N44" s="709" t="s">
        <v>612</v>
      </c>
      <c r="O44" s="707" t="s">
        <v>612</v>
      </c>
      <c r="P44" s="709" t="s">
        <v>612</v>
      </c>
      <c r="Q44" s="707" t="s">
        <v>612</v>
      </c>
      <c r="R44" s="709" t="s">
        <v>612</v>
      </c>
      <c r="S44" s="707" t="s">
        <v>612</v>
      </c>
      <c r="T44" s="709" t="s">
        <v>612</v>
      </c>
      <c r="U44" s="707" t="s">
        <v>612</v>
      </c>
      <c r="V44" s="709" t="s">
        <v>612</v>
      </c>
      <c r="W44" s="707" t="s">
        <v>612</v>
      </c>
      <c r="X44" s="709" t="s">
        <v>612</v>
      </c>
      <c r="Y44" s="707" t="s">
        <v>612</v>
      </c>
      <c r="Z44" s="709" t="s">
        <v>612</v>
      </c>
      <c r="AA44" s="707" t="s">
        <v>612</v>
      </c>
      <c r="AB44" s="709" t="s">
        <v>612</v>
      </c>
      <c r="AC44" s="707" t="s">
        <v>612</v>
      </c>
      <c r="AD44" s="709" t="s">
        <v>612</v>
      </c>
      <c r="AE44" s="707" t="s">
        <v>612</v>
      </c>
      <c r="AF44" s="709" t="s">
        <v>612</v>
      </c>
      <c r="AG44" s="707" t="s">
        <v>612</v>
      </c>
      <c r="AH44" s="709" t="s">
        <v>612</v>
      </c>
      <c r="AI44" s="707" t="s">
        <v>612</v>
      </c>
      <c r="AJ44" s="709" t="s">
        <v>612</v>
      </c>
      <c r="AK44" s="707" t="s">
        <v>612</v>
      </c>
      <c r="AL44" s="709" t="s">
        <v>612</v>
      </c>
      <c r="AM44" s="16" t="s">
        <v>612</v>
      </c>
    </row>
    <row r="45" spans="5:39">
      <c r="E45" s="211" t="str">
        <f>Biodata!B42</f>
        <v/>
      </c>
      <c r="F45" s="212" t="str">
        <f>IF(Biodata!C42="","",VLOOKUP(E45,Biodata_Siswa,2,FALSE))</f>
        <v/>
      </c>
      <c r="G45" s="1015" t="str">
        <f>IF(Biodata!E42="","",PROPER(VLOOKUP(E45,Biodata_Siswa,4,FALSE)))</f>
        <v/>
      </c>
      <c r="H45" s="1016"/>
      <c r="I45" s="707" t="s">
        <v>612</v>
      </c>
      <c r="J45" s="709" t="s">
        <v>612</v>
      </c>
      <c r="K45" s="707" t="s">
        <v>612</v>
      </c>
      <c r="L45" s="709" t="s">
        <v>612</v>
      </c>
      <c r="M45" s="707" t="s">
        <v>612</v>
      </c>
      <c r="N45" s="709" t="s">
        <v>612</v>
      </c>
      <c r="O45" s="707" t="s">
        <v>612</v>
      </c>
      <c r="P45" s="709" t="s">
        <v>612</v>
      </c>
      <c r="Q45" s="707" t="s">
        <v>612</v>
      </c>
      <c r="R45" s="709" t="s">
        <v>612</v>
      </c>
      <c r="S45" s="707" t="s">
        <v>612</v>
      </c>
      <c r="T45" s="709" t="s">
        <v>612</v>
      </c>
      <c r="U45" s="707" t="s">
        <v>612</v>
      </c>
      <c r="V45" s="709" t="s">
        <v>612</v>
      </c>
      <c r="W45" s="707" t="s">
        <v>612</v>
      </c>
      <c r="X45" s="709" t="s">
        <v>612</v>
      </c>
      <c r="Y45" s="707" t="s">
        <v>612</v>
      </c>
      <c r="Z45" s="709" t="s">
        <v>612</v>
      </c>
      <c r="AA45" s="707" t="s">
        <v>612</v>
      </c>
      <c r="AB45" s="709" t="s">
        <v>612</v>
      </c>
      <c r="AC45" s="707" t="s">
        <v>612</v>
      </c>
      <c r="AD45" s="709" t="s">
        <v>612</v>
      </c>
      <c r="AE45" s="707" t="s">
        <v>612</v>
      </c>
      <c r="AF45" s="709" t="s">
        <v>612</v>
      </c>
      <c r="AG45" s="707" t="s">
        <v>612</v>
      </c>
      <c r="AH45" s="709" t="s">
        <v>612</v>
      </c>
      <c r="AI45" s="707" t="s">
        <v>612</v>
      </c>
      <c r="AJ45" s="709" t="s">
        <v>612</v>
      </c>
      <c r="AK45" s="707" t="s">
        <v>612</v>
      </c>
      <c r="AL45" s="709" t="s">
        <v>612</v>
      </c>
      <c r="AM45" s="16" t="s">
        <v>612</v>
      </c>
    </row>
    <row r="46" spans="5:39">
      <c r="E46" s="211" t="str">
        <f>Biodata!B43</f>
        <v/>
      </c>
      <c r="F46" s="212" t="str">
        <f>IF(Biodata!C43="","",VLOOKUP(E46,Biodata_Siswa,2,FALSE))</f>
        <v/>
      </c>
      <c r="G46" s="1015" t="str">
        <f>IF(Biodata!E43="","",PROPER(VLOOKUP(E46,Biodata_Siswa,4,FALSE)))</f>
        <v/>
      </c>
      <c r="H46" s="1016"/>
      <c r="I46" s="707" t="s">
        <v>612</v>
      </c>
      <c r="J46" s="709" t="s">
        <v>612</v>
      </c>
      <c r="K46" s="707" t="s">
        <v>612</v>
      </c>
      <c r="L46" s="709" t="s">
        <v>612</v>
      </c>
      <c r="M46" s="707" t="s">
        <v>612</v>
      </c>
      <c r="N46" s="709" t="s">
        <v>612</v>
      </c>
      <c r="O46" s="707" t="s">
        <v>612</v>
      </c>
      <c r="P46" s="709" t="s">
        <v>612</v>
      </c>
      <c r="Q46" s="707" t="s">
        <v>612</v>
      </c>
      <c r="R46" s="709" t="s">
        <v>612</v>
      </c>
      <c r="S46" s="707" t="s">
        <v>612</v>
      </c>
      <c r="T46" s="709" t="s">
        <v>612</v>
      </c>
      <c r="U46" s="707" t="s">
        <v>612</v>
      </c>
      <c r="V46" s="709" t="s">
        <v>612</v>
      </c>
      <c r="W46" s="707" t="s">
        <v>612</v>
      </c>
      <c r="X46" s="709" t="s">
        <v>612</v>
      </c>
      <c r="Y46" s="707" t="s">
        <v>612</v>
      </c>
      <c r="Z46" s="709" t="s">
        <v>612</v>
      </c>
      <c r="AA46" s="707" t="s">
        <v>612</v>
      </c>
      <c r="AB46" s="709" t="s">
        <v>612</v>
      </c>
      <c r="AC46" s="707" t="s">
        <v>612</v>
      </c>
      <c r="AD46" s="709" t="s">
        <v>612</v>
      </c>
      <c r="AE46" s="707" t="s">
        <v>612</v>
      </c>
      <c r="AF46" s="709" t="s">
        <v>612</v>
      </c>
      <c r="AG46" s="707" t="s">
        <v>612</v>
      </c>
      <c r="AH46" s="709" t="s">
        <v>612</v>
      </c>
      <c r="AI46" s="707" t="s">
        <v>612</v>
      </c>
      <c r="AJ46" s="709" t="s">
        <v>612</v>
      </c>
      <c r="AK46" s="707" t="s">
        <v>612</v>
      </c>
      <c r="AL46" s="709" t="s">
        <v>612</v>
      </c>
      <c r="AM46" s="16" t="s">
        <v>612</v>
      </c>
    </row>
    <row r="47" spans="5:39">
      <c r="E47" s="211" t="str">
        <f>Biodata!B44</f>
        <v/>
      </c>
      <c r="F47" s="212" t="str">
        <f>IF(Biodata!C44="","",VLOOKUP(E47,Biodata_Siswa,2,FALSE))</f>
        <v/>
      </c>
      <c r="G47" s="1015" t="str">
        <f>IF(Biodata!E44="","",PROPER(VLOOKUP(E47,Biodata_Siswa,4,FALSE)))</f>
        <v/>
      </c>
      <c r="H47" s="1016"/>
      <c r="I47" s="707" t="s">
        <v>612</v>
      </c>
      <c r="J47" s="709" t="s">
        <v>612</v>
      </c>
      <c r="K47" s="707" t="s">
        <v>612</v>
      </c>
      <c r="L47" s="709" t="s">
        <v>612</v>
      </c>
      <c r="M47" s="707" t="s">
        <v>612</v>
      </c>
      <c r="N47" s="709" t="s">
        <v>612</v>
      </c>
      <c r="O47" s="707" t="s">
        <v>612</v>
      </c>
      <c r="P47" s="709" t="s">
        <v>612</v>
      </c>
      <c r="Q47" s="707" t="s">
        <v>612</v>
      </c>
      <c r="R47" s="709" t="s">
        <v>612</v>
      </c>
      <c r="S47" s="707" t="s">
        <v>612</v>
      </c>
      <c r="T47" s="709" t="s">
        <v>612</v>
      </c>
      <c r="U47" s="707" t="s">
        <v>612</v>
      </c>
      <c r="V47" s="709" t="s">
        <v>612</v>
      </c>
      <c r="W47" s="707" t="s">
        <v>612</v>
      </c>
      <c r="X47" s="709" t="s">
        <v>612</v>
      </c>
      <c r="Y47" s="707" t="s">
        <v>612</v>
      </c>
      <c r="Z47" s="709" t="s">
        <v>612</v>
      </c>
      <c r="AA47" s="707" t="s">
        <v>612</v>
      </c>
      <c r="AB47" s="709" t="s">
        <v>612</v>
      </c>
      <c r="AC47" s="707" t="s">
        <v>612</v>
      </c>
      <c r="AD47" s="709" t="s">
        <v>612</v>
      </c>
      <c r="AE47" s="707" t="s">
        <v>612</v>
      </c>
      <c r="AF47" s="709" t="s">
        <v>612</v>
      </c>
      <c r="AG47" s="707" t="s">
        <v>612</v>
      </c>
      <c r="AH47" s="709" t="s">
        <v>612</v>
      </c>
      <c r="AI47" s="707" t="s">
        <v>612</v>
      </c>
      <c r="AJ47" s="709" t="s">
        <v>612</v>
      </c>
      <c r="AK47" s="707" t="s">
        <v>612</v>
      </c>
      <c r="AL47" s="709" t="s">
        <v>612</v>
      </c>
      <c r="AM47" s="16" t="s">
        <v>612</v>
      </c>
    </row>
    <row r="48" spans="5:39" ht="17.25" thickBot="1">
      <c r="E48" s="218" t="str">
        <f>Biodata!B45</f>
        <v/>
      </c>
      <c r="F48" s="219" t="str">
        <f>IF(Biodata!C45="","",VLOOKUP(E48,Biodata_Siswa,2,FALSE))</f>
        <v/>
      </c>
      <c r="G48" s="899" t="str">
        <f>IF(Biodata!E45="","",PROPER(VLOOKUP(E48,Biodata_Siswa,4,FALSE)))</f>
        <v/>
      </c>
      <c r="H48" s="900"/>
      <c r="I48" s="710" t="s">
        <v>612</v>
      </c>
      <c r="J48" s="711" t="s">
        <v>612</v>
      </c>
      <c r="K48" s="710" t="s">
        <v>612</v>
      </c>
      <c r="L48" s="711" t="s">
        <v>612</v>
      </c>
      <c r="M48" s="710" t="s">
        <v>612</v>
      </c>
      <c r="N48" s="711" t="s">
        <v>612</v>
      </c>
      <c r="O48" s="710" t="s">
        <v>612</v>
      </c>
      <c r="P48" s="711" t="s">
        <v>612</v>
      </c>
      <c r="Q48" s="710" t="s">
        <v>612</v>
      </c>
      <c r="R48" s="711" t="s">
        <v>612</v>
      </c>
      <c r="S48" s="710" t="s">
        <v>612</v>
      </c>
      <c r="T48" s="711" t="s">
        <v>612</v>
      </c>
      <c r="U48" s="710" t="s">
        <v>612</v>
      </c>
      <c r="V48" s="711" t="s">
        <v>612</v>
      </c>
      <c r="W48" s="710" t="s">
        <v>612</v>
      </c>
      <c r="X48" s="711" t="s">
        <v>612</v>
      </c>
      <c r="Y48" s="710" t="s">
        <v>612</v>
      </c>
      <c r="Z48" s="711" t="s">
        <v>612</v>
      </c>
      <c r="AA48" s="710" t="s">
        <v>612</v>
      </c>
      <c r="AB48" s="711" t="s">
        <v>612</v>
      </c>
      <c r="AC48" s="710" t="s">
        <v>612</v>
      </c>
      <c r="AD48" s="711" t="s">
        <v>612</v>
      </c>
      <c r="AE48" s="710" t="s">
        <v>612</v>
      </c>
      <c r="AF48" s="711" t="s">
        <v>612</v>
      </c>
      <c r="AG48" s="710" t="s">
        <v>612</v>
      </c>
      <c r="AH48" s="711" t="s">
        <v>612</v>
      </c>
      <c r="AI48" s="710" t="s">
        <v>612</v>
      </c>
      <c r="AJ48" s="711" t="s">
        <v>612</v>
      </c>
      <c r="AK48" s="710" t="s">
        <v>612</v>
      </c>
      <c r="AL48" s="711" t="s">
        <v>612</v>
      </c>
      <c r="AM48" s="16" t="s">
        <v>612</v>
      </c>
    </row>
    <row r="49" spans="2:3"/>
    <row r="50" spans="2:3" hidden="1"/>
    <row r="51" spans="2:3" hidden="1"/>
    <row r="52" spans="2:3" hidden="1"/>
    <row r="53" spans="2:3" hidden="1"/>
    <row r="54" spans="2:3" hidden="1"/>
    <row r="55" spans="2:3" hidden="1"/>
    <row r="56" spans="2:3" hidden="1">
      <c r="B56" s="20"/>
      <c r="C56" s="684"/>
    </row>
    <row r="57" spans="2:3" hidden="1"/>
    <row r="58" spans="2:3" hidden="1"/>
    <row r="59" spans="2:3" hidden="1"/>
    <row r="60" spans="2:3" hidden="1"/>
    <row r="61" spans="2:3" hidden="1"/>
    <row r="62" spans="2:3" hidden="1"/>
    <row r="63" spans="2:3" hidden="1"/>
    <row r="64" spans="2:3" hidden="1"/>
    <row r="65" spans="2:38" hidden="1"/>
    <row r="66" spans="2:38" hidden="1"/>
    <row r="67" spans="2:38" hidden="1"/>
    <row r="68" spans="2:38" hidden="1"/>
    <row r="69" spans="2:38" hidden="1"/>
    <row r="70" spans="2:38" hidden="1"/>
    <row r="71" spans="2:38" hidden="1"/>
    <row r="72" spans="2:38" hidden="1"/>
    <row r="73" spans="2:38" hidden="1"/>
    <row r="74" spans="2:38" s="684" customFormat="1" hidden="1">
      <c r="B74" s="19"/>
      <c r="C74" s="16"/>
      <c r="E74" s="684">
        <f>DL!M32</f>
        <v>0</v>
      </c>
      <c r="I74" s="16"/>
      <c r="J74" s="16"/>
      <c r="K74" s="16"/>
      <c r="L74" s="16"/>
      <c r="M74" s="16"/>
      <c r="N74" s="16"/>
      <c r="O74" s="16"/>
      <c r="P74" s="16"/>
      <c r="Q74" s="16"/>
      <c r="R74" s="16"/>
      <c r="S74" s="16"/>
      <c r="T74" s="16"/>
      <c r="U74" s="16"/>
      <c r="V74" s="16"/>
      <c r="W74" s="16"/>
      <c r="X74" s="16"/>
      <c r="Y74" s="16"/>
      <c r="Z74" s="16"/>
      <c r="AA74" s="16"/>
      <c r="AB74" s="16"/>
      <c r="AC74" s="16"/>
      <c r="AD74" s="16"/>
      <c r="AE74" s="16"/>
      <c r="AF74" s="16"/>
      <c r="AG74" s="16"/>
      <c r="AH74" s="16"/>
      <c r="AI74" s="16"/>
      <c r="AJ74" s="16"/>
      <c r="AK74" s="16"/>
      <c r="AL74" s="16"/>
    </row>
  </sheetData>
  <sheetProtection password="CE75" sheet="1" objects="1" scenarios="1" selectLockedCells="1"/>
  <mergeCells count="88">
    <mergeCell ref="G47:H47"/>
    <mergeCell ref="G48:H48"/>
    <mergeCell ref="G41:H41"/>
    <mergeCell ref="G42:H42"/>
    <mergeCell ref="G43:H43"/>
    <mergeCell ref="G44:H44"/>
    <mergeCell ref="G45:H45"/>
    <mergeCell ref="G46:H46"/>
    <mergeCell ref="G40:H40"/>
    <mergeCell ref="G29:H29"/>
    <mergeCell ref="G30:H30"/>
    <mergeCell ref="G31:H31"/>
    <mergeCell ref="G32:H32"/>
    <mergeCell ref="G33:H33"/>
    <mergeCell ref="G34:H34"/>
    <mergeCell ref="G35:H35"/>
    <mergeCell ref="G36:H36"/>
    <mergeCell ref="G37:H37"/>
    <mergeCell ref="G38:H38"/>
    <mergeCell ref="G39:H39"/>
    <mergeCell ref="G28:H28"/>
    <mergeCell ref="A20:B20"/>
    <mergeCell ref="G20:H20"/>
    <mergeCell ref="A21:B21"/>
    <mergeCell ref="G21:H21"/>
    <mergeCell ref="G22:H22"/>
    <mergeCell ref="G23:H23"/>
    <mergeCell ref="G24:H24"/>
    <mergeCell ref="B25:C25"/>
    <mergeCell ref="G25:H25"/>
    <mergeCell ref="G26:H26"/>
    <mergeCell ref="G27:H27"/>
    <mergeCell ref="A17:B17"/>
    <mergeCell ref="G17:H17"/>
    <mergeCell ref="A18:B18"/>
    <mergeCell ref="G18:H18"/>
    <mergeCell ref="A19:B19"/>
    <mergeCell ref="G19:H19"/>
    <mergeCell ref="A14:B14"/>
    <mergeCell ref="G14:H14"/>
    <mergeCell ref="A15:B15"/>
    <mergeCell ref="G15:H15"/>
    <mergeCell ref="A16:B16"/>
    <mergeCell ref="G16:H16"/>
    <mergeCell ref="G10:H10"/>
    <mergeCell ref="G11:H11"/>
    <mergeCell ref="A12:B12"/>
    <mergeCell ref="G12:H12"/>
    <mergeCell ref="A13:B13"/>
    <mergeCell ref="G13:H13"/>
    <mergeCell ref="AI6:AJ7"/>
    <mergeCell ref="AK6:AL7"/>
    <mergeCell ref="E7:E8"/>
    <mergeCell ref="F7:F8"/>
    <mergeCell ref="G7:H8"/>
    <mergeCell ref="AE6:AF7"/>
    <mergeCell ref="AG6:AH7"/>
    <mergeCell ref="G9:H9"/>
    <mergeCell ref="W6:X7"/>
    <mergeCell ref="Y6:Z7"/>
    <mergeCell ref="AA6:AB7"/>
    <mergeCell ref="AC6:AD7"/>
    <mergeCell ref="Q6:R7"/>
    <mergeCell ref="S6:T7"/>
    <mergeCell ref="U6:V7"/>
    <mergeCell ref="W5:X5"/>
    <mergeCell ref="Y5:Z5"/>
    <mergeCell ref="E6:H6"/>
    <mergeCell ref="I6:J7"/>
    <mergeCell ref="K6:L7"/>
    <mergeCell ref="M6:N7"/>
    <mergeCell ref="O6:P7"/>
    <mergeCell ref="E2:P2"/>
    <mergeCell ref="E4:H5"/>
    <mergeCell ref="I4:AL4"/>
    <mergeCell ref="I5:J5"/>
    <mergeCell ref="K5:L5"/>
    <mergeCell ref="M5:N5"/>
    <mergeCell ref="O5:P5"/>
    <mergeCell ref="Q5:R5"/>
    <mergeCell ref="S5:T5"/>
    <mergeCell ref="U5:V5"/>
    <mergeCell ref="AI5:AJ5"/>
    <mergeCell ref="AK5:AL5"/>
    <mergeCell ref="AA5:AB5"/>
    <mergeCell ref="AC5:AD5"/>
    <mergeCell ref="AE5:AF5"/>
    <mergeCell ref="AG5:AH5"/>
  </mergeCells>
  <pageMargins left="0.32" right="0.26" top="0.36" bottom="0.35" header="0.3" footer="0.3"/>
  <pageSetup paperSize="9" scale="71"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81</vt:i4>
      </vt:variant>
      <vt:variant>
        <vt:lpstr>Named Ranges</vt:lpstr>
      </vt:variant>
      <vt:variant>
        <vt:i4>141</vt:i4>
      </vt:variant>
    </vt:vector>
  </HeadingPairs>
  <TitlesOfParts>
    <vt:vector size="222" baseType="lpstr">
      <vt:lpstr>Menu Utama</vt:lpstr>
      <vt:lpstr>Admin</vt:lpstr>
      <vt:lpstr>Petunjuk</vt:lpstr>
      <vt:lpstr>DL</vt:lpstr>
      <vt:lpstr>Biodata</vt:lpstr>
      <vt:lpstr>DK</vt:lpstr>
      <vt:lpstr>Menu1</vt:lpstr>
      <vt:lpstr>Leger1</vt:lpstr>
      <vt:lpstr>IKD1</vt:lpstr>
      <vt:lpstr>SS1</vt:lpstr>
      <vt:lpstr>Eks1</vt:lpstr>
      <vt:lpstr>P1</vt:lpstr>
      <vt:lpstr>Rangking1</vt:lpstr>
      <vt:lpstr>Validasi</vt:lpstr>
      <vt:lpstr>Leger_Predikat1</vt:lpstr>
      <vt:lpstr>Cetak Leger Nilai1</vt:lpstr>
      <vt:lpstr>Deskripsi1</vt:lpstr>
      <vt:lpstr>K Pel</vt:lpstr>
      <vt:lpstr>Konversi1</vt:lpstr>
      <vt:lpstr>Cover dll</vt:lpstr>
      <vt:lpstr>Raport1</vt:lpstr>
      <vt:lpstr>Menu2</vt:lpstr>
      <vt:lpstr>Leger2</vt:lpstr>
      <vt:lpstr>IKD2</vt:lpstr>
      <vt:lpstr>SS2</vt:lpstr>
      <vt:lpstr>Eks2</vt:lpstr>
      <vt:lpstr>P2</vt:lpstr>
      <vt:lpstr>Cetak Leger Nilai2</vt:lpstr>
      <vt:lpstr>Rangking2</vt:lpstr>
      <vt:lpstr>Leger_Predikat2</vt:lpstr>
      <vt:lpstr>Deskripsi2</vt:lpstr>
      <vt:lpstr>Konversi2</vt:lpstr>
      <vt:lpstr>Raport2</vt:lpstr>
      <vt:lpstr>DATA</vt:lpstr>
      <vt:lpstr>DATA SEKOLAH</vt:lpstr>
      <vt:lpstr>SK</vt:lpstr>
      <vt:lpstr>SEKOLAH</vt:lpstr>
      <vt:lpstr>SOURCE</vt:lpstr>
      <vt:lpstr>BIO</vt:lpstr>
      <vt:lpstr>TES</vt:lpstr>
      <vt:lpstr>Sheet1</vt:lpstr>
      <vt:lpstr>Sheet2</vt:lpstr>
      <vt:lpstr>ROW</vt:lpstr>
      <vt:lpstr>COL</vt:lpstr>
      <vt:lpstr>TAB</vt:lpstr>
      <vt:lpstr>Sheet6</vt:lpstr>
      <vt:lpstr>Sheet7</vt:lpstr>
      <vt:lpstr>Sheet8</vt:lpstr>
      <vt:lpstr>Sheet9</vt:lpstr>
      <vt:lpstr>Sheet10</vt:lpstr>
      <vt:lpstr>Sheet11</vt:lpstr>
      <vt:lpstr>Sheet12</vt:lpstr>
      <vt:lpstr>Sheet13</vt:lpstr>
      <vt:lpstr>Sheet14</vt:lpstr>
      <vt:lpstr>Sheet15</vt:lpstr>
      <vt:lpstr>Sheet16</vt:lpstr>
      <vt:lpstr>Sheet17</vt:lpstr>
      <vt:lpstr>Sheet18</vt:lpstr>
      <vt:lpstr>Sheet19</vt:lpstr>
      <vt:lpstr>Sheet20</vt:lpstr>
      <vt:lpstr>Sheet21</vt:lpstr>
      <vt:lpstr>Sheet22</vt:lpstr>
      <vt:lpstr>Sheet23</vt:lpstr>
      <vt:lpstr>Sheet24</vt:lpstr>
      <vt:lpstr>Sheet25</vt:lpstr>
      <vt:lpstr>Sheet26</vt:lpstr>
      <vt:lpstr>Sheet27</vt:lpstr>
      <vt:lpstr>Sheet29</vt:lpstr>
      <vt:lpstr>Sheet30</vt:lpstr>
      <vt:lpstr>Sheet31</vt:lpstr>
      <vt:lpstr>Sheet3</vt:lpstr>
      <vt:lpstr>Sheet28</vt:lpstr>
      <vt:lpstr>T Bantu</vt:lpstr>
      <vt:lpstr>Menu Buku Induk</vt:lpstr>
      <vt:lpstr>Bio_Bk_Induk</vt:lpstr>
      <vt:lpstr>Id Siswa</vt:lpstr>
      <vt:lpstr>Penilaian</vt:lpstr>
      <vt:lpstr>Tanda Terima1</vt:lpstr>
      <vt:lpstr>Tanda Terima2</vt:lpstr>
      <vt:lpstr>Input Leger Deskripsi1</vt:lpstr>
      <vt:lpstr>Input Leger Deskripsi2</vt:lpstr>
      <vt:lpstr>_alamat_sekolah</vt:lpstr>
      <vt:lpstr>Konversi2!_anak_ke</vt:lpstr>
      <vt:lpstr>_anak_ke</vt:lpstr>
      <vt:lpstr>_bio_bk_induk</vt:lpstr>
      <vt:lpstr>_Biodata_Lengkap</vt:lpstr>
      <vt:lpstr>Konversi2!_bulan</vt:lpstr>
      <vt:lpstr>_bulan</vt:lpstr>
      <vt:lpstr>_Daftar_Ekskul</vt:lpstr>
      <vt:lpstr>_des_smt1</vt:lpstr>
      <vt:lpstr>_des_smt2</vt:lpstr>
      <vt:lpstr>Deskripsi2!_DK</vt:lpstr>
      <vt:lpstr>_DK</vt:lpstr>
      <vt:lpstr>_DK2</vt:lpstr>
      <vt:lpstr>Deskripsi2!_DP</vt:lpstr>
      <vt:lpstr>_DP</vt:lpstr>
      <vt:lpstr>_DP2</vt:lpstr>
      <vt:lpstr>'Eks2'!_eks</vt:lpstr>
      <vt:lpstr>_eks</vt:lpstr>
      <vt:lpstr>_eks2</vt:lpstr>
      <vt:lpstr>_ektra</vt:lpstr>
      <vt:lpstr>_email</vt:lpstr>
      <vt:lpstr>_in_kepsek</vt:lpstr>
      <vt:lpstr>_in_nip_kepsek</vt:lpstr>
      <vt:lpstr>'Cetak Leger Nilai1'!_JUMLAH_SISWA</vt:lpstr>
      <vt:lpstr>'Cetak Leger Nilai2'!_JUMLAH_SISWA</vt:lpstr>
      <vt:lpstr>_JUMLAH_SISWA</vt:lpstr>
      <vt:lpstr>_kabupaten</vt:lpstr>
      <vt:lpstr>_kartu_pelajar</vt:lpstr>
      <vt:lpstr>_kecamatan</vt:lpstr>
      <vt:lpstr>_kelas</vt:lpstr>
      <vt:lpstr>_kelurahan</vt:lpstr>
      <vt:lpstr>_kepsek</vt:lpstr>
      <vt:lpstr>_ket_lulus</vt:lpstr>
      <vt:lpstr>_ket_naik</vt:lpstr>
      <vt:lpstr>'Cetak Leger Nilai1'!_KKM</vt:lpstr>
      <vt:lpstr>'Cetak Leger Nilai2'!_KKM</vt:lpstr>
      <vt:lpstr>Leger2!_KKM</vt:lpstr>
      <vt:lpstr>_KKM</vt:lpstr>
      <vt:lpstr>_KKM2</vt:lpstr>
      <vt:lpstr>_kode_pos</vt:lpstr>
      <vt:lpstr>'Cetak Leger Nilai1'!_Leger1</vt:lpstr>
      <vt:lpstr>'Cetak Leger Nilai2'!_Leger1</vt:lpstr>
      <vt:lpstr>Leger2!_Leger1</vt:lpstr>
      <vt:lpstr>_Leger1</vt:lpstr>
      <vt:lpstr>_Leger2</vt:lpstr>
      <vt:lpstr>_MP1</vt:lpstr>
      <vt:lpstr>_MP10</vt:lpstr>
      <vt:lpstr>_MP11</vt:lpstr>
      <vt:lpstr>_MP12</vt:lpstr>
      <vt:lpstr>_MP13</vt:lpstr>
      <vt:lpstr>_MP14</vt:lpstr>
      <vt:lpstr>_MP15</vt:lpstr>
      <vt:lpstr>_MP2</vt:lpstr>
      <vt:lpstr>_MP3</vt:lpstr>
      <vt:lpstr>_MP4</vt:lpstr>
      <vt:lpstr>_MP5</vt:lpstr>
      <vt:lpstr>_MP6</vt:lpstr>
      <vt:lpstr>_MP7</vt:lpstr>
      <vt:lpstr>_MP8</vt:lpstr>
      <vt:lpstr>_MP9</vt:lpstr>
      <vt:lpstr>_naik_ke_kelas</vt:lpstr>
      <vt:lpstr>_naik_lulus</vt:lpstr>
      <vt:lpstr>_nama_sekolah</vt:lpstr>
      <vt:lpstr>_nilai</vt:lpstr>
      <vt:lpstr>_nip_kepsek</vt:lpstr>
      <vt:lpstr>_NIS_NSS</vt:lpstr>
      <vt:lpstr>_nomor</vt:lpstr>
      <vt:lpstr>_NSS_NPSN</vt:lpstr>
      <vt:lpstr>'P2'!_prestasi</vt:lpstr>
      <vt:lpstr>_prestasi</vt:lpstr>
      <vt:lpstr>_prestasi2</vt:lpstr>
      <vt:lpstr>_provinsi</vt:lpstr>
      <vt:lpstr>_sekolah_label</vt:lpstr>
      <vt:lpstr>'SS2'!_Sikap</vt:lpstr>
      <vt:lpstr>_Sikap</vt:lpstr>
      <vt:lpstr>'SS2'!_sikap_predikat</vt:lpstr>
      <vt:lpstr>_sikap_predikat</vt:lpstr>
      <vt:lpstr>_sikap_predikat1</vt:lpstr>
      <vt:lpstr>_sikap_predikat2</vt:lpstr>
      <vt:lpstr>_Sikap2</vt:lpstr>
      <vt:lpstr>_smt_ganjil</vt:lpstr>
      <vt:lpstr>_smt_genap</vt:lpstr>
      <vt:lpstr>Konversi2!_tahun</vt:lpstr>
      <vt:lpstr>_tahun</vt:lpstr>
      <vt:lpstr>_tahun_pelajaran</vt:lpstr>
      <vt:lpstr>Konversi2!_tanggal</vt:lpstr>
      <vt:lpstr>_tanggal</vt:lpstr>
      <vt:lpstr>_telpon</vt:lpstr>
      <vt:lpstr>_tempat_penyerahan</vt:lpstr>
      <vt:lpstr>_tgl_rapor_ganjil</vt:lpstr>
      <vt:lpstr>_tgl_rapor_genap</vt:lpstr>
      <vt:lpstr>_website</vt:lpstr>
      <vt:lpstr>'Cover dll'!Biodata_Siswa</vt:lpstr>
      <vt:lpstr>'Eks1'!Biodata_Siswa</vt:lpstr>
      <vt:lpstr>'Eks2'!Biodata_Siswa</vt:lpstr>
      <vt:lpstr>'Id Siswa'!Biodata_Siswa</vt:lpstr>
      <vt:lpstr>'P1'!Biodata_Siswa</vt:lpstr>
      <vt:lpstr>'P2'!Biodata_Siswa</vt:lpstr>
      <vt:lpstr>Penilaian!Biodata_Siswa</vt:lpstr>
      <vt:lpstr>Petunjuk!Biodata_Siswa</vt:lpstr>
      <vt:lpstr>Raport1!Biodata_Siswa</vt:lpstr>
      <vt:lpstr>Raport2!Biodata_Siswa</vt:lpstr>
      <vt:lpstr>Sheet28!Biodata_Siswa</vt:lpstr>
      <vt:lpstr>'SS1'!Biodata_Siswa</vt:lpstr>
      <vt:lpstr>'SS2'!Biodata_Siswa</vt:lpstr>
      <vt:lpstr>Biodata_Siswa</vt:lpstr>
      <vt:lpstr>Konversi2!Bulan</vt:lpstr>
      <vt:lpstr>Bulan</vt:lpstr>
      <vt:lpstr>Konversi2!konversi</vt:lpstr>
      <vt:lpstr>konversi</vt:lpstr>
      <vt:lpstr>PREDIKAT</vt:lpstr>
      <vt:lpstr>'Cetak Leger Nilai1'!Print_Area</vt:lpstr>
      <vt:lpstr>'Cetak Leger Nilai2'!Print_Area</vt:lpstr>
      <vt:lpstr>'Cover dll'!Print_Area</vt:lpstr>
      <vt:lpstr>'Eks1'!Print_Area</vt:lpstr>
      <vt:lpstr>'Eks2'!Print_Area</vt:lpstr>
      <vt:lpstr>'Id Siswa'!Print_Area</vt:lpstr>
      <vt:lpstr>'IKD1'!Print_Area</vt:lpstr>
      <vt:lpstr>'IKD2'!Print_Area</vt:lpstr>
      <vt:lpstr>'K Pel'!Print_Area</vt:lpstr>
      <vt:lpstr>Leger_Predikat1!Print_Area</vt:lpstr>
      <vt:lpstr>Leger_Predikat2!Print_Area</vt:lpstr>
      <vt:lpstr>'Menu Utama'!Print_Area</vt:lpstr>
      <vt:lpstr>'P1'!Print_Area</vt:lpstr>
      <vt:lpstr>'P2'!Print_Area</vt:lpstr>
      <vt:lpstr>Penilaian!Print_Area</vt:lpstr>
      <vt:lpstr>Petunjuk!Print_Area</vt:lpstr>
      <vt:lpstr>Rangking1!Print_Area</vt:lpstr>
      <vt:lpstr>Rangking2!Print_Area</vt:lpstr>
      <vt:lpstr>Raport1!Print_Area</vt:lpstr>
      <vt:lpstr>Raport2!Print_Area</vt:lpstr>
      <vt:lpstr>'SS1'!Print_Area</vt:lpstr>
      <vt:lpstr>'SS2'!Print_Area</vt:lpstr>
      <vt:lpstr>'Tanda Terima1'!Print_Area</vt:lpstr>
      <vt:lpstr>'Tanda Terima2'!Print_Area</vt:lpstr>
      <vt:lpstr>Validasi!Print_Area</vt:lpstr>
      <vt:lpstr>Smt_berjalan</vt:lpstr>
      <vt:lpstr>Konversi2!Tahun</vt:lpstr>
      <vt:lpstr>Tahun</vt:lpstr>
      <vt:lpstr>Konversi2!Tanggal</vt:lpstr>
      <vt:lpstr>Tanggal</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djie</dc:creator>
  <cp:lastModifiedBy>PrimaKomputer</cp:lastModifiedBy>
  <cp:lastPrinted>2019-06-17T01:48:09Z</cp:lastPrinted>
  <dcterms:created xsi:type="dcterms:W3CDTF">2017-05-03T11:29:16Z</dcterms:created>
  <dcterms:modified xsi:type="dcterms:W3CDTF">2019-06-17T01:49:33Z</dcterms:modified>
</cp:coreProperties>
</file>