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SettlementGenerator\"/>
    </mc:Choice>
  </mc:AlternateContent>
  <bookViews>
    <workbookView xWindow="0" yWindow="0" windowWidth="28770" windowHeight="120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N21" i="1"/>
  <c r="K20" i="1"/>
  <c r="T46" i="1"/>
  <c r="T45" i="1"/>
  <c r="T44" i="1"/>
  <c r="Y19" i="1"/>
  <c r="Y17" i="1"/>
  <c r="Y16" i="1"/>
  <c r="Z15" i="1"/>
  <c r="Y15" i="1"/>
  <c r="R45" i="1"/>
  <c r="T7" i="1"/>
  <c r="M6" i="1"/>
  <c r="M8" i="1"/>
  <c r="M7" i="1"/>
  <c r="J9" i="1"/>
  <c r="E9" i="1"/>
  <c r="Y18" i="1" s="1"/>
  <c r="R46" i="1"/>
  <c r="R44" i="1"/>
  <c r="Y22" i="1" l="1"/>
  <c r="M9" i="1"/>
  <c r="U45" i="1"/>
  <c r="U44" i="1"/>
  <c r="Q37" i="1" s="1"/>
  <c r="R37" i="1" s="1"/>
  <c r="U46" i="1"/>
  <c r="R47" i="1"/>
  <c r="Z11" i="1" l="1"/>
  <c r="Y11" i="1"/>
  <c r="T8" i="1"/>
  <c r="T6" i="1"/>
  <c r="Z17" i="1"/>
  <c r="Z18" i="1"/>
  <c r="S18" i="1"/>
  <c r="E35" i="1"/>
  <c r="J20" i="1"/>
  <c r="F30" i="1"/>
  <c r="I30" i="1" s="1"/>
  <c r="J30" i="1" s="1"/>
  <c r="F29" i="1"/>
  <c r="N8" i="1"/>
  <c r="I31" i="1" s="1"/>
  <c r="J31" i="1" s="1"/>
  <c r="L8" i="1"/>
  <c r="N7" i="1"/>
  <c r="L7" i="1"/>
  <c r="N6" i="1"/>
  <c r="L6" i="1"/>
  <c r="K9" i="1"/>
  <c r="I9" i="1"/>
  <c r="Y20" i="1"/>
  <c r="Z20" i="1" s="1"/>
  <c r="Y13" i="1" l="1"/>
  <c r="Y12" i="1"/>
  <c r="L9" i="1"/>
  <c r="I13" i="1"/>
  <c r="N9" i="1"/>
  <c r="I14" i="1"/>
  <c r="R25" i="1" s="1"/>
  <c r="I29" i="1"/>
  <c r="J29" i="1" s="1"/>
  <c r="J32" i="1" s="1"/>
  <c r="I19" i="1" s="1"/>
  <c r="K19" i="1" s="1"/>
  <c r="J13" i="1" l="1"/>
  <c r="K13" i="1" s="1"/>
  <c r="L13" i="1" s="1"/>
  <c r="J14" i="1"/>
  <c r="K14" i="1" s="1"/>
  <c r="L14" i="1" s="1"/>
  <c r="I32" i="1"/>
  <c r="S14" i="1"/>
  <c r="Y8" i="1" s="1"/>
  <c r="Z8" i="1" s="1"/>
  <c r="Y6" i="1"/>
  <c r="Z6" i="1" s="1"/>
  <c r="I18" i="1"/>
  <c r="K18" i="1" s="1"/>
  <c r="J19" i="1"/>
  <c r="S13" i="1"/>
  <c r="Y7" i="1" s="1"/>
  <c r="Z7" i="1" s="1"/>
  <c r="J18" i="1" l="1"/>
  <c r="Q38" i="1" s="1"/>
  <c r="S12" i="1"/>
  <c r="Y10" i="1" s="1"/>
  <c r="Z10" i="1" s="1"/>
  <c r="J42" i="1"/>
  <c r="J43" i="1"/>
  <c r="Q20" i="1" s="1"/>
  <c r="X5" i="1" s="1"/>
  <c r="R38" i="1" l="1"/>
  <c r="Q39" i="1"/>
  <c r="R39" i="1" s="1"/>
  <c r="Y9" i="1"/>
  <c r="Z9" i="1" s="1"/>
  <c r="Y5" i="1"/>
</calcChain>
</file>

<file path=xl/sharedStrings.xml><?xml version="1.0" encoding="utf-8"?>
<sst xmlns="http://schemas.openxmlformats.org/spreadsheetml/2006/main" count="177" uniqueCount="126">
  <si>
    <t>Peasants:</t>
  </si>
  <si>
    <t>Aristocrats:</t>
  </si>
  <si>
    <t>Total</t>
  </si>
  <si>
    <t>Num</t>
  </si>
  <si>
    <t>Production:</t>
  </si>
  <si>
    <t>Grain</t>
  </si>
  <si>
    <t>Vegetables</t>
  </si>
  <si>
    <t>cal/ha/day</t>
  </si>
  <si>
    <t>Diet</t>
  </si>
  <si>
    <t>Meat</t>
  </si>
  <si>
    <t>Peasant</t>
  </si>
  <si>
    <t>Aristocrat</t>
  </si>
  <si>
    <t>cal/day</t>
  </si>
  <si>
    <t>Planting/harvesting speed</t>
  </si>
  <si>
    <t>Farmers needed</t>
  </si>
  <si>
    <t>Cow</t>
  </si>
  <si>
    <t>Weight</t>
  </si>
  <si>
    <t>kg</t>
  </si>
  <si>
    <t>Nutritions</t>
  </si>
  <si>
    <t>Lamb</t>
  </si>
  <si>
    <t>cal/100g</t>
  </si>
  <si>
    <t>cal/kg</t>
  </si>
  <si>
    <t>Meat needed per day in kg</t>
  </si>
  <si>
    <t>Sheep</t>
  </si>
  <si>
    <t>Number</t>
  </si>
  <si>
    <t>Grazing areal</t>
  </si>
  <si>
    <t>Meat distribution cow/lamb</t>
  </si>
  <si>
    <t>Hunted Meat</t>
  </si>
  <si>
    <t>Growth time</t>
  </si>
  <si>
    <t>Days</t>
  </si>
  <si>
    <t>Animal byproducts</t>
  </si>
  <si>
    <t>Milk</t>
  </si>
  <si>
    <t>Wool</t>
  </si>
  <si>
    <t>litre/day</t>
  </si>
  <si>
    <t>kg/year</t>
  </si>
  <si>
    <t>Totals</t>
  </si>
  <si>
    <t>Cow categories</t>
  </si>
  <si>
    <t>Beast of burden</t>
  </si>
  <si>
    <t>Dairy cow</t>
  </si>
  <si>
    <t>distribution</t>
  </si>
  <si>
    <t>Animals needed</t>
  </si>
  <si>
    <t>Jobs:</t>
  </si>
  <si>
    <t>Farmer</t>
  </si>
  <si>
    <t>Slaughter</t>
  </si>
  <si>
    <t>Leatherworker</t>
  </si>
  <si>
    <t>Blacksmith</t>
  </si>
  <si>
    <t>Cow hide</t>
  </si>
  <si>
    <t>kg/day</t>
  </si>
  <si>
    <t>Farmers needed for milking</t>
  </si>
  <si>
    <t>Milk time</t>
  </si>
  <si>
    <t>min</t>
  </si>
  <si>
    <t>hour</t>
  </si>
  <si>
    <t>Alloted time</t>
  </si>
  <si>
    <t>Required manpower</t>
  </si>
  <si>
    <t>Dairy</t>
  </si>
  <si>
    <t>Lumberer</t>
  </si>
  <si>
    <t>Carpenter</t>
  </si>
  <si>
    <t>Tailor</t>
  </si>
  <si>
    <t>Mason</t>
  </si>
  <si>
    <t>Fisher</t>
  </si>
  <si>
    <t>Jeweler</t>
  </si>
  <si>
    <t>Merchant</t>
  </si>
  <si>
    <t>Healer</t>
  </si>
  <si>
    <t>Clergy</t>
  </si>
  <si>
    <t>Low</t>
  </si>
  <si>
    <t>Top</t>
  </si>
  <si>
    <t>Selfsustain</t>
  </si>
  <si>
    <t>Birthrate</t>
  </si>
  <si>
    <t>Pop growth/year</t>
  </si>
  <si>
    <t>Birth rate</t>
  </si>
  <si>
    <t>Death rate</t>
  </si>
  <si>
    <t>Calorie Requirements</t>
  </si>
  <si>
    <t>Population growth per year</t>
  </si>
  <si>
    <t>Population</t>
  </si>
  <si>
    <t>Diet distribution</t>
  </si>
  <si>
    <t>Food production in calories</t>
  </si>
  <si>
    <t>Calorie distribution</t>
  </si>
  <si>
    <t>Anamal weights</t>
  </si>
  <si>
    <t>Animal calorie distribution</t>
  </si>
  <si>
    <t>Animal growth time</t>
  </si>
  <si>
    <t>Farm areal requirements - In hectare</t>
  </si>
  <si>
    <t>Minimum amount of animals required to feed the town</t>
  </si>
  <si>
    <t>2man teams planting/harvesting time per day in hectare</t>
  </si>
  <si>
    <t>Cattle uses and distribution</t>
  </si>
  <si>
    <t>Dairy production requirements</t>
  </si>
  <si>
    <t>Magic Shops</t>
  </si>
  <si>
    <t>Tavern</t>
  </si>
  <si>
    <t>Inn</t>
  </si>
  <si>
    <t>Settlement area including local farms</t>
  </si>
  <si>
    <t>Type</t>
  </si>
  <si>
    <t>Hectare</t>
  </si>
  <si>
    <t>City</t>
  </si>
  <si>
    <t>Farms</t>
  </si>
  <si>
    <t>Total area</t>
  </si>
  <si>
    <t>Area for single year</t>
  </si>
  <si>
    <t>Average household size</t>
  </si>
  <si>
    <t>Size</t>
  </si>
  <si>
    <t>Houses</t>
  </si>
  <si>
    <t>Average housesize</t>
  </si>
  <si>
    <t>Servants</t>
  </si>
  <si>
    <t>Artisans</t>
  </si>
  <si>
    <t>Artisans:</t>
  </si>
  <si>
    <t>Size in hectare</t>
  </si>
  <si>
    <t>Size in m2</t>
  </si>
  <si>
    <t>Farming production</t>
  </si>
  <si>
    <t>kg/ha/day</t>
  </si>
  <si>
    <t>Production</t>
  </si>
  <si>
    <t>City center</t>
  </si>
  <si>
    <t>Town types</t>
  </si>
  <si>
    <t>High</t>
  </si>
  <si>
    <t>Town types and populations</t>
  </si>
  <si>
    <t>Capital</t>
  </si>
  <si>
    <t>Metropol</t>
  </si>
  <si>
    <t>Large town</t>
  </si>
  <si>
    <t>Town</t>
  </si>
  <si>
    <t>Small town</t>
  </si>
  <si>
    <t>Settlement</t>
  </si>
  <si>
    <t>Hamlet</t>
  </si>
  <si>
    <t>Village</t>
  </si>
  <si>
    <t>Major City</t>
  </si>
  <si>
    <t>Large City</t>
  </si>
  <si>
    <t>Artisan</t>
  </si>
  <si>
    <t>Population distribution</t>
  </si>
  <si>
    <t>Hunter</t>
  </si>
  <si>
    <t>Square dim in m</t>
  </si>
  <si>
    <t>Food production/consumption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</si>
</sst>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1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9" fontId="0" fillId="0" borderId="0" xfId="0" applyNumberFormat="1" applyBorder="1"/>
    <xf numFmtId="9" fontId="0" fillId="0" borderId="5" xfId="0" applyNumberFormat="1" applyBorder="1"/>
    <xf numFmtId="9" fontId="0" fillId="0" borderId="7" xfId="0" applyNumberFormat="1" applyBorder="1"/>
    <xf numFmtId="9" fontId="0" fillId="0" borderId="8" xfId="0" applyNumberFormat="1" applyBorder="1"/>
    <xf numFmtId="3" fontId="0" fillId="0" borderId="5" xfId="0" applyNumberFormat="1" applyBorder="1"/>
    <xf numFmtId="3" fontId="0" fillId="0" borderId="8" xfId="0" applyNumberForma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5" xfId="0" applyFont="1" applyBorder="1"/>
    <xf numFmtId="0" fontId="1" fillId="0" borderId="8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/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/>
    <xf numFmtId="43" fontId="0" fillId="0" borderId="0" xfId="1" applyFont="1"/>
    <xf numFmtId="0" fontId="1" fillId="0" borderId="0" xfId="0" applyFont="1" applyAlignment="1">
      <alignment horizontal="center"/>
    </xf>
    <xf numFmtId="43" fontId="0" fillId="0" borderId="0" xfId="1" applyFont="1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Font="1"/>
    <xf numFmtId="0" fontId="0" fillId="0" borderId="4" xfId="0" applyFill="1" applyBorder="1"/>
    <xf numFmtId="171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4:Z59"/>
  <sheetViews>
    <sheetView tabSelected="1" topLeftCell="A13" workbookViewId="0">
      <selection activeCell="P55" sqref="P55"/>
    </sheetView>
  </sheetViews>
  <sheetFormatPr defaultRowHeight="15" x14ac:dyDescent="0.25"/>
  <cols>
    <col min="4" max="4" width="13.7109375" customWidth="1"/>
    <col min="5" max="5" width="11.85546875" customWidth="1"/>
    <col min="6" max="6" width="12.85546875" bestFit="1" customWidth="1"/>
    <col min="8" max="8" width="15.140625" bestFit="1" customWidth="1"/>
    <col min="9" max="9" width="18.140625" bestFit="1" customWidth="1"/>
    <col min="10" max="10" width="12.42578125" bestFit="1" customWidth="1"/>
    <col min="11" max="12" width="15.5703125" bestFit="1" customWidth="1"/>
    <col min="13" max="14" width="15.5703125" customWidth="1"/>
    <col min="15" max="15" width="19.42578125" bestFit="1" customWidth="1"/>
    <col min="16" max="16" width="22.140625" customWidth="1"/>
    <col min="17" max="17" width="14" customWidth="1"/>
    <col min="18" max="18" width="15.85546875" bestFit="1" customWidth="1"/>
    <col min="19" max="19" width="17.85546875" bestFit="1" customWidth="1"/>
    <col min="20" max="20" width="16" bestFit="1" customWidth="1"/>
    <col min="23" max="23" width="14.140625" bestFit="1" customWidth="1"/>
    <col min="24" max="24" width="10.7109375" bestFit="1" customWidth="1"/>
  </cols>
  <sheetData>
    <row r="4" spans="4:26" x14ac:dyDescent="0.25">
      <c r="D4" s="34" t="s">
        <v>73</v>
      </c>
      <c r="E4" s="36"/>
      <c r="H4" s="52" t="s">
        <v>74</v>
      </c>
      <c r="I4" s="53"/>
      <c r="J4" s="53"/>
      <c r="K4" s="53"/>
      <c r="L4" s="51" t="s">
        <v>71</v>
      </c>
      <c r="M4" s="51"/>
      <c r="N4" s="51"/>
      <c r="O4" s="30"/>
      <c r="Q4" s="34" t="s">
        <v>72</v>
      </c>
      <c r="R4" s="35"/>
      <c r="S4" s="35"/>
      <c r="T4" s="36"/>
      <c r="W4" s="1" t="s">
        <v>41</v>
      </c>
      <c r="X4" t="s">
        <v>66</v>
      </c>
      <c r="Y4" t="s">
        <v>64</v>
      </c>
      <c r="Z4" t="s">
        <v>65</v>
      </c>
    </row>
    <row r="5" spans="4:26" x14ac:dyDescent="0.25">
      <c r="D5" s="2"/>
      <c r="E5" s="4" t="s">
        <v>3</v>
      </c>
      <c r="H5" s="2" t="s">
        <v>8</v>
      </c>
      <c r="I5" s="3" t="s">
        <v>10</v>
      </c>
      <c r="J5" s="49" t="s">
        <v>100</v>
      </c>
      <c r="K5" s="4" t="s">
        <v>11</v>
      </c>
      <c r="L5" s="2" t="s">
        <v>10</v>
      </c>
      <c r="M5" s="49" t="s">
        <v>100</v>
      </c>
      <c r="N5" s="4" t="s">
        <v>11</v>
      </c>
      <c r="Q5" s="2" t="s">
        <v>67</v>
      </c>
      <c r="R5" s="3" t="s">
        <v>69</v>
      </c>
      <c r="S5" s="3" t="s">
        <v>70</v>
      </c>
      <c r="T5" s="4" t="s">
        <v>68</v>
      </c>
      <c r="W5" t="s">
        <v>42</v>
      </c>
      <c r="X5">
        <f>K13+K14+Q20</f>
        <v>40</v>
      </c>
      <c r="Y5">
        <f>ROUNDUP(X5*1.2,0)</f>
        <v>48</v>
      </c>
    </row>
    <row r="6" spans="4:26" x14ac:dyDescent="0.25">
      <c r="D6" s="5" t="s">
        <v>0</v>
      </c>
      <c r="E6" s="8">
        <v>1000</v>
      </c>
      <c r="H6" s="5" t="s">
        <v>5</v>
      </c>
      <c r="I6" s="13">
        <v>0.7</v>
      </c>
      <c r="J6" s="56">
        <v>0.6</v>
      </c>
      <c r="K6" s="14">
        <v>0.4</v>
      </c>
      <c r="L6" s="5">
        <f>E18*I6</f>
        <v>2100</v>
      </c>
      <c r="M6" s="5">
        <f>E19*J6</f>
        <v>1920</v>
      </c>
      <c r="N6" s="8">
        <f>E20*K6</f>
        <v>1400</v>
      </c>
      <c r="Q6" s="5" t="s">
        <v>10</v>
      </c>
      <c r="R6" s="6">
        <v>3.4700000000000002E-2</v>
      </c>
      <c r="S6" s="6">
        <v>1.2500000000000001E-2</v>
      </c>
      <c r="T6" s="8">
        <f>ROUNDUP((R6-S6)*E6,0)</f>
        <v>23</v>
      </c>
      <c r="W6" t="s">
        <v>43</v>
      </c>
      <c r="Y6">
        <f>ROUNDUP(J32/200,0)</f>
        <v>1</v>
      </c>
      <c r="Z6">
        <f>3*Y6</f>
        <v>3</v>
      </c>
    </row>
    <row r="7" spans="4:26" x14ac:dyDescent="0.25">
      <c r="D7" t="s">
        <v>101</v>
      </c>
      <c r="E7">
        <v>0</v>
      </c>
      <c r="H7" s="5" t="s">
        <v>6</v>
      </c>
      <c r="I7" s="13">
        <v>0.25</v>
      </c>
      <c r="J7" s="56">
        <v>0.3</v>
      </c>
      <c r="K7" s="14">
        <v>0.3</v>
      </c>
      <c r="L7" s="5">
        <f>E18*I7</f>
        <v>750</v>
      </c>
      <c r="M7" s="5">
        <f t="shared" ref="M7" si="0">E19*J7</f>
        <v>960</v>
      </c>
      <c r="N7" s="8">
        <f>E20*K7</f>
        <v>1050</v>
      </c>
      <c r="Q7" t="s">
        <v>100</v>
      </c>
      <c r="R7">
        <v>2.98E-2</v>
      </c>
      <c r="S7">
        <v>1.03E-2</v>
      </c>
      <c r="T7" s="8">
        <f>ROUNDUP((R7-S7)*E7,0)</f>
        <v>0</v>
      </c>
      <c r="W7" t="s">
        <v>57</v>
      </c>
      <c r="Y7">
        <f>ROUNDUP((S13/365)/2,0)</f>
        <v>2</v>
      </c>
      <c r="Z7">
        <f>Y7*3</f>
        <v>6</v>
      </c>
    </row>
    <row r="8" spans="4:26" x14ac:dyDescent="0.25">
      <c r="D8" s="5" t="s">
        <v>1</v>
      </c>
      <c r="E8" s="8">
        <v>0</v>
      </c>
      <c r="H8" s="5" t="s">
        <v>9</v>
      </c>
      <c r="I8" s="13">
        <v>0.05</v>
      </c>
      <c r="J8" s="56">
        <v>0.1</v>
      </c>
      <c r="K8" s="14">
        <v>0.3</v>
      </c>
      <c r="L8" s="5">
        <f>E18*I8</f>
        <v>150</v>
      </c>
      <c r="M8" s="5">
        <f>E19*J8</f>
        <v>320</v>
      </c>
      <c r="N8" s="8">
        <f>E20*K8</f>
        <v>1050</v>
      </c>
      <c r="Q8" s="9" t="s">
        <v>11</v>
      </c>
      <c r="R8" s="10">
        <v>2.46E-2</v>
      </c>
      <c r="S8" s="10">
        <v>9.8499999999999994E-3</v>
      </c>
      <c r="T8" s="12">
        <f>ROUNDUP((R8-S8)*E8,0)</f>
        <v>0</v>
      </c>
      <c r="W8" t="s">
        <v>44</v>
      </c>
      <c r="Y8">
        <f>ROUNDUP((S14/2),0)</f>
        <v>1</v>
      </c>
      <c r="Z8">
        <f>Y8*3</f>
        <v>3</v>
      </c>
    </row>
    <row r="9" spans="4:26" x14ac:dyDescent="0.25">
      <c r="D9" s="9" t="s">
        <v>2</v>
      </c>
      <c r="E9" s="12">
        <f>SUM(E6:E8)</f>
        <v>1000</v>
      </c>
      <c r="H9" s="9" t="s">
        <v>2</v>
      </c>
      <c r="I9" s="15">
        <f>SUM(I6:I8)</f>
        <v>1</v>
      </c>
      <c r="J9" s="15">
        <f>SUM(J6:J8)</f>
        <v>0.99999999999999989</v>
      </c>
      <c r="K9" s="16">
        <f>SUM(K6:K8)</f>
        <v>1</v>
      </c>
      <c r="L9" s="9">
        <f>SUM(L6:L8)</f>
        <v>3000</v>
      </c>
      <c r="M9" s="9">
        <f>SUM(M6:M8)</f>
        <v>3200</v>
      </c>
      <c r="N9" s="12">
        <f>SUM(N6:N8)</f>
        <v>3500</v>
      </c>
      <c r="W9" t="s">
        <v>45</v>
      </c>
      <c r="Y9">
        <f>ROUNDUP(X5/25,0)</f>
        <v>2</v>
      </c>
      <c r="Z9">
        <f>Y9*3</f>
        <v>6</v>
      </c>
    </row>
    <row r="10" spans="4:26" x14ac:dyDescent="0.25">
      <c r="P10" s="34" t="s">
        <v>30</v>
      </c>
      <c r="Q10" s="35"/>
      <c r="R10" s="35"/>
      <c r="S10" s="35"/>
      <c r="T10" s="36"/>
      <c r="W10" t="s">
        <v>54</v>
      </c>
      <c r="Y10">
        <f>ROUNDUP(S12/35,0)</f>
        <v>2</v>
      </c>
      <c r="Z10">
        <f>Y10*3</f>
        <v>6</v>
      </c>
    </row>
    <row r="11" spans="4:26" x14ac:dyDescent="0.25">
      <c r="D11" s="34" t="s">
        <v>75</v>
      </c>
      <c r="E11" s="36"/>
      <c r="H11" s="34" t="s">
        <v>80</v>
      </c>
      <c r="I11" s="35"/>
      <c r="J11" s="35"/>
      <c r="K11" s="35"/>
      <c r="L11" s="36"/>
      <c r="M11" s="30"/>
      <c r="N11" s="30"/>
      <c r="P11" s="2" t="s">
        <v>30</v>
      </c>
      <c r="Q11" s="3"/>
      <c r="R11" s="3"/>
      <c r="S11" s="3" t="s">
        <v>35</v>
      </c>
      <c r="T11" s="4"/>
      <c r="W11" t="s">
        <v>55</v>
      </c>
      <c r="Y11">
        <f>ROUNDUP(E6*0.02,0)</f>
        <v>20</v>
      </c>
      <c r="Z11">
        <f>ROUNDUP(E6*0.1,0)</f>
        <v>100</v>
      </c>
    </row>
    <row r="12" spans="4:26" x14ac:dyDescent="0.25">
      <c r="D12" s="2" t="s">
        <v>4</v>
      </c>
      <c r="E12" s="4" t="s">
        <v>7</v>
      </c>
      <c r="H12" s="23" t="s">
        <v>89</v>
      </c>
      <c r="I12" s="24" t="s">
        <v>94</v>
      </c>
      <c r="J12" s="24" t="s">
        <v>93</v>
      </c>
      <c r="K12" s="3" t="s">
        <v>14</v>
      </c>
      <c r="L12" s="4" t="s">
        <v>40</v>
      </c>
      <c r="M12" s="6"/>
      <c r="N12" s="6"/>
      <c r="P12" s="5" t="s">
        <v>31</v>
      </c>
      <c r="Q12" s="6">
        <v>4</v>
      </c>
      <c r="R12" s="6" t="s">
        <v>33</v>
      </c>
      <c r="S12" s="7">
        <f>(I18*I43)*Q12</f>
        <v>67</v>
      </c>
      <c r="T12" s="8" t="s">
        <v>33</v>
      </c>
      <c r="W12" t="s">
        <v>56</v>
      </c>
      <c r="Y12">
        <f>ROUNDUP((T6/20)+(T7/15)+(T8/10),0)</f>
        <v>2</v>
      </c>
    </row>
    <row r="13" spans="4:26" x14ac:dyDescent="0.25">
      <c r="D13" s="5" t="s">
        <v>5</v>
      </c>
      <c r="E13" s="17">
        <v>40000</v>
      </c>
      <c r="H13" s="5" t="s">
        <v>5</v>
      </c>
      <c r="I13" s="6">
        <f>((E6*L6)/E13)+((E8*N6)/E13)+((E7*M6)/E13)</f>
        <v>52.5</v>
      </c>
      <c r="J13" s="7">
        <f>ROUNDUP(I13*2,0)</f>
        <v>105</v>
      </c>
      <c r="K13" s="7">
        <f>ROUNDUP((J13/(H25*20))*2,0)</f>
        <v>27</v>
      </c>
      <c r="L13" s="19">
        <f>(K13/2)*4</f>
        <v>54</v>
      </c>
      <c r="M13" s="50"/>
      <c r="N13" s="50"/>
      <c r="P13" s="5" t="s">
        <v>32</v>
      </c>
      <c r="Q13" s="6">
        <v>8</v>
      </c>
      <c r="R13" s="6" t="s">
        <v>34</v>
      </c>
      <c r="S13" s="7">
        <f>I19*Q13</f>
        <v>880</v>
      </c>
      <c r="T13" s="8" t="s">
        <v>34</v>
      </c>
      <c r="W13" t="s">
        <v>58</v>
      </c>
      <c r="Y13">
        <f>ROUNDUP((T6/20)+(T7/15)+(T8/10),0)</f>
        <v>2</v>
      </c>
    </row>
    <row r="14" spans="4:26" x14ac:dyDescent="0.25">
      <c r="D14" s="9" t="s">
        <v>6</v>
      </c>
      <c r="E14" s="18">
        <v>45000</v>
      </c>
      <c r="H14" s="9" t="s">
        <v>6</v>
      </c>
      <c r="I14" s="10">
        <f>((E6*L7)/E14)+((E8*N7)/E14)+((E7*M7)/E14)</f>
        <v>16.666666666666668</v>
      </c>
      <c r="J14" s="11">
        <f>ROUNDUP(I14*2,0)</f>
        <v>34</v>
      </c>
      <c r="K14" s="11">
        <f>ROUNDUP((J14/(H25*20))*2,0)</f>
        <v>9</v>
      </c>
      <c r="L14" s="20">
        <f>(K14/2)*4</f>
        <v>18</v>
      </c>
      <c r="M14" s="50"/>
      <c r="N14" s="50"/>
      <c r="P14" s="9" t="s">
        <v>46</v>
      </c>
      <c r="Q14" s="10">
        <v>30</v>
      </c>
      <c r="R14" s="10" t="s">
        <v>17</v>
      </c>
      <c r="S14" s="11">
        <f>ROUNDDOWN(Q14/(E24/(J32*I36)),1)</f>
        <v>1.3</v>
      </c>
      <c r="T14" s="12" t="s">
        <v>47</v>
      </c>
      <c r="W14" t="s">
        <v>59</v>
      </c>
    </row>
    <row r="15" spans="4:26" x14ac:dyDescent="0.25">
      <c r="W15" t="s">
        <v>60</v>
      </c>
      <c r="X15">
        <v>0</v>
      </c>
      <c r="Y15">
        <f>ROUNDDOWN(SUM(E7:E8)/1500,0)</f>
        <v>0</v>
      </c>
      <c r="Z15">
        <f>ROUNDUP(SUM(E7:E8)/500,0)</f>
        <v>0</v>
      </c>
    </row>
    <row r="16" spans="4:26" x14ac:dyDescent="0.25">
      <c r="D16" s="28" t="s">
        <v>76</v>
      </c>
      <c r="E16" s="29"/>
      <c r="H16" s="34" t="s">
        <v>81</v>
      </c>
      <c r="I16" s="35"/>
      <c r="J16" s="35"/>
      <c r="K16" s="36"/>
      <c r="P16" s="34" t="s">
        <v>84</v>
      </c>
      <c r="Q16" s="35"/>
      <c r="R16" s="35"/>
      <c r="S16" s="35"/>
      <c r="T16" s="36"/>
      <c r="W16" t="s">
        <v>61</v>
      </c>
      <c r="Y16">
        <f>ROUNDUP((E6/500)+(E7/100)+(E8/250),0)</f>
        <v>2</v>
      </c>
    </row>
    <row r="17" spans="4:26" x14ac:dyDescent="0.25">
      <c r="D17" s="2" t="s">
        <v>8</v>
      </c>
      <c r="E17" s="4" t="s">
        <v>12</v>
      </c>
      <c r="H17" s="2"/>
      <c r="I17" s="3" t="s">
        <v>24</v>
      </c>
      <c r="J17" s="3" t="s">
        <v>25</v>
      </c>
      <c r="K17" s="4" t="s">
        <v>14</v>
      </c>
      <c r="P17" s="43" t="s">
        <v>48</v>
      </c>
      <c r="Q17" s="44"/>
      <c r="R17" s="44"/>
      <c r="S17" s="44"/>
      <c r="T17" s="54"/>
      <c r="W17" t="s">
        <v>62</v>
      </c>
      <c r="Y17">
        <f>ROUNDUP((E6/1000)+(E7/200)+(E8/150),0)</f>
        <v>1</v>
      </c>
      <c r="Z17">
        <f>ROUNDUP((E6/300)+(E8/35),0)</f>
        <v>4</v>
      </c>
    </row>
    <row r="18" spans="4:26" x14ac:dyDescent="0.25">
      <c r="D18" s="5" t="s">
        <v>10</v>
      </c>
      <c r="E18" s="8">
        <v>3000</v>
      </c>
      <c r="H18" s="5" t="s">
        <v>15</v>
      </c>
      <c r="I18" s="6">
        <f>ROUNDUP((E34/(E24/(J32*I36))),0)</f>
        <v>67</v>
      </c>
      <c r="J18" s="7">
        <f>ROUNDUP(I18/2,0)</f>
        <v>34</v>
      </c>
      <c r="K18" s="21">
        <f>ROUNDUP(I18/100,0)</f>
        <v>1</v>
      </c>
      <c r="P18" s="5" t="s">
        <v>49</v>
      </c>
      <c r="Q18" s="6">
        <v>45</v>
      </c>
      <c r="R18" s="6" t="s">
        <v>50</v>
      </c>
      <c r="S18" s="6">
        <f>45/60</f>
        <v>0.75</v>
      </c>
      <c r="T18" s="8" t="s">
        <v>51</v>
      </c>
      <c r="W18" t="s">
        <v>63</v>
      </c>
      <c r="Y18">
        <f>ROUNDUP(E9/200,0)</f>
        <v>5</v>
      </c>
      <c r="Z18">
        <f>ROUNDUP(E9/100,0)</f>
        <v>10</v>
      </c>
    </row>
    <row r="19" spans="4:26" x14ac:dyDescent="0.25">
      <c r="D19" s="49" t="s">
        <v>100</v>
      </c>
      <c r="E19">
        <v>3200</v>
      </c>
      <c r="H19" s="5" t="s">
        <v>23</v>
      </c>
      <c r="I19" s="6">
        <f>ROUNDUP((E35/(E25/(J32*I37))),0)</f>
        <v>110</v>
      </c>
      <c r="J19" s="7">
        <f>ROUNDUP(I19/15,0)</f>
        <v>8</v>
      </c>
      <c r="K19" s="21">
        <f>ROUNDUP(I19/100,0)</f>
        <v>2</v>
      </c>
      <c r="P19" s="5" t="s">
        <v>52</v>
      </c>
      <c r="Q19" s="6">
        <v>4</v>
      </c>
      <c r="R19" s="6" t="s">
        <v>51</v>
      </c>
      <c r="S19" s="6"/>
      <c r="T19" s="8"/>
      <c r="W19" t="s">
        <v>85</v>
      </c>
      <c r="Y19">
        <f>ROUNDDOWN(E6/3000,0)+ROUNDUP((E8+E7)/150,0)</f>
        <v>0</v>
      </c>
    </row>
    <row r="20" spans="4:26" x14ac:dyDescent="0.25">
      <c r="D20" s="9" t="s">
        <v>11</v>
      </c>
      <c r="E20" s="12">
        <v>3500</v>
      </c>
      <c r="H20" s="9" t="s">
        <v>27</v>
      </c>
      <c r="I20" s="10"/>
      <c r="J20" s="10">
        <f t="shared" ref="J20" si="1">ROUNDUP(I20/2,0)</f>
        <v>0</v>
      </c>
      <c r="K20" s="12">
        <f>ROUNDUP(I20/100,0)</f>
        <v>0</v>
      </c>
      <c r="P20" s="9" t="s">
        <v>53</v>
      </c>
      <c r="Q20" s="11">
        <f>ROUNDUP(((J43*S18)/Q19),0)</f>
        <v>4</v>
      </c>
      <c r="R20" s="10"/>
      <c r="S20" s="10"/>
      <c r="T20" s="12"/>
      <c r="W20" t="s">
        <v>86</v>
      </c>
      <c r="Y20">
        <f>ROUNDUP(E9/300,0)</f>
        <v>4</v>
      </c>
      <c r="Z20">
        <f>Y20*5</f>
        <v>20</v>
      </c>
    </row>
    <row r="21" spans="4:26" x14ac:dyDescent="0.25">
      <c r="N21">
        <f>300/12</f>
        <v>25</v>
      </c>
      <c r="W21" t="s">
        <v>87</v>
      </c>
    </row>
    <row r="22" spans="4:26" x14ac:dyDescent="0.25">
      <c r="D22" s="34" t="s">
        <v>77</v>
      </c>
      <c r="E22" s="35"/>
      <c r="F22" s="36"/>
      <c r="H22" s="31" t="s">
        <v>13</v>
      </c>
      <c r="I22" s="32"/>
      <c r="J22" s="33"/>
      <c r="P22" s="47" t="s">
        <v>104</v>
      </c>
      <c r="Q22" s="47"/>
      <c r="S22" s="57"/>
      <c r="W22" t="s">
        <v>99</v>
      </c>
      <c r="Y22">
        <f>ROUNDUP((R45*3)+(R46*5),0)</f>
        <v>0</v>
      </c>
    </row>
    <row r="23" spans="4:26" x14ac:dyDescent="0.25">
      <c r="D23" s="26" t="s">
        <v>9</v>
      </c>
      <c r="E23" s="3" t="s">
        <v>16</v>
      </c>
      <c r="F23" s="4"/>
      <c r="H23" s="37" t="s">
        <v>82</v>
      </c>
      <c r="I23" s="38"/>
      <c r="J23" s="39"/>
      <c r="P23" t="s">
        <v>89</v>
      </c>
      <c r="Q23" t="s">
        <v>105</v>
      </c>
      <c r="R23" t="s">
        <v>106</v>
      </c>
      <c r="W23" t="s">
        <v>123</v>
      </c>
    </row>
    <row r="24" spans="4:26" x14ac:dyDescent="0.25">
      <c r="D24" s="5" t="s">
        <v>15</v>
      </c>
      <c r="E24" s="6">
        <v>1100</v>
      </c>
      <c r="F24" s="8" t="s">
        <v>17</v>
      </c>
      <c r="H24" s="37"/>
      <c r="I24" s="38"/>
      <c r="J24" s="39"/>
      <c r="P24" t="s">
        <v>5</v>
      </c>
      <c r="Q24">
        <v>14</v>
      </c>
      <c r="R24">
        <f>Q24*I13</f>
        <v>735</v>
      </c>
    </row>
    <row r="25" spans="4:26" x14ac:dyDescent="0.25">
      <c r="D25" s="9" t="s">
        <v>19</v>
      </c>
      <c r="E25" s="10">
        <v>100</v>
      </c>
      <c r="F25" s="12" t="s">
        <v>17</v>
      </c>
      <c r="H25" s="40">
        <v>0.4</v>
      </c>
      <c r="I25" s="41"/>
      <c r="J25" s="42"/>
      <c r="P25" t="s">
        <v>6</v>
      </c>
      <c r="Q25">
        <v>16</v>
      </c>
      <c r="R25">
        <f>Q25*I14</f>
        <v>266.66666666666669</v>
      </c>
    </row>
    <row r="26" spans="4:26" x14ac:dyDescent="0.25">
      <c r="P26" t="s">
        <v>9</v>
      </c>
    </row>
    <row r="27" spans="4:26" x14ac:dyDescent="0.25">
      <c r="D27" s="34" t="s">
        <v>78</v>
      </c>
      <c r="E27" s="35"/>
      <c r="F27" s="36"/>
    </row>
    <row r="28" spans="4:26" x14ac:dyDescent="0.25">
      <c r="D28" s="2" t="s">
        <v>18</v>
      </c>
      <c r="E28" s="3" t="s">
        <v>20</v>
      </c>
      <c r="F28" s="4" t="s">
        <v>21</v>
      </c>
      <c r="H28" s="31" t="s">
        <v>22</v>
      </c>
      <c r="I28" s="32"/>
      <c r="J28" s="33"/>
    </row>
    <row r="29" spans="4:26" x14ac:dyDescent="0.25">
      <c r="D29" s="5" t="s">
        <v>15</v>
      </c>
      <c r="E29" s="6">
        <v>180</v>
      </c>
      <c r="F29" s="8">
        <f>E29*10</f>
        <v>1800</v>
      </c>
      <c r="H29" s="5" t="s">
        <v>10</v>
      </c>
      <c r="I29" s="6">
        <f>ROUNDUP(L8/F29,1)</f>
        <v>0.1</v>
      </c>
      <c r="J29" s="21">
        <f>I29*E6</f>
        <v>100</v>
      </c>
    </row>
    <row r="30" spans="4:26" x14ac:dyDescent="0.25">
      <c r="D30" s="9" t="s">
        <v>19</v>
      </c>
      <c r="E30" s="10">
        <v>180</v>
      </c>
      <c r="F30" s="12">
        <f>E30*10</f>
        <v>1800</v>
      </c>
      <c r="H30" t="s">
        <v>100</v>
      </c>
      <c r="I30" s="6">
        <f>ROUNDUP(M8/F30,1)</f>
        <v>0.2</v>
      </c>
      <c r="J30" s="21">
        <f>I30*E7</f>
        <v>0</v>
      </c>
    </row>
    <row r="31" spans="4:26" x14ac:dyDescent="0.25">
      <c r="H31" s="5" t="s">
        <v>11</v>
      </c>
      <c r="I31" s="6">
        <f>ROUNDUP(N8/F29,1)</f>
        <v>0.6</v>
      </c>
      <c r="J31" s="21">
        <f>I31*E8</f>
        <v>0</v>
      </c>
    </row>
    <row r="32" spans="4:26" x14ac:dyDescent="0.25">
      <c r="D32" s="34" t="s">
        <v>79</v>
      </c>
      <c r="E32" s="36"/>
      <c r="H32" s="9" t="s">
        <v>2</v>
      </c>
      <c r="I32" s="10">
        <f>SUM(I29:I31)</f>
        <v>0.9</v>
      </c>
      <c r="J32" s="22">
        <f>SUM(J29:J31)</f>
        <v>100</v>
      </c>
    </row>
    <row r="33" spans="4:21" x14ac:dyDescent="0.25">
      <c r="D33" s="2" t="s">
        <v>28</v>
      </c>
      <c r="E33" s="4" t="s">
        <v>29</v>
      </c>
    </row>
    <row r="34" spans="4:21" x14ac:dyDescent="0.25">
      <c r="D34" s="5" t="s">
        <v>15</v>
      </c>
      <c r="E34" s="8">
        <v>1460</v>
      </c>
    </row>
    <row r="35" spans="4:21" x14ac:dyDescent="0.25">
      <c r="D35" s="9" t="s">
        <v>23</v>
      </c>
      <c r="E35" s="12">
        <f>365*3</f>
        <v>1095</v>
      </c>
      <c r="H35" s="31" t="s">
        <v>26</v>
      </c>
      <c r="I35" s="32"/>
      <c r="J35" s="33"/>
      <c r="P35" s="55" t="s">
        <v>88</v>
      </c>
      <c r="Q35" s="55"/>
    </row>
    <row r="36" spans="4:21" x14ac:dyDescent="0.25">
      <c r="H36" s="5" t="s">
        <v>15</v>
      </c>
      <c r="I36" s="13">
        <v>0.5</v>
      </c>
      <c r="J36" s="8"/>
      <c r="P36" t="s">
        <v>89</v>
      </c>
      <c r="Q36" t="s">
        <v>90</v>
      </c>
      <c r="R36" t="s">
        <v>124</v>
      </c>
    </row>
    <row r="37" spans="4:21" x14ac:dyDescent="0.25">
      <c r="H37" s="5" t="s">
        <v>19</v>
      </c>
      <c r="I37" s="13">
        <v>0.1</v>
      </c>
      <c r="J37" s="8"/>
      <c r="P37" t="s">
        <v>107</v>
      </c>
      <c r="Q37">
        <f>ROUNDUP(SUM(U44:U46)*4,0)</f>
        <v>7</v>
      </c>
      <c r="R37" s="45">
        <f>SQRT((Q37*10000))</f>
        <v>264.57513110645908</v>
      </c>
    </row>
    <row r="38" spans="4:21" x14ac:dyDescent="0.25">
      <c r="H38" s="9" t="s">
        <v>27</v>
      </c>
      <c r="I38" s="15">
        <v>0.4</v>
      </c>
      <c r="J38" s="12"/>
      <c r="P38" t="s">
        <v>92</v>
      </c>
      <c r="Q38">
        <f>J13+J14+J18+J19+J20</f>
        <v>181</v>
      </c>
      <c r="R38" s="45">
        <f>SQRT((Q38*10000))</f>
        <v>1345.3624047073711</v>
      </c>
    </row>
    <row r="39" spans="4:21" x14ac:dyDescent="0.25">
      <c r="P39" t="s">
        <v>2</v>
      </c>
      <c r="Q39" s="1">
        <f>SUM(Q37:Q38)</f>
        <v>188</v>
      </c>
      <c r="R39" s="45">
        <f>SQRT((Q39*10000))</f>
        <v>1371.1309200802089</v>
      </c>
    </row>
    <row r="40" spans="4:21" x14ac:dyDescent="0.25">
      <c r="H40" s="34" t="s">
        <v>83</v>
      </c>
      <c r="I40" s="35"/>
      <c r="J40" s="36"/>
    </row>
    <row r="41" spans="4:21" x14ac:dyDescent="0.25">
      <c r="H41" s="2" t="s">
        <v>36</v>
      </c>
      <c r="I41" s="3" t="s">
        <v>39</v>
      </c>
      <c r="J41" s="4"/>
    </row>
    <row r="42" spans="4:21" x14ac:dyDescent="0.25">
      <c r="H42" s="5" t="s">
        <v>37</v>
      </c>
      <c r="I42" s="13">
        <v>0.75</v>
      </c>
      <c r="J42" s="8">
        <f>ROUNDUP(I18*I42,0)</f>
        <v>51</v>
      </c>
      <c r="P42" s="31" t="s">
        <v>95</v>
      </c>
      <c r="Q42" s="32"/>
      <c r="R42" s="33"/>
      <c r="S42" s="31" t="s">
        <v>98</v>
      </c>
      <c r="T42" s="32"/>
      <c r="U42" s="4"/>
    </row>
    <row r="43" spans="4:21" x14ac:dyDescent="0.25">
      <c r="H43" s="9" t="s">
        <v>38</v>
      </c>
      <c r="I43" s="15">
        <v>0.25</v>
      </c>
      <c r="J43" s="12">
        <f>ROUNDUP(I18*I43,0)</f>
        <v>17</v>
      </c>
      <c r="P43" s="5" t="s">
        <v>89</v>
      </c>
      <c r="Q43" s="6" t="s">
        <v>96</v>
      </c>
      <c r="R43" s="8" t="s">
        <v>97</v>
      </c>
      <c r="S43" s="58" t="s">
        <v>103</v>
      </c>
      <c r="T43" s="49" t="s">
        <v>102</v>
      </c>
      <c r="U43" s="8"/>
    </row>
    <row r="44" spans="4:21" x14ac:dyDescent="0.25">
      <c r="P44" s="5" t="s">
        <v>10</v>
      </c>
      <c r="Q44" s="48">
        <v>6.45</v>
      </c>
      <c r="R44" s="8">
        <f>ROUNDUP(E6/Q44,0)</f>
        <v>156</v>
      </c>
      <c r="S44" s="5">
        <v>100</v>
      </c>
      <c r="T44" s="6">
        <f>S44/10000</f>
        <v>0.01</v>
      </c>
      <c r="U44" s="8">
        <f>T44*R44</f>
        <v>1.56</v>
      </c>
    </row>
    <row r="45" spans="4:21" x14ac:dyDescent="0.25">
      <c r="M45" s="46"/>
      <c r="P45" t="s">
        <v>100</v>
      </c>
      <c r="Q45">
        <v>5.47</v>
      </c>
      <c r="R45" s="8">
        <f>ROUNDUP(E7/Q45,0)</f>
        <v>0</v>
      </c>
      <c r="S45" s="5">
        <v>240</v>
      </c>
      <c r="T45" s="6">
        <f>S45/10000</f>
        <v>2.4E-2</v>
      </c>
      <c r="U45" s="8">
        <f t="shared" ref="U45:U46" si="2">T45*R45</f>
        <v>0</v>
      </c>
    </row>
    <row r="46" spans="4:21" x14ac:dyDescent="0.25">
      <c r="P46" s="5" t="s">
        <v>11</v>
      </c>
      <c r="Q46" s="48">
        <v>3.67</v>
      </c>
      <c r="R46" s="8">
        <f>ROUNDUP(E8/Q46,0)</f>
        <v>0</v>
      </c>
      <c r="S46" s="9">
        <v>600</v>
      </c>
      <c r="T46" s="10">
        <f>S46/10000</f>
        <v>0.06</v>
      </c>
      <c r="U46" s="12">
        <f t="shared" si="2"/>
        <v>0</v>
      </c>
    </row>
    <row r="47" spans="4:21" x14ac:dyDescent="0.25">
      <c r="D47" s="55" t="s">
        <v>110</v>
      </c>
      <c r="E47" s="55"/>
      <c r="F47" s="55"/>
      <c r="G47" s="55" t="s">
        <v>122</v>
      </c>
      <c r="H47" s="55"/>
      <c r="I47" s="55"/>
      <c r="J47" s="55" t="s">
        <v>125</v>
      </c>
      <c r="K47" s="55"/>
      <c r="P47" s="27" t="s">
        <v>2</v>
      </c>
      <c r="Q47" s="25"/>
      <c r="R47" s="22">
        <f>SUM(R44:R46)</f>
        <v>156</v>
      </c>
    </row>
    <row r="48" spans="4:21" x14ac:dyDescent="0.25">
      <c r="D48" t="s">
        <v>108</v>
      </c>
      <c r="E48" t="s">
        <v>64</v>
      </c>
      <c r="F48" t="s">
        <v>109</v>
      </c>
      <c r="G48" t="s">
        <v>10</v>
      </c>
      <c r="H48" t="s">
        <v>121</v>
      </c>
      <c r="I48" t="s">
        <v>11</v>
      </c>
      <c r="J48" t="s">
        <v>64</v>
      </c>
      <c r="K48" t="s">
        <v>109</v>
      </c>
    </row>
    <row r="49" spans="4:11" x14ac:dyDescent="0.25">
      <c r="D49" t="s">
        <v>111</v>
      </c>
      <c r="E49" s="59">
        <v>100000</v>
      </c>
      <c r="F49" s="59">
        <v>1000000</v>
      </c>
      <c r="G49" s="60">
        <v>0.4</v>
      </c>
      <c r="H49" s="60">
        <v>0.25</v>
      </c>
      <c r="I49" s="60">
        <v>0.35</v>
      </c>
      <c r="J49">
        <v>0.3</v>
      </c>
      <c r="K49">
        <v>0.7</v>
      </c>
    </row>
    <row r="50" spans="4:11" x14ac:dyDescent="0.25">
      <c r="D50" t="s">
        <v>112</v>
      </c>
      <c r="E50" s="59">
        <v>20000</v>
      </c>
      <c r="F50" s="59">
        <v>500000</v>
      </c>
      <c r="G50" s="60">
        <v>0.45</v>
      </c>
      <c r="H50" s="60">
        <v>0.25</v>
      </c>
      <c r="I50" s="60">
        <v>0.3</v>
      </c>
      <c r="J50">
        <v>0.5</v>
      </c>
      <c r="K50">
        <v>0.95</v>
      </c>
    </row>
    <row r="51" spans="4:11" x14ac:dyDescent="0.25">
      <c r="D51" t="s">
        <v>119</v>
      </c>
      <c r="E51" s="59">
        <v>15000</v>
      </c>
      <c r="F51" s="59">
        <v>50000</v>
      </c>
      <c r="G51" s="60">
        <v>0.5</v>
      </c>
      <c r="H51" s="60">
        <v>0.25</v>
      </c>
      <c r="I51" s="60">
        <v>0.25</v>
      </c>
      <c r="J51">
        <v>0.5</v>
      </c>
      <c r="K51">
        <v>1.1000000000000001</v>
      </c>
    </row>
    <row r="52" spans="4:11" x14ac:dyDescent="0.25">
      <c r="D52" t="s">
        <v>120</v>
      </c>
      <c r="E52" s="59">
        <v>12000</v>
      </c>
      <c r="F52" s="59">
        <v>15000</v>
      </c>
      <c r="G52" s="60">
        <v>0.45</v>
      </c>
      <c r="H52" s="60">
        <v>0.35</v>
      </c>
      <c r="I52" s="60">
        <v>0.2</v>
      </c>
      <c r="J52">
        <v>0.65</v>
      </c>
      <c r="K52">
        <v>1.5</v>
      </c>
    </row>
    <row r="53" spans="4:11" x14ac:dyDescent="0.25">
      <c r="D53" t="s">
        <v>91</v>
      </c>
      <c r="E53" s="59">
        <v>8000</v>
      </c>
      <c r="F53" s="59">
        <v>12000</v>
      </c>
      <c r="G53" s="60">
        <v>0.5</v>
      </c>
      <c r="H53" s="60">
        <v>0.35</v>
      </c>
      <c r="I53" s="60">
        <v>0.15</v>
      </c>
      <c r="J53">
        <v>0.7</v>
      </c>
      <c r="K53">
        <v>3</v>
      </c>
    </row>
    <row r="54" spans="4:11" x14ac:dyDescent="0.25">
      <c r="D54" t="s">
        <v>113</v>
      </c>
      <c r="E54" s="59">
        <v>5000</v>
      </c>
      <c r="F54" s="59">
        <v>8000</v>
      </c>
      <c r="G54" s="60">
        <v>0.65</v>
      </c>
      <c r="H54" s="60">
        <v>0.23</v>
      </c>
      <c r="I54" s="60">
        <v>0.12</v>
      </c>
      <c r="J54">
        <v>0.75</v>
      </c>
      <c r="K54">
        <v>5</v>
      </c>
    </row>
    <row r="55" spans="4:11" x14ac:dyDescent="0.25">
      <c r="D55" t="s">
        <v>114</v>
      </c>
      <c r="E55" s="59">
        <v>3000</v>
      </c>
      <c r="F55" s="59">
        <v>5000</v>
      </c>
      <c r="G55" s="60">
        <v>0.75</v>
      </c>
      <c r="H55" s="60">
        <v>0.17</v>
      </c>
      <c r="I55" s="60">
        <v>0.08</v>
      </c>
      <c r="J55">
        <v>0.9</v>
      </c>
      <c r="K55">
        <v>9</v>
      </c>
    </row>
    <row r="56" spans="4:11" x14ac:dyDescent="0.25">
      <c r="D56" t="s">
        <v>115</v>
      </c>
      <c r="E56" s="59">
        <v>1000</v>
      </c>
      <c r="F56" s="59">
        <v>3000</v>
      </c>
      <c r="G56" s="60">
        <v>0.8</v>
      </c>
      <c r="H56" s="60">
        <v>0.15</v>
      </c>
      <c r="I56" s="60">
        <v>0.05</v>
      </c>
      <c r="J56">
        <v>1.05</v>
      </c>
      <c r="K56">
        <v>12</v>
      </c>
    </row>
    <row r="57" spans="4:11" x14ac:dyDescent="0.25">
      <c r="D57" t="s">
        <v>116</v>
      </c>
      <c r="E57" s="59">
        <v>300</v>
      </c>
      <c r="F57" s="59">
        <v>1000</v>
      </c>
      <c r="G57" s="60">
        <v>0.9</v>
      </c>
      <c r="H57" s="60">
        <v>7.0000000000000007E-2</v>
      </c>
      <c r="I57" s="60">
        <v>0.03</v>
      </c>
      <c r="J57">
        <v>1.1000000000000001</v>
      </c>
      <c r="K57">
        <v>15</v>
      </c>
    </row>
    <row r="58" spans="4:11" x14ac:dyDescent="0.25">
      <c r="D58" t="s">
        <v>118</v>
      </c>
      <c r="E58" s="59">
        <v>50</v>
      </c>
      <c r="F58" s="59">
        <v>300</v>
      </c>
      <c r="G58" s="60">
        <v>0.95</v>
      </c>
      <c r="H58" s="60">
        <v>0.05</v>
      </c>
      <c r="I58" s="60">
        <v>0</v>
      </c>
      <c r="J58">
        <v>1.2</v>
      </c>
      <c r="K58">
        <v>15</v>
      </c>
    </row>
    <row r="59" spans="4:11" x14ac:dyDescent="0.25">
      <c r="D59" t="s">
        <v>117</v>
      </c>
      <c r="E59" s="59">
        <v>10</v>
      </c>
      <c r="F59" s="59">
        <v>50</v>
      </c>
      <c r="G59" s="56">
        <v>1</v>
      </c>
      <c r="H59" s="56">
        <v>0</v>
      </c>
      <c r="I59" s="56">
        <v>0</v>
      </c>
      <c r="J59">
        <v>1.5</v>
      </c>
      <c r="K59">
        <v>10</v>
      </c>
    </row>
  </sheetData>
  <mergeCells count="26">
    <mergeCell ref="D11:E11"/>
    <mergeCell ref="S42:T42"/>
    <mergeCell ref="P22:Q22"/>
    <mergeCell ref="D47:F47"/>
    <mergeCell ref="G47:I47"/>
    <mergeCell ref="J47:K47"/>
    <mergeCell ref="P42:R42"/>
    <mergeCell ref="P35:Q35"/>
    <mergeCell ref="H35:J35"/>
    <mergeCell ref="H40:J40"/>
    <mergeCell ref="D32:E32"/>
    <mergeCell ref="D27:F27"/>
    <mergeCell ref="D22:F22"/>
    <mergeCell ref="L4:N4"/>
    <mergeCell ref="H4:K4"/>
    <mergeCell ref="P10:T10"/>
    <mergeCell ref="P16:T16"/>
    <mergeCell ref="P17:T17"/>
    <mergeCell ref="Q4:T4"/>
    <mergeCell ref="D4:E4"/>
    <mergeCell ref="H11:L11"/>
    <mergeCell ref="H22:J22"/>
    <mergeCell ref="H16:K16"/>
    <mergeCell ref="H23:J24"/>
    <mergeCell ref="H25:J25"/>
    <mergeCell ref="H28:J28"/>
  </mergeCells>
  <pageMargins left="0.7" right="0.7" top="0.75" bottom="0.75" header="0.3" footer="0.3"/>
  <pageSetup paperSize="9" orientation="portrait" r:id="rId1"/>
  <ignoredErrors>
    <ignoredError sqref="J19" formula="1"/>
    <ignoredError sqref="Y15:Z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2017-05-20T11:53:18Z</dcterms:created>
  <dcterms:modified xsi:type="dcterms:W3CDTF">2017-05-30T19:48:41Z</dcterms:modified>
</cp:coreProperties>
</file>