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World\"/>
    </mc:Choice>
  </mc:AlternateContent>
  <bookViews>
    <workbookView xWindow="0" yWindow="0" windowWidth="28770" windowHeight="12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W11" i="1"/>
  <c r="V13" i="1"/>
  <c r="V12" i="1"/>
  <c r="R7" i="1"/>
  <c r="R6" i="1"/>
  <c r="X17" i="1"/>
  <c r="X18" i="1"/>
  <c r="V18" i="1"/>
  <c r="V17" i="1"/>
  <c r="X15" i="1"/>
  <c r="X10" i="1"/>
  <c r="V10" i="1"/>
  <c r="V9" i="1"/>
  <c r="X9" i="1" s="1"/>
  <c r="X8" i="1"/>
  <c r="V8" i="1"/>
  <c r="V6" i="1"/>
  <c r="P21" i="1"/>
  <c r="E30" i="1"/>
  <c r="K18" i="1"/>
  <c r="J18" i="1"/>
  <c r="J26" i="1"/>
  <c r="I26" i="1"/>
  <c r="I25" i="1"/>
  <c r="J25" i="1" s="1"/>
  <c r="F26" i="1"/>
  <c r="F25" i="1"/>
  <c r="M8" i="1"/>
  <c r="L8" i="1"/>
  <c r="I13" i="1"/>
  <c r="J13" i="1" s="1"/>
  <c r="K13" i="1" s="1"/>
  <c r="L13" i="1" s="1"/>
  <c r="M7" i="1"/>
  <c r="L7" i="1"/>
  <c r="M6" i="1"/>
  <c r="M9" i="1" s="1"/>
  <c r="L6" i="1"/>
  <c r="L9" i="1" s="1"/>
  <c r="J9" i="1"/>
  <c r="I9" i="1"/>
  <c r="E8" i="1"/>
  <c r="I12" i="1" l="1"/>
  <c r="J12" i="1" s="1"/>
  <c r="K12" i="1" s="1"/>
  <c r="I27" i="1"/>
  <c r="X6" i="1" s="1"/>
  <c r="J27" i="1"/>
  <c r="P18" i="1" s="1"/>
  <c r="I17" i="1"/>
  <c r="K17" i="1" s="1"/>
  <c r="I16" i="1" l="1"/>
  <c r="K16" i="1" s="1"/>
  <c r="L12" i="1"/>
  <c r="J17" i="1"/>
  <c r="P17" i="1"/>
  <c r="V7" i="1" s="1"/>
  <c r="X7" i="1" s="1"/>
  <c r="J16" i="1"/>
  <c r="P16" i="1"/>
  <c r="J36" i="1" l="1"/>
  <c r="J37" i="1"/>
  <c r="N23" i="1" s="1"/>
  <c r="V5" i="1" s="1"/>
</calcChain>
</file>

<file path=xl/sharedStrings.xml><?xml version="1.0" encoding="utf-8"?>
<sst xmlns="http://schemas.openxmlformats.org/spreadsheetml/2006/main" count="103" uniqueCount="73">
  <si>
    <t>Peasants:</t>
  </si>
  <si>
    <t>Aristocrats:</t>
  </si>
  <si>
    <t>Total</t>
  </si>
  <si>
    <t>Num</t>
  </si>
  <si>
    <t>Production:</t>
  </si>
  <si>
    <t>Grain</t>
  </si>
  <si>
    <t>Vegetables</t>
  </si>
  <si>
    <t>cal/ha/day</t>
  </si>
  <si>
    <t>Diet</t>
  </si>
  <si>
    <t>Meat</t>
  </si>
  <si>
    <t>Peasant</t>
  </si>
  <si>
    <t>Aristocrat</t>
  </si>
  <si>
    <t>cal/day</t>
  </si>
  <si>
    <t>Farm areal needed in Hectare</t>
  </si>
  <si>
    <t>Planting/harvesting speed</t>
  </si>
  <si>
    <t>Farmers needed</t>
  </si>
  <si>
    <t>ha/2man team/day</t>
  </si>
  <si>
    <t>Cow</t>
  </si>
  <si>
    <t>Weight</t>
  </si>
  <si>
    <t>kg</t>
  </si>
  <si>
    <t>Nutritions</t>
  </si>
  <si>
    <t>Lamb</t>
  </si>
  <si>
    <t>cal/100g</t>
  </si>
  <si>
    <t>cal/kg</t>
  </si>
  <si>
    <t>Meat needed per day in kg</t>
  </si>
  <si>
    <t>Sheep</t>
  </si>
  <si>
    <t>Number</t>
  </si>
  <si>
    <t>Grazing areal</t>
  </si>
  <si>
    <t>Meat distribution cow/lamb</t>
  </si>
  <si>
    <t>Hunted Meat</t>
  </si>
  <si>
    <t>Growth time</t>
  </si>
  <si>
    <t>Days</t>
  </si>
  <si>
    <t>Animal byproducts</t>
  </si>
  <si>
    <t>Milk</t>
  </si>
  <si>
    <t>Wool</t>
  </si>
  <si>
    <t>litre/day</t>
  </si>
  <si>
    <t>kg/year</t>
  </si>
  <si>
    <t>Totals</t>
  </si>
  <si>
    <t>Cow categories</t>
  </si>
  <si>
    <t>Beast of burden</t>
  </si>
  <si>
    <t>Dairy cow</t>
  </si>
  <si>
    <t>distribution</t>
  </si>
  <si>
    <t>Animals needed</t>
  </si>
  <si>
    <t>Jobs:</t>
  </si>
  <si>
    <t>Farmer</t>
  </si>
  <si>
    <t>Slaughter</t>
  </si>
  <si>
    <t>Leatherworker</t>
  </si>
  <si>
    <t>Blacksmith</t>
  </si>
  <si>
    <t>Cow hide</t>
  </si>
  <si>
    <t>kg/day</t>
  </si>
  <si>
    <t>Farmers needed for milking</t>
  </si>
  <si>
    <t>Milk time</t>
  </si>
  <si>
    <t>min</t>
  </si>
  <si>
    <t>hour</t>
  </si>
  <si>
    <t>Alloted time</t>
  </si>
  <si>
    <t>Required manpower</t>
  </si>
  <si>
    <t>Dairy</t>
  </si>
  <si>
    <t>Lumberer</t>
  </si>
  <si>
    <t>Carpenter</t>
  </si>
  <si>
    <t>Tailor</t>
  </si>
  <si>
    <t>Mason</t>
  </si>
  <si>
    <t>Fisher</t>
  </si>
  <si>
    <t>Jeweler</t>
  </si>
  <si>
    <t>Merchant</t>
  </si>
  <si>
    <t>Healer</t>
  </si>
  <si>
    <t>Clergy</t>
  </si>
  <si>
    <t>Low</t>
  </si>
  <si>
    <t>Top</t>
  </si>
  <si>
    <t>Selfsustain</t>
  </si>
  <si>
    <t>Birthrate</t>
  </si>
  <si>
    <t>Pop growth/year</t>
  </si>
  <si>
    <t>Birth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</si>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</sst>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9" fontId="0" fillId="0" borderId="0" xfId="0" applyNumberFormat="1" applyBorder="1"/>
    <xf numFmtId="9" fontId="0" fillId="0" borderId="5" xfId="0" applyNumberFormat="1" applyBorder="1"/>
    <xf numFmtId="9" fontId="0" fillId="0" borderId="7" xfId="0" applyNumberFormat="1" applyBorder="1"/>
    <xf numFmtId="9" fontId="0" fillId="0" borderId="8" xfId="0" applyNumberFormat="1" applyBorder="1"/>
    <xf numFmtId="3" fontId="0" fillId="0" borderId="5" xfId="0" applyNumberFormat="1" applyBorder="1"/>
    <xf numFmtId="3" fontId="0" fillId="0" borderId="8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37"/>
  <sheetViews>
    <sheetView tabSelected="1" workbookViewId="0">
      <selection activeCell="X12" sqref="X12"/>
    </sheetView>
  </sheetViews>
  <sheetFormatPr defaultRowHeight="15" x14ac:dyDescent="0.25"/>
  <cols>
    <col min="4" max="4" width="12.140625" bestFit="1" customWidth="1"/>
    <col min="5" max="5" width="10.42578125" bestFit="1" customWidth="1"/>
    <col min="8" max="8" width="15.140625" bestFit="1" customWidth="1"/>
    <col min="9" max="9" width="12" bestFit="1" customWidth="1"/>
    <col min="10" max="10" width="12.42578125" bestFit="1" customWidth="1"/>
    <col min="11" max="12" width="15.5703125" bestFit="1" customWidth="1"/>
    <col min="13" max="13" width="19.42578125" bestFit="1" customWidth="1"/>
    <col min="16" max="16" width="15.85546875" bestFit="1" customWidth="1"/>
    <col min="17" max="18" width="16" bestFit="1" customWidth="1"/>
    <col min="21" max="21" width="14.140625" bestFit="1" customWidth="1"/>
    <col min="22" max="22" width="10.7109375" bestFit="1" customWidth="1"/>
  </cols>
  <sheetData>
    <row r="4" spans="4:24" x14ac:dyDescent="0.25">
      <c r="U4" s="1" t="s">
        <v>43</v>
      </c>
      <c r="V4" t="s">
        <v>68</v>
      </c>
      <c r="W4" t="s">
        <v>66</v>
      </c>
      <c r="X4" t="s">
        <v>67</v>
      </c>
    </row>
    <row r="5" spans="4:24" x14ac:dyDescent="0.25">
      <c r="D5" s="2"/>
      <c r="E5" s="4" t="s">
        <v>3</v>
      </c>
      <c r="H5" s="2" t="s">
        <v>8</v>
      </c>
      <c r="I5" s="3" t="s">
        <v>10</v>
      </c>
      <c r="J5" s="4" t="s">
        <v>11</v>
      </c>
      <c r="L5" s="2" t="s">
        <v>10</v>
      </c>
      <c r="M5" s="4" t="s">
        <v>11</v>
      </c>
      <c r="O5" s="2" t="s">
        <v>69</v>
      </c>
      <c r="P5" s="3" t="s">
        <v>71</v>
      </c>
      <c r="Q5" s="3" t="s">
        <v>72</v>
      </c>
      <c r="R5" s="4" t="s">
        <v>70</v>
      </c>
      <c r="U5" t="s">
        <v>44</v>
      </c>
      <c r="V5">
        <f>K12+K13+N23</f>
        <v>49</v>
      </c>
    </row>
    <row r="6" spans="4:24" x14ac:dyDescent="0.25">
      <c r="D6" s="5" t="s">
        <v>0</v>
      </c>
      <c r="E6" s="8">
        <v>1130</v>
      </c>
      <c r="H6" s="5" t="s">
        <v>5</v>
      </c>
      <c r="I6" s="13">
        <v>0.7</v>
      </c>
      <c r="J6" s="14">
        <v>0.4</v>
      </c>
      <c r="L6" s="5">
        <f>E17*I6</f>
        <v>2100</v>
      </c>
      <c r="M6" s="8">
        <f>E18*J6</f>
        <v>1400</v>
      </c>
      <c r="O6" s="5" t="s">
        <v>10</v>
      </c>
      <c r="P6" s="6">
        <v>3.4700000000000002E-2</v>
      </c>
      <c r="Q6" s="6">
        <v>1.2500000000000001E-2</v>
      </c>
      <c r="R6" s="8">
        <f>ROUNDUP((P6-Q6)*E6,0)</f>
        <v>26</v>
      </c>
      <c r="U6" t="s">
        <v>45</v>
      </c>
      <c r="V6">
        <f>ROUNDUP(J27/200,0)</f>
        <v>1</v>
      </c>
      <c r="X6">
        <f>3*V6</f>
        <v>3</v>
      </c>
    </row>
    <row r="7" spans="4:24" x14ac:dyDescent="0.25">
      <c r="D7" s="5" t="s">
        <v>1</v>
      </c>
      <c r="E7" s="8">
        <v>100</v>
      </c>
      <c r="H7" s="5" t="s">
        <v>6</v>
      </c>
      <c r="I7" s="13">
        <v>0.25</v>
      </c>
      <c r="J7" s="14">
        <v>0.3</v>
      </c>
      <c r="L7" s="5">
        <f>E17*I7</f>
        <v>750</v>
      </c>
      <c r="M7" s="8">
        <f>E18*J7</f>
        <v>1050</v>
      </c>
      <c r="O7" s="9" t="s">
        <v>11</v>
      </c>
      <c r="P7" s="10">
        <v>2.46E-2</v>
      </c>
      <c r="Q7" s="10">
        <v>9.8499999999999994E-3</v>
      </c>
      <c r="R7" s="12">
        <f>ROUNDUP((P7-Q7)*E7,0)</f>
        <v>2</v>
      </c>
      <c r="U7" t="s">
        <v>59</v>
      </c>
      <c r="V7">
        <f>ROUNDUP((P17/365)/2,0)</f>
        <v>3</v>
      </c>
      <c r="X7">
        <f>V7*3</f>
        <v>9</v>
      </c>
    </row>
    <row r="8" spans="4:24" x14ac:dyDescent="0.25">
      <c r="D8" s="9" t="s">
        <v>2</v>
      </c>
      <c r="E8" s="12">
        <f>SUM(E6:E7)</f>
        <v>1230</v>
      </c>
      <c r="H8" s="5" t="s">
        <v>9</v>
      </c>
      <c r="I8" s="13">
        <v>0.05</v>
      </c>
      <c r="J8" s="14">
        <v>0.3</v>
      </c>
      <c r="L8" s="5">
        <f>E17*I8</f>
        <v>150</v>
      </c>
      <c r="M8" s="8">
        <f>E18*J8</f>
        <v>1050</v>
      </c>
      <c r="U8" t="s">
        <v>46</v>
      </c>
      <c r="V8">
        <f>ROUNDUP((P18/2),0)</f>
        <v>2</v>
      </c>
      <c r="X8">
        <f>V8*3</f>
        <v>6</v>
      </c>
    </row>
    <row r="9" spans="4:24" x14ac:dyDescent="0.25">
      <c r="H9" s="9" t="s">
        <v>2</v>
      </c>
      <c r="I9" s="15">
        <f>SUM(I6:I8)</f>
        <v>1</v>
      </c>
      <c r="J9" s="16">
        <f>SUM(J6:J8)</f>
        <v>1</v>
      </c>
      <c r="L9" s="9">
        <f>SUM(L6:L8)</f>
        <v>3000</v>
      </c>
      <c r="M9" s="12">
        <f>SUM(M6:M8)</f>
        <v>3500</v>
      </c>
      <c r="U9" t="s">
        <v>47</v>
      </c>
      <c r="V9">
        <f>ROUNDUP(V5/25,0)</f>
        <v>2</v>
      </c>
      <c r="X9">
        <f>V9*3</f>
        <v>6</v>
      </c>
    </row>
    <row r="10" spans="4:24" x14ac:dyDescent="0.25">
      <c r="U10" t="s">
        <v>56</v>
      </c>
      <c r="V10">
        <f>ROUNDUP(P16/35,0)</f>
        <v>4</v>
      </c>
      <c r="X10">
        <f>V10*3</f>
        <v>12</v>
      </c>
    </row>
    <row r="11" spans="4:24" x14ac:dyDescent="0.25">
      <c r="D11" s="2" t="s">
        <v>4</v>
      </c>
      <c r="E11" s="4" t="s">
        <v>7</v>
      </c>
      <c r="H11" s="20" t="s">
        <v>13</v>
      </c>
      <c r="I11" s="21"/>
      <c r="J11" s="21"/>
      <c r="K11" s="3" t="s">
        <v>15</v>
      </c>
      <c r="L11" s="4" t="s">
        <v>42</v>
      </c>
      <c r="U11" t="s">
        <v>57</v>
      </c>
      <c r="W11">
        <f>ROUNDUP(E6*0.02,0)</f>
        <v>23</v>
      </c>
      <c r="X11">
        <f>ROUNDUP(E6*0.1,0)</f>
        <v>113</v>
      </c>
    </row>
    <row r="12" spans="4:24" x14ac:dyDescent="0.25">
      <c r="D12" s="5" t="s">
        <v>5</v>
      </c>
      <c r="E12" s="17">
        <v>40000</v>
      </c>
      <c r="H12" s="5" t="s">
        <v>5</v>
      </c>
      <c r="I12" s="6">
        <f>((E6*L6)/E12)+((E7*M6)/E12)</f>
        <v>62.825000000000003</v>
      </c>
      <c r="J12" s="7">
        <f>ROUNDUP(I12*2,0)</f>
        <v>126</v>
      </c>
      <c r="K12" s="7">
        <f>ROUNDUP((J12/(H21*20))*2,0)</f>
        <v>32</v>
      </c>
      <c r="L12" s="22">
        <f>(K12/2)*4</f>
        <v>64</v>
      </c>
      <c r="U12" t="s">
        <v>58</v>
      </c>
      <c r="V12">
        <f>ROUNDUP((R6/20)+(R7/10),0)</f>
        <v>2</v>
      </c>
    </row>
    <row r="13" spans="4:24" x14ac:dyDescent="0.25">
      <c r="D13" s="9" t="s">
        <v>6</v>
      </c>
      <c r="E13" s="18">
        <v>45000</v>
      </c>
      <c r="H13" s="9" t="s">
        <v>6</v>
      </c>
      <c r="I13" s="10">
        <f>((E6*L7)/E13)+((E7*M7)/E13)</f>
        <v>21.166666666666664</v>
      </c>
      <c r="J13" s="11">
        <f>ROUNDUP(I13*2,0)</f>
        <v>43</v>
      </c>
      <c r="K13" s="11">
        <f>ROUNDUP((J13/(H21*20))*2,0)</f>
        <v>11</v>
      </c>
      <c r="L13" s="23">
        <f>(K13/2)*4</f>
        <v>22</v>
      </c>
      <c r="U13" t="s">
        <v>60</v>
      </c>
      <c r="V13">
        <f>ROUNDUP((R6/20)+(R7/10),0)</f>
        <v>2</v>
      </c>
    </row>
    <row r="14" spans="4:24" x14ac:dyDescent="0.25">
      <c r="U14" t="s">
        <v>61</v>
      </c>
    </row>
    <row r="15" spans="4:24" x14ac:dyDescent="0.25">
      <c r="H15" s="2"/>
      <c r="I15" s="3" t="s">
        <v>26</v>
      </c>
      <c r="J15" s="3" t="s">
        <v>27</v>
      </c>
      <c r="K15" s="4" t="s">
        <v>15</v>
      </c>
      <c r="M15" s="2" t="s">
        <v>32</v>
      </c>
      <c r="N15" s="3"/>
      <c r="O15" s="3"/>
      <c r="P15" s="3" t="s">
        <v>37</v>
      </c>
      <c r="Q15" s="4"/>
      <c r="U15" t="s">
        <v>62</v>
      </c>
      <c r="V15">
        <v>0</v>
      </c>
      <c r="X15">
        <f>ROUNDUP(E7/500,0)</f>
        <v>1</v>
      </c>
    </row>
    <row r="16" spans="4:24" x14ac:dyDescent="0.25">
      <c r="D16" s="2" t="s">
        <v>8</v>
      </c>
      <c r="E16" s="4" t="s">
        <v>12</v>
      </c>
      <c r="H16" s="5" t="s">
        <v>17</v>
      </c>
      <c r="I16" s="6">
        <f>ROUNDUP((E29/(E21/(J27*I30))),0)</f>
        <v>115</v>
      </c>
      <c r="J16" s="7">
        <f>ROUNDUP(I16/2,0)</f>
        <v>58</v>
      </c>
      <c r="K16" s="24">
        <f>ROUND(I16/100,0)</f>
        <v>1</v>
      </c>
      <c r="M16" s="5" t="s">
        <v>33</v>
      </c>
      <c r="N16" s="6">
        <v>4</v>
      </c>
      <c r="O16" s="6" t="s">
        <v>35</v>
      </c>
      <c r="P16" s="7">
        <f>(I16*I37)*N16</f>
        <v>115</v>
      </c>
      <c r="Q16" s="8" t="s">
        <v>35</v>
      </c>
      <c r="U16" t="s">
        <v>63</v>
      </c>
    </row>
    <row r="17" spans="4:24" x14ac:dyDescent="0.25">
      <c r="D17" s="5" t="s">
        <v>10</v>
      </c>
      <c r="E17" s="8">
        <v>3000</v>
      </c>
      <c r="H17" s="5" t="s">
        <v>25</v>
      </c>
      <c r="I17" s="6">
        <f>ROUNDUP((E30/(E22/(J27*I31))),0)</f>
        <v>190</v>
      </c>
      <c r="J17" s="7">
        <f>ROUNDUP(I17/15,0)</f>
        <v>13</v>
      </c>
      <c r="K17" s="24">
        <f t="shared" ref="K17:K18" si="0">ROUND(I17/100,0)</f>
        <v>2</v>
      </c>
      <c r="M17" s="5" t="s">
        <v>34</v>
      </c>
      <c r="N17" s="6">
        <v>8</v>
      </c>
      <c r="O17" s="6" t="s">
        <v>36</v>
      </c>
      <c r="P17" s="7">
        <f>I17*N17</f>
        <v>1520</v>
      </c>
      <c r="Q17" s="8" t="s">
        <v>36</v>
      </c>
      <c r="U17" t="s">
        <v>64</v>
      </c>
      <c r="V17">
        <f>ROUNDUP((E6/500)+(E7/75),0)</f>
        <v>4</v>
      </c>
      <c r="X17">
        <f>ROUNDUP((E6/300)+(E7/35),0)</f>
        <v>7</v>
      </c>
    </row>
    <row r="18" spans="4:24" x14ac:dyDescent="0.25">
      <c r="D18" s="9" t="s">
        <v>11</v>
      </c>
      <c r="E18" s="12">
        <v>3500</v>
      </c>
      <c r="H18" s="9" t="s">
        <v>29</v>
      </c>
      <c r="I18" s="10"/>
      <c r="J18" s="10">
        <f t="shared" ref="J17:J18" si="1">ROUNDUP(I18/2,0)</f>
        <v>0</v>
      </c>
      <c r="K18" s="12">
        <f t="shared" si="0"/>
        <v>0</v>
      </c>
      <c r="M18" s="9" t="s">
        <v>48</v>
      </c>
      <c r="N18" s="10">
        <v>30</v>
      </c>
      <c r="O18" s="10" t="s">
        <v>19</v>
      </c>
      <c r="P18" s="11">
        <f>ROUNDDOWN(N18/(E21/(J27*I30)),1)</f>
        <v>2.2999999999999998</v>
      </c>
      <c r="Q18" s="12" t="s">
        <v>49</v>
      </c>
      <c r="U18" t="s">
        <v>65</v>
      </c>
      <c r="V18">
        <f>ROUNDUP(E8/200,0)</f>
        <v>7</v>
      </c>
      <c r="X18">
        <f>ROUNDUP(E8/100,0)</f>
        <v>13</v>
      </c>
    </row>
    <row r="20" spans="4:24" x14ac:dyDescent="0.25">
      <c r="D20" s="19" t="s">
        <v>9</v>
      </c>
      <c r="E20" s="3" t="s">
        <v>18</v>
      </c>
      <c r="F20" s="4"/>
      <c r="H20" s="20" t="s">
        <v>14</v>
      </c>
      <c r="I20" s="21"/>
      <c r="J20" s="25"/>
      <c r="M20" s="20" t="s">
        <v>50</v>
      </c>
      <c r="N20" s="21"/>
      <c r="O20" s="21"/>
      <c r="P20" s="3"/>
      <c r="Q20" s="4"/>
    </row>
    <row r="21" spans="4:24" x14ac:dyDescent="0.25">
      <c r="D21" s="5" t="s">
        <v>17</v>
      </c>
      <c r="E21" s="6">
        <v>1100</v>
      </c>
      <c r="F21" s="8" t="s">
        <v>19</v>
      </c>
      <c r="H21" s="9">
        <v>0.4</v>
      </c>
      <c r="I21" s="26" t="s">
        <v>16</v>
      </c>
      <c r="J21" s="27"/>
      <c r="M21" s="5" t="s">
        <v>51</v>
      </c>
      <c r="N21" s="6">
        <v>45</v>
      </c>
      <c r="O21" s="6" t="s">
        <v>52</v>
      </c>
      <c r="P21" s="6">
        <f>45/60</f>
        <v>0.75</v>
      </c>
      <c r="Q21" s="8" t="s">
        <v>53</v>
      </c>
    </row>
    <row r="22" spans="4:24" x14ac:dyDescent="0.25">
      <c r="D22" s="9" t="s">
        <v>21</v>
      </c>
      <c r="E22" s="10">
        <v>100</v>
      </c>
      <c r="F22" s="12" t="s">
        <v>19</v>
      </c>
      <c r="M22" s="5" t="s">
        <v>54</v>
      </c>
      <c r="N22" s="6">
        <v>4</v>
      </c>
      <c r="O22" s="6" t="s">
        <v>53</v>
      </c>
      <c r="P22" s="6"/>
      <c r="Q22" s="8"/>
    </row>
    <row r="23" spans="4:24" x14ac:dyDescent="0.25">
      <c r="M23" s="9" t="s">
        <v>55</v>
      </c>
      <c r="N23" s="11">
        <f>ROUNDUP(((J37*P21)/N22),0)</f>
        <v>6</v>
      </c>
      <c r="O23" s="10"/>
      <c r="P23" s="10"/>
      <c r="Q23" s="12"/>
    </row>
    <row r="24" spans="4:24" x14ac:dyDescent="0.25">
      <c r="D24" s="2" t="s">
        <v>20</v>
      </c>
      <c r="E24" s="3" t="s">
        <v>22</v>
      </c>
      <c r="F24" s="4" t="s">
        <v>23</v>
      </c>
      <c r="H24" s="20" t="s">
        <v>24</v>
      </c>
      <c r="I24" s="21"/>
      <c r="J24" s="25"/>
    </row>
    <row r="25" spans="4:24" x14ac:dyDescent="0.25">
      <c r="D25" s="5" t="s">
        <v>17</v>
      </c>
      <c r="E25" s="6">
        <v>180</v>
      </c>
      <c r="F25" s="8">
        <f>E25*10</f>
        <v>1800</v>
      </c>
      <c r="H25" s="5" t="s">
        <v>10</v>
      </c>
      <c r="I25" s="6">
        <f>ROUNDUP(L8/F25,1)</f>
        <v>0.1</v>
      </c>
      <c r="J25" s="24">
        <f>I25*E6</f>
        <v>113</v>
      </c>
    </row>
    <row r="26" spans="4:24" x14ac:dyDescent="0.25">
      <c r="D26" s="9" t="s">
        <v>21</v>
      </c>
      <c r="E26" s="10">
        <v>180</v>
      </c>
      <c r="F26" s="12">
        <f>E26*10</f>
        <v>1800</v>
      </c>
      <c r="H26" s="5" t="s">
        <v>11</v>
      </c>
      <c r="I26" s="6">
        <f>ROUNDUP(M8/F25,1)</f>
        <v>0.6</v>
      </c>
      <c r="J26" s="24">
        <f>I26*E7</f>
        <v>60</v>
      </c>
    </row>
    <row r="27" spans="4:24" x14ac:dyDescent="0.25">
      <c r="H27" s="9" t="s">
        <v>2</v>
      </c>
      <c r="I27" s="10">
        <f>SUM(I25:I26)</f>
        <v>0.7</v>
      </c>
      <c r="J27" s="28">
        <f>SUM(J25:J26)</f>
        <v>173</v>
      </c>
    </row>
    <row r="28" spans="4:24" x14ac:dyDescent="0.25">
      <c r="D28" s="2" t="s">
        <v>30</v>
      </c>
      <c r="E28" s="4" t="s">
        <v>31</v>
      </c>
    </row>
    <row r="29" spans="4:24" x14ac:dyDescent="0.25">
      <c r="D29" s="5" t="s">
        <v>17</v>
      </c>
      <c r="E29" s="8">
        <v>1460</v>
      </c>
      <c r="H29" s="20" t="s">
        <v>28</v>
      </c>
      <c r="I29" s="21"/>
      <c r="J29" s="25"/>
    </row>
    <row r="30" spans="4:24" x14ac:dyDescent="0.25">
      <c r="D30" s="9" t="s">
        <v>25</v>
      </c>
      <c r="E30" s="12">
        <f>365*3</f>
        <v>1095</v>
      </c>
      <c r="H30" s="5" t="s">
        <v>17</v>
      </c>
      <c r="I30" s="13">
        <v>0.5</v>
      </c>
      <c r="J30" s="8"/>
    </row>
    <row r="31" spans="4:24" x14ac:dyDescent="0.25">
      <c r="H31" s="5" t="s">
        <v>21</v>
      </c>
      <c r="I31" s="13">
        <v>0.1</v>
      </c>
      <c r="J31" s="8"/>
    </row>
    <row r="32" spans="4:24" x14ac:dyDescent="0.25">
      <c r="H32" s="9" t="s">
        <v>29</v>
      </c>
      <c r="I32" s="15">
        <v>0.4</v>
      </c>
      <c r="J32" s="12"/>
    </row>
    <row r="35" spans="8:10" x14ac:dyDescent="0.25">
      <c r="H35" s="2" t="s">
        <v>38</v>
      </c>
      <c r="I35" s="3" t="s">
        <v>41</v>
      </c>
      <c r="J35" s="4"/>
    </row>
    <row r="36" spans="8:10" x14ac:dyDescent="0.25">
      <c r="H36" s="5" t="s">
        <v>39</v>
      </c>
      <c r="I36" s="13">
        <v>0.75</v>
      </c>
      <c r="J36" s="8">
        <f>ROUNDUP(I16*I36,0)</f>
        <v>87</v>
      </c>
    </row>
    <row r="37" spans="8:10" x14ac:dyDescent="0.25">
      <c r="H37" s="9" t="s">
        <v>40</v>
      </c>
      <c r="I37" s="15">
        <v>0.25</v>
      </c>
      <c r="J37" s="12">
        <f>ROUNDUP(I16*I37,0)</f>
        <v>29</v>
      </c>
    </row>
  </sheetData>
  <mergeCells count="6">
    <mergeCell ref="H24:J24"/>
    <mergeCell ref="H29:J29"/>
    <mergeCell ref="M20:O20"/>
    <mergeCell ref="H11:J11"/>
    <mergeCell ref="H20:J20"/>
    <mergeCell ref="I21:J21"/>
  </mergeCells>
  <pageMargins left="0.7" right="0.7" top="0.75" bottom="0.75" header="0.3" footer="0.3"/>
  <ignoredErrors>
    <ignoredError sqref="J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2017-05-20T11:53:18Z</dcterms:created>
  <dcterms:modified xsi:type="dcterms:W3CDTF">2017-05-21T20:44:11Z</dcterms:modified>
</cp:coreProperties>
</file>